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tabRatio="591"/>
  </bookViews>
  <sheets>
    <sheet name="Report" sheetId="3" r:id="rId1"/>
    <sheet name="Construction table" sheetId="4" r:id="rId2"/>
    <sheet name="Remarks" sheetId="5" r:id="rId3"/>
    <sheet name="Area Calculation" sheetId="6" r:id="rId4"/>
  </sheets>
  <definedNames>
    <definedName name="_xlnm.Print_Area" localSheetId="0">Report!$A$1:$H$499</definedName>
  </definedNames>
  <calcPr calcId="152511"/>
</workbook>
</file>

<file path=xl/calcChain.xml><?xml version="1.0" encoding="utf-8"?>
<calcChain xmlns="http://schemas.openxmlformats.org/spreadsheetml/2006/main">
  <c r="E304" i="3" l="1"/>
  <c r="C62" i="3"/>
  <c r="C57" i="3"/>
  <c r="C52" i="3"/>
  <c r="D362" i="3" l="1"/>
  <c r="E311" i="3" l="1"/>
  <c r="F311" i="3"/>
  <c r="G224" i="3"/>
  <c r="G223" i="3"/>
  <c r="G222" i="3"/>
  <c r="G221" i="3"/>
  <c r="G219" i="3"/>
  <c r="G218" i="3"/>
  <c r="G217" i="3"/>
  <c r="L148" i="3"/>
  <c r="G128" i="3"/>
  <c r="G127" i="3"/>
  <c r="D363" i="3"/>
  <c r="D361" i="3"/>
  <c r="F308" i="3"/>
  <c r="E308" i="3"/>
  <c r="F307" i="3"/>
  <c r="E307" i="3"/>
  <c r="F305" i="3"/>
  <c r="F304" i="3"/>
  <c r="E305" i="3"/>
  <c r="H311" i="3" l="1"/>
  <c r="F296" i="3"/>
  <c r="E296" i="3"/>
  <c r="F295" i="3"/>
  <c r="E295" i="3"/>
  <c r="H295" i="3" s="1"/>
  <c r="F294" i="3"/>
  <c r="E294" i="3"/>
  <c r="H294" i="3" s="1"/>
  <c r="F293" i="3"/>
  <c r="E293" i="3"/>
  <c r="H293" i="3" s="1"/>
  <c r="F292" i="3"/>
  <c r="E292" i="3"/>
  <c r="F291" i="3"/>
  <c r="E291" i="3"/>
  <c r="F289" i="3"/>
  <c r="E289" i="3"/>
  <c r="F288" i="3"/>
  <c r="E288" i="3"/>
  <c r="F287" i="3"/>
  <c r="E287" i="3"/>
  <c r="F286" i="3"/>
  <c r="E286" i="3"/>
  <c r="H286" i="3" s="1"/>
  <c r="F284" i="3"/>
  <c r="E284" i="3"/>
  <c r="F279" i="3"/>
  <c r="E279" i="3"/>
  <c r="F278" i="3"/>
  <c r="E278" i="3"/>
  <c r="H278" i="3" s="1"/>
  <c r="F277" i="3"/>
  <c r="E277" i="3"/>
  <c r="H277" i="3" s="1"/>
  <c r="F275" i="3"/>
  <c r="E275" i="3"/>
  <c r="H275" i="3" s="1"/>
  <c r="F274" i="3"/>
  <c r="E274" i="3"/>
  <c r="F273" i="3"/>
  <c r="E273" i="3"/>
  <c r="H273" i="3" s="1"/>
  <c r="F272" i="3"/>
  <c r="E272" i="3"/>
  <c r="F271" i="3"/>
  <c r="E271" i="3"/>
  <c r="F270" i="3"/>
  <c r="E270" i="3"/>
  <c r="F268" i="3"/>
  <c r="E268" i="3"/>
  <c r="F267" i="3"/>
  <c r="E267" i="3"/>
  <c r="F266" i="3"/>
  <c r="E266" i="3"/>
  <c r="H266" i="3" s="1"/>
  <c r="F265" i="3"/>
  <c r="E265" i="3"/>
  <c r="F264" i="3"/>
  <c r="E264" i="3"/>
  <c r="H264" i="3" s="1"/>
  <c r="F263" i="3"/>
  <c r="E263" i="3"/>
  <c r="H263" i="3" s="1"/>
  <c r="F261" i="3"/>
  <c r="E261" i="3"/>
  <c r="H261" i="3" s="1"/>
  <c r="F260" i="3"/>
  <c r="E260" i="3"/>
  <c r="F259" i="3"/>
  <c r="E259" i="3"/>
  <c r="H259" i="3" s="1"/>
  <c r="F258" i="3"/>
  <c r="E258" i="3"/>
  <c r="F257" i="3"/>
  <c r="E257" i="3"/>
  <c r="F256" i="3"/>
  <c r="E256" i="3"/>
  <c r="F237" i="3"/>
  <c r="E237" i="3"/>
  <c r="F236" i="3"/>
  <c r="E236" i="3"/>
  <c r="H236" i="3" s="1"/>
  <c r="F235" i="3"/>
  <c r="E235" i="3"/>
  <c r="H235" i="3" s="1"/>
  <c r="F246" i="3"/>
  <c r="E246" i="3"/>
  <c r="F245" i="3"/>
  <c r="E245" i="3"/>
  <c r="F244" i="3"/>
  <c r="E244" i="3"/>
  <c r="F243" i="3"/>
  <c r="E243" i="3"/>
  <c r="F242" i="3"/>
  <c r="E242" i="3"/>
  <c r="F254" i="3"/>
  <c r="E254" i="3"/>
  <c r="F253" i="3"/>
  <c r="E253" i="3"/>
  <c r="H253" i="3" s="1"/>
  <c r="F252" i="3"/>
  <c r="E252" i="3"/>
  <c r="F251" i="3"/>
  <c r="E251" i="3"/>
  <c r="F250" i="3"/>
  <c r="E250" i="3"/>
  <c r="F249" i="3"/>
  <c r="E249" i="3"/>
  <c r="H249" i="3" s="1"/>
  <c r="F228" i="3"/>
  <c r="E228" i="3"/>
  <c r="F227" i="3"/>
  <c r="E227" i="3"/>
  <c r="F226" i="3"/>
  <c r="E226" i="3"/>
  <c r="F225" i="3"/>
  <c r="E225" i="3"/>
  <c r="F224" i="3"/>
  <c r="E224" i="3"/>
  <c r="F223" i="3"/>
  <c r="E223" i="3"/>
  <c r="F222" i="3"/>
  <c r="E222" i="3"/>
  <c r="F221" i="3"/>
  <c r="E221" i="3"/>
  <c r="F219" i="3"/>
  <c r="E219" i="3"/>
  <c r="F218" i="3"/>
  <c r="E218" i="3"/>
  <c r="F217" i="3"/>
  <c r="E217" i="3"/>
  <c r="F216" i="3"/>
  <c r="E216" i="3"/>
  <c r="F215" i="3"/>
  <c r="E215" i="3"/>
  <c r="F212" i="3"/>
  <c r="E212" i="3"/>
  <c r="F206" i="3"/>
  <c r="E206" i="3"/>
  <c r="F205" i="3"/>
  <c r="E205" i="3"/>
  <c r="F204" i="3"/>
  <c r="E204" i="3"/>
  <c r="F203" i="3"/>
  <c r="E203" i="3"/>
  <c r="F201" i="3"/>
  <c r="E201" i="3"/>
  <c r="F199" i="3"/>
  <c r="E199" i="3"/>
  <c r="F198" i="3"/>
  <c r="E198" i="3"/>
  <c r="F197" i="3"/>
  <c r="E197" i="3"/>
  <c r="F196" i="3"/>
  <c r="E196" i="3"/>
  <c r="F195" i="3"/>
  <c r="E195" i="3"/>
  <c r="F194" i="3"/>
  <c r="E194" i="3"/>
  <c r="F192" i="3"/>
  <c r="E192" i="3"/>
  <c r="F191" i="3"/>
  <c r="E191" i="3"/>
  <c r="F190" i="3"/>
  <c r="E190" i="3"/>
  <c r="F189" i="3"/>
  <c r="E189" i="3"/>
  <c r="F188" i="3"/>
  <c r="E188" i="3"/>
  <c r="F187" i="3"/>
  <c r="E187" i="3"/>
  <c r="F186" i="3"/>
  <c r="E186" i="3"/>
  <c r="F185" i="3"/>
  <c r="E185" i="3"/>
  <c r="F183" i="3"/>
  <c r="E183" i="3"/>
  <c r="F181" i="3"/>
  <c r="E181" i="3"/>
  <c r="F180" i="3"/>
  <c r="E180" i="3"/>
  <c r="F179" i="3"/>
  <c r="E179" i="3"/>
  <c r="F178" i="3"/>
  <c r="E178" i="3"/>
  <c r="F177" i="3"/>
  <c r="E177" i="3"/>
  <c r="F176" i="3"/>
  <c r="E176" i="3"/>
  <c r="F174" i="3"/>
  <c r="E174" i="3"/>
  <c r="F173" i="3"/>
  <c r="E173" i="3"/>
  <c r="F172" i="3"/>
  <c r="E172" i="3"/>
  <c r="F171" i="3"/>
  <c r="E171" i="3"/>
  <c r="F170" i="3"/>
  <c r="E170" i="3"/>
  <c r="F169" i="3"/>
  <c r="E169" i="3"/>
  <c r="F168" i="3"/>
  <c r="E168" i="3"/>
  <c r="F167" i="3"/>
  <c r="E167" i="3"/>
  <c r="F165" i="3"/>
  <c r="E165" i="3"/>
  <c r="F163" i="3"/>
  <c r="E163" i="3"/>
  <c r="F162" i="3"/>
  <c r="E162" i="3"/>
  <c r="F161" i="3"/>
  <c r="E161" i="3"/>
  <c r="F160" i="3"/>
  <c r="E160" i="3"/>
  <c r="F159" i="3"/>
  <c r="E159" i="3"/>
  <c r="F158" i="3"/>
  <c r="E158" i="3"/>
  <c r="F152" i="3"/>
  <c r="E152" i="3"/>
  <c r="F151" i="3"/>
  <c r="E151" i="3"/>
  <c r="F150" i="3"/>
  <c r="E150" i="3"/>
  <c r="F149" i="3"/>
  <c r="E149" i="3"/>
  <c r="H305" i="3"/>
  <c r="A308" i="3"/>
  <c r="H308" i="3"/>
  <c r="H307" i="3"/>
  <c r="I305" i="3"/>
  <c r="I304" i="3"/>
  <c r="A305" i="3"/>
  <c r="H304" i="3"/>
  <c r="A292" i="3"/>
  <c r="A293" i="3" s="1"/>
  <c r="A294" i="3" s="1"/>
  <c r="A295" i="3" s="1"/>
  <c r="A296" i="3" s="1"/>
  <c r="A285" i="3"/>
  <c r="A286" i="3" s="1"/>
  <c r="A287" i="3" s="1"/>
  <c r="A288" i="3" s="1"/>
  <c r="A289" i="3" s="1"/>
  <c r="H284" i="3"/>
  <c r="A278" i="3"/>
  <c r="A279" i="3" s="1"/>
  <c r="A280" i="3" s="1"/>
  <c r="A281" i="3" s="1"/>
  <c r="A282" i="3" s="1"/>
  <c r="A271" i="3"/>
  <c r="A272" i="3" s="1"/>
  <c r="A273" i="3" s="1"/>
  <c r="A274" i="3" s="1"/>
  <c r="A275" i="3" s="1"/>
  <c r="A264" i="3"/>
  <c r="A265" i="3" s="1"/>
  <c r="A266" i="3" s="1"/>
  <c r="A267" i="3" s="1"/>
  <c r="A268" i="3" s="1"/>
  <c r="J260" i="3"/>
  <c r="I260" i="3"/>
  <c r="A257" i="3"/>
  <c r="A258" i="3" s="1"/>
  <c r="A259" i="3" s="1"/>
  <c r="A260" i="3" s="1"/>
  <c r="A261" i="3" s="1"/>
  <c r="A250" i="3"/>
  <c r="A251" i="3" s="1"/>
  <c r="A252" i="3" s="1"/>
  <c r="A253" i="3" s="1"/>
  <c r="A254" i="3" s="1"/>
  <c r="I244" i="3"/>
  <c r="I236" i="3"/>
  <c r="A243" i="3"/>
  <c r="A244" i="3" s="1"/>
  <c r="A245" i="3" s="1"/>
  <c r="A246" i="3" s="1"/>
  <c r="A247" i="3" s="1"/>
  <c r="A236" i="3"/>
  <c r="A237" i="3" s="1"/>
  <c r="A238" i="3" s="1"/>
  <c r="A239" i="3" s="1"/>
  <c r="A240" i="3" s="1"/>
  <c r="A316" i="3"/>
  <c r="A317" i="3" s="1"/>
  <c r="A318" i="3" s="1"/>
  <c r="A319" i="3" s="1"/>
  <c r="A320" i="3" s="1"/>
  <c r="A321" i="3" s="1"/>
  <c r="A322" i="3" s="1"/>
  <c r="H322" i="3"/>
  <c r="H321" i="3"/>
  <c r="H320" i="3"/>
  <c r="H319" i="3"/>
  <c r="H318" i="3"/>
  <c r="H317" i="3"/>
  <c r="H316" i="3"/>
  <c r="H315" i="3"/>
  <c r="J162" i="3"/>
  <c r="I162" i="3"/>
  <c r="J159" i="3"/>
  <c r="I159" i="3"/>
  <c r="U311" i="3"/>
  <c r="U315" i="3"/>
  <c r="V270" i="3"/>
  <c r="U277" i="3"/>
  <c r="V284" i="3"/>
  <c r="V307" i="3"/>
  <c r="U242" i="3"/>
  <c r="V291" i="3"/>
  <c r="U263" i="3"/>
  <c r="U256" i="3"/>
  <c r="U284" i="3"/>
  <c r="U270" i="3"/>
  <c r="V256" i="3"/>
  <c r="V235" i="3"/>
  <c r="V304" i="3"/>
  <c r="U249" i="3"/>
  <c r="V277" i="3"/>
  <c r="V315" i="3"/>
  <c r="U307" i="3"/>
  <c r="U304" i="3"/>
  <c r="V249" i="3"/>
  <c r="V242" i="3"/>
  <c r="U235" i="3"/>
  <c r="V311" i="3"/>
  <c r="V263" i="3"/>
  <c r="U291" i="3"/>
  <c r="G139" i="3" l="1"/>
  <c r="E139" i="3"/>
  <c r="H256" i="3"/>
  <c r="H265" i="3"/>
  <c r="H270" i="3"/>
  <c r="H274" i="3"/>
  <c r="H279" i="3"/>
  <c r="H288" i="3"/>
  <c r="T311" i="3"/>
  <c r="U308" i="3"/>
  <c r="T307" i="3"/>
  <c r="V308" i="3"/>
  <c r="U305" i="3"/>
  <c r="T304" i="3"/>
  <c r="V305" i="3"/>
  <c r="H296" i="3"/>
  <c r="H292" i="3"/>
  <c r="H291" i="3"/>
  <c r="V292" i="3"/>
  <c r="V293" i="3" s="1"/>
  <c r="V294" i="3" s="1"/>
  <c r="V295" i="3" s="1"/>
  <c r="V296" i="3" s="1"/>
  <c r="T291" i="3"/>
  <c r="U292" i="3"/>
  <c r="H289" i="3"/>
  <c r="H287" i="3"/>
  <c r="H243" i="3"/>
  <c r="H250" i="3"/>
  <c r="H237" i="3"/>
  <c r="H251" i="3"/>
  <c r="H257" i="3"/>
  <c r="H267" i="3"/>
  <c r="H271" i="3"/>
  <c r="H242" i="3"/>
  <c r="H258" i="3"/>
  <c r="H268" i="3"/>
  <c r="H272" i="3"/>
  <c r="V285" i="3"/>
  <c r="V286" i="3" s="1"/>
  <c r="V287" i="3" s="1"/>
  <c r="V288" i="3" s="1"/>
  <c r="V289" i="3" s="1"/>
  <c r="T284" i="3"/>
  <c r="U285" i="3"/>
  <c r="V278" i="3"/>
  <c r="V279" i="3" s="1"/>
  <c r="V280" i="3" s="1"/>
  <c r="V281" i="3" s="1"/>
  <c r="V282" i="3" s="1"/>
  <c r="T277" i="3"/>
  <c r="U278" i="3"/>
  <c r="T270" i="3"/>
  <c r="U271" i="3"/>
  <c r="V271" i="3"/>
  <c r="V272" i="3" s="1"/>
  <c r="V273" i="3" s="1"/>
  <c r="V274" i="3" s="1"/>
  <c r="V275" i="3" s="1"/>
  <c r="V264" i="3"/>
  <c r="V265" i="3" s="1"/>
  <c r="V266" i="3" s="1"/>
  <c r="V267" i="3" s="1"/>
  <c r="V268" i="3" s="1"/>
  <c r="T263" i="3"/>
  <c r="U264" i="3"/>
  <c r="H260" i="3"/>
  <c r="U257" i="3"/>
  <c r="T256" i="3"/>
  <c r="V257" i="3"/>
  <c r="V258" i="3" s="1"/>
  <c r="V259" i="3" s="1"/>
  <c r="V260" i="3" s="1"/>
  <c r="V261" i="3" s="1"/>
  <c r="H254" i="3"/>
  <c r="H252" i="3"/>
  <c r="U250" i="3"/>
  <c r="T249" i="3"/>
  <c r="V250" i="3"/>
  <c r="V251" i="3" s="1"/>
  <c r="V252" i="3" s="1"/>
  <c r="V253" i="3" s="1"/>
  <c r="V254" i="3" s="1"/>
  <c r="H246" i="3"/>
  <c r="H245" i="3"/>
  <c r="H244" i="3"/>
  <c r="T242" i="3"/>
  <c r="U243" i="3"/>
  <c r="V243" i="3"/>
  <c r="V244" i="3" s="1"/>
  <c r="V245" i="3" s="1"/>
  <c r="V246" i="3" s="1"/>
  <c r="V247" i="3" s="1"/>
  <c r="T235" i="3"/>
  <c r="U236" i="3"/>
  <c r="V236" i="3"/>
  <c r="V237" i="3" s="1"/>
  <c r="V238" i="3" s="1"/>
  <c r="V239" i="3" s="1"/>
  <c r="V240" i="3" s="1"/>
  <c r="V316" i="3"/>
  <c r="V317" i="3" s="1"/>
  <c r="V318" i="3" s="1"/>
  <c r="V319" i="3" s="1"/>
  <c r="V320" i="3" s="1"/>
  <c r="V321" i="3" s="1"/>
  <c r="V322" i="3" s="1"/>
  <c r="U316" i="3"/>
  <c r="T315" i="3"/>
  <c r="J149" i="3"/>
  <c r="I149" i="3"/>
  <c r="E138" i="3" l="1"/>
  <c r="G138" i="3"/>
  <c r="T308" i="3"/>
  <c r="T305" i="3"/>
  <c r="T292" i="3"/>
  <c r="U293" i="3"/>
  <c r="U286" i="3"/>
  <c r="T285" i="3"/>
  <c r="T278" i="3"/>
  <c r="U279" i="3"/>
  <c r="U272" i="3"/>
  <c r="T271" i="3"/>
  <c r="T264" i="3"/>
  <c r="U265" i="3"/>
  <c r="U258" i="3"/>
  <c r="T257" i="3"/>
  <c r="T250" i="3"/>
  <c r="U251" i="3"/>
  <c r="U244" i="3"/>
  <c r="T243" i="3"/>
  <c r="T236" i="3"/>
  <c r="U237" i="3"/>
  <c r="U317" i="3"/>
  <c r="T316" i="3"/>
  <c r="H227" i="3"/>
  <c r="H226" i="3"/>
  <c r="A222" i="3"/>
  <c r="A223" i="3" s="1"/>
  <c r="A224" i="3" s="1"/>
  <c r="A225" i="3" s="1"/>
  <c r="A226" i="3" s="1"/>
  <c r="A227" i="3" s="1"/>
  <c r="A228" i="3" s="1"/>
  <c r="H216" i="3"/>
  <c r="H215" i="3"/>
  <c r="H212" i="3"/>
  <c r="A213" i="3"/>
  <c r="A214" i="3" s="1"/>
  <c r="A215" i="3" s="1"/>
  <c r="A216" i="3" s="1"/>
  <c r="A217" i="3" s="1"/>
  <c r="A218" i="3" s="1"/>
  <c r="A219" i="3" s="1"/>
  <c r="H206" i="3"/>
  <c r="H205" i="3"/>
  <c r="H204" i="3"/>
  <c r="A204" i="3"/>
  <c r="A205" i="3" s="1"/>
  <c r="A206" i="3" s="1"/>
  <c r="A207" i="3" s="1"/>
  <c r="A208" i="3" s="1"/>
  <c r="A209" i="3" s="1"/>
  <c r="A210" i="3" s="1"/>
  <c r="H203" i="3"/>
  <c r="V203" i="3"/>
  <c r="U212" i="3"/>
  <c r="U203" i="3"/>
  <c r="V212" i="3"/>
  <c r="U221" i="3"/>
  <c r="V221" i="3"/>
  <c r="U294" i="3" l="1"/>
  <c r="T293" i="3"/>
  <c r="H224" i="3"/>
  <c r="U287" i="3"/>
  <c r="T286" i="3"/>
  <c r="U280" i="3"/>
  <c r="T279" i="3"/>
  <c r="U273" i="3"/>
  <c r="T272" i="3"/>
  <c r="U266" i="3"/>
  <c r="T265" i="3"/>
  <c r="U259" i="3"/>
  <c r="T258" i="3"/>
  <c r="T251" i="3"/>
  <c r="U252" i="3"/>
  <c r="T244" i="3"/>
  <c r="U245" i="3"/>
  <c r="H221" i="3"/>
  <c r="T237" i="3"/>
  <c r="U238" i="3"/>
  <c r="T317" i="3"/>
  <c r="U318" i="3"/>
  <c r="H222" i="3"/>
  <c r="H228" i="3"/>
  <c r="H223" i="3"/>
  <c r="H225" i="3"/>
  <c r="U222" i="3"/>
  <c r="T221" i="3"/>
  <c r="V222" i="3"/>
  <c r="V223" i="3" s="1"/>
  <c r="V224" i="3" s="1"/>
  <c r="V225" i="3" s="1"/>
  <c r="V226" i="3" s="1"/>
  <c r="V227" i="3" s="1"/>
  <c r="V228" i="3" s="1"/>
  <c r="H219" i="3"/>
  <c r="H218" i="3"/>
  <c r="H217" i="3"/>
  <c r="V213" i="3"/>
  <c r="V214" i="3" s="1"/>
  <c r="V215" i="3" s="1"/>
  <c r="V216" i="3" s="1"/>
  <c r="V217" i="3" s="1"/>
  <c r="V218" i="3" s="1"/>
  <c r="V219" i="3" s="1"/>
  <c r="U213" i="3"/>
  <c r="T212" i="3"/>
  <c r="V204" i="3"/>
  <c r="V205" i="3" s="1"/>
  <c r="V206" i="3" s="1"/>
  <c r="V207" i="3" s="1"/>
  <c r="V208" i="3" s="1"/>
  <c r="V209" i="3" s="1"/>
  <c r="V210" i="3" s="1"/>
  <c r="U204" i="3"/>
  <c r="T203" i="3"/>
  <c r="H201" i="3"/>
  <c r="H198" i="3"/>
  <c r="H199" i="3"/>
  <c r="H197" i="3"/>
  <c r="H196" i="3"/>
  <c r="H195" i="3"/>
  <c r="A195" i="3"/>
  <c r="A196" i="3" s="1"/>
  <c r="A197" i="3" s="1"/>
  <c r="A198" i="3" s="1"/>
  <c r="A199" i="3" s="1"/>
  <c r="A200" i="3" s="1"/>
  <c r="A201" i="3" s="1"/>
  <c r="H192" i="3"/>
  <c r="H191" i="3"/>
  <c r="H188" i="3"/>
  <c r="H185" i="3"/>
  <c r="A186" i="3"/>
  <c r="A187" i="3" s="1"/>
  <c r="A188" i="3" s="1"/>
  <c r="A189" i="3" s="1"/>
  <c r="A190" i="3" s="1"/>
  <c r="A191" i="3" s="1"/>
  <c r="A192" i="3" s="1"/>
  <c r="A177" i="3"/>
  <c r="A178" i="3" s="1"/>
  <c r="A179" i="3" s="1"/>
  <c r="A180" i="3" s="1"/>
  <c r="A181" i="3" s="1"/>
  <c r="A182" i="3" s="1"/>
  <c r="A183" i="3" s="1"/>
  <c r="A168" i="3"/>
  <c r="A169" i="3" s="1"/>
  <c r="A170" i="3" s="1"/>
  <c r="A171" i="3" s="1"/>
  <c r="A172" i="3" s="1"/>
  <c r="A173" i="3" s="1"/>
  <c r="A174" i="3" s="1"/>
  <c r="H189" i="3"/>
  <c r="H174" i="3"/>
  <c r="H171" i="3"/>
  <c r="I171" i="3" s="1"/>
  <c r="H170" i="3"/>
  <c r="H169" i="3"/>
  <c r="H168" i="3"/>
  <c r="H183" i="3"/>
  <c r="H180" i="3"/>
  <c r="H179" i="3"/>
  <c r="H176" i="3"/>
  <c r="H152" i="3"/>
  <c r="A150" i="3"/>
  <c r="A151" i="3" s="1"/>
  <c r="A152" i="3" s="1"/>
  <c r="A153" i="3" s="1"/>
  <c r="A154" i="3" s="1"/>
  <c r="A155" i="3" s="1"/>
  <c r="A156" i="3" s="1"/>
  <c r="V194" i="3"/>
  <c r="U167" i="3"/>
  <c r="V176" i="3"/>
  <c r="U185" i="3"/>
  <c r="U194" i="3"/>
  <c r="V185" i="3"/>
  <c r="U176" i="3"/>
  <c r="V167" i="3"/>
  <c r="T294" i="3" l="1"/>
  <c r="U295" i="3"/>
  <c r="T287" i="3"/>
  <c r="U288" i="3"/>
  <c r="T280" i="3"/>
  <c r="U281" i="3"/>
  <c r="U274" i="3"/>
  <c r="T273" i="3"/>
  <c r="T266" i="3"/>
  <c r="U267" i="3"/>
  <c r="U260" i="3"/>
  <c r="T259" i="3"/>
  <c r="T252" i="3"/>
  <c r="U253" i="3"/>
  <c r="T245" i="3"/>
  <c r="U246" i="3"/>
  <c r="H151" i="3"/>
  <c r="U239" i="3"/>
  <c r="T238" i="3"/>
  <c r="U319" i="3"/>
  <c r="T318" i="3"/>
  <c r="H177" i="3"/>
  <c r="H181" i="3"/>
  <c r="H178" i="3"/>
  <c r="H172" i="3"/>
  <c r="H187" i="3"/>
  <c r="H173" i="3"/>
  <c r="H149" i="3"/>
  <c r="H167" i="3"/>
  <c r="H194" i="3"/>
  <c r="U223" i="3"/>
  <c r="T222" i="3"/>
  <c r="U214" i="3"/>
  <c r="T213" i="3"/>
  <c r="U205" i="3"/>
  <c r="T204" i="3"/>
  <c r="U195" i="3"/>
  <c r="T194" i="3"/>
  <c r="V195" i="3"/>
  <c r="V196" i="3" s="1"/>
  <c r="V197" i="3" s="1"/>
  <c r="V198" i="3" s="1"/>
  <c r="V199" i="3" s="1"/>
  <c r="V200" i="3" s="1"/>
  <c r="V201" i="3" s="1"/>
  <c r="H190" i="3"/>
  <c r="H186" i="3"/>
  <c r="T185" i="3"/>
  <c r="U186" i="3"/>
  <c r="V186" i="3"/>
  <c r="V187" i="3" s="1"/>
  <c r="V188" i="3" s="1"/>
  <c r="V189" i="3" s="1"/>
  <c r="V190" i="3" s="1"/>
  <c r="V191" i="3" s="1"/>
  <c r="V192" i="3" s="1"/>
  <c r="T167" i="3"/>
  <c r="U168" i="3"/>
  <c r="V168" i="3"/>
  <c r="V169" i="3" s="1"/>
  <c r="V170" i="3" s="1"/>
  <c r="V171" i="3" s="1"/>
  <c r="V172" i="3" s="1"/>
  <c r="V173" i="3" s="1"/>
  <c r="V174" i="3" s="1"/>
  <c r="U177" i="3"/>
  <c r="T176" i="3"/>
  <c r="V177" i="3"/>
  <c r="V178" i="3" s="1"/>
  <c r="V179" i="3" s="1"/>
  <c r="V180" i="3" s="1"/>
  <c r="V181" i="3" s="1"/>
  <c r="V182" i="3" s="1"/>
  <c r="V183" i="3" s="1"/>
  <c r="H150" i="3"/>
  <c r="H158" i="3"/>
  <c r="U296" i="3" l="1"/>
  <c r="T296" i="3" s="1"/>
  <c r="T295" i="3"/>
  <c r="T288" i="3"/>
  <c r="U289" i="3"/>
  <c r="T289" i="3" s="1"/>
  <c r="T281" i="3"/>
  <c r="U282" i="3"/>
  <c r="T282" i="3" s="1"/>
  <c r="U275" i="3"/>
  <c r="T275" i="3" s="1"/>
  <c r="T274" i="3"/>
  <c r="T267" i="3"/>
  <c r="U268" i="3"/>
  <c r="T268" i="3" s="1"/>
  <c r="U261" i="3"/>
  <c r="T261" i="3" s="1"/>
  <c r="T260" i="3"/>
  <c r="T253" i="3"/>
  <c r="U254" i="3"/>
  <c r="T254" i="3" s="1"/>
  <c r="U247" i="3"/>
  <c r="T247" i="3" s="1"/>
  <c r="T246" i="3"/>
  <c r="T239" i="3"/>
  <c r="U240" i="3"/>
  <c r="U320" i="3"/>
  <c r="T319" i="3"/>
  <c r="U224" i="3"/>
  <c r="T223" i="3"/>
  <c r="U215" i="3"/>
  <c r="T214" i="3"/>
  <c r="U206" i="3"/>
  <c r="T205" i="3"/>
  <c r="U196" i="3"/>
  <c r="T195" i="3"/>
  <c r="U187" i="3"/>
  <c r="T186" i="3"/>
  <c r="T168" i="3"/>
  <c r="U169" i="3"/>
  <c r="T177" i="3"/>
  <c r="U178"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E44" i="6" s="1"/>
  <c r="L42" i="6"/>
  <c r="K42" i="6" s="1"/>
  <c r="I42" i="6"/>
  <c r="H42" i="6" s="1"/>
  <c r="T240" i="3"/>
  <c r="T320" i="3"/>
  <c r="U321" i="3"/>
  <c r="U225" i="3"/>
  <c r="T224" i="3"/>
  <c r="U216" i="3"/>
  <c r="T215" i="3"/>
  <c r="U207" i="3"/>
  <c r="T206" i="3"/>
  <c r="U197" i="3"/>
  <c r="T196" i="3"/>
  <c r="T187" i="3"/>
  <c r="U188" i="3"/>
  <c r="T169" i="3"/>
  <c r="U170" i="3"/>
  <c r="T178" i="3"/>
  <c r="U179" i="3"/>
  <c r="D42" i="6" l="1"/>
  <c r="D44" i="6" s="1"/>
  <c r="T321" i="3"/>
  <c r="U322" i="3"/>
  <c r="T322" i="3" s="1"/>
  <c r="U226" i="3"/>
  <c r="T225" i="3"/>
  <c r="U217" i="3"/>
  <c r="T216" i="3"/>
  <c r="T207" i="3"/>
  <c r="U208" i="3"/>
  <c r="U198" i="3"/>
  <c r="T197" i="3"/>
  <c r="T188" i="3"/>
  <c r="U189" i="3"/>
  <c r="U171" i="3"/>
  <c r="T170" i="3"/>
  <c r="U180" i="3"/>
  <c r="T179" i="3"/>
  <c r="C26" i="3"/>
  <c r="C18" i="3"/>
  <c r="H349" i="3"/>
  <c r="H348" i="3"/>
  <c r="H347" i="3"/>
  <c r="H346" i="3"/>
  <c r="H345" i="3"/>
  <c r="H344" i="3"/>
  <c r="H343" i="3"/>
  <c r="H342" i="3"/>
  <c r="H340" i="3"/>
  <c r="H339" i="3"/>
  <c r="H338" i="3"/>
  <c r="H337" i="3"/>
  <c r="H336" i="3"/>
  <c r="H335" i="3"/>
  <c r="H334" i="3"/>
  <c r="H333" i="3"/>
  <c r="H331" i="3"/>
  <c r="H330" i="3"/>
  <c r="H329" i="3"/>
  <c r="H328" i="3"/>
  <c r="H327" i="3"/>
  <c r="H326" i="3"/>
  <c r="H325" i="3"/>
  <c r="H324" i="3"/>
  <c r="H159" i="3"/>
  <c r="H160" i="3"/>
  <c r="H161" i="3"/>
  <c r="H162" i="3"/>
  <c r="H163" i="3"/>
  <c r="H165" i="3"/>
  <c r="G137" i="3" l="1"/>
  <c r="G140" i="3" s="1"/>
  <c r="G141" i="3" s="1"/>
  <c r="E137" i="3"/>
  <c r="E140" i="3" s="1"/>
  <c r="E141" i="3" s="1"/>
  <c r="U227" i="3"/>
  <c r="T226" i="3"/>
  <c r="U218" i="3"/>
  <c r="T217" i="3"/>
  <c r="U209" i="3"/>
  <c r="T208" i="3"/>
  <c r="U199" i="3"/>
  <c r="T198" i="3"/>
  <c r="U190" i="3"/>
  <c r="T189" i="3"/>
  <c r="T171" i="3"/>
  <c r="U172" i="3"/>
  <c r="T180" i="3"/>
  <c r="U181" i="3"/>
  <c r="G134" i="3"/>
  <c r="E134" i="3"/>
  <c r="A106" i="3"/>
  <c r="D107" i="3" s="1"/>
  <c r="J116" i="3" s="1"/>
  <c r="A90" i="3"/>
  <c r="D91" i="3" s="1"/>
  <c r="A74" i="3"/>
  <c r="D75" i="3" s="1"/>
  <c r="U228" i="3" l="1"/>
  <c r="T228" i="3" s="1"/>
  <c r="T227" i="3"/>
  <c r="U219" i="3"/>
  <c r="T219" i="3" s="1"/>
  <c r="T218" i="3"/>
  <c r="U210" i="3"/>
  <c r="T210" i="3" s="1"/>
  <c r="T209" i="3"/>
  <c r="U200" i="3"/>
  <c r="T199" i="3"/>
  <c r="T190" i="3"/>
  <c r="U191" i="3"/>
  <c r="T172" i="3"/>
  <c r="U173" i="3"/>
  <c r="T181" i="3"/>
  <c r="U182" i="3"/>
  <c r="J115" i="3"/>
  <c r="C38" i="4"/>
  <c r="G37" i="4"/>
  <c r="F37" i="4"/>
  <c r="G36" i="4"/>
  <c r="F36" i="4"/>
  <c r="G35" i="4"/>
  <c r="F35" i="4"/>
  <c r="G34" i="4"/>
  <c r="F34" i="4"/>
  <c r="G33" i="4"/>
  <c r="F33" i="4"/>
  <c r="G32" i="4"/>
  <c r="F32" i="4"/>
  <c r="G31" i="4"/>
  <c r="F31" i="4"/>
  <c r="G30" i="4"/>
  <c r="F30" i="4"/>
  <c r="G29" i="4"/>
  <c r="F29" i="4"/>
  <c r="G28" i="4"/>
  <c r="F28" i="4"/>
  <c r="G27" i="4"/>
  <c r="F27" i="4"/>
  <c r="G26" i="4"/>
  <c r="G38" i="4" s="1"/>
  <c r="F26" i="4"/>
  <c r="K15" i="4"/>
  <c r="K14" i="4"/>
  <c r="K13" i="4"/>
  <c r="H91" i="3"/>
  <c r="I5" i="4"/>
  <c r="F38" i="4" l="1"/>
  <c r="U201" i="3"/>
  <c r="T201" i="3" s="1"/>
  <c r="T200" i="3"/>
  <c r="T191" i="3"/>
  <c r="U192" i="3"/>
  <c r="T192" i="3" s="1"/>
  <c r="U174" i="3"/>
  <c r="T174" i="3" s="1"/>
  <c r="T173" i="3"/>
  <c r="U183" i="3"/>
  <c r="T183" i="3" s="1"/>
  <c r="T182" i="3"/>
  <c r="E18" i="4"/>
  <c r="E15" i="4"/>
  <c r="E17" i="4"/>
  <c r="E11" i="4"/>
  <c r="K6" i="4"/>
  <c r="E9" i="4"/>
  <c r="K8" i="4"/>
  <c r="C7" i="4" s="1"/>
  <c r="E14" i="4"/>
  <c r="E12" i="4"/>
  <c r="E16" i="4"/>
  <c r="E10" i="4"/>
  <c r="K9" i="4"/>
  <c r="K10" i="4" s="1"/>
  <c r="K11" i="4" s="1"/>
  <c r="E13" i="4"/>
  <c r="K7" i="4"/>
  <c r="J100" i="3"/>
  <c r="J99" i="3"/>
  <c r="K12" i="4" l="1"/>
  <c r="K16" i="4" s="1"/>
  <c r="C8" i="4" s="1"/>
  <c r="E8" i="4" s="1"/>
  <c r="E7" i="4"/>
  <c r="A159" i="3"/>
  <c r="A160" i="3" s="1"/>
  <c r="A161" i="3" s="1"/>
  <c r="A162" i="3" s="1"/>
  <c r="A163" i="3" s="1"/>
  <c r="A164" i="3" s="1"/>
  <c r="A165" i="3" s="1"/>
  <c r="F7" i="4" l="1"/>
  <c r="J4" i="4" s="1"/>
  <c r="H7" i="4" s="1"/>
  <c r="G4" i="3" l="1"/>
  <c r="H134" i="3" l="1"/>
  <c r="G129" i="3" l="1"/>
  <c r="J84" i="3"/>
  <c r="J83" i="3"/>
  <c r="H75" i="3"/>
  <c r="J79" i="3" l="1"/>
  <c r="D84" i="3"/>
  <c r="D81" i="3"/>
  <c r="D79" i="3"/>
  <c r="J77" i="3"/>
  <c r="C77" i="3" s="1"/>
  <c r="D88" i="3"/>
  <c r="D86" i="3"/>
  <c r="D83" i="3"/>
  <c r="D80" i="3"/>
  <c r="J78" i="3"/>
  <c r="J76" i="3"/>
  <c r="D87" i="3"/>
  <c r="D85" i="3"/>
  <c r="D82" i="3"/>
  <c r="D104" i="3" l="1"/>
  <c r="D96" i="3"/>
  <c r="D99" i="3"/>
  <c r="J93" i="3"/>
  <c r="C93" i="3" s="1"/>
  <c r="D103" i="3"/>
  <c r="D97" i="3"/>
  <c r="J92" i="3"/>
  <c r="D102" i="3"/>
  <c r="J95" i="3"/>
  <c r="J96" i="3" s="1"/>
  <c r="D101" i="3"/>
  <c r="D95" i="3"/>
  <c r="J94" i="3"/>
  <c r="D100" i="3"/>
  <c r="D98" i="3"/>
  <c r="J80" i="3"/>
  <c r="J85" i="3" s="1"/>
  <c r="D93" i="3" l="1"/>
  <c r="J97" i="3"/>
  <c r="J101" i="3"/>
  <c r="J98" i="3"/>
  <c r="D77" i="3"/>
  <c r="J81" i="3"/>
  <c r="H107" i="3"/>
  <c r="J102" i="3" l="1"/>
  <c r="D120" i="3"/>
  <c r="D119" i="3"/>
  <c r="D113" i="3"/>
  <c r="J110" i="3"/>
  <c r="D115" i="3"/>
  <c r="D114" i="3"/>
  <c r="J108" i="3"/>
  <c r="D118" i="3"/>
  <c r="D112" i="3"/>
  <c r="J111" i="3"/>
  <c r="J112" i="3" s="1"/>
  <c r="J113" i="3" s="1"/>
  <c r="J114" i="3" s="1"/>
  <c r="D117" i="3"/>
  <c r="D111" i="3"/>
  <c r="J109" i="3"/>
  <c r="C109" i="3" s="1"/>
  <c r="D116" i="3"/>
  <c r="J82" i="3"/>
  <c r="D94" i="3" l="1"/>
  <c r="E93" i="3"/>
  <c r="I90" i="3" s="1"/>
  <c r="G93" i="3" s="1"/>
  <c r="J117" i="3"/>
  <c r="J118" i="3" s="1"/>
  <c r="D110" i="3" s="1"/>
  <c r="D109" i="3"/>
  <c r="J86" i="3"/>
  <c r="V342" i="3"/>
  <c r="V333" i="3"/>
  <c r="U333" i="3"/>
  <c r="V324" i="3"/>
  <c r="U342" i="3"/>
  <c r="U324" i="3"/>
  <c r="E109" i="3" l="1"/>
  <c r="I106" i="3" s="1"/>
  <c r="G109" i="3" s="1"/>
  <c r="E77" i="3"/>
  <c r="T342" i="3"/>
  <c r="U343" i="3"/>
  <c r="V343" i="3"/>
  <c r="V344" i="3" s="1"/>
  <c r="V345" i="3" s="1"/>
  <c r="V346" i="3" s="1"/>
  <c r="V347" i="3" s="1"/>
  <c r="V348" i="3" s="1"/>
  <c r="V349" i="3" s="1"/>
  <c r="T333" i="3"/>
  <c r="U334" i="3"/>
  <c r="V334" i="3"/>
  <c r="V335" i="3" s="1"/>
  <c r="V336" i="3" s="1"/>
  <c r="V337" i="3" s="1"/>
  <c r="V338" i="3" s="1"/>
  <c r="V339" i="3" s="1"/>
  <c r="V340" i="3" s="1"/>
  <c r="V325" i="3"/>
  <c r="V326" i="3" s="1"/>
  <c r="V327" i="3" s="1"/>
  <c r="V328" i="3" s="1"/>
  <c r="V329" i="3" s="1"/>
  <c r="V330" i="3" s="1"/>
  <c r="V331" i="3" s="1"/>
  <c r="U325" i="3"/>
  <c r="T324" i="3"/>
  <c r="G121" i="3" l="1"/>
  <c r="D78" i="3"/>
  <c r="I74" i="3"/>
  <c r="G77" i="3" s="1"/>
  <c r="A342" i="3"/>
  <c r="A333" i="3"/>
  <c r="A324" i="3"/>
  <c r="T343" i="3"/>
  <c r="A343" i="3" s="1"/>
  <c r="U344" i="3"/>
  <c r="T344" i="3" s="1"/>
  <c r="T334" i="3"/>
  <c r="A334" i="3" s="1"/>
  <c r="U335" i="3"/>
  <c r="T335" i="3" s="1"/>
  <c r="U326" i="3"/>
  <c r="T325" i="3"/>
  <c r="A325" i="3" s="1"/>
  <c r="A344" i="3" l="1"/>
  <c r="A335" i="3"/>
  <c r="U345" i="3"/>
  <c r="T345" i="3" s="1"/>
  <c r="U336" i="3"/>
  <c r="T336" i="3" s="1"/>
  <c r="U327" i="3"/>
  <c r="T326" i="3"/>
  <c r="A326" i="3" s="1"/>
  <c r="A345" i="3" l="1"/>
  <c r="A336" i="3"/>
  <c r="U346" i="3"/>
  <c r="T346" i="3" s="1"/>
  <c r="U337" i="3"/>
  <c r="T337" i="3" s="1"/>
  <c r="U328" i="3"/>
  <c r="T327" i="3"/>
  <c r="A327" i="3" s="1"/>
  <c r="A346" i="3" l="1"/>
  <c r="A337" i="3"/>
  <c r="U347" i="3"/>
  <c r="T347" i="3" s="1"/>
  <c r="U338" i="3"/>
  <c r="T338" i="3" s="1"/>
  <c r="U329" i="3"/>
  <c r="T328" i="3"/>
  <c r="A328" i="3" s="1"/>
  <c r="A347" i="3" l="1"/>
  <c r="A338" i="3"/>
  <c r="U348" i="3"/>
  <c r="T348" i="3" s="1"/>
  <c r="U339" i="3"/>
  <c r="T339" i="3" s="1"/>
  <c r="U330" i="3"/>
  <c r="T329" i="3"/>
  <c r="A329" i="3" s="1"/>
  <c r="A348" i="3" l="1"/>
  <c r="A339" i="3"/>
  <c r="U349" i="3"/>
  <c r="T349" i="3" s="1"/>
  <c r="U340" i="3"/>
  <c r="T340" i="3" s="1"/>
  <c r="U331" i="3"/>
  <c r="T330" i="3"/>
  <c r="A330" i="3" s="1"/>
  <c r="A349" i="3" l="1"/>
  <c r="A340" i="3"/>
  <c r="T331" i="3"/>
  <c r="A331"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27"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<sst xmlns="http://schemas.openxmlformats.org/spreadsheetml/2006/main" count="907" uniqueCount="427">
  <si>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</si>
  <si>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</si>
  <si>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</si>
  <si>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</si>
  <si>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</si>
  <si>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</si>
  <si>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</si>
  <si>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</si>
  <si>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</si>
  <si>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</si>
  <si>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</si>
  <si>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</si>
  <si>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</si>
  <si>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</si>
  <si>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</si>
  <si>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</si>
  <si>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</si>
  <si>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</si>
  <si>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</si>
  <si>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</si>
  <si>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</si>
  <si>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</si>
  <si>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</si>
  <si>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</si>
  <si>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</si>
  <si>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</si>
  <si>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</si>
  <si>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</si>
  <si>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</si>
  <si>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</si>
  <si>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</si>
  <si>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</si>
  <si>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</si>
  <si>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</si>
  <si>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</si>
  <si>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</si>
  <si>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</si>
  <si>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</si>
  <si>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</si>
  <si>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</si>
  <si>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</si>
  <si>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</si>
  <si>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</si>
  <si>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</si>
  <si>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</si>
  <si>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</si>
  <si>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</si>
  <si>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</si>
  <si>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</si>
  <si>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</si>
  <si>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</si>
  <si>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</si>
  <si>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</si>
  <si>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</si>
  <si>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</si>
  <si>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</si>
  <si>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</si>
  <si>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</si>
  <si>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</si>
  <si>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</si>
  <si>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</si>
  <si>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</si>
  <si>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</si>
  <si>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</si>
  <si>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</si>
  <si>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</si>
  <si>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</si>
  <si>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</si>
  <si>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</si>
  <si>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</si>
  <si>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</si>
  <si>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</si>
  <si>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</si>
  <si>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</si>
  <si>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</si>
  <si>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</si>
  <si>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</si>
  <si>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</si>
  <si>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</si>
  <si>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</si>
  <si>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</si>
  <si>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</si>
  <si>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</si>
  <si>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</si>
  <si>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</si>
  <si>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</si>
  <si>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</si>
  <si>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</si>
  <si>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</si>
  <si>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</si>
  <si>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</si>
  <si>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</si>
  <si>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</si>
  <si>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</si>
  <si>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</si>
  <si>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</si>
  <si>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</si>
  <si>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</si>
  <si>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</si>
  <si>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</si>
  <si>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</si>
  <si>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</si>
  <si>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</si>
  <si>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</si>
  <si>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</si>
  <si>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</si>
  <si>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</si>
  <si>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</si>
  <si>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</si>
  <si>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</si>
  <si>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</si>
  <si>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</si>
  <si>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</si>
  <si>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</si>
  <si>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</si>
  <si>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</si>
  <si>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</si>
  <si>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</si>
  <si>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</si>
  <si>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</si>
  <si>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</si>
  <si>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</si>
  <si>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</si>
  <si>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</si>
  <si>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</si>
  <si>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</si>
  <si>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</si>
  <si>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</si>
  <si>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</si>
  <si>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</si>
  <si>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</si>
  <si>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</si>
  <si>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</si>
  <si>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</si>
  <si>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</si>
  <si>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</si>
  <si>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</si>
  <si>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</si>
  <si>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</si>
  <si>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</si>
  <si>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</si>
  <si>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</si>
  <si>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</si>
  <si>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</si>
  <si>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</si>
  <si>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</si>
  <si>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</si>
  <si>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</si>
  <si>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</si>
  <si>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</si>
  <si>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</si>
  <si>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</si>
  <si>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</si>
  <si>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</si>
  <si>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</si>
  <si>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</si>
  <si>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</si>
  <si>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</si>
  <si>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</si>
  <si>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</si>
  <si>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</si>
  <si>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</si>
  <si>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</si>
  <si>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</si>
  <si>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</si>
  <si>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</si>
  <si>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</si>
  <si>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</si>
  <si>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</si>
  <si>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</si>
  <si>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</si>
  <si>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</si>
  <si>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</si>
  <si>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</si>
  <si>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</si>
  <si>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</si>
  <si>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</si>
  <si>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</si>
  <si>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</si>
  <si>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</si>
  <si>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</si>
  <si>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</si>
  <si>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</si>
  <si>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</si>
  <si>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</si>
  <si>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</si>
  <si>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</si>
  <si>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</si>
  <si>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</si>
  <si>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</si>
  <si>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</si>
  <si>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</si>
  <si>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</si>
  <si>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</si>
  <si>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</si>
  <si>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</si>
  <si>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</si>
  <si>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</si>
  <si>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</si>
  <si>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</si>
  <si>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</si>
  <si>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</si>
  <si>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</si>
  <si>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</si>
  <si>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</si>
  <si>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</si>
  <si>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</si>
  <si>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</si>
  <si>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</si>
  <si>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</si>
  <si>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</si>
  <si>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</si>
  <si>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</si>
  <si>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</si>
  <si>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</si>
  <si>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</si>
  <si>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</si>
  <si>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</si>
  <si>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</si>
  <si>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</si>
  <si>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</si>
  <si>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</si>
  <si>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</si>
  <si>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</si>
  <si>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</si>
  <si>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</si>
  <si>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</si>
  <si>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</si>
  <si>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</si>
  <si>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</si>
  <si>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</si>
  <si>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</si>
  <si>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</si>
  <si>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</si>
  <si>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</si>
  <si>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</si>
  <si>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</si>
  <si>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</si>
  <si>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</si>
  <si>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</si>
  <si>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</si>
  <si>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</si>
  <si>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</si>
  <si>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</si>
  <si>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</si>
  <si>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</si>
  <si>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</si>
  <si>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</si>
  <si>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</si>
  <si>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</si>
  <si>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</si>
  <si>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</si>
  <si>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</si>
  <si>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</si>
  <si>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</si>
  <si>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</si>
  <si>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</si>
  <si>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</si>
  <si>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</si>
  <si>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</si>
  <si>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</si>
  <si>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</si>
  <si>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</si>
  <si>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</si>
  <si>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</si>
  <si>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</si>
  <si>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</si>
  <si>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</si>
  <si>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</si>
  <si>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</si>
  <si>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</si>
  <si>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</si>
  <si>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</si>
  <si>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</si>
  <si>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</si>
  <si>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</si>
  <si>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</si>
  <si>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</si>
  <si>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</si>
  <si>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</si>
  <si>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</si>
  <si>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</si>
  <si>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</si>
  <si>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</si>
  <si>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</si>
  <si>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</si>
  <si>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</si>
  <si>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</si>
  <si>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</si>
  <si>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</si>
  <si>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</si>
  <si>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</si>
  <si>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</si>
  <si>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</si>
  <si>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</si>
  <si>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</si>
  <si>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</si>
  <si>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</si>
  <si>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</si>
  <si>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</si>
  <si>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</si>
  <si>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</si>
  <si>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</si>
  <si>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</si>
  <si>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L and T Realty Evara Heights T1, T2 &amp; T4</t>
  </si>
  <si>
    <t>L and T Parel Project Private Limited</t>
  </si>
  <si>
    <t>L And T Parel Project Private Limited</t>
  </si>
  <si>
    <t xml:space="preserve">L&amp;T House, Ballard Estate, Mumbai, Maharashtra, 400001 </t>
  </si>
  <si>
    <t xml:space="preserve">Slum Rehabilitation Authority (SRA)
</t>
  </si>
  <si>
    <t>Tower T1 - P51700077650
Tower T2 - P51700077678
Tower T4 - P51700077681</t>
  </si>
  <si>
    <t xml:space="preserve">T1 = 17/10/2024
T2 &amp; T4 = 21/10/2024 </t>
  </si>
  <si>
    <t>T1 &amp; T2 = 31/08/2030
T4 = 30/04/2030</t>
  </si>
  <si>
    <t>T1 &amp; T2 = August 2030
T4 = April 2030</t>
  </si>
  <si>
    <t>Bank Name: ICICI BANK
IFSC Code: ICIC0001247</t>
  </si>
  <si>
    <t>435+334+78</t>
  </si>
  <si>
    <t>As per RERA Site Flats = 847</t>
  </si>
  <si>
    <t xml:space="preserve">Kids Play Area, Swimming Pool, Indoor Games, Gymnasium, Yoga Deck, Car Parking </t>
  </si>
  <si>
    <t xml:space="preserve">Tower T1 </t>
  </si>
  <si>
    <t xml:space="preserve">Tower T2 </t>
  </si>
  <si>
    <t xml:space="preserve">Tower T4 </t>
  </si>
  <si>
    <t>2B + 1P to 5P + 1st to 42nd Floor</t>
  </si>
  <si>
    <t>https://evaraheights.net/?gad_source=1&amp;gclid=CjwKCAiAmMC6BhA6EiwAdN5iLb6_5OabI3mh0wB-rt_yg-DDbzUa299kCpoz2uusK6aNFIwdDNDJFxoCqpcQAvD_BwE</t>
  </si>
  <si>
    <t>MMR.SRA/ENG056/SEC-4/STGOVT&amp;PVT/AP</t>
  </si>
  <si>
    <t>This Plinth C.C is Re-endorsed upto Plinth level of Sale Building T4 as per approved amended plans dtd. 12/08/2024.</t>
  </si>
  <si>
    <t>This Plinth C.C is Re-endorsed upto Plinth level of Sale Building T1 as per approved amended plans dtd. 12/08/2024.</t>
  </si>
  <si>
    <t>This Plinth C.C is Re-endorsed upto Plinth level of Sale Building T2 as per approved amended plans dtd. 12/08/2024.</t>
  </si>
  <si>
    <t>MMR.SRA/ENG053/SEC-4/STGOVT&amp;PVT/AP</t>
  </si>
  <si>
    <t>MMR.SRA/ENG054/SEC-4/STGOVT&amp;PVT/AP</t>
  </si>
  <si>
    <t>2B + 1P to 5P + 1st to 56th Floor</t>
  </si>
  <si>
    <t>1st &amp; 2nd Basement For Parking</t>
  </si>
  <si>
    <t>Ground Floor For Society Office, Mail Room, Panel Room, UPS Room, Meter Room, ELV Room, 
Fire Room, Drivers Room &amp; Parking</t>
  </si>
  <si>
    <t>1st to 4th Podium Floor For Parking</t>
  </si>
  <si>
    <t>Café</t>
  </si>
  <si>
    <t>2BHK</t>
  </si>
  <si>
    <t>5th Podium Floor For Residential, Indoor Games Lounge, VR Games Room &amp; Café</t>
  </si>
  <si>
    <t xml:space="preserve"> Indoor Games Lounge /VR Games Room</t>
  </si>
  <si>
    <t>2.5BHK</t>
  </si>
  <si>
    <t>1st Floor For Residential (Part Refuge Area)</t>
  </si>
  <si>
    <t>Refuge Area</t>
  </si>
  <si>
    <t>6th, 11th &amp; 16th Floor (Part Refuge Area)</t>
  </si>
  <si>
    <t>2nd to 5th, 7th to 10th, 12th to 15th Floor</t>
  </si>
  <si>
    <t>17th to 20th, 22nd to 25th, 27th to 30th, 34th to 35th, 37th to 40th, 42nd to 45th,
 47th to 50th, 52nd to 55th Floor</t>
  </si>
  <si>
    <t>21st, 26th, 36th, 41st, 46th, 51st, 56th Floor (Part Refuge Area)</t>
  </si>
  <si>
    <t>31st Floor For Residential &amp; Amenity (Part Refuge Area)</t>
  </si>
  <si>
    <t>Yoga/Meditation Area</t>
  </si>
  <si>
    <t>Business Lounge / Co Working Space</t>
  </si>
  <si>
    <t>32nd Floor For Residential, Pump Room, Domestic Tank &amp; Fire Tank</t>
  </si>
  <si>
    <t>Pump Room/Fire Tank</t>
  </si>
  <si>
    <t>Domestic Tank/Fire Tank</t>
  </si>
  <si>
    <t>33rd Floor</t>
  </si>
  <si>
    <t>1st Basement For Pump Room, Fire Tank &amp; Parking</t>
  </si>
  <si>
    <t>2nd Basement For Parking</t>
  </si>
  <si>
    <t>Ground Floor For Society Office, Mail Room, Panel Room, UPS Room, Meter Room, ELV Room, 
Fire Room, Facility Management Room, Convenience Store &amp; Parking</t>
  </si>
  <si>
    <t>5th Podium Floor Residential, Mini Theatre, Music Studio, Waiting Area, Senior Citizen Corner</t>
  </si>
  <si>
    <t>1BHK</t>
  </si>
  <si>
    <t>3BHK</t>
  </si>
  <si>
    <t>Senior Citizen Corner/Waiting Lobby</t>
  </si>
  <si>
    <t>Music Studio</t>
  </si>
  <si>
    <t>Mini Theatre/Waiting Area</t>
  </si>
  <si>
    <t xml:space="preserve">1st Floor </t>
  </si>
  <si>
    <t>2nd to 5th, 7th to 10th &amp; 12th to 15th Floor</t>
  </si>
  <si>
    <t>17th to 20th, 22nd to 25th, 27th to 30th, 34th, 35th, 37th to 40th, 42nd to 45th, 47th to 50th &amp;
 52nd to 55th Floor</t>
  </si>
  <si>
    <t>21st, 26th, 36th, 41st, 46th, 51st &amp; 56th Floor (Part Refuge Area)</t>
  </si>
  <si>
    <t>Tower T2 (Sale Building)</t>
  </si>
  <si>
    <t>Tower T1 (Sale Building)</t>
  </si>
  <si>
    <t>31st Floor For Residential &amp; Amenity Area (Part Refuge Area)</t>
  </si>
  <si>
    <t>Amenity Area - Meditation Area</t>
  </si>
  <si>
    <t>Amenity Area - Business Lounge / Co Working Space</t>
  </si>
  <si>
    <t>Pump Room/Domestic Tank/Fire Tank</t>
  </si>
  <si>
    <t xml:space="preserve">33rd Floor </t>
  </si>
  <si>
    <t>1st Basement For Raw Water Harvesting Tank, WTP Plant &amp; Parking</t>
  </si>
  <si>
    <t>Ground Floor For Society Office, Panel Room, Meter Room, Fire Room, Entrance Lobby &amp; Parking</t>
  </si>
  <si>
    <t>5th Podium Floor For Guest Room, Semi Open Garden &amp; Swimming Pool</t>
  </si>
  <si>
    <t>4BHK</t>
  </si>
  <si>
    <t>2nd to 5th, 7th to 10th, 12th to 15th, 17th to 20th, 22nd to 25th, 27th to 30th,
 32nd to 35th, 37th &amp; 38th Floor</t>
  </si>
  <si>
    <t>39th Floor For Service Floor</t>
  </si>
  <si>
    <t xml:space="preserve">40th Floor </t>
  </si>
  <si>
    <t>Tower T1</t>
  </si>
  <si>
    <t>Tower T2</t>
  </si>
  <si>
    <t>Tower T4</t>
  </si>
  <si>
    <t xml:space="preserve">Flats =  846
</t>
  </si>
  <si>
    <t>SNCR/WEST/B/072024/1127916</t>
  </si>
  <si>
    <t>Airport Authority Clearance Details
Valid upto:</t>
  </si>
  <si>
    <t>Site Elevation AMSL = 18.73 M.
Permissible Top Elevation AMSL =318.73 M.</t>
  </si>
  <si>
    <t>9.5BHK Duplex With 41st Floor</t>
  </si>
  <si>
    <t xml:space="preserve">41st Floor Residential Duplex With 40th Floor (Refuge Area at Passage) </t>
  </si>
  <si>
    <t>1st, 6th, 11th, 16th, 21st, 26th, 31st &amp; 36th Floor (Refuge Area at Passage)</t>
  </si>
  <si>
    <t>42nd Floor For Amenity</t>
  </si>
  <si>
    <t>19.2086616,72.9702947</t>
  </si>
  <si>
    <t>Viviana Mall</t>
  </si>
  <si>
    <t>https://maps.app.goo.gl/vCxX3wXM4UtnLfMn6</t>
  </si>
  <si>
    <t>12 m</t>
  </si>
  <si>
    <t>1.3 KM from Viviana Mall Bus Stop</t>
  </si>
  <si>
    <t>About 500M form Jupiter Hospital</t>
  </si>
  <si>
    <t>1. Approx. 160 M from Reliance Smart Bazar.
2. Approx. 1.5 KM from Mukesh Super Market.</t>
  </si>
  <si>
    <t>About 1.9 KM from Holy Cross Convent High School</t>
  </si>
  <si>
    <t xml:space="preserve">3.2 KM from Thane Railway Station
</t>
  </si>
  <si>
    <t>Other Plot</t>
  </si>
  <si>
    <t>12 M W Road</t>
  </si>
  <si>
    <t>Survey No. 119/A &amp; 120</t>
  </si>
  <si>
    <t>Open Plot / Building</t>
  </si>
  <si>
    <t>Tower R3</t>
  </si>
  <si>
    <t>Tower T5</t>
  </si>
  <si>
    <t>Road</t>
  </si>
  <si>
    <t xml:space="preserve">We considered Gross carpet area = Net carpet + Balcony + D.B Area + A.P Area + Utility Area.
</t>
  </si>
  <si>
    <t xml:space="preserve">Nala located on North side of the project.
</t>
  </si>
  <si>
    <t>Mr. Ajay Songare</t>
  </si>
  <si>
    <t xml:space="preserve">L and T Realty Evara Heights T1, T2 &amp; T4, Survey No.67(Pt), 83/1(Pt), 83/3(Pt), 83/4, 84/1 to 7, 120/2(Pt), 121(Pt), 502/A (Pt), Redevelopement of " Chirag Nagar Co. Op. Housing Federation (Prop.) &amp; Laxmi Nagar Co. Op. Housing Federation (Prop.)  ", near Viviana Mall, TCS Approach Road, Panchpakhadi, Thane West, Thane, Thane  - 400606. 
</t>
  </si>
  <si>
    <t>Approved Layout &amp; Floor Plans, CC, RERA certificate, Airport NOC</t>
  </si>
  <si>
    <t>so counting is mismatched</t>
  </si>
  <si>
    <t>In T4 duplex flat counted seperatly in approved plan</t>
  </si>
  <si>
    <t>TMC/CFO/M/HR/121/117</t>
  </si>
  <si>
    <t>Fire NOC
Valid upto:</t>
  </si>
  <si>
    <t>Please Check for Environmental Clearance certificate.</t>
  </si>
  <si>
    <t xml:space="preserve">Residential Sale Building No. T1 &amp; T2 = 2B + Gr + 1P to 5P + 1st to 56th Floor (Total Height = 199.00 Mtrs)
Residential Sale Building No. T4 = 2B + Gr + 1P to 5P + 1st to 41st Floor (Total Height = 160.50 Mtrs)
</t>
  </si>
  <si>
    <t xml:space="preserve">Approved Plan Details
</t>
  </si>
  <si>
    <t xml:space="preserve">CC Details
Valid Up to: </t>
  </si>
  <si>
    <t>L&amp;T Evara Heights T1, T2, T4. S . No. 502/A(pt), 67(pt), 83/1 (pt), 83/3 (pt) 83/4, 84/1 to 7, 120/2(pt) and 121 (pt) of Village Panchpakhadi at Thane (M Corp.), Thane, Thane, 400606.</t>
  </si>
  <si>
    <t>Approved Plan Details</t>
  </si>
  <si>
    <t>Tower T4 (Sale Building)</t>
  </si>
  <si>
    <t>21500 to 22500</t>
  </si>
  <si>
    <t>16500 to 17500 - 21500 to 22500 Gaurav</t>
  </si>
  <si>
    <t>Mr. Chirag Chavda 9867798744</t>
  </si>
  <si>
    <t>As per visit 28/04/2025, Internal Visit was not allowed so we contacted Mr.Chirag Chavda as per him work is not started yet.</t>
  </si>
  <si>
    <t xml:space="preserve">Tower T1, T2 &amp; T4 = Construction work is in process at the time of Visit. Internal Visit was not allowed.
</t>
  </si>
  <si>
    <t>05/07/2025 @11:06 AM</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</si>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</sst>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8"/>
      <color theme="10"/>
      <name val="Calibri"/>
      <family val="2"/>
    </font>
    <font>
      <sz val="18"/>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9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25" fillId="0" borderId="0" xfId="2" applyAlignment="1">
      <alignment vertical="top"/>
    </xf>
    <xf numFmtId="14" fontId="4" fillId="4" borderId="1" xfId="0" applyNumberFormat="1" applyFont="1" applyFill="1" applyBorder="1" applyAlignment="1">
      <alignment horizontal="left" vertical="top" wrapText="1"/>
    </xf>
    <xf numFmtId="1" fontId="3" fillId="0" borderId="0" xfId="0" applyNumberFormat="1" applyFont="1" applyAlignment="1">
      <alignment vertical="top"/>
    </xf>
    <xf numFmtId="1" fontId="3" fillId="0" borderId="0" xfId="0" applyNumberFormat="1" applyFont="1" applyAlignment="1">
      <alignment horizontal="center" vertical="top"/>
    </xf>
    <xf numFmtId="1" fontId="3" fillId="0" borderId="0" xfId="0" applyNumberFormat="1" applyFont="1" applyAlignment="1">
      <alignment horizontal="center" vertical="center"/>
    </xf>
    <xf numFmtId="0" fontId="3" fillId="0" borderId="0" xfId="0" applyFont="1" applyAlignment="1">
      <alignmen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9" fillId="4" borderId="2" xfId="0" applyFont="1" applyFill="1" applyBorder="1" applyAlignment="1">
      <alignment horizontal="left" vertical="top" wrapText="1"/>
    </xf>
    <xf numFmtId="17" fontId="4" fillId="4" borderId="1" xfId="0" applyNumberFormat="1" applyFont="1" applyFill="1" applyBorder="1" applyAlignment="1">
      <alignment horizontal="left" vertical="top" wrapText="1"/>
    </xf>
    <xf numFmtId="0" fontId="26" fillId="4" borderId="1" xfId="2" applyFont="1" applyFill="1" applyBorder="1" applyAlignment="1">
      <alignment horizontal="center" vertical="top" wrapText="1"/>
    </xf>
    <xf numFmtId="0" fontId="27" fillId="4"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14" fontId="4" fillId="4" borderId="2" xfId="0" applyNumberFormat="1" applyFont="1" applyFill="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1537609</xdr:colOff>
      <xdr:row>46</xdr:row>
      <xdr:rowOff>13610</xdr:rowOff>
    </xdr:from>
    <xdr:to>
      <xdr:col>17</xdr:col>
      <xdr:colOff>171320</xdr:colOff>
      <xdr:row>52</xdr:row>
      <xdr:rowOff>477384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899323" y="22860003"/>
          <a:ext cx="5981568" cy="2600096"/>
        </a:xfrm>
        <a:prstGeom prst="rect">
          <a:avLst/>
        </a:prstGeom>
      </xdr:spPr>
    </xdr:pic>
    <xdr:clientData/>
  </xdr:twoCellAnchor>
  <xdr:twoCellAnchor editAs="oneCell">
    <xdr:from>
      <xdr:col>0</xdr:col>
      <xdr:colOff>149679</xdr:colOff>
      <xdr:row>408</xdr:row>
      <xdr:rowOff>173491</xdr:rowOff>
    </xdr:from>
    <xdr:to>
      <xdr:col>4</xdr:col>
      <xdr:colOff>345810</xdr:colOff>
      <xdr:row>424</xdr:row>
      <xdr:rowOff>149678</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9679" y="113017527"/>
          <a:ext cx="4876988" cy="4112759"/>
        </a:xfrm>
        <a:prstGeom prst="rect">
          <a:avLst/>
        </a:prstGeom>
        <a:ln>
          <a:solidFill>
            <a:schemeClr val="tx1"/>
          </a:solidFill>
        </a:ln>
      </xdr:spPr>
    </xdr:pic>
    <xdr:clientData/>
  </xdr:twoCellAnchor>
  <xdr:twoCellAnchor>
    <xdr:from>
      <xdr:col>1</xdr:col>
      <xdr:colOff>1047751</xdr:colOff>
      <xdr:row>458</xdr:row>
      <xdr:rowOff>95251</xdr:rowOff>
    </xdr:from>
    <xdr:to>
      <xdr:col>6</xdr:col>
      <xdr:colOff>143435</xdr:colOff>
      <xdr:row>485</xdr:row>
      <xdr:rowOff>17929</xdr:rowOff>
    </xdr:to>
    <xdr:grpSp>
      <xdr:nvGrpSpPr>
        <xdr:cNvPr id="9" name="Group 8">
          <a:extLst>
            <a:ext uri="{FF2B5EF4-FFF2-40B4-BE49-F238E27FC236}">
              <a16:creationId xmlns="" xmlns:a16="http://schemas.microsoft.com/office/drawing/2014/main" id="{769FD5A3-0E43-23E5-50C8-0216BEA47B71}"/>
            </a:ext>
          </a:extLst>
        </xdr:cNvPr>
        <xdr:cNvGrpSpPr/>
      </xdr:nvGrpSpPr>
      <xdr:grpSpPr>
        <a:xfrm>
          <a:off x="2217965" y="121539001"/>
          <a:ext cx="4946756" cy="7148071"/>
          <a:chOff x="2249022" y="121970427"/>
          <a:chExt cx="5176316" cy="8880019"/>
        </a:xfrm>
      </xdr:grpSpPr>
      <xdr:pic>
        <xdr:nvPicPr>
          <xdr:cNvPr id="27" name="Picture 26">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3"/>
          <a:stretch>
            <a:fillRect/>
          </a:stretch>
        </xdr:blipFill>
        <xdr:spPr>
          <a:xfrm>
            <a:off x="2774530" y="121970427"/>
            <a:ext cx="3952952" cy="3506646"/>
          </a:xfrm>
          <a:prstGeom prst="rect">
            <a:avLst/>
          </a:prstGeom>
          <a:ln>
            <a:solidFill>
              <a:schemeClr val="tx1"/>
            </a:solidFill>
          </a:ln>
        </xdr:spPr>
      </xdr:pic>
      <xdr:grpSp>
        <xdr:nvGrpSpPr>
          <xdr:cNvPr id="30" name="Group 29">
            <a:extLst>
              <a:ext uri="{FF2B5EF4-FFF2-40B4-BE49-F238E27FC236}">
                <a16:creationId xmlns="" xmlns:a16="http://schemas.microsoft.com/office/drawing/2014/main" id="{00000000-0008-0000-0000-00001E000000}"/>
              </a:ext>
            </a:extLst>
          </xdr:cNvPr>
          <xdr:cNvGrpSpPr/>
        </xdr:nvGrpSpPr>
        <xdr:grpSpPr>
          <a:xfrm>
            <a:off x="2249022" y="125603280"/>
            <a:ext cx="5176316" cy="5247166"/>
            <a:chOff x="2286001" y="125757762"/>
            <a:chExt cx="4853279" cy="4925238"/>
          </a:xfrm>
        </xdr:grpSpPr>
        <xdr:pic>
          <xdr:nvPicPr>
            <xdr:cNvPr id="28" name="Picture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4"/>
            <a:stretch>
              <a:fillRect/>
            </a:stretch>
          </xdr:blipFill>
          <xdr:spPr>
            <a:xfrm>
              <a:off x="2286001" y="125757762"/>
              <a:ext cx="4853279" cy="4925238"/>
            </a:xfrm>
            <a:prstGeom prst="rect">
              <a:avLst/>
            </a:prstGeom>
            <a:ln>
              <a:solidFill>
                <a:schemeClr val="tx1"/>
              </a:solidFill>
            </a:ln>
          </xdr:spPr>
        </xdr:pic>
        <xdr:sp macro="" textlink="">
          <xdr:nvSpPr>
            <xdr:cNvPr id="29" name="Freeform 28">
              <a:extLst>
                <a:ext uri="{FF2B5EF4-FFF2-40B4-BE49-F238E27FC236}">
                  <a16:creationId xmlns="" xmlns:a16="http://schemas.microsoft.com/office/drawing/2014/main" id="{00000000-0008-0000-0000-00001D000000}"/>
                </a:ext>
              </a:extLst>
            </xdr:cNvPr>
            <xdr:cNvSpPr/>
          </xdr:nvSpPr>
          <xdr:spPr>
            <a:xfrm>
              <a:off x="3206675" y="126048539"/>
              <a:ext cx="1433625" cy="3858854"/>
            </a:xfrm>
            <a:custGeom>
              <a:avLst/>
              <a:gdLst>
                <a:gd name="connsiteX0" fmla="*/ 1360715 w 1673679"/>
                <a:gd name="connsiteY0" fmla="*/ 1510393 h 3959679"/>
                <a:gd name="connsiteX1" fmla="*/ 1578429 w 1673679"/>
                <a:gd name="connsiteY1" fmla="*/ 1455965 h 3959679"/>
                <a:gd name="connsiteX2" fmla="*/ 1673679 w 1673679"/>
                <a:gd name="connsiteY2" fmla="*/ 666750 h 3959679"/>
                <a:gd name="connsiteX3" fmla="*/ 993322 w 1673679"/>
                <a:gd name="connsiteY3" fmla="*/ 0 h 3959679"/>
                <a:gd name="connsiteX4" fmla="*/ 544286 w 1673679"/>
                <a:gd name="connsiteY4" fmla="*/ 149679 h 3959679"/>
                <a:gd name="connsiteX5" fmla="*/ 462643 w 1673679"/>
                <a:gd name="connsiteY5" fmla="*/ 721179 h 3959679"/>
                <a:gd name="connsiteX6" fmla="*/ 544286 w 1673679"/>
                <a:gd name="connsiteY6" fmla="*/ 762000 h 3959679"/>
                <a:gd name="connsiteX7" fmla="*/ 517072 w 1673679"/>
                <a:gd name="connsiteY7" fmla="*/ 884465 h 3959679"/>
                <a:gd name="connsiteX8" fmla="*/ 530679 w 1673679"/>
                <a:gd name="connsiteY8" fmla="*/ 2694215 h 3959679"/>
                <a:gd name="connsiteX9" fmla="*/ 639536 w 1673679"/>
                <a:gd name="connsiteY9" fmla="*/ 2898322 h 3959679"/>
                <a:gd name="connsiteX10" fmla="*/ 612322 w 1673679"/>
                <a:gd name="connsiteY10" fmla="*/ 3320143 h 3959679"/>
                <a:gd name="connsiteX11" fmla="*/ 0 w 1673679"/>
                <a:gd name="connsiteY11" fmla="*/ 3374572 h 3959679"/>
                <a:gd name="connsiteX12" fmla="*/ 870858 w 1673679"/>
                <a:gd name="connsiteY12" fmla="*/ 3959679 h 3959679"/>
                <a:gd name="connsiteX13" fmla="*/ 966108 w 1673679"/>
                <a:gd name="connsiteY13" fmla="*/ 3864429 h 3959679"/>
                <a:gd name="connsiteX14" fmla="*/ 843643 w 1673679"/>
                <a:gd name="connsiteY14" fmla="*/ 3687536 h 3959679"/>
                <a:gd name="connsiteX15" fmla="*/ 993322 w 1673679"/>
                <a:gd name="connsiteY15" fmla="*/ 2939143 h 3959679"/>
                <a:gd name="connsiteX16" fmla="*/ 1211036 w 1673679"/>
                <a:gd name="connsiteY16" fmla="*/ 2925536 h 3959679"/>
                <a:gd name="connsiteX17" fmla="*/ 1183822 w 1673679"/>
                <a:gd name="connsiteY17" fmla="*/ 2530929 h 3959679"/>
                <a:gd name="connsiteX18" fmla="*/ 1360715 w 1673679"/>
                <a:gd name="connsiteY18" fmla="*/ 2122715 h 3959679"/>
                <a:gd name="connsiteX19" fmla="*/ 979715 w 1673679"/>
                <a:gd name="connsiteY19" fmla="*/ 1891393 h 3959679"/>
                <a:gd name="connsiteX20" fmla="*/ 870858 w 1673679"/>
                <a:gd name="connsiteY20" fmla="*/ 1741715 h 3959679"/>
                <a:gd name="connsiteX21" fmla="*/ 870858 w 1673679"/>
                <a:gd name="connsiteY21" fmla="*/ 1034143 h 3959679"/>
                <a:gd name="connsiteX22" fmla="*/ 1211036 w 1673679"/>
                <a:gd name="connsiteY22" fmla="*/ 1074965 h 3959679"/>
                <a:gd name="connsiteX23" fmla="*/ 1360715 w 1673679"/>
                <a:gd name="connsiteY23" fmla="*/ 1510393 h 39596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1673679" h="3959679">
                  <a:moveTo>
                    <a:pt x="1360715" y="1510393"/>
                  </a:moveTo>
                  <a:lnTo>
                    <a:pt x="1578429" y="1455965"/>
                  </a:lnTo>
                  <a:lnTo>
                    <a:pt x="1673679" y="666750"/>
                  </a:lnTo>
                  <a:lnTo>
                    <a:pt x="993322" y="0"/>
                  </a:lnTo>
                  <a:lnTo>
                    <a:pt x="544286" y="149679"/>
                  </a:lnTo>
                  <a:lnTo>
                    <a:pt x="462643" y="721179"/>
                  </a:lnTo>
                  <a:lnTo>
                    <a:pt x="544286" y="762000"/>
                  </a:lnTo>
                  <a:lnTo>
                    <a:pt x="517072" y="884465"/>
                  </a:lnTo>
                  <a:lnTo>
                    <a:pt x="530679" y="2694215"/>
                  </a:lnTo>
                  <a:lnTo>
                    <a:pt x="639536" y="2898322"/>
                  </a:lnTo>
                  <a:lnTo>
                    <a:pt x="612322" y="3320143"/>
                  </a:lnTo>
                  <a:lnTo>
                    <a:pt x="0" y="3374572"/>
                  </a:lnTo>
                  <a:lnTo>
                    <a:pt x="870858" y="3959679"/>
                  </a:lnTo>
                  <a:lnTo>
                    <a:pt x="966108" y="3864429"/>
                  </a:lnTo>
                  <a:lnTo>
                    <a:pt x="843643" y="3687536"/>
                  </a:lnTo>
                  <a:lnTo>
                    <a:pt x="993322" y="2939143"/>
                  </a:lnTo>
                  <a:lnTo>
                    <a:pt x="1211036" y="2925536"/>
                  </a:lnTo>
                  <a:lnTo>
                    <a:pt x="1183822" y="2530929"/>
                  </a:lnTo>
                  <a:lnTo>
                    <a:pt x="1360715" y="2122715"/>
                  </a:lnTo>
                  <a:lnTo>
                    <a:pt x="979715" y="1891393"/>
                  </a:lnTo>
                  <a:lnTo>
                    <a:pt x="870858" y="1741715"/>
                  </a:lnTo>
                  <a:lnTo>
                    <a:pt x="870858" y="1034143"/>
                  </a:lnTo>
                  <a:lnTo>
                    <a:pt x="1211036" y="1074965"/>
                  </a:lnTo>
                  <a:lnTo>
                    <a:pt x="1360715" y="1510393"/>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xdr:from>
      <xdr:col>9</xdr:col>
      <xdr:colOff>96211</xdr:colOff>
      <xdr:row>119</xdr:row>
      <xdr:rowOff>264938</xdr:rowOff>
    </xdr:from>
    <xdr:to>
      <xdr:col>26</xdr:col>
      <xdr:colOff>207149</xdr:colOff>
      <xdr:row>135</xdr:row>
      <xdr:rowOff>254052</xdr:rowOff>
    </xdr:to>
    <xdr:grpSp>
      <xdr:nvGrpSpPr>
        <xdr:cNvPr id="34" name="Group 33">
          <a:extLst>
            <a:ext uri="{FF2B5EF4-FFF2-40B4-BE49-F238E27FC236}">
              <a16:creationId xmlns="" xmlns:a16="http://schemas.microsoft.com/office/drawing/2014/main" id="{00000000-0008-0000-0000-000022000000}"/>
            </a:ext>
          </a:extLst>
        </xdr:cNvPr>
        <xdr:cNvGrpSpPr/>
      </xdr:nvGrpSpPr>
      <xdr:grpSpPr>
        <a:xfrm>
          <a:off x="11716711" y="46383627"/>
          <a:ext cx="8792295" cy="3781425"/>
          <a:chOff x="9769928" y="43814999"/>
          <a:chExt cx="8782050" cy="3771900"/>
        </a:xfrm>
      </xdr:grpSpPr>
      <xdr:pic>
        <xdr:nvPicPr>
          <xdr:cNvPr id="31" name="Picture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5"/>
          <a:stretch>
            <a:fillRect/>
          </a:stretch>
        </xdr:blipFill>
        <xdr:spPr>
          <a:xfrm>
            <a:off x="9769928" y="43814999"/>
            <a:ext cx="8782050" cy="3771900"/>
          </a:xfrm>
          <a:prstGeom prst="rect">
            <a:avLst/>
          </a:prstGeom>
          <a:ln>
            <a:solidFill>
              <a:schemeClr val="tx1"/>
            </a:solidFill>
          </a:ln>
        </xdr:spPr>
      </xdr:pic>
      <xdr:sp macro="" textlink="">
        <xdr:nvSpPr>
          <xdr:cNvPr id="32" name="Rectangle 31">
            <a:extLst>
              <a:ext uri="{FF2B5EF4-FFF2-40B4-BE49-F238E27FC236}">
                <a16:creationId xmlns="" xmlns:a16="http://schemas.microsoft.com/office/drawing/2014/main" id="{00000000-0008-0000-0000-000020000000}"/>
              </a:ext>
            </a:extLst>
          </xdr:cNvPr>
          <xdr:cNvSpPr/>
        </xdr:nvSpPr>
        <xdr:spPr>
          <a:xfrm>
            <a:off x="14328321" y="46781357"/>
            <a:ext cx="489858" cy="231322"/>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3" name="Rectangle 32">
            <a:extLst>
              <a:ext uri="{FF2B5EF4-FFF2-40B4-BE49-F238E27FC236}">
                <a16:creationId xmlns="" xmlns:a16="http://schemas.microsoft.com/office/drawing/2014/main" id="{00000000-0008-0000-0000-000021000000}"/>
              </a:ext>
            </a:extLst>
          </xdr:cNvPr>
          <xdr:cNvSpPr/>
        </xdr:nvSpPr>
        <xdr:spPr>
          <a:xfrm>
            <a:off x="10327821" y="47216785"/>
            <a:ext cx="435429" cy="19050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2</xdr:col>
      <xdr:colOff>1115785</xdr:colOff>
      <xdr:row>472</xdr:row>
      <xdr:rowOff>136071</xdr:rowOff>
    </xdr:from>
    <xdr:to>
      <xdr:col>4</xdr:col>
      <xdr:colOff>176893</xdr:colOff>
      <xdr:row>476</xdr:row>
      <xdr:rowOff>163286</xdr:rowOff>
    </xdr:to>
    <xdr:sp macro="" textlink="">
      <xdr:nvSpPr>
        <xdr:cNvPr id="38" name="Freeform 37">
          <a:extLst>
            <a:ext uri="{FF2B5EF4-FFF2-40B4-BE49-F238E27FC236}">
              <a16:creationId xmlns="" xmlns:a16="http://schemas.microsoft.com/office/drawing/2014/main" id="{00000000-0008-0000-0000-000026000000}"/>
            </a:ext>
          </a:extLst>
        </xdr:cNvPr>
        <xdr:cNvSpPr/>
      </xdr:nvSpPr>
      <xdr:spPr>
        <a:xfrm>
          <a:off x="3456214" y="122396250"/>
          <a:ext cx="1401536" cy="1061357"/>
        </a:xfrm>
        <a:custGeom>
          <a:avLst/>
          <a:gdLst>
            <a:gd name="connsiteX0" fmla="*/ 122465 w 1401536"/>
            <a:gd name="connsiteY0" fmla="*/ 1034143 h 1061357"/>
            <a:gd name="connsiteX1" fmla="*/ 0 w 1401536"/>
            <a:gd name="connsiteY1" fmla="*/ 762000 h 1061357"/>
            <a:gd name="connsiteX2" fmla="*/ 95250 w 1401536"/>
            <a:gd name="connsiteY2" fmla="*/ 176893 h 1061357"/>
            <a:gd name="connsiteX3" fmla="*/ 244929 w 1401536"/>
            <a:gd name="connsiteY3" fmla="*/ 122464 h 1061357"/>
            <a:gd name="connsiteX4" fmla="*/ 285750 w 1401536"/>
            <a:gd name="connsiteY4" fmla="*/ 13607 h 1061357"/>
            <a:gd name="connsiteX5" fmla="*/ 598715 w 1401536"/>
            <a:gd name="connsiteY5" fmla="*/ 0 h 1061357"/>
            <a:gd name="connsiteX6" fmla="*/ 1183822 w 1401536"/>
            <a:gd name="connsiteY6" fmla="*/ 598714 h 1061357"/>
            <a:gd name="connsiteX7" fmla="*/ 1401536 w 1401536"/>
            <a:gd name="connsiteY7" fmla="*/ 721179 h 1061357"/>
            <a:gd name="connsiteX8" fmla="*/ 1374322 w 1401536"/>
            <a:gd name="connsiteY8" fmla="*/ 938893 h 1061357"/>
            <a:gd name="connsiteX9" fmla="*/ 1183822 w 1401536"/>
            <a:gd name="connsiteY9" fmla="*/ 1061357 h 1061357"/>
            <a:gd name="connsiteX10" fmla="*/ 1183822 w 1401536"/>
            <a:gd name="connsiteY10" fmla="*/ 1061357 h 10613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401536" h="1061357">
              <a:moveTo>
                <a:pt x="122465" y="1034143"/>
              </a:moveTo>
              <a:lnTo>
                <a:pt x="0" y="762000"/>
              </a:lnTo>
              <a:lnTo>
                <a:pt x="95250" y="176893"/>
              </a:lnTo>
              <a:lnTo>
                <a:pt x="244929" y="122464"/>
              </a:lnTo>
              <a:lnTo>
                <a:pt x="285750" y="13607"/>
              </a:lnTo>
              <a:lnTo>
                <a:pt x="598715" y="0"/>
              </a:lnTo>
              <a:lnTo>
                <a:pt x="1183822" y="598714"/>
              </a:lnTo>
              <a:lnTo>
                <a:pt x="1401536" y="721179"/>
              </a:lnTo>
              <a:lnTo>
                <a:pt x="1374322" y="938893"/>
              </a:lnTo>
              <a:lnTo>
                <a:pt x="1183822" y="1061357"/>
              </a:lnTo>
              <a:lnTo>
                <a:pt x="1183822" y="1061357"/>
              </a:ln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941293</xdr:colOff>
      <xdr:row>472</xdr:row>
      <xdr:rowOff>134471</xdr:rowOff>
    </xdr:from>
    <xdr:to>
      <xdr:col>4</xdr:col>
      <xdr:colOff>44822</xdr:colOff>
      <xdr:row>474</xdr:row>
      <xdr:rowOff>168089</xdr:rowOff>
    </xdr:to>
    <xdr:sp macro="" textlink="">
      <xdr:nvSpPr>
        <xdr:cNvPr id="39" name="TextBox 38">
          <a:extLst>
            <a:ext uri="{FF2B5EF4-FFF2-40B4-BE49-F238E27FC236}">
              <a16:creationId xmlns="" xmlns:a16="http://schemas.microsoft.com/office/drawing/2014/main" id="{00000000-0008-0000-0000-000027000000}"/>
            </a:ext>
          </a:extLst>
        </xdr:cNvPr>
        <xdr:cNvSpPr txBox="1"/>
      </xdr:nvSpPr>
      <xdr:spPr>
        <a:xfrm rot="2840934">
          <a:off x="4336676" y="122132912"/>
          <a:ext cx="549088" cy="28014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Nala</a:t>
          </a:r>
        </a:p>
      </xdr:txBody>
    </xdr:sp>
    <xdr:clientData/>
  </xdr:twoCellAnchor>
  <xdr:twoCellAnchor>
    <xdr:from>
      <xdr:col>3</xdr:col>
      <xdr:colOff>201705</xdr:colOff>
      <xdr:row>480</xdr:row>
      <xdr:rowOff>224118</xdr:rowOff>
    </xdr:from>
    <xdr:to>
      <xdr:col>3</xdr:col>
      <xdr:colOff>1098176</xdr:colOff>
      <xdr:row>482</xdr:row>
      <xdr:rowOff>100853</xdr:rowOff>
    </xdr:to>
    <xdr:sp macro="" textlink="">
      <xdr:nvSpPr>
        <xdr:cNvPr id="40" name="TextBox 39">
          <a:extLst>
            <a:ext uri="{FF2B5EF4-FFF2-40B4-BE49-F238E27FC236}">
              <a16:creationId xmlns="" xmlns:a16="http://schemas.microsoft.com/office/drawing/2014/main" id="{00000000-0008-0000-0000-000028000000}"/>
            </a:ext>
          </a:extLst>
        </xdr:cNvPr>
        <xdr:cNvSpPr txBox="1"/>
      </xdr:nvSpPr>
      <xdr:spPr>
        <a:xfrm>
          <a:off x="3731558" y="124149971"/>
          <a:ext cx="896471"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FF00"/>
              </a:solidFill>
            </a:rPr>
            <a:t>Site</a:t>
          </a:r>
        </a:p>
      </xdr:txBody>
    </xdr:sp>
    <xdr:clientData/>
  </xdr:twoCellAnchor>
  <xdr:twoCellAnchor>
    <xdr:from>
      <xdr:col>4</xdr:col>
      <xdr:colOff>451450</xdr:colOff>
      <xdr:row>408</xdr:row>
      <xdr:rowOff>176891</xdr:rowOff>
    </xdr:from>
    <xdr:to>
      <xdr:col>7</xdr:col>
      <xdr:colOff>993440</xdr:colOff>
      <xdr:row>440</xdr:row>
      <xdr:rowOff>217714</xdr:rowOff>
    </xdr:to>
    <xdr:grpSp>
      <xdr:nvGrpSpPr>
        <xdr:cNvPr id="44" name="Group 43">
          <a:extLst>
            <a:ext uri="{FF2B5EF4-FFF2-40B4-BE49-F238E27FC236}">
              <a16:creationId xmlns="" xmlns:a16="http://schemas.microsoft.com/office/drawing/2014/main" id="{00000000-0008-0000-0000-00002C000000}"/>
            </a:ext>
          </a:extLst>
        </xdr:cNvPr>
        <xdr:cNvGrpSpPr/>
      </xdr:nvGrpSpPr>
      <xdr:grpSpPr>
        <a:xfrm>
          <a:off x="5132307" y="112313355"/>
          <a:ext cx="4052633" cy="8313966"/>
          <a:chOff x="5132307" y="109510284"/>
          <a:chExt cx="4052633" cy="8313966"/>
        </a:xfrm>
      </xdr:grpSpPr>
      <xdr:grpSp>
        <xdr:nvGrpSpPr>
          <xdr:cNvPr id="26" name="Group 25">
            <a:extLst>
              <a:ext uri="{FF2B5EF4-FFF2-40B4-BE49-F238E27FC236}">
                <a16:creationId xmlns="" xmlns:a16="http://schemas.microsoft.com/office/drawing/2014/main" id="{00000000-0008-0000-0000-00001A000000}"/>
              </a:ext>
            </a:extLst>
          </xdr:cNvPr>
          <xdr:cNvGrpSpPr/>
        </xdr:nvGrpSpPr>
        <xdr:grpSpPr>
          <a:xfrm>
            <a:off x="5132307" y="109510284"/>
            <a:ext cx="4052633" cy="8313966"/>
            <a:chOff x="5132307" y="113020927"/>
            <a:chExt cx="4052633" cy="8313966"/>
          </a:xfrm>
        </xdr:grpSpPr>
        <xdr:grpSp>
          <xdr:nvGrpSpPr>
            <xdr:cNvPr id="25" name="Group 24">
              <a:extLst>
                <a:ext uri="{FF2B5EF4-FFF2-40B4-BE49-F238E27FC236}">
                  <a16:creationId xmlns="" xmlns:a16="http://schemas.microsoft.com/office/drawing/2014/main" id="{00000000-0008-0000-0000-000019000000}"/>
                </a:ext>
              </a:extLst>
            </xdr:cNvPr>
            <xdr:cNvGrpSpPr/>
          </xdr:nvGrpSpPr>
          <xdr:grpSpPr>
            <a:xfrm>
              <a:off x="5132307" y="113020927"/>
              <a:ext cx="4052633" cy="8313966"/>
              <a:chOff x="5132307" y="113020927"/>
              <a:chExt cx="4052633" cy="8313966"/>
            </a:xfrm>
          </xdr:grpSpPr>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5132307" y="113020927"/>
                <a:ext cx="4052633" cy="8313966"/>
              </a:xfrm>
              <a:prstGeom prst="rect">
                <a:avLst/>
              </a:prstGeom>
              <a:ln>
                <a:solidFill>
                  <a:schemeClr val="tx1"/>
                </a:solidFill>
              </a:ln>
            </xdr:spPr>
          </xdr:pic>
          <xdr:sp macro="" textlink="">
            <xdr:nvSpPr>
              <xdr:cNvPr id="17" name="Freeform 16">
                <a:extLst>
                  <a:ext uri="{FF2B5EF4-FFF2-40B4-BE49-F238E27FC236}">
                    <a16:creationId xmlns="" xmlns:a16="http://schemas.microsoft.com/office/drawing/2014/main" id="{00000000-0008-0000-0000-000011000000}"/>
                  </a:ext>
                </a:extLst>
              </xdr:cNvPr>
              <xdr:cNvSpPr/>
            </xdr:nvSpPr>
            <xdr:spPr>
              <a:xfrm>
                <a:off x="6300107" y="113456357"/>
                <a:ext cx="1986643" cy="1524000"/>
              </a:xfrm>
              <a:custGeom>
                <a:avLst/>
                <a:gdLst>
                  <a:gd name="connsiteX0" fmla="*/ 312964 w 1986643"/>
                  <a:gd name="connsiteY0" fmla="*/ 0 h 1524000"/>
                  <a:gd name="connsiteX1" fmla="*/ 857250 w 1986643"/>
                  <a:gd name="connsiteY1" fmla="*/ 54429 h 1524000"/>
                  <a:gd name="connsiteX2" fmla="*/ 748393 w 1986643"/>
                  <a:gd name="connsiteY2" fmla="*/ 979714 h 1524000"/>
                  <a:gd name="connsiteX3" fmla="*/ 1986643 w 1986643"/>
                  <a:gd name="connsiteY3" fmla="*/ 979714 h 1524000"/>
                  <a:gd name="connsiteX4" fmla="*/ 1973036 w 1986643"/>
                  <a:gd name="connsiteY4" fmla="*/ 1524000 h 1524000"/>
                  <a:gd name="connsiteX5" fmla="*/ 0 w 1986643"/>
                  <a:gd name="connsiteY5" fmla="*/ 1524000 h 1524000"/>
                  <a:gd name="connsiteX6" fmla="*/ 312964 w 1986643"/>
                  <a:gd name="connsiteY6" fmla="*/ 0 h 152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986643" h="1524000">
                    <a:moveTo>
                      <a:pt x="312964" y="0"/>
                    </a:moveTo>
                    <a:lnTo>
                      <a:pt x="857250" y="54429"/>
                    </a:lnTo>
                    <a:lnTo>
                      <a:pt x="748393" y="979714"/>
                    </a:lnTo>
                    <a:lnTo>
                      <a:pt x="1986643" y="979714"/>
                    </a:lnTo>
                    <a:lnTo>
                      <a:pt x="1973036" y="1524000"/>
                    </a:lnTo>
                    <a:lnTo>
                      <a:pt x="0" y="1524000"/>
                    </a:lnTo>
                    <a:lnTo>
                      <a:pt x="312964" y="0"/>
                    </a:lnTo>
                    <a:close/>
                  </a:path>
                </a:pathLst>
              </a:cu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6599464" y="113497179"/>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T10</a:t>
                </a:r>
              </a:p>
            </xdr:txBody>
          </xdr:sp>
          <xdr:sp macro="" textlink="">
            <xdr:nvSpPr>
              <xdr:cNvPr id="21" name="TextBox 20">
                <a:extLst>
                  <a:ext uri="{FF2B5EF4-FFF2-40B4-BE49-F238E27FC236}">
                    <a16:creationId xmlns="" xmlns:a16="http://schemas.microsoft.com/office/drawing/2014/main" id="{00000000-0008-0000-0000-000015000000}"/>
                  </a:ext>
                </a:extLst>
              </xdr:cNvPr>
              <xdr:cNvSpPr txBox="1"/>
            </xdr:nvSpPr>
            <xdr:spPr>
              <a:xfrm>
                <a:off x="6479721" y="113989757"/>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T9</a:t>
                </a:r>
              </a:p>
            </xdr:txBody>
          </xdr:sp>
          <xdr:sp macro="" textlink="">
            <xdr:nvSpPr>
              <xdr:cNvPr id="22" name="TextBox 21">
                <a:extLst>
                  <a:ext uri="{FF2B5EF4-FFF2-40B4-BE49-F238E27FC236}">
                    <a16:creationId xmlns="" xmlns:a16="http://schemas.microsoft.com/office/drawing/2014/main" id="{00000000-0008-0000-0000-000016000000}"/>
                  </a:ext>
                </a:extLst>
              </xdr:cNvPr>
              <xdr:cNvSpPr txBox="1"/>
            </xdr:nvSpPr>
            <xdr:spPr>
              <a:xfrm>
                <a:off x="6468835" y="114509550"/>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T8</a:t>
                </a:r>
              </a:p>
            </xdr:txBody>
          </xdr:sp>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7056664" y="114485057"/>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T7</a:t>
                </a:r>
              </a:p>
            </xdr:txBody>
          </xdr:sp>
          <xdr:sp macro="" textlink="">
            <xdr:nvSpPr>
              <xdr:cNvPr id="24" name="TextBox 23">
                <a:extLst>
                  <a:ext uri="{FF2B5EF4-FFF2-40B4-BE49-F238E27FC236}">
                    <a16:creationId xmlns="" xmlns:a16="http://schemas.microsoft.com/office/drawing/2014/main" id="{00000000-0008-0000-0000-000018000000}"/>
                  </a:ext>
                </a:extLst>
              </xdr:cNvPr>
              <xdr:cNvSpPr txBox="1"/>
            </xdr:nvSpPr>
            <xdr:spPr>
              <a:xfrm>
                <a:off x="7671707" y="114514992"/>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T6</a:t>
                </a:r>
              </a:p>
            </xdr:txBody>
          </xdr:sp>
        </xdr:grpSp>
        <xdr:sp macro="" textlink="">
          <xdr:nvSpPr>
            <xdr:cNvPr id="5" name="Rectangle 4">
              <a:extLst>
                <a:ext uri="{FF2B5EF4-FFF2-40B4-BE49-F238E27FC236}">
                  <a16:creationId xmlns="" xmlns:a16="http://schemas.microsoft.com/office/drawing/2014/main" id="{00000000-0008-0000-0000-000005000000}"/>
                </a:ext>
              </a:extLst>
            </xdr:cNvPr>
            <xdr:cNvSpPr/>
          </xdr:nvSpPr>
          <xdr:spPr>
            <a:xfrm>
              <a:off x="6762750" y="118368536"/>
              <a:ext cx="530679" cy="6395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Rectangle 5">
              <a:extLst>
                <a:ext uri="{FF2B5EF4-FFF2-40B4-BE49-F238E27FC236}">
                  <a16:creationId xmlns="" xmlns:a16="http://schemas.microsoft.com/office/drawing/2014/main" id="{00000000-0008-0000-0000-000006000000}"/>
                </a:ext>
              </a:extLst>
            </xdr:cNvPr>
            <xdr:cNvSpPr/>
          </xdr:nvSpPr>
          <xdr:spPr>
            <a:xfrm rot="1014266">
              <a:off x="6420750" y="116492043"/>
              <a:ext cx="459401" cy="59980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 name="Rectangle 6">
              <a:extLst>
                <a:ext uri="{FF2B5EF4-FFF2-40B4-BE49-F238E27FC236}">
                  <a16:creationId xmlns="" xmlns:a16="http://schemas.microsoft.com/office/drawing/2014/main" id="{00000000-0008-0000-0000-000007000000}"/>
                </a:ext>
              </a:extLst>
            </xdr:cNvPr>
            <xdr:cNvSpPr/>
          </xdr:nvSpPr>
          <xdr:spPr>
            <a:xfrm>
              <a:off x="6767886" y="117731720"/>
              <a:ext cx="530679" cy="6395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Rectangle 9">
              <a:extLst>
                <a:ext uri="{FF2B5EF4-FFF2-40B4-BE49-F238E27FC236}">
                  <a16:creationId xmlns="" xmlns:a16="http://schemas.microsoft.com/office/drawing/2014/main" id="{00000000-0008-0000-0000-00000A000000}"/>
                </a:ext>
              </a:extLst>
            </xdr:cNvPr>
            <xdr:cNvSpPr/>
          </xdr:nvSpPr>
          <xdr:spPr>
            <a:xfrm>
              <a:off x="6754586" y="117081300"/>
              <a:ext cx="530679" cy="63953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6789964" y="118477393"/>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T1</a:t>
              </a:r>
            </a:p>
          </xdr:txBody>
        </xdr:sp>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6381750" y="116545178"/>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T4</a:t>
              </a:r>
            </a:p>
          </xdr:txBody>
        </xdr:sp>
        <xdr:sp macro="" textlink="">
          <xdr:nvSpPr>
            <xdr:cNvPr id="13" name="TextBox 12">
              <a:extLst>
                <a:ext uri="{FF2B5EF4-FFF2-40B4-BE49-F238E27FC236}">
                  <a16:creationId xmlns="" xmlns:a16="http://schemas.microsoft.com/office/drawing/2014/main" id="{00000000-0008-0000-0000-00000D000000}"/>
                </a:ext>
              </a:extLst>
            </xdr:cNvPr>
            <xdr:cNvSpPr txBox="1"/>
          </xdr:nvSpPr>
          <xdr:spPr>
            <a:xfrm>
              <a:off x="6765471" y="117840578"/>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T2</a:t>
              </a:r>
            </a:p>
          </xdr:txBody>
        </xdr:sp>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6449786" y="115728750"/>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T5</a:t>
              </a:r>
            </a:p>
          </xdr:txBody>
        </xdr:sp>
        <xdr:sp macro="" textlink="">
          <xdr:nvSpPr>
            <xdr:cNvPr id="15" name="TextBox 14">
              <a:extLst>
                <a:ext uri="{FF2B5EF4-FFF2-40B4-BE49-F238E27FC236}">
                  <a16:creationId xmlns="" xmlns:a16="http://schemas.microsoft.com/office/drawing/2014/main" id="{00000000-0008-0000-0000-00000F000000}"/>
                </a:ext>
              </a:extLst>
            </xdr:cNvPr>
            <xdr:cNvSpPr txBox="1"/>
          </xdr:nvSpPr>
          <xdr:spPr>
            <a:xfrm>
              <a:off x="6792685" y="117201043"/>
              <a:ext cx="625929"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ysClr val="windowText" lastClr="000000"/>
                  </a:solidFill>
                </a:rPr>
                <a:t>T3</a:t>
              </a:r>
            </a:p>
          </xdr:txBody>
        </xdr:sp>
        <xdr:sp macro="" textlink="">
          <xdr:nvSpPr>
            <xdr:cNvPr id="16" name="Rectangle 15">
              <a:extLst>
                <a:ext uri="{FF2B5EF4-FFF2-40B4-BE49-F238E27FC236}">
                  <a16:creationId xmlns="" xmlns:a16="http://schemas.microsoft.com/office/drawing/2014/main" id="{00000000-0008-0000-0000-000010000000}"/>
                </a:ext>
              </a:extLst>
            </xdr:cNvPr>
            <xdr:cNvSpPr/>
          </xdr:nvSpPr>
          <xdr:spPr>
            <a:xfrm rot="20802977">
              <a:off x="6452889" y="115598591"/>
              <a:ext cx="479200" cy="639535"/>
            </a:xfrm>
            <a:prstGeom prst="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42" name="Freeform 41">
            <a:extLst>
              <a:ext uri="{FF2B5EF4-FFF2-40B4-BE49-F238E27FC236}">
                <a16:creationId xmlns="" xmlns:a16="http://schemas.microsoft.com/office/drawing/2014/main" id="{00000000-0008-0000-0000-00002A000000}"/>
              </a:ext>
            </a:extLst>
          </xdr:cNvPr>
          <xdr:cNvSpPr/>
        </xdr:nvSpPr>
        <xdr:spPr>
          <a:xfrm>
            <a:off x="6014357" y="109728000"/>
            <a:ext cx="2435679" cy="2081893"/>
          </a:xfrm>
          <a:custGeom>
            <a:avLst/>
            <a:gdLst>
              <a:gd name="connsiteX0" fmla="*/ 0 w 2435679"/>
              <a:gd name="connsiteY0" fmla="*/ 2054679 h 2081893"/>
              <a:gd name="connsiteX1" fmla="*/ 272143 w 2435679"/>
              <a:gd name="connsiteY1" fmla="*/ 2081893 h 2081893"/>
              <a:gd name="connsiteX2" fmla="*/ 489857 w 2435679"/>
              <a:gd name="connsiteY2" fmla="*/ 122464 h 2081893"/>
              <a:gd name="connsiteX3" fmla="*/ 898072 w 2435679"/>
              <a:gd name="connsiteY3" fmla="*/ 136071 h 2081893"/>
              <a:gd name="connsiteX4" fmla="*/ 1279072 w 2435679"/>
              <a:gd name="connsiteY4" fmla="*/ 299357 h 2081893"/>
              <a:gd name="connsiteX5" fmla="*/ 1483179 w 2435679"/>
              <a:gd name="connsiteY5" fmla="*/ 544286 h 2081893"/>
              <a:gd name="connsiteX6" fmla="*/ 1782536 w 2435679"/>
              <a:gd name="connsiteY6" fmla="*/ 1034143 h 2081893"/>
              <a:gd name="connsiteX7" fmla="*/ 1823357 w 2435679"/>
              <a:gd name="connsiteY7" fmla="*/ 1115786 h 2081893"/>
              <a:gd name="connsiteX8" fmla="*/ 2422072 w 2435679"/>
              <a:gd name="connsiteY8" fmla="*/ 1102179 h 2081893"/>
              <a:gd name="connsiteX9" fmla="*/ 2435679 w 2435679"/>
              <a:gd name="connsiteY9" fmla="*/ 993321 h 2081893"/>
              <a:gd name="connsiteX10" fmla="*/ 1687286 w 2435679"/>
              <a:gd name="connsiteY10" fmla="*/ 830036 h 2081893"/>
              <a:gd name="connsiteX11" fmla="*/ 1279072 w 2435679"/>
              <a:gd name="connsiteY11" fmla="*/ 176893 h 2081893"/>
              <a:gd name="connsiteX12" fmla="*/ 802822 w 2435679"/>
              <a:gd name="connsiteY12" fmla="*/ 0 h 2081893"/>
              <a:gd name="connsiteX13" fmla="*/ 136072 w 2435679"/>
              <a:gd name="connsiteY13" fmla="*/ 326571 h 2081893"/>
              <a:gd name="connsiteX14" fmla="*/ 81643 w 2435679"/>
              <a:gd name="connsiteY14" fmla="*/ 2027464 h 2081893"/>
              <a:gd name="connsiteX15" fmla="*/ 0 w 2435679"/>
              <a:gd name="connsiteY15" fmla="*/ 2054679 h 20818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2435679" h="2081893">
                <a:moveTo>
                  <a:pt x="0" y="2054679"/>
                </a:moveTo>
                <a:lnTo>
                  <a:pt x="272143" y="2081893"/>
                </a:lnTo>
                <a:lnTo>
                  <a:pt x="489857" y="122464"/>
                </a:lnTo>
                <a:lnTo>
                  <a:pt x="898072" y="136071"/>
                </a:lnTo>
                <a:lnTo>
                  <a:pt x="1279072" y="299357"/>
                </a:lnTo>
                <a:lnTo>
                  <a:pt x="1483179" y="544286"/>
                </a:lnTo>
                <a:lnTo>
                  <a:pt x="1782536" y="1034143"/>
                </a:lnTo>
                <a:lnTo>
                  <a:pt x="1823357" y="1115786"/>
                </a:lnTo>
                <a:lnTo>
                  <a:pt x="2422072" y="1102179"/>
                </a:lnTo>
                <a:lnTo>
                  <a:pt x="2435679" y="993321"/>
                </a:lnTo>
                <a:lnTo>
                  <a:pt x="1687286" y="830036"/>
                </a:lnTo>
                <a:lnTo>
                  <a:pt x="1279072" y="176893"/>
                </a:lnTo>
                <a:lnTo>
                  <a:pt x="802822" y="0"/>
                </a:lnTo>
                <a:lnTo>
                  <a:pt x="136072" y="326571"/>
                </a:lnTo>
                <a:lnTo>
                  <a:pt x="81643" y="2027464"/>
                </a:lnTo>
                <a:lnTo>
                  <a:pt x="0" y="2054679"/>
                </a:lnTo>
                <a:close/>
              </a:path>
            </a:pathLst>
          </a:cu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3" name="TextBox 42">
            <a:extLst>
              <a:ext uri="{FF2B5EF4-FFF2-40B4-BE49-F238E27FC236}">
                <a16:creationId xmlns="" xmlns:a16="http://schemas.microsoft.com/office/drawing/2014/main" id="{00000000-0008-0000-0000-00002B000000}"/>
              </a:ext>
            </a:extLst>
          </xdr:cNvPr>
          <xdr:cNvSpPr txBox="1"/>
        </xdr:nvSpPr>
        <xdr:spPr>
          <a:xfrm rot="294781">
            <a:off x="7623463" y="110187732"/>
            <a:ext cx="754215" cy="5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chemeClr val="accent6">
                    <a:lumMod val="50000"/>
                  </a:schemeClr>
                </a:solidFill>
              </a:rPr>
              <a:t>Nala</a:t>
            </a:r>
          </a:p>
        </xdr:txBody>
      </xdr:sp>
    </xdr:grpSp>
    <xdr:clientData/>
  </xdr:twoCellAnchor>
  <xdr:twoCellAnchor>
    <xdr:from>
      <xdr:col>8</xdr:col>
      <xdr:colOff>530678</xdr:colOff>
      <xdr:row>136</xdr:row>
      <xdr:rowOff>40820</xdr:rowOff>
    </xdr:from>
    <xdr:to>
      <xdr:col>13</xdr:col>
      <xdr:colOff>299356</xdr:colOff>
      <xdr:row>147</xdr:row>
      <xdr:rowOff>40820</xdr:rowOff>
    </xdr:to>
    <xdr:grpSp>
      <xdr:nvGrpSpPr>
        <xdr:cNvPr id="49" name="Group 48">
          <a:extLst>
            <a:ext uri="{FF2B5EF4-FFF2-40B4-BE49-F238E27FC236}">
              <a16:creationId xmlns="" xmlns:a16="http://schemas.microsoft.com/office/drawing/2014/main" id="{00000000-0008-0000-0000-000031000000}"/>
            </a:ext>
          </a:extLst>
        </xdr:cNvPr>
        <xdr:cNvGrpSpPr/>
      </xdr:nvGrpSpPr>
      <xdr:grpSpPr>
        <a:xfrm>
          <a:off x="9892392" y="50210356"/>
          <a:ext cx="4667250" cy="3442607"/>
          <a:chOff x="9892392" y="47774677"/>
          <a:chExt cx="4667250" cy="3442607"/>
        </a:xfrm>
      </xdr:grpSpPr>
      <xdr:pic>
        <xdr:nvPicPr>
          <xdr:cNvPr id="46" name="Picture 45">
            <a:extLst>
              <a:ext uri="{FF2B5EF4-FFF2-40B4-BE49-F238E27FC236}">
                <a16:creationId xmlns="" xmlns:a16="http://schemas.microsoft.com/office/drawing/2014/main" id="{00000000-0008-0000-0000-00002E000000}"/>
              </a:ext>
            </a:extLst>
          </xdr:cNvPr>
          <xdr:cNvPicPr>
            <a:picLocks noChangeAspect="1"/>
          </xdr:cNvPicPr>
        </xdr:nvPicPr>
        <xdr:blipFill>
          <a:blip xmlns:r="http://schemas.openxmlformats.org/officeDocument/2006/relationships" r:embed="rId7"/>
          <a:stretch>
            <a:fillRect/>
          </a:stretch>
        </xdr:blipFill>
        <xdr:spPr>
          <a:xfrm>
            <a:off x="9892392" y="47774677"/>
            <a:ext cx="4626429" cy="3442607"/>
          </a:xfrm>
          <a:prstGeom prst="rect">
            <a:avLst/>
          </a:prstGeom>
        </xdr:spPr>
      </xdr:pic>
      <xdr:sp macro="" textlink="">
        <xdr:nvSpPr>
          <xdr:cNvPr id="47" name="Rectangle 46">
            <a:extLst>
              <a:ext uri="{FF2B5EF4-FFF2-40B4-BE49-F238E27FC236}">
                <a16:creationId xmlns="" xmlns:a16="http://schemas.microsoft.com/office/drawing/2014/main" id="{00000000-0008-0000-0000-00002F000000}"/>
              </a:ext>
            </a:extLst>
          </xdr:cNvPr>
          <xdr:cNvSpPr/>
        </xdr:nvSpPr>
        <xdr:spPr>
          <a:xfrm>
            <a:off x="9933214" y="48359785"/>
            <a:ext cx="4558393" cy="1115785"/>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8" name="Rectangle 47">
            <a:extLst>
              <a:ext uri="{FF2B5EF4-FFF2-40B4-BE49-F238E27FC236}">
                <a16:creationId xmlns="" xmlns:a16="http://schemas.microsoft.com/office/drawing/2014/main" id="{00000000-0008-0000-0000-000030000000}"/>
              </a:ext>
            </a:extLst>
          </xdr:cNvPr>
          <xdr:cNvSpPr/>
        </xdr:nvSpPr>
        <xdr:spPr>
          <a:xfrm>
            <a:off x="10001249" y="49979035"/>
            <a:ext cx="4558393" cy="666752"/>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870858</xdr:colOff>
      <xdr:row>64</xdr:row>
      <xdr:rowOff>136071</xdr:rowOff>
    </xdr:from>
    <xdr:to>
      <xdr:col>14</xdr:col>
      <xdr:colOff>398060</xdr:colOff>
      <xdr:row>66</xdr:row>
      <xdr:rowOff>440726</xdr:rowOff>
    </xdr:to>
    <xdr:pic>
      <xdr:nvPicPr>
        <xdr:cNvPr id="8" name="Pictur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8"/>
        <a:stretch>
          <a:fillRect/>
        </a:stretch>
      </xdr:blipFill>
      <xdr:spPr>
        <a:xfrm>
          <a:off x="10232572" y="28643035"/>
          <a:ext cx="5038095" cy="1161905"/>
        </a:xfrm>
        <a:prstGeom prst="rect">
          <a:avLst/>
        </a:prstGeom>
      </xdr:spPr>
    </xdr:pic>
    <xdr:clientData/>
  </xdr:twoCellAnchor>
  <xdr:twoCellAnchor>
    <xdr:from>
      <xdr:col>8</xdr:col>
      <xdr:colOff>1022776</xdr:colOff>
      <xdr:row>365</xdr:row>
      <xdr:rowOff>79602</xdr:rowOff>
    </xdr:from>
    <xdr:to>
      <xdr:col>24</xdr:col>
      <xdr:colOff>244127</xdr:colOff>
      <xdr:row>392</xdr:row>
      <xdr:rowOff>232802</xdr:rowOff>
    </xdr:to>
    <xdr:grpSp>
      <xdr:nvGrpSpPr>
        <xdr:cNvPr id="19" name="Group 18"/>
        <xdr:cNvGrpSpPr/>
      </xdr:nvGrpSpPr>
      <xdr:grpSpPr>
        <a:xfrm>
          <a:off x="10384490" y="102391709"/>
          <a:ext cx="9018494" cy="7133664"/>
          <a:chOff x="181534" y="102765504"/>
          <a:chExt cx="9063318" cy="7111254"/>
        </a:xfrm>
      </xdr:grpSpPr>
      <xdr:pic>
        <xdr:nvPicPr>
          <xdr:cNvPr id="53" name="Picture 52" descr="https://vsjcllp.vsjadon.com/upload/insp-232509-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726205" y="106511912"/>
            <a:ext cx="2518697" cy="33617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32509-84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762498" y="102765504"/>
            <a:ext cx="4482354" cy="36433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2509-849.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149723" y="106514994"/>
            <a:ext cx="4478201" cy="336176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2509-851.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81534" y="102767745"/>
            <a:ext cx="4482354" cy="36433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370112</xdr:colOff>
      <xdr:row>363</xdr:row>
      <xdr:rowOff>204787</xdr:rowOff>
    </xdr:from>
    <xdr:to>
      <xdr:col>7</xdr:col>
      <xdr:colOff>718716</xdr:colOff>
      <xdr:row>394</xdr:row>
      <xdr:rowOff>224198</xdr:rowOff>
    </xdr:to>
    <xdr:grpSp>
      <xdr:nvGrpSpPr>
        <xdr:cNvPr id="18" name="Group 17"/>
        <xdr:cNvGrpSpPr/>
      </xdr:nvGrpSpPr>
      <xdr:grpSpPr>
        <a:xfrm>
          <a:off x="370112" y="101999823"/>
          <a:ext cx="8540104" cy="8034018"/>
          <a:chOff x="370112" y="102108680"/>
          <a:chExt cx="8540104" cy="8034018"/>
        </a:xfrm>
      </xdr:grpSpPr>
      <xdr:pic>
        <xdr:nvPicPr>
          <xdr:cNvPr id="50" name="Picture 49" descr="https://vsjcllp.vsjadon.com/upload/insp-239264-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796642" y="106298999"/>
            <a:ext cx="2864719" cy="3823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9264-84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44286" y="106283349"/>
            <a:ext cx="5141034" cy="38593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9264-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5894615" y="102110720"/>
            <a:ext cx="3015601" cy="40794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264-85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370112" y="102108680"/>
            <a:ext cx="5416517" cy="40661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285750</xdr:colOff>
      <xdr:row>19</xdr:row>
      <xdr:rowOff>40822</xdr:rowOff>
    </xdr:from>
    <xdr:to>
      <xdr:col>14</xdr:col>
      <xdr:colOff>101573</xdr:colOff>
      <xdr:row>36</xdr:row>
      <xdr:rowOff>359964</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926536" y="5334001"/>
          <a:ext cx="6306430" cy="52585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vCxX3wXM4UtnLfMn6" TargetMode="External"/><Relationship Id="rId1" Type="http://schemas.openxmlformats.org/officeDocument/2006/relationships/hyperlink" Target="https://evaraheights.net/?gad_source=1&amp;gclid=CjwKCAiAmMC6BhA6EiwAdN5iLb6_5OabI3mh0wB-rt_yg-DDbzUa299kCpoz2uusK6aNFIwdDNDJFxoCqpcQAvD_BwE"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99"/>
  <sheetViews>
    <sheetView tabSelected="1" view="pageBreakPreview" topLeftCell="A363" zoomScale="70" zoomScaleNormal="85" zoomScaleSheetLayoutView="70" zoomScalePageLayoutView="70" workbookViewId="0">
      <selection activeCell="K8" sqref="K8"/>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35" t="s">
        <v>38</v>
      </c>
      <c r="B1" s="136"/>
      <c r="C1" s="136"/>
      <c r="D1" s="136"/>
      <c r="E1" s="136"/>
      <c r="F1" s="136"/>
      <c r="G1" s="136"/>
      <c r="H1" s="137"/>
    </row>
    <row r="2" spans="1:11" ht="42" customHeight="1" x14ac:dyDescent="0.25">
      <c r="A2" s="97" t="s">
        <v>10</v>
      </c>
      <c r="B2" s="97"/>
      <c r="C2" s="96" t="s">
        <v>85</v>
      </c>
      <c r="D2" s="96"/>
      <c r="E2" s="97" t="s">
        <v>12</v>
      </c>
      <c r="F2" s="97"/>
      <c r="G2" s="110">
        <v>45840</v>
      </c>
      <c r="H2" s="110"/>
      <c r="J2" s="111"/>
      <c r="K2" s="112"/>
    </row>
    <row r="3" spans="1:11" ht="42.75" customHeight="1" x14ac:dyDescent="0.25">
      <c r="A3" s="97" t="s">
        <v>39</v>
      </c>
      <c r="B3" s="97"/>
      <c r="C3" s="113" t="s">
        <v>304</v>
      </c>
      <c r="D3" s="96"/>
      <c r="E3" s="97" t="s">
        <v>159</v>
      </c>
      <c r="F3" s="97"/>
      <c r="G3" s="110" t="s">
        <v>425</v>
      </c>
      <c r="H3" s="110"/>
    </row>
    <row r="4" spans="1:11" ht="43.5" customHeight="1" x14ac:dyDescent="0.25">
      <c r="A4" s="97" t="s">
        <v>36</v>
      </c>
      <c r="B4" s="97"/>
      <c r="C4" s="96" t="s">
        <v>422</v>
      </c>
      <c r="D4" s="96"/>
      <c r="E4" s="97" t="s">
        <v>33</v>
      </c>
      <c r="F4" s="97"/>
      <c r="G4" s="96" t="str">
        <f ca="1">TEXT(TODAY(),"DD/MM/YYYY")</f>
        <v>07/07/2025</v>
      </c>
      <c r="H4" s="96"/>
    </row>
    <row r="5" spans="1:11" ht="20.25" x14ac:dyDescent="0.25">
      <c r="A5" s="134" t="s">
        <v>40</v>
      </c>
      <c r="B5" s="134"/>
      <c r="C5" s="134"/>
      <c r="D5" s="134"/>
      <c r="E5" s="134"/>
      <c r="F5" s="134"/>
      <c r="G5" s="134"/>
      <c r="H5" s="134"/>
    </row>
    <row r="6" spans="1:11" ht="43.5" customHeight="1" x14ac:dyDescent="0.25">
      <c r="A6" s="97" t="s">
        <v>29</v>
      </c>
      <c r="B6" s="97"/>
      <c r="C6" s="96" t="s">
        <v>91</v>
      </c>
      <c r="D6" s="96"/>
      <c r="E6" s="97" t="s">
        <v>35</v>
      </c>
      <c r="F6" s="97"/>
      <c r="G6" s="96" t="s">
        <v>426</v>
      </c>
      <c r="H6" s="96"/>
    </row>
    <row r="7" spans="1:11" ht="41.25" customHeight="1" x14ac:dyDescent="0.25">
      <c r="A7" s="97" t="s">
        <v>42</v>
      </c>
      <c r="B7" s="97"/>
      <c r="C7" s="96" t="s">
        <v>305</v>
      </c>
      <c r="D7" s="96"/>
      <c r="E7" s="97" t="s">
        <v>43</v>
      </c>
      <c r="F7" s="97"/>
      <c r="G7" s="96" t="s">
        <v>306</v>
      </c>
      <c r="H7" s="96"/>
    </row>
    <row r="8" spans="1:11" ht="20.25" x14ac:dyDescent="0.25">
      <c r="A8" s="97" t="s">
        <v>44</v>
      </c>
      <c r="B8" s="97"/>
      <c r="C8" s="96" t="s">
        <v>307</v>
      </c>
      <c r="D8" s="96"/>
      <c r="E8" s="96"/>
      <c r="F8" s="96"/>
      <c r="G8" s="96"/>
      <c r="H8" s="96"/>
    </row>
    <row r="9" spans="1:11" ht="69" customHeight="1" x14ac:dyDescent="0.25">
      <c r="A9" s="109" t="s">
        <v>150</v>
      </c>
      <c r="B9" s="36" t="s">
        <v>41</v>
      </c>
      <c r="C9" s="96" t="s">
        <v>417</v>
      </c>
      <c r="D9" s="96"/>
      <c r="E9" s="96"/>
      <c r="F9" s="96"/>
      <c r="G9" s="96"/>
      <c r="H9" s="96"/>
    </row>
    <row r="10" spans="1:11" ht="101.25" customHeight="1" x14ac:dyDescent="0.25">
      <c r="A10" s="109"/>
      <c r="B10" s="36" t="s">
        <v>11</v>
      </c>
      <c r="C10" s="96" t="s">
        <v>407</v>
      </c>
      <c r="D10" s="96"/>
      <c r="E10" s="96"/>
      <c r="F10" s="96"/>
      <c r="G10" s="96"/>
      <c r="H10" s="96"/>
    </row>
    <row r="11" spans="1:11" ht="106.5" customHeight="1" x14ac:dyDescent="0.25">
      <c r="A11" s="109"/>
      <c r="B11" s="36" t="s">
        <v>5</v>
      </c>
      <c r="C11" s="96" t="s">
        <v>407</v>
      </c>
      <c r="D11" s="96"/>
      <c r="E11" s="96"/>
      <c r="F11" s="96"/>
      <c r="G11" s="96"/>
      <c r="H11" s="96"/>
    </row>
    <row r="12" spans="1:11" ht="40.5" customHeight="1" x14ac:dyDescent="0.25">
      <c r="A12" s="97" t="s">
        <v>34</v>
      </c>
      <c r="B12" s="97"/>
      <c r="C12" s="97" t="s">
        <v>408</v>
      </c>
      <c r="D12" s="97"/>
      <c r="E12" s="97"/>
      <c r="F12" s="97"/>
      <c r="G12" s="97"/>
      <c r="H12" s="97"/>
    </row>
    <row r="13" spans="1:11" ht="20.100000000000001" customHeight="1" x14ac:dyDescent="0.25">
      <c r="A13" s="134" t="s">
        <v>45</v>
      </c>
      <c r="B13" s="134"/>
      <c r="C13" s="134"/>
      <c r="D13" s="134"/>
      <c r="E13" s="134"/>
      <c r="F13" s="134"/>
      <c r="G13" s="134"/>
      <c r="H13" s="134"/>
    </row>
    <row r="14" spans="1:11" ht="41.25" customHeight="1" x14ac:dyDescent="0.25">
      <c r="A14" s="97" t="s">
        <v>27</v>
      </c>
      <c r="B14" s="97" t="s">
        <v>4</v>
      </c>
      <c r="C14" s="96" t="s">
        <v>86</v>
      </c>
      <c r="D14" s="96"/>
      <c r="E14" s="97" t="s">
        <v>46</v>
      </c>
      <c r="F14" s="97" t="s">
        <v>4</v>
      </c>
      <c r="G14" s="96" t="s">
        <v>308</v>
      </c>
      <c r="H14" s="96"/>
    </row>
    <row r="15" spans="1:11" ht="61.5" customHeight="1" x14ac:dyDescent="0.25">
      <c r="A15" s="97" t="s">
        <v>47</v>
      </c>
      <c r="B15" s="97" t="s">
        <v>4</v>
      </c>
      <c r="C15" s="96" t="s">
        <v>309</v>
      </c>
      <c r="D15" s="96"/>
      <c r="E15" s="97" t="s">
        <v>48</v>
      </c>
      <c r="F15" s="97" t="s">
        <v>4</v>
      </c>
      <c r="G15" s="96" t="s">
        <v>311</v>
      </c>
      <c r="H15" s="96"/>
    </row>
    <row r="16" spans="1:11" ht="41.25" customHeight="1" x14ac:dyDescent="0.25">
      <c r="A16" s="97" t="s">
        <v>49</v>
      </c>
      <c r="B16" s="97" t="s">
        <v>4</v>
      </c>
      <c r="C16" s="96" t="s">
        <v>310</v>
      </c>
      <c r="D16" s="96"/>
      <c r="E16" s="97" t="s">
        <v>50</v>
      </c>
      <c r="F16" s="97" t="s">
        <v>4</v>
      </c>
      <c r="G16" s="124">
        <v>45566</v>
      </c>
      <c r="H16" s="96"/>
    </row>
    <row r="17" spans="1:9" ht="41.25" customHeight="1" x14ac:dyDescent="0.25">
      <c r="A17" s="97" t="s">
        <v>51</v>
      </c>
      <c r="B17" s="97" t="s">
        <v>4</v>
      </c>
      <c r="C17" s="96" t="s">
        <v>312</v>
      </c>
      <c r="D17" s="96"/>
      <c r="E17" s="97" t="s">
        <v>52</v>
      </c>
      <c r="F17" s="97" t="s">
        <v>4</v>
      </c>
      <c r="G17" s="96" t="s">
        <v>313</v>
      </c>
      <c r="H17" s="96"/>
    </row>
    <row r="18" spans="1:9" ht="41.25" customHeight="1" x14ac:dyDescent="0.25">
      <c r="A18" s="97" t="s">
        <v>53</v>
      </c>
      <c r="B18" s="97" t="s">
        <v>4</v>
      </c>
      <c r="C18" s="96"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6"/>
      <c r="E18" s="97" t="s">
        <v>94</v>
      </c>
      <c r="F18" s="97" t="s">
        <v>4</v>
      </c>
      <c r="G18" s="96">
        <v>48550.28</v>
      </c>
      <c r="H18" s="96"/>
    </row>
    <row r="19" spans="1:9" ht="41.25" customHeight="1" x14ac:dyDescent="0.25">
      <c r="A19" s="97" t="s">
        <v>54</v>
      </c>
      <c r="B19" s="97" t="s">
        <v>4</v>
      </c>
      <c r="C19" s="96">
        <v>4</v>
      </c>
      <c r="D19" s="96"/>
      <c r="E19" s="97" t="s">
        <v>244</v>
      </c>
      <c r="F19" s="97" t="s">
        <v>4</v>
      </c>
      <c r="G19" s="96">
        <v>42611.67</v>
      </c>
      <c r="H19" s="96"/>
    </row>
    <row r="20" spans="1:9" ht="41.25" customHeight="1" x14ac:dyDescent="0.25">
      <c r="A20" s="97" t="s">
        <v>92</v>
      </c>
      <c r="B20" s="97" t="s">
        <v>4</v>
      </c>
      <c r="C20" s="96">
        <v>336819.19</v>
      </c>
      <c r="D20" s="96"/>
      <c r="E20" s="97" t="s">
        <v>93</v>
      </c>
      <c r="F20" s="97" t="s">
        <v>4</v>
      </c>
      <c r="G20" s="96">
        <v>332801.25</v>
      </c>
      <c r="H20" s="96"/>
    </row>
    <row r="21" spans="1:9" ht="41.25" customHeight="1" x14ac:dyDescent="0.25">
      <c r="A21" s="97" t="s">
        <v>56</v>
      </c>
      <c r="B21" s="97" t="s">
        <v>4</v>
      </c>
      <c r="C21" s="96" t="s">
        <v>380</v>
      </c>
      <c r="D21" s="96"/>
      <c r="E21" s="97" t="s">
        <v>55</v>
      </c>
      <c r="F21" s="97" t="s">
        <v>4</v>
      </c>
      <c r="G21" s="96" t="s">
        <v>315</v>
      </c>
      <c r="H21" s="96"/>
      <c r="I21" s="1" t="s">
        <v>314</v>
      </c>
    </row>
    <row r="22" spans="1:9" ht="41.25" customHeight="1" x14ac:dyDescent="0.25">
      <c r="A22" s="97" t="s">
        <v>163</v>
      </c>
      <c r="B22" s="97" t="s">
        <v>4</v>
      </c>
      <c r="C22" s="96" t="s">
        <v>388</v>
      </c>
      <c r="D22" s="96"/>
      <c r="E22" s="97" t="s">
        <v>164</v>
      </c>
      <c r="F22" s="97" t="s">
        <v>4</v>
      </c>
      <c r="G22" s="96" t="s">
        <v>389</v>
      </c>
      <c r="H22" s="96"/>
    </row>
    <row r="23" spans="1:9" ht="38.25" customHeight="1" x14ac:dyDescent="0.25">
      <c r="A23" s="97" t="s">
        <v>161</v>
      </c>
      <c r="B23" s="97" t="s">
        <v>4</v>
      </c>
      <c r="C23" s="125" t="s">
        <v>390</v>
      </c>
      <c r="D23" s="126"/>
      <c r="E23" s="126"/>
      <c r="F23" s="126"/>
      <c r="G23" s="126"/>
      <c r="H23" s="126"/>
    </row>
    <row r="24" spans="1:9" ht="23.25" customHeight="1" x14ac:dyDescent="0.25">
      <c r="A24" s="97" t="s">
        <v>25</v>
      </c>
      <c r="B24" s="97" t="s">
        <v>4</v>
      </c>
      <c r="C24" s="96" t="s">
        <v>316</v>
      </c>
      <c r="D24" s="96"/>
      <c r="E24" s="96"/>
      <c r="F24" s="96"/>
      <c r="G24" s="96"/>
      <c r="H24" s="96"/>
      <c r="I24" s="73" t="s">
        <v>321</v>
      </c>
    </row>
    <row r="25" spans="1:9" ht="24" customHeight="1" x14ac:dyDescent="0.25">
      <c r="A25" s="134" t="s">
        <v>20</v>
      </c>
      <c r="B25" s="134"/>
      <c r="C25" s="134"/>
      <c r="D25" s="134"/>
      <c r="E25" s="134"/>
      <c r="F25" s="134"/>
      <c r="G25" s="134"/>
      <c r="H25" s="134"/>
    </row>
    <row r="26" spans="1:9" ht="43.5" customHeight="1" x14ac:dyDescent="0.25">
      <c r="A26" s="97" t="s">
        <v>26</v>
      </c>
      <c r="B26" s="97" t="s">
        <v>4</v>
      </c>
      <c r="C26" s="96" t="str">
        <f>IF(AND(G26="Upper"),"Developed","Developing")</f>
        <v>Developing</v>
      </c>
      <c r="D26" s="96"/>
      <c r="E26" s="97" t="s">
        <v>13</v>
      </c>
      <c r="F26" s="97" t="s">
        <v>4</v>
      </c>
      <c r="G26" s="96" t="s">
        <v>165</v>
      </c>
      <c r="H26" s="96"/>
    </row>
    <row r="27" spans="1:9" ht="43.5" customHeight="1" x14ac:dyDescent="0.25">
      <c r="A27" s="97" t="s">
        <v>14</v>
      </c>
      <c r="B27" s="97" t="s">
        <v>4</v>
      </c>
      <c r="C27" s="96" t="s">
        <v>97</v>
      </c>
      <c r="D27" s="96"/>
      <c r="E27" s="97" t="s">
        <v>151</v>
      </c>
      <c r="F27" s="97" t="s">
        <v>4</v>
      </c>
      <c r="G27" s="96" t="s">
        <v>391</v>
      </c>
      <c r="H27" s="96"/>
    </row>
    <row r="28" spans="1:9" ht="43.5" customHeight="1" x14ac:dyDescent="0.25">
      <c r="A28" s="97" t="s">
        <v>23</v>
      </c>
      <c r="B28" s="97" t="s">
        <v>4</v>
      </c>
      <c r="C28" s="96" t="s">
        <v>96</v>
      </c>
      <c r="D28" s="96"/>
      <c r="E28" s="97" t="s">
        <v>16</v>
      </c>
      <c r="F28" s="97" t="s">
        <v>4</v>
      </c>
      <c r="G28" s="96" t="s">
        <v>392</v>
      </c>
      <c r="H28" s="96"/>
    </row>
    <row r="29" spans="1:9" ht="43.5" customHeight="1" x14ac:dyDescent="0.25">
      <c r="A29" s="97" t="s">
        <v>106</v>
      </c>
      <c r="B29" s="97" t="s">
        <v>4</v>
      </c>
      <c r="C29" s="96" t="s">
        <v>395</v>
      </c>
      <c r="D29" s="96"/>
      <c r="E29" s="97" t="s">
        <v>107</v>
      </c>
      <c r="F29" s="97" t="s">
        <v>4</v>
      </c>
      <c r="G29" s="96" t="s">
        <v>393</v>
      </c>
      <c r="H29" s="96"/>
    </row>
    <row r="30" spans="1:9" ht="84" customHeight="1" x14ac:dyDescent="0.25">
      <c r="A30" s="97" t="s">
        <v>17</v>
      </c>
      <c r="B30" s="97" t="s">
        <v>4</v>
      </c>
      <c r="C30" s="96" t="s">
        <v>394</v>
      </c>
      <c r="D30" s="96"/>
      <c r="E30" s="97" t="s">
        <v>15</v>
      </c>
      <c r="F30" s="97" t="s">
        <v>4</v>
      </c>
      <c r="G30" s="96" t="s">
        <v>396</v>
      </c>
      <c r="H30" s="96"/>
    </row>
    <row r="31" spans="1:9" ht="20.25" x14ac:dyDescent="0.25">
      <c r="A31" s="97" t="s">
        <v>112</v>
      </c>
      <c r="B31" s="97" t="s">
        <v>4</v>
      </c>
      <c r="C31" s="96" t="s">
        <v>113</v>
      </c>
      <c r="D31" s="96"/>
      <c r="E31" s="97" t="s">
        <v>114</v>
      </c>
      <c r="F31" s="97" t="s">
        <v>4</v>
      </c>
      <c r="G31" s="96" t="s">
        <v>113</v>
      </c>
      <c r="H31" s="96"/>
    </row>
    <row r="32" spans="1:9" ht="21.75" customHeight="1" x14ac:dyDescent="0.25">
      <c r="A32" s="97" t="s">
        <v>115</v>
      </c>
      <c r="B32" s="97" t="s">
        <v>4</v>
      </c>
      <c r="C32" s="96" t="s">
        <v>113</v>
      </c>
      <c r="D32" s="96"/>
      <c r="E32" s="96"/>
      <c r="F32" s="96"/>
      <c r="G32" s="96"/>
      <c r="H32" s="96"/>
    </row>
    <row r="33" spans="1:15" ht="20.25" x14ac:dyDescent="0.25">
      <c r="A33" s="148" t="s">
        <v>37</v>
      </c>
      <c r="B33" s="148"/>
      <c r="C33" s="148"/>
      <c r="D33" s="148"/>
      <c r="E33" s="148"/>
      <c r="F33" s="148"/>
      <c r="G33" s="148"/>
      <c r="H33" s="148"/>
    </row>
    <row r="34" spans="1:15" ht="43.5" customHeight="1" x14ac:dyDescent="0.25">
      <c r="A34" s="97" t="s">
        <v>18</v>
      </c>
      <c r="B34" s="97"/>
      <c r="C34" s="96" t="s">
        <v>98</v>
      </c>
      <c r="D34" s="96"/>
      <c r="E34" s="97" t="s">
        <v>19</v>
      </c>
      <c r="F34" s="97" t="s">
        <v>4</v>
      </c>
      <c r="G34" s="96" t="s">
        <v>99</v>
      </c>
      <c r="H34" s="96"/>
    </row>
    <row r="35" spans="1:15" ht="43.5" customHeight="1" x14ac:dyDescent="0.25">
      <c r="A35" s="97" t="s">
        <v>22</v>
      </c>
      <c r="B35" s="97"/>
      <c r="C35" s="96" t="s">
        <v>99</v>
      </c>
      <c r="D35" s="96"/>
      <c r="E35" s="97" t="s">
        <v>32</v>
      </c>
      <c r="F35" s="97" t="s">
        <v>4</v>
      </c>
      <c r="G35" s="96" t="s">
        <v>99</v>
      </c>
      <c r="H35" s="96"/>
    </row>
    <row r="36" spans="1:15" ht="20.25" x14ac:dyDescent="0.25">
      <c r="A36" s="97" t="s">
        <v>31</v>
      </c>
      <c r="B36" s="97"/>
      <c r="C36" s="96" t="s">
        <v>100</v>
      </c>
      <c r="D36" s="96"/>
      <c r="E36" s="97" t="s">
        <v>21</v>
      </c>
      <c r="F36" s="97" t="s">
        <v>4</v>
      </c>
      <c r="G36" s="96" t="s">
        <v>101</v>
      </c>
      <c r="H36" s="96"/>
    </row>
    <row r="37" spans="1:15" ht="20.25" x14ac:dyDescent="0.25">
      <c r="A37" s="134" t="s">
        <v>0</v>
      </c>
      <c r="B37" s="134"/>
      <c r="C37" s="134"/>
      <c r="D37" s="134"/>
      <c r="E37" s="134"/>
      <c r="F37" s="134"/>
      <c r="G37" s="134"/>
      <c r="H37" s="134"/>
    </row>
    <row r="38" spans="1:15" ht="20.25" x14ac:dyDescent="0.25">
      <c r="A38" s="108" t="s">
        <v>0</v>
      </c>
      <c r="B38" s="108"/>
      <c r="C38" s="108" t="s">
        <v>230</v>
      </c>
      <c r="D38" s="108"/>
      <c r="E38" s="108"/>
      <c r="F38" s="108" t="s">
        <v>7</v>
      </c>
      <c r="G38" s="108"/>
      <c r="H38" s="108"/>
      <c r="J38" s="106" t="s">
        <v>1</v>
      </c>
      <c r="K38" s="107"/>
      <c r="L38" s="2" t="s">
        <v>6</v>
      </c>
      <c r="M38" s="106" t="s">
        <v>2</v>
      </c>
      <c r="N38" s="107"/>
      <c r="O38" s="2" t="s">
        <v>3</v>
      </c>
    </row>
    <row r="39" spans="1:15" ht="20.25" x14ac:dyDescent="0.25">
      <c r="A39" s="109" t="s">
        <v>2</v>
      </c>
      <c r="B39" s="109"/>
      <c r="C39" s="105" t="s">
        <v>398</v>
      </c>
      <c r="D39" s="105"/>
      <c r="E39" s="105"/>
      <c r="F39" s="105" t="s">
        <v>403</v>
      </c>
      <c r="G39" s="105"/>
      <c r="H39" s="105"/>
    </row>
    <row r="40" spans="1:15" ht="20.25" x14ac:dyDescent="0.25">
      <c r="A40" s="109" t="s">
        <v>3</v>
      </c>
      <c r="B40" s="109"/>
      <c r="C40" s="105" t="s">
        <v>399</v>
      </c>
      <c r="D40" s="105"/>
      <c r="E40" s="105"/>
      <c r="F40" s="105" t="s">
        <v>400</v>
      </c>
      <c r="G40" s="105"/>
      <c r="H40" s="105"/>
    </row>
    <row r="41" spans="1:15" ht="20.25" x14ac:dyDescent="0.25">
      <c r="A41" s="109" t="s">
        <v>1</v>
      </c>
      <c r="B41" s="109"/>
      <c r="C41" s="105" t="s">
        <v>397</v>
      </c>
      <c r="D41" s="105"/>
      <c r="E41" s="105"/>
      <c r="F41" s="105" t="s">
        <v>402</v>
      </c>
      <c r="G41" s="105"/>
      <c r="H41" s="105"/>
    </row>
    <row r="42" spans="1:15" ht="20.25" x14ac:dyDescent="0.25">
      <c r="A42" s="109" t="s">
        <v>6</v>
      </c>
      <c r="B42" s="109"/>
      <c r="C42" s="105" t="s">
        <v>397</v>
      </c>
      <c r="D42" s="105"/>
      <c r="E42" s="105"/>
      <c r="F42" s="105" t="s">
        <v>401</v>
      </c>
      <c r="G42" s="105"/>
      <c r="H42" s="105"/>
    </row>
    <row r="43" spans="1:15" ht="41.25" customHeight="1" x14ac:dyDescent="0.25">
      <c r="A43" s="97" t="s">
        <v>231</v>
      </c>
      <c r="B43" s="97"/>
      <c r="C43" s="96" t="s">
        <v>96</v>
      </c>
      <c r="D43" s="96"/>
      <c r="E43" s="96"/>
      <c r="F43" s="96"/>
      <c r="G43" s="96"/>
      <c r="H43" s="96"/>
    </row>
    <row r="44" spans="1:15" ht="20.25" x14ac:dyDescent="0.25">
      <c r="A44" s="134" t="s">
        <v>57</v>
      </c>
      <c r="B44" s="134"/>
      <c r="C44" s="134"/>
      <c r="D44" s="134"/>
      <c r="E44" s="134"/>
      <c r="F44" s="134"/>
      <c r="G44" s="134"/>
      <c r="H44" s="134"/>
    </row>
    <row r="45" spans="1:15" ht="21" customHeight="1" x14ac:dyDescent="0.25">
      <c r="A45" s="108" t="s">
        <v>58</v>
      </c>
      <c r="B45" s="108"/>
      <c r="C45" s="2" t="s">
        <v>59</v>
      </c>
      <c r="D45" s="108" t="s">
        <v>149</v>
      </c>
      <c r="E45" s="108"/>
      <c r="F45" s="108"/>
      <c r="G45" s="108" t="s">
        <v>60</v>
      </c>
      <c r="H45" s="108"/>
    </row>
    <row r="46" spans="1:15" ht="20.25" x14ac:dyDescent="0.25">
      <c r="A46" s="164" t="s">
        <v>317</v>
      </c>
      <c r="B46" s="164"/>
      <c r="C46" s="35" t="s">
        <v>87</v>
      </c>
      <c r="D46" s="105" t="s">
        <v>328</v>
      </c>
      <c r="E46" s="105"/>
      <c r="F46" s="105"/>
      <c r="G46" s="96" t="s">
        <v>328</v>
      </c>
      <c r="H46" s="96"/>
    </row>
    <row r="47" spans="1:15" ht="20.25" x14ac:dyDescent="0.25">
      <c r="A47" s="164" t="s">
        <v>318</v>
      </c>
      <c r="B47" s="164"/>
      <c r="C47" s="35" t="s">
        <v>87</v>
      </c>
      <c r="D47" s="105" t="s">
        <v>328</v>
      </c>
      <c r="E47" s="105"/>
      <c r="F47" s="105"/>
      <c r="G47" s="96" t="s">
        <v>328</v>
      </c>
      <c r="H47" s="96"/>
    </row>
    <row r="48" spans="1:15" ht="20.25" x14ac:dyDescent="0.25">
      <c r="A48" s="164" t="s">
        <v>319</v>
      </c>
      <c r="B48" s="164"/>
      <c r="C48" s="35" t="s">
        <v>87</v>
      </c>
      <c r="D48" s="105" t="s">
        <v>320</v>
      </c>
      <c r="E48" s="105"/>
      <c r="F48" s="105"/>
      <c r="G48" s="96" t="s">
        <v>320</v>
      </c>
      <c r="H48" s="96"/>
    </row>
    <row r="49" spans="1:8" ht="20.25" x14ac:dyDescent="0.25">
      <c r="A49" s="134" t="s">
        <v>61</v>
      </c>
      <c r="B49" s="134"/>
      <c r="C49" s="134"/>
      <c r="D49" s="134"/>
      <c r="E49" s="134"/>
      <c r="F49" s="134"/>
      <c r="G49" s="134"/>
      <c r="H49" s="134"/>
    </row>
    <row r="50" spans="1:8" ht="42.75" customHeight="1" x14ac:dyDescent="0.25">
      <c r="A50" s="97" t="s">
        <v>62</v>
      </c>
      <c r="B50" s="97" t="s">
        <v>4</v>
      </c>
      <c r="C50" s="96" t="s">
        <v>96</v>
      </c>
      <c r="D50" s="96"/>
      <c r="E50" s="96"/>
      <c r="F50" s="96"/>
      <c r="G50" s="96"/>
      <c r="H50" s="96"/>
    </row>
    <row r="51" spans="1:8" ht="20.25" x14ac:dyDescent="0.25">
      <c r="A51" s="134" t="s">
        <v>377</v>
      </c>
      <c r="B51" s="134"/>
      <c r="C51" s="134"/>
      <c r="D51" s="134"/>
      <c r="E51" s="134"/>
      <c r="F51" s="134"/>
      <c r="G51" s="134"/>
      <c r="H51" s="134"/>
    </row>
    <row r="52" spans="1:8" ht="44.25" customHeight="1" x14ac:dyDescent="0.25">
      <c r="A52" s="97" t="s">
        <v>63</v>
      </c>
      <c r="B52" s="97" t="s">
        <v>4</v>
      </c>
      <c r="C52" s="96" t="str">
        <f>C53</f>
        <v>MMR.SRA/ENG053/SEC-4/STGOVT&amp;PVT/AP</v>
      </c>
      <c r="D52" s="96"/>
      <c r="E52" s="96"/>
      <c r="F52" s="96"/>
      <c r="G52" s="52" t="s">
        <v>232</v>
      </c>
      <c r="H52" s="74">
        <v>45516</v>
      </c>
    </row>
    <row r="53" spans="1:8" ht="44.25" customHeight="1" x14ac:dyDescent="0.25">
      <c r="A53" s="97" t="s">
        <v>415</v>
      </c>
      <c r="B53" s="97" t="s">
        <v>4</v>
      </c>
      <c r="C53" s="96" t="s">
        <v>326</v>
      </c>
      <c r="D53" s="96"/>
      <c r="E53" s="96"/>
      <c r="F53" s="96"/>
      <c r="G53" s="52" t="s">
        <v>232</v>
      </c>
      <c r="H53" s="74">
        <v>45516</v>
      </c>
    </row>
    <row r="54" spans="1:8" ht="20.25" x14ac:dyDescent="0.25">
      <c r="A54" s="97" t="s">
        <v>416</v>
      </c>
      <c r="B54" s="97"/>
      <c r="C54" s="96" t="s">
        <v>326</v>
      </c>
      <c r="D54" s="96"/>
      <c r="E54" s="96"/>
      <c r="F54" s="96"/>
      <c r="G54" s="52" t="s">
        <v>232</v>
      </c>
      <c r="H54" s="74">
        <v>45516</v>
      </c>
    </row>
    <row r="55" spans="1:8" ht="43.5" customHeight="1" x14ac:dyDescent="0.25">
      <c r="A55" s="97"/>
      <c r="B55" s="97"/>
      <c r="C55" s="98" t="s">
        <v>324</v>
      </c>
      <c r="D55" s="99"/>
      <c r="E55" s="99"/>
      <c r="F55" s="99"/>
      <c r="G55" s="99"/>
      <c r="H55" s="100"/>
    </row>
    <row r="56" spans="1:8" ht="20.25" x14ac:dyDescent="0.25">
      <c r="A56" s="134" t="s">
        <v>378</v>
      </c>
      <c r="B56" s="134"/>
      <c r="C56" s="134"/>
      <c r="D56" s="134"/>
      <c r="E56" s="134"/>
      <c r="F56" s="134"/>
      <c r="G56" s="134"/>
      <c r="H56" s="134"/>
    </row>
    <row r="57" spans="1:8" ht="44.25" customHeight="1" x14ac:dyDescent="0.25">
      <c r="A57" s="97" t="s">
        <v>63</v>
      </c>
      <c r="B57" s="97" t="s">
        <v>4</v>
      </c>
      <c r="C57" s="96" t="str">
        <f>C58</f>
        <v>MMR.SRA/ENG054/SEC-4/STGOVT&amp;PVT/AP</v>
      </c>
      <c r="D57" s="96"/>
      <c r="E57" s="96"/>
      <c r="F57" s="96"/>
      <c r="G57" s="52" t="s">
        <v>232</v>
      </c>
      <c r="H57" s="74">
        <v>45516</v>
      </c>
    </row>
    <row r="58" spans="1:8" ht="44.25" customHeight="1" x14ac:dyDescent="0.25">
      <c r="A58" s="97" t="s">
        <v>418</v>
      </c>
      <c r="B58" s="97" t="s">
        <v>4</v>
      </c>
      <c r="C58" s="96" t="s">
        <v>327</v>
      </c>
      <c r="D58" s="96"/>
      <c r="E58" s="96"/>
      <c r="F58" s="96"/>
      <c r="G58" s="52" t="s">
        <v>232</v>
      </c>
      <c r="H58" s="74">
        <v>45516</v>
      </c>
    </row>
    <row r="59" spans="1:8" ht="20.25" x14ac:dyDescent="0.25">
      <c r="A59" s="97" t="s">
        <v>416</v>
      </c>
      <c r="B59" s="97"/>
      <c r="C59" s="96" t="s">
        <v>327</v>
      </c>
      <c r="D59" s="96"/>
      <c r="E59" s="96"/>
      <c r="F59" s="96"/>
      <c r="G59" s="52" t="s">
        <v>232</v>
      </c>
      <c r="H59" s="74">
        <v>45516</v>
      </c>
    </row>
    <row r="60" spans="1:8" ht="45" customHeight="1" x14ac:dyDescent="0.25">
      <c r="A60" s="97"/>
      <c r="B60" s="97"/>
      <c r="C60" s="98" t="s">
        <v>325</v>
      </c>
      <c r="D60" s="99"/>
      <c r="E60" s="99"/>
      <c r="F60" s="99"/>
      <c r="G60" s="99"/>
      <c r="H60" s="100"/>
    </row>
    <row r="61" spans="1:8" ht="20.25" x14ac:dyDescent="0.25">
      <c r="A61" s="134" t="s">
        <v>379</v>
      </c>
      <c r="B61" s="134"/>
      <c r="C61" s="134"/>
      <c r="D61" s="134"/>
      <c r="E61" s="134"/>
      <c r="F61" s="134"/>
      <c r="G61" s="134"/>
      <c r="H61" s="134"/>
    </row>
    <row r="62" spans="1:8" ht="44.25" customHeight="1" x14ac:dyDescent="0.25">
      <c r="A62" s="97" t="s">
        <v>63</v>
      </c>
      <c r="B62" s="97" t="s">
        <v>4</v>
      </c>
      <c r="C62" s="96" t="str">
        <f>C63</f>
        <v>MMR.SRA/ENG056/SEC-4/STGOVT&amp;PVT/AP</v>
      </c>
      <c r="D62" s="96"/>
      <c r="E62" s="96"/>
      <c r="F62" s="96"/>
      <c r="G62" s="52" t="s">
        <v>232</v>
      </c>
      <c r="H62" s="74">
        <v>45516</v>
      </c>
    </row>
    <row r="63" spans="1:8" ht="44.25" customHeight="1" x14ac:dyDescent="0.25">
      <c r="A63" s="97" t="s">
        <v>418</v>
      </c>
      <c r="B63" s="97" t="s">
        <v>4</v>
      </c>
      <c r="C63" s="96" t="s">
        <v>322</v>
      </c>
      <c r="D63" s="96"/>
      <c r="E63" s="96"/>
      <c r="F63" s="96"/>
      <c r="G63" s="52" t="s">
        <v>232</v>
      </c>
      <c r="H63" s="74">
        <v>45516</v>
      </c>
    </row>
    <row r="64" spans="1:8" ht="20.25" x14ac:dyDescent="0.25">
      <c r="A64" s="97" t="s">
        <v>416</v>
      </c>
      <c r="B64" s="97"/>
      <c r="C64" s="96" t="s">
        <v>322</v>
      </c>
      <c r="D64" s="96"/>
      <c r="E64" s="96"/>
      <c r="F64" s="96"/>
      <c r="G64" s="52" t="s">
        <v>232</v>
      </c>
      <c r="H64" s="74">
        <v>45516</v>
      </c>
    </row>
    <row r="65" spans="1:10" ht="45" customHeight="1" x14ac:dyDescent="0.25">
      <c r="A65" s="97"/>
      <c r="B65" s="97"/>
      <c r="C65" s="98" t="s">
        <v>323</v>
      </c>
      <c r="D65" s="99"/>
      <c r="E65" s="99"/>
      <c r="F65" s="99"/>
      <c r="G65" s="99"/>
      <c r="H65" s="100"/>
    </row>
    <row r="66" spans="1:10" ht="22.5" customHeight="1" x14ac:dyDescent="0.25">
      <c r="A66" s="101" t="s">
        <v>412</v>
      </c>
      <c r="B66" s="102"/>
      <c r="C66" s="96" t="s">
        <v>411</v>
      </c>
      <c r="D66" s="96"/>
      <c r="E66" s="96"/>
      <c r="F66" s="96"/>
      <c r="G66" s="52" t="s">
        <v>233</v>
      </c>
      <c r="H66" s="74">
        <v>45505</v>
      </c>
    </row>
    <row r="67" spans="1:10" ht="87" customHeight="1" x14ac:dyDescent="0.25">
      <c r="A67" s="103"/>
      <c r="B67" s="104"/>
      <c r="C67" s="98" t="s">
        <v>414</v>
      </c>
      <c r="D67" s="99"/>
      <c r="E67" s="99"/>
      <c r="F67" s="99"/>
      <c r="G67" s="99"/>
      <c r="H67" s="100"/>
    </row>
    <row r="68" spans="1:10" ht="46.5" hidden="1" customHeight="1" x14ac:dyDescent="0.25">
      <c r="A68" s="97" t="s">
        <v>64</v>
      </c>
      <c r="B68" s="97" t="s">
        <v>4</v>
      </c>
      <c r="C68" s="96"/>
      <c r="D68" s="96"/>
      <c r="E68" s="96"/>
      <c r="F68" s="96"/>
      <c r="G68" s="52" t="s">
        <v>233</v>
      </c>
      <c r="H68" s="37"/>
    </row>
    <row r="69" spans="1:10" ht="45" hidden="1" customHeight="1" x14ac:dyDescent="0.25">
      <c r="A69" s="97" t="s">
        <v>65</v>
      </c>
      <c r="B69" s="97" t="s">
        <v>4</v>
      </c>
      <c r="C69" s="96"/>
      <c r="D69" s="96"/>
      <c r="E69" s="96"/>
      <c r="F69" s="96"/>
      <c r="G69" s="52" t="s">
        <v>233</v>
      </c>
      <c r="H69" s="37"/>
    </row>
    <row r="70" spans="1:10" ht="46.5" customHeight="1" x14ac:dyDescent="0.25">
      <c r="A70" s="101" t="s">
        <v>382</v>
      </c>
      <c r="B70" s="102"/>
      <c r="C70" s="96" t="s">
        <v>381</v>
      </c>
      <c r="D70" s="96"/>
      <c r="E70" s="96"/>
      <c r="F70" s="96"/>
      <c r="G70" s="52" t="s">
        <v>233</v>
      </c>
      <c r="H70" s="37"/>
    </row>
    <row r="71" spans="1:10" ht="46.5" customHeight="1" x14ac:dyDescent="0.25">
      <c r="A71" s="103"/>
      <c r="B71" s="104"/>
      <c r="C71" s="96" t="s">
        <v>383</v>
      </c>
      <c r="D71" s="96"/>
      <c r="E71" s="96"/>
      <c r="F71" s="96"/>
      <c r="G71" s="52" t="s">
        <v>233</v>
      </c>
      <c r="H71" s="74">
        <v>45511</v>
      </c>
    </row>
    <row r="72" spans="1:10" ht="45" hidden="1" customHeight="1" x14ac:dyDescent="0.25">
      <c r="A72" s="97" t="s">
        <v>66</v>
      </c>
      <c r="B72" s="97" t="s">
        <v>4</v>
      </c>
      <c r="C72" s="96"/>
      <c r="D72" s="96"/>
      <c r="E72" s="96"/>
      <c r="F72" s="96"/>
      <c r="G72" s="52" t="s">
        <v>233</v>
      </c>
      <c r="H72" s="74">
        <v>48432</v>
      </c>
    </row>
    <row r="73" spans="1:10" ht="21" thickBot="1" x14ac:dyDescent="0.3">
      <c r="A73" s="134" t="s">
        <v>67</v>
      </c>
      <c r="B73" s="134"/>
      <c r="C73" s="134"/>
      <c r="D73" s="134"/>
      <c r="E73" s="134"/>
      <c r="F73" s="134"/>
      <c r="G73" s="134"/>
      <c r="H73" s="134"/>
    </row>
    <row r="74" spans="1:10" ht="20.25" customHeight="1" x14ac:dyDescent="0.3">
      <c r="A74" s="170" t="str">
        <f>CONCATENATE((IF(OR(A46="",A46="NA"),"",A46)),"= ",(IF(OR(D46="",D46="NA"),"",D46)),".")</f>
        <v>Tower T1 = 2B + 1P to 5P + 1st to 56th Floor.</v>
      </c>
      <c r="B74" s="170"/>
      <c r="C74" s="170"/>
      <c r="D74" s="30" t="s">
        <v>116</v>
      </c>
      <c r="E74" s="165" t="s">
        <v>103</v>
      </c>
      <c r="F74" s="165"/>
      <c r="G74" s="30" t="s">
        <v>117</v>
      </c>
      <c r="H74" s="30" t="s">
        <v>118</v>
      </c>
      <c r="I74" s="16" t="str">
        <f ca="1">(IF(E77&gt;99%,"All work completed. Please provide OC.",IF(E77&gt;89.8%,"Plinth, RCC, Brick, Plaster, Flooring, Wooden, Plumbing, Electrification, etc., work Completed. Finishing work is in process.",IF(E77&lt;94%,(IF(C77=0,"Work not yet Started.",IF(D77=25%,"Piling work in process",IF(D77=50%,"Excavation work in process",IF(D77=100%,"Excavation work Completed. ","0")))&amp;(IF(C78=0%,"",IF(C78=J79,"Footing work is process",IF(C78=J80,"Footing work Completed",IF(C78=J81,"1st Basement Completed",IF(C78=J82,"1st &amp; 2nd Basement Completed",IF(C78=J83,"1st to 3rd Basement Completed",IF(C78=J84,"1st to 4th Basement Completed",IF(C78=J85,"Plinth work is process",IF(C78=J86,"Plinth work completed","0")))))))))))&amp;(IF(C79=(E75+G75+H75),", RCC Slab",IF(C79&gt;0,", RCC upto "&amp;C79&amp;" Slab",""))&amp;(IF(C80=H75,", Brickwork",IF(C80&gt;0,", Brickwork upto "&amp;C80&amp;" Floor",""))&amp;(IF(C81=H75,", Internal Plaster",IF(C81&gt;0,", Internal Plaster upto "&amp;C81&amp;" Floor",""))&amp;(IF(C82=H75,", External Plaster",IF(C82&gt;0,", External Plaster upto "&amp;C82&amp;" Floor",""))&amp;(IF(C83=H75,", External Plumbing, Elevation and Waterproofing",IF(C83&gt;0,", External Plumbing, Elevation and Waterproofing upto "&amp;C83&amp;" Floor",""))&amp;(IF(C84=H75,", Flooring &amp; Fitting",IF(C84&gt;0,", Flooring &amp; Fitting upto "&amp;C84&amp;" Floor",""))&amp;(IF(C85=H75,", Wooden Work",IF(C85&gt;0,", Wooden Work upto "&amp;C85&amp;" Floor",""))&amp;(IF(C86=H75,", Electrical &amp; Sanitary fittings",IF(C86&gt;0,", Electrical &amp; Sanitary fittings upto "&amp;C86&amp;" Floor",""))&amp;(IF(C87&gt;0,", Finishing upto "&amp;C87&amp;" Floor","")&amp;(IF(C79&gt;0.5," Completed",""))))))))))))))))</f>
        <v>Excavation work in process</v>
      </c>
      <c r="J74" s="18"/>
    </row>
    <row r="75" spans="1:10" ht="20.25" x14ac:dyDescent="0.3">
      <c r="A75" s="170"/>
      <c r="B75" s="170"/>
      <c r="C75" s="170"/>
      <c r="D75" s="30">
        <f>IF(AND(ISNUMBER(SEARCH("1B",A74))),1,IF(AND(ISNUMBER(SEARCH("2B",A74))),2,IF(AND(ISNUMBER(SEARCH("3B",A74))),3,IF(AND(ISNUMBER(SEARCH("4B",A74))),4,IF(ISNUMBER(SEARCH("5B",A74)),5,0)))))</f>
        <v>2</v>
      </c>
      <c r="E75" s="165">
        <v>1</v>
      </c>
      <c r="F75" s="165"/>
      <c r="G75" s="30">
        <v>5</v>
      </c>
      <c r="H75" s="30">
        <f ca="1">--TRIM(RIGHT(SUBSTITUTE(LEFT(A74,_xlfn.AGGREGATE(16,6,FIND({0,1,2,3,4,5,6,7,8,9},A74,ROW(INDIRECT("1:"&amp;LEN(A74)))),1))," ",REPT(" ",LEN(A74))),LEN(A74)))</f>
        <v>56</v>
      </c>
      <c r="I75" s="17" t="s">
        <v>122</v>
      </c>
      <c r="J75" s="18"/>
    </row>
    <row r="76" spans="1:10" ht="20.25" customHeight="1" x14ac:dyDescent="0.3">
      <c r="A76" s="159" t="s">
        <v>120</v>
      </c>
      <c r="B76" s="159"/>
      <c r="C76" s="28" t="s">
        <v>133</v>
      </c>
      <c r="D76" s="28" t="s">
        <v>134</v>
      </c>
      <c r="E76" s="159" t="s">
        <v>121</v>
      </c>
      <c r="F76" s="159"/>
      <c r="G76" s="29" t="s">
        <v>119</v>
      </c>
      <c r="H76" s="29"/>
      <c r="I76" s="20" t="s">
        <v>135</v>
      </c>
      <c r="J76" s="19">
        <f ca="1">H75*25%</f>
        <v>14</v>
      </c>
    </row>
    <row r="77" spans="1:10" ht="20.25" customHeight="1" x14ac:dyDescent="0.3">
      <c r="A77" s="120" t="s">
        <v>136</v>
      </c>
      <c r="B77" s="120"/>
      <c r="C77" s="30">
        <f ca="1">J77</f>
        <v>28</v>
      </c>
      <c r="D77" s="5">
        <f ca="1">((100/H75)*C77)/100</f>
        <v>0.5</v>
      </c>
      <c r="E77" s="114">
        <f ca="1">(((C77/H75*10)+(C78/H75*15)+(25/(E75+G75+H75)*C79)+(5/(H75)*C80)+(2.5/(H75)*C81)+(2.5/(H75)*C82)+(5/H75*C83)+(10/H75*C84)+(2.5/H75*C85)+(2.5/H75*C86)+(10/H75*C87)+(10/H75*C88))/100)</f>
        <v>0.05</v>
      </c>
      <c r="F77" s="115"/>
      <c r="G77" s="120" t="str">
        <f ca="1">I74</f>
        <v>Excavation work in process</v>
      </c>
      <c r="H77" s="120"/>
      <c r="I77" s="20" t="s">
        <v>123</v>
      </c>
      <c r="J77" s="24">
        <f ca="1">H75*50%</f>
        <v>28</v>
      </c>
    </row>
    <row r="78" spans="1:10" ht="20.25" x14ac:dyDescent="0.3">
      <c r="A78" s="120" t="s">
        <v>104</v>
      </c>
      <c r="B78" s="120"/>
      <c r="C78" s="32">
        <v>0</v>
      </c>
      <c r="D78" s="5">
        <f ca="1">((100/H75)*C78)/100</f>
        <v>0</v>
      </c>
      <c r="E78" s="116"/>
      <c r="F78" s="117"/>
      <c r="G78" s="120"/>
      <c r="H78" s="120"/>
      <c r="I78" s="20" t="s">
        <v>124</v>
      </c>
      <c r="J78" s="24">
        <f ca="1">H75</f>
        <v>56</v>
      </c>
    </row>
    <row r="79" spans="1:10" ht="21" customHeight="1" x14ac:dyDescent="0.35">
      <c r="A79" s="120" t="s">
        <v>137</v>
      </c>
      <c r="B79" s="120"/>
      <c r="C79" s="30">
        <v>0</v>
      </c>
      <c r="D79" s="5">
        <f ca="1">((100/(E75+G75+H75))*C79)/100</f>
        <v>0</v>
      </c>
      <c r="E79" s="116"/>
      <c r="F79" s="117"/>
      <c r="G79" s="120"/>
      <c r="H79" s="120"/>
      <c r="I79" s="20" t="s">
        <v>125</v>
      </c>
      <c r="J79" s="25">
        <f ca="1">(IF(D75&gt;1,(H75/(D75+2)),H75*0.2))</f>
        <v>14</v>
      </c>
    </row>
    <row r="80" spans="1:10" ht="21" customHeight="1" x14ac:dyDescent="0.35">
      <c r="A80" s="120" t="s">
        <v>138</v>
      </c>
      <c r="B80" s="120"/>
      <c r="C80" s="30">
        <v>0</v>
      </c>
      <c r="D80" s="5">
        <f ca="1">((100/H75)*C80)/100</f>
        <v>0</v>
      </c>
      <c r="E80" s="116"/>
      <c r="F80" s="117"/>
      <c r="G80" s="120"/>
      <c r="H80" s="120"/>
      <c r="I80" s="20" t="s">
        <v>126</v>
      </c>
      <c r="J80" s="25">
        <f ca="1">(IF(D75&gt;1,(H75/(D75+2)+J79),H75*0.2+J79))</f>
        <v>28</v>
      </c>
    </row>
    <row r="81" spans="1:10" ht="21" customHeight="1" x14ac:dyDescent="0.35">
      <c r="A81" s="121" t="s">
        <v>139</v>
      </c>
      <c r="B81" s="122"/>
      <c r="C81" s="30">
        <v>0</v>
      </c>
      <c r="D81" s="5">
        <f ca="1">((100/H75)*C81)/100</f>
        <v>0</v>
      </c>
      <c r="E81" s="116"/>
      <c r="F81" s="117"/>
      <c r="G81" s="120"/>
      <c r="H81" s="120"/>
      <c r="I81" s="20" t="s">
        <v>140</v>
      </c>
      <c r="J81" s="25">
        <f ca="1">(IF(D75&gt;1,(H75/(D75+2)+J80),0))</f>
        <v>42</v>
      </c>
    </row>
    <row r="82" spans="1:10" ht="21" customHeight="1" x14ac:dyDescent="0.35">
      <c r="A82" s="121" t="s">
        <v>171</v>
      </c>
      <c r="B82" s="122"/>
      <c r="C82" s="30">
        <v>0</v>
      </c>
      <c r="D82" s="5">
        <f ca="1">((100/H75)*C82)/100</f>
        <v>0</v>
      </c>
      <c r="E82" s="116"/>
      <c r="F82" s="117"/>
      <c r="G82" s="120"/>
      <c r="H82" s="120"/>
      <c r="I82" s="20" t="s">
        <v>141</v>
      </c>
      <c r="J82" s="25">
        <f>(IF(D75&gt;2,(H75/(D75+2)+J81),0))</f>
        <v>0</v>
      </c>
    </row>
    <row r="83" spans="1:10" ht="21" x14ac:dyDescent="0.35">
      <c r="A83" s="121" t="s">
        <v>168</v>
      </c>
      <c r="B83" s="122"/>
      <c r="C83" s="30">
        <v>0</v>
      </c>
      <c r="D83" s="5">
        <f ca="1">((100/(H75))*C83)/100</f>
        <v>0</v>
      </c>
      <c r="E83" s="116"/>
      <c r="F83" s="117"/>
      <c r="G83" s="120"/>
      <c r="H83" s="120"/>
      <c r="I83" s="20" t="s">
        <v>143</v>
      </c>
      <c r="J83" s="26">
        <f>(IF(D75&gt;3,(H75/(D75+2)+J82),0))</f>
        <v>0</v>
      </c>
    </row>
    <row r="84" spans="1:10" ht="21" x14ac:dyDescent="0.35">
      <c r="A84" s="120" t="s">
        <v>142</v>
      </c>
      <c r="B84" s="120"/>
      <c r="C84" s="30">
        <v>0</v>
      </c>
      <c r="D84" s="5">
        <f ca="1">((100/(H75))*C84)/100</f>
        <v>0</v>
      </c>
      <c r="E84" s="116"/>
      <c r="F84" s="117"/>
      <c r="G84" s="120"/>
      <c r="H84" s="120"/>
      <c r="I84" s="20" t="s">
        <v>144</v>
      </c>
      <c r="J84" s="25">
        <f>(IF(D75&gt;4,(H75/(D75+2)+J83),0))</f>
        <v>0</v>
      </c>
    </row>
    <row r="85" spans="1:10" ht="21" customHeight="1" x14ac:dyDescent="0.35">
      <c r="A85" s="120" t="s">
        <v>170</v>
      </c>
      <c r="B85" s="120"/>
      <c r="C85" s="30">
        <v>0</v>
      </c>
      <c r="D85" s="5">
        <f ca="1">((100/H75)*C85)/100</f>
        <v>0</v>
      </c>
      <c r="E85" s="116"/>
      <c r="F85" s="117"/>
      <c r="G85" s="120"/>
      <c r="H85" s="120"/>
      <c r="I85" s="20" t="s">
        <v>127</v>
      </c>
      <c r="J85" s="25">
        <f>(IF(D75=1,(H75/(D75+3)+J80),IF(D75=0,(H75*0.3+J80),IF(D75&gt;1,0))))</f>
        <v>0</v>
      </c>
    </row>
    <row r="86" spans="1:10" ht="21.75" thickBot="1" x14ac:dyDescent="0.4">
      <c r="A86" s="120" t="s">
        <v>169</v>
      </c>
      <c r="B86" s="120"/>
      <c r="C86" s="30">
        <v>0</v>
      </c>
      <c r="D86" s="5">
        <f ca="1">((100/H75)*C86)/100</f>
        <v>0</v>
      </c>
      <c r="E86" s="116"/>
      <c r="F86" s="117"/>
      <c r="G86" s="120"/>
      <c r="H86" s="120"/>
      <c r="I86" s="22" t="s">
        <v>128</v>
      </c>
      <c r="J86" s="27">
        <f ca="1">(IF(D75&gt;1.5,(H75/(D75+2)+J80+MAX(0,J81-J80)+MAX(0,J82-J81)+MAX(0,J83-J82)+MAX(0,J84-J83)+MAX(0,J85-J84)),IF(D75=1,(H75/(D75+3)+J85),IF(D75=0,H75*0.3+J85))))</f>
        <v>56</v>
      </c>
    </row>
    <row r="87" spans="1:10" ht="20.25" x14ac:dyDescent="0.25">
      <c r="A87" s="120" t="s">
        <v>145</v>
      </c>
      <c r="B87" s="120"/>
      <c r="C87" s="30">
        <v>0</v>
      </c>
      <c r="D87" s="5">
        <f ca="1">((100/(H75))*C87)/100</f>
        <v>0</v>
      </c>
      <c r="E87" s="116"/>
      <c r="F87" s="117"/>
      <c r="G87" s="120"/>
      <c r="H87" s="120"/>
    </row>
    <row r="88" spans="1:10" ht="20.25" x14ac:dyDescent="0.25">
      <c r="A88" s="120" t="s">
        <v>146</v>
      </c>
      <c r="B88" s="120"/>
      <c r="C88" s="30">
        <v>0</v>
      </c>
      <c r="D88" s="5">
        <f ca="1">((100/(H75))*C88)/100</f>
        <v>0</v>
      </c>
      <c r="E88" s="118"/>
      <c r="F88" s="119"/>
      <c r="G88" s="120"/>
      <c r="H88" s="120"/>
    </row>
    <row r="89" spans="1:10" ht="21" thickBot="1" x14ac:dyDescent="0.3">
      <c r="A89" s="134" t="s">
        <v>67</v>
      </c>
      <c r="B89" s="134"/>
      <c r="C89" s="134"/>
      <c r="D89" s="134"/>
      <c r="E89" s="134"/>
      <c r="F89" s="134"/>
      <c r="G89" s="134"/>
      <c r="H89" s="134"/>
    </row>
    <row r="90" spans="1:10" ht="20.25" customHeight="1" x14ac:dyDescent="0.3">
      <c r="A90" s="170" t="str">
        <f>CONCATENATE((IF(OR(A47="",A47="NA"),"",A47)),"= ",(IF(OR(D47="",D47="NA"),"",D47)),".")</f>
        <v>Tower T2 = 2B + 1P to 5P + 1st to 56th Floor.</v>
      </c>
      <c r="B90" s="170"/>
      <c r="C90" s="170"/>
      <c r="D90" s="30" t="s">
        <v>116</v>
      </c>
      <c r="E90" s="165" t="s">
        <v>103</v>
      </c>
      <c r="F90" s="165"/>
      <c r="G90" s="30" t="s">
        <v>117</v>
      </c>
      <c r="H90" s="30" t="s">
        <v>118</v>
      </c>
      <c r="I90" s="16" t="str">
        <f ca="1">(IF(E93&gt;99%,"All work completed. Please provide OC.",IF(E93&gt;89.8%,"Plinth, RCC, Brick, Plaster, Flooring, Wooden, Plumbing, Electrification, etc., work Completed. Finishing work is in process.",IF(E93&lt;94%,(IF(C93=0,"Work not yet Started.",IF(D93=25%,"Piling work in process",IF(D93=50%,"Excavation work in process",IF(D93=100%,"Excavation work Completed. ","0")))&amp;(IF(C94=0%,"",IF(C94=J95,"Footing work is process",IF(C94=J96,"Footing work Completed",IF(C94=J97,"1st Basement Completed",IF(C94=J98,"1st &amp; 2nd Basement Completed",IF(C94=J99,"1st to 3rd Basement Completed",IF(C94=J100,"1st to 4th Basement Completed",IF(C94=J101,"Plinth work is process",IF(C94=J102,"Plinth work completed","0")))))))))))&amp;(IF(C95=(E91+G91+H91),", RCC Slab",IF(C95&gt;0,", RCC upto "&amp;C95&amp;" Slab",""))&amp;(IF(C96=H91,", Brickwork",IF(C96&gt;0,", Brickwork upto "&amp;C96&amp;" Floor",""))&amp;(IF(C97=H91,", Internal Plaster",IF(C97&gt;0,", Internal Plaster upto "&amp;C97&amp;" Floor",""))&amp;(IF(C98=H91,", External Plaster",IF(C98&gt;0,", External Plaster upto "&amp;C98&amp;" Floor",""))&amp;(IF(C99=H91,", External Plumbing, Elevation and Waterproofing",IF(C99&gt;0,", External Plumbing, Elevation and Waterproofing upto "&amp;C99&amp;" Floor",""))&amp;(IF(C100=H91,", Flooring &amp; Fitting",IF(C100&gt;0,", Flooring &amp; Fitting upto "&amp;C100&amp;" Floor",""))&amp;(IF(C101=H91,", Wooden Work",IF(C101&gt;0,", Wooden Work upto "&amp;C101&amp;" Floor",""))&amp;(IF(C102=H91,", Electrical &amp; Sanitary fittings",IF(C102&gt;0,", Electrical &amp; Sanitary fittings upto "&amp;C102&amp;" Floor",""))&amp;(IF(C103&gt;0,", Finishing upto "&amp;C103&amp;" Floor","")&amp;(IF(C95&gt;0.5," Completed",""))))))))))))))))</f>
        <v>Excavation work in process</v>
      </c>
      <c r="J90" s="18"/>
    </row>
    <row r="91" spans="1:10" ht="20.25" x14ac:dyDescent="0.3">
      <c r="A91" s="170"/>
      <c r="B91" s="170"/>
      <c r="C91" s="170"/>
      <c r="D91" s="30">
        <f>IF(AND(ISNUMBER(SEARCH("1B",A90))),1,IF(AND(ISNUMBER(SEARCH("2B",A90))),2,IF(AND(ISNUMBER(SEARCH("3B",A90))),3,IF(AND(ISNUMBER(SEARCH("4B",A90))),4,IF(ISNUMBER(SEARCH("5B",A90)),5,0)))))</f>
        <v>2</v>
      </c>
      <c r="E91" s="165">
        <v>1</v>
      </c>
      <c r="F91" s="165"/>
      <c r="G91" s="30">
        <v>5</v>
      </c>
      <c r="H91" s="30">
        <f ca="1">--TRIM(RIGHT(SUBSTITUTE(LEFT(A90,_xlfn.AGGREGATE(16,6,FIND({0,1,2,3,4,5,6,7,8,9},A90,ROW(INDIRECT("1:"&amp;LEN(A90)))),1))," ",REPT(" ",LEN(A90))),LEN(A90)))</f>
        <v>56</v>
      </c>
      <c r="I91" s="17" t="s">
        <v>122</v>
      </c>
      <c r="J91" s="18"/>
    </row>
    <row r="92" spans="1:10" ht="20.25" customHeight="1" x14ac:dyDescent="0.3">
      <c r="A92" s="159" t="s">
        <v>120</v>
      </c>
      <c r="B92" s="159"/>
      <c r="C92" s="28" t="s">
        <v>133</v>
      </c>
      <c r="D92" s="28" t="s">
        <v>134</v>
      </c>
      <c r="E92" s="159" t="s">
        <v>121</v>
      </c>
      <c r="F92" s="159"/>
      <c r="G92" s="29" t="s">
        <v>119</v>
      </c>
      <c r="H92" s="29"/>
      <c r="I92" s="20" t="s">
        <v>135</v>
      </c>
      <c r="J92" s="19">
        <f ca="1">H91*25%</f>
        <v>14</v>
      </c>
    </row>
    <row r="93" spans="1:10" ht="20.25" customHeight="1" x14ac:dyDescent="0.3">
      <c r="A93" s="120" t="s">
        <v>136</v>
      </c>
      <c r="B93" s="120"/>
      <c r="C93" s="30">
        <f ca="1">J93</f>
        <v>28</v>
      </c>
      <c r="D93" s="5">
        <f ca="1">((100/H91)*C93)/100</f>
        <v>0.5</v>
      </c>
      <c r="E93" s="114">
        <f ca="1">(((C93/H91*10)+(C94/H91*15)+(25/(E91+G91+H91)*C95)+(5/(H91)*C96)+(2.5/(H91)*C97)+(2.5/(H91)*C98)+(5/H91*C99)+(10/H91*C100)+(2.5/H91*C101)+(2.5/H91*C102)+(10/H91*C103)+(10/H91*C104))/100)</f>
        <v>0.05</v>
      </c>
      <c r="F93" s="115"/>
      <c r="G93" s="120" t="str">
        <f ca="1">I90</f>
        <v>Excavation work in process</v>
      </c>
      <c r="H93" s="120"/>
      <c r="I93" s="20" t="s">
        <v>123</v>
      </c>
      <c r="J93" s="24">
        <f ca="1">H91*50%</f>
        <v>28</v>
      </c>
    </row>
    <row r="94" spans="1:10" ht="20.25" x14ac:dyDescent="0.3">
      <c r="A94" s="120" t="s">
        <v>104</v>
      </c>
      <c r="B94" s="120"/>
      <c r="C94" s="32">
        <v>0</v>
      </c>
      <c r="D94" s="5">
        <f ca="1">((100/H91)*C94)/100</f>
        <v>0</v>
      </c>
      <c r="E94" s="116"/>
      <c r="F94" s="117"/>
      <c r="G94" s="120"/>
      <c r="H94" s="120"/>
      <c r="I94" s="20" t="s">
        <v>124</v>
      </c>
      <c r="J94" s="24">
        <f ca="1">H91</f>
        <v>56</v>
      </c>
    </row>
    <row r="95" spans="1:10" ht="21" customHeight="1" x14ac:dyDescent="0.35">
      <c r="A95" s="120" t="s">
        <v>137</v>
      </c>
      <c r="B95" s="120"/>
      <c r="C95" s="30">
        <v>0</v>
      </c>
      <c r="D95" s="5">
        <f ca="1">((100/(E91+G91+H91))*C95)/100</f>
        <v>0</v>
      </c>
      <c r="E95" s="116"/>
      <c r="F95" s="117"/>
      <c r="G95" s="120"/>
      <c r="H95" s="120"/>
      <c r="I95" s="20" t="s">
        <v>125</v>
      </c>
      <c r="J95" s="25">
        <f ca="1">(IF(D91&gt;1,(H91/(D91+2)),H91*0.2))</f>
        <v>14</v>
      </c>
    </row>
    <row r="96" spans="1:10" ht="21" customHeight="1" x14ac:dyDescent="0.35">
      <c r="A96" s="120" t="s">
        <v>138</v>
      </c>
      <c r="B96" s="120"/>
      <c r="C96" s="30">
        <v>0</v>
      </c>
      <c r="D96" s="5">
        <f ca="1">((100/H91)*C96)/100</f>
        <v>0</v>
      </c>
      <c r="E96" s="116"/>
      <c r="F96" s="117"/>
      <c r="G96" s="120"/>
      <c r="H96" s="120"/>
      <c r="I96" s="20" t="s">
        <v>126</v>
      </c>
      <c r="J96" s="25">
        <f ca="1">(IF(D91&gt;1,(H91/(D91+2)+J95),H91*0.2+J95))</f>
        <v>28</v>
      </c>
    </row>
    <row r="97" spans="1:10" ht="21" customHeight="1" x14ac:dyDescent="0.35">
      <c r="A97" s="121" t="s">
        <v>139</v>
      </c>
      <c r="B97" s="122"/>
      <c r="C97" s="30">
        <v>0</v>
      </c>
      <c r="D97" s="5">
        <f ca="1">((100/H91)*C97)/100</f>
        <v>0</v>
      </c>
      <c r="E97" s="116"/>
      <c r="F97" s="117"/>
      <c r="G97" s="120"/>
      <c r="H97" s="120"/>
      <c r="I97" s="20" t="s">
        <v>140</v>
      </c>
      <c r="J97" s="25">
        <f ca="1">(IF(D91&gt;1,(H91/(D91+2)+J96),0))</f>
        <v>42</v>
      </c>
    </row>
    <row r="98" spans="1:10" ht="21" customHeight="1" x14ac:dyDescent="0.35">
      <c r="A98" s="121" t="s">
        <v>171</v>
      </c>
      <c r="B98" s="122"/>
      <c r="C98" s="30">
        <v>0</v>
      </c>
      <c r="D98" s="5">
        <f ca="1">((100/H91)*C98)/100</f>
        <v>0</v>
      </c>
      <c r="E98" s="116"/>
      <c r="F98" s="117"/>
      <c r="G98" s="120"/>
      <c r="H98" s="120"/>
      <c r="I98" s="20" t="s">
        <v>141</v>
      </c>
      <c r="J98" s="25">
        <f>(IF(D91&gt;2,(H91/(D91+2)+J97),0))</f>
        <v>0</v>
      </c>
    </row>
    <row r="99" spans="1:10" ht="57.75" customHeight="1" x14ac:dyDescent="0.35">
      <c r="A99" s="121" t="s">
        <v>168</v>
      </c>
      <c r="B99" s="122"/>
      <c r="C99" s="30">
        <v>0</v>
      </c>
      <c r="D99" s="5">
        <f ca="1">((100/(H91))*C99)/100</f>
        <v>0</v>
      </c>
      <c r="E99" s="116"/>
      <c r="F99" s="117"/>
      <c r="G99" s="120"/>
      <c r="H99" s="120"/>
      <c r="I99" s="20" t="s">
        <v>143</v>
      </c>
      <c r="J99" s="26">
        <f>(IF(D91&gt;3,(H91/(D91+2)+J98),0))</f>
        <v>0</v>
      </c>
    </row>
    <row r="100" spans="1:10" ht="21" x14ac:dyDescent="0.35">
      <c r="A100" s="120" t="s">
        <v>142</v>
      </c>
      <c r="B100" s="120"/>
      <c r="C100" s="30">
        <v>0</v>
      </c>
      <c r="D100" s="5">
        <f ca="1">((100/(H91))*C100)/100</f>
        <v>0</v>
      </c>
      <c r="E100" s="116"/>
      <c r="F100" s="117"/>
      <c r="G100" s="120"/>
      <c r="H100" s="120"/>
      <c r="I100" s="20" t="s">
        <v>144</v>
      </c>
      <c r="J100" s="25">
        <f>(IF(D91&gt;4,(H91/(D91+2)+J99),0))</f>
        <v>0</v>
      </c>
    </row>
    <row r="101" spans="1:10" ht="21" customHeight="1" x14ac:dyDescent="0.35">
      <c r="A101" s="120" t="s">
        <v>170</v>
      </c>
      <c r="B101" s="120"/>
      <c r="C101" s="30">
        <v>0</v>
      </c>
      <c r="D101" s="5">
        <f ca="1">((100/H91)*C101)/100</f>
        <v>0</v>
      </c>
      <c r="E101" s="116"/>
      <c r="F101" s="117"/>
      <c r="G101" s="120"/>
      <c r="H101" s="120"/>
      <c r="I101" s="20" t="s">
        <v>127</v>
      </c>
      <c r="J101" s="25">
        <f>(IF(D91=1,(H91/(D91+3)+J96),IF(D91=0,(H91*0.3+J96),IF(D91&gt;1,0))))</f>
        <v>0</v>
      </c>
    </row>
    <row r="102" spans="1:10" ht="21.75" thickBot="1" x14ac:dyDescent="0.4">
      <c r="A102" s="120" t="s">
        <v>169</v>
      </c>
      <c r="B102" s="120"/>
      <c r="C102" s="30">
        <v>0</v>
      </c>
      <c r="D102" s="5">
        <f ca="1">((100/H91)*C102)/100</f>
        <v>0</v>
      </c>
      <c r="E102" s="116"/>
      <c r="F102" s="117"/>
      <c r="G102" s="120"/>
      <c r="H102" s="120"/>
      <c r="I102" s="22" t="s">
        <v>128</v>
      </c>
      <c r="J102" s="27">
        <f ca="1">(IF(D91&gt;1.5,(H91/(D91+2)+J96+MAX(0,J97-J96)+MAX(0,J98-J97)+MAX(0,J99-J98)+MAX(0,J100-J99)+MAX(0,J101-J100)),IF(D91=1,(H91/(D91+3)+J101),IF(D91=0,H91*0.3+J101))))</f>
        <v>56</v>
      </c>
    </row>
    <row r="103" spans="1:10" ht="20.25" x14ac:dyDescent="0.25">
      <c r="A103" s="120" t="s">
        <v>145</v>
      </c>
      <c r="B103" s="120"/>
      <c r="C103" s="30">
        <v>0</v>
      </c>
      <c r="D103" s="5">
        <f ca="1">((100/(H91))*C103)/100</f>
        <v>0</v>
      </c>
      <c r="E103" s="116"/>
      <c r="F103" s="117"/>
      <c r="G103" s="120"/>
      <c r="H103" s="120"/>
    </row>
    <row r="104" spans="1:10" ht="20.25" x14ac:dyDescent="0.25">
      <c r="A104" s="120" t="s">
        <v>146</v>
      </c>
      <c r="B104" s="120"/>
      <c r="C104" s="30">
        <v>0</v>
      </c>
      <c r="D104" s="5">
        <f ca="1">((100/(H91))*C104)/100</f>
        <v>0</v>
      </c>
      <c r="E104" s="118"/>
      <c r="F104" s="119"/>
      <c r="G104" s="120"/>
      <c r="H104" s="120"/>
    </row>
    <row r="105" spans="1:10" ht="21" thickBot="1" x14ac:dyDescent="0.3">
      <c r="A105" s="134" t="s">
        <v>67</v>
      </c>
      <c r="B105" s="134"/>
      <c r="C105" s="134"/>
      <c r="D105" s="134"/>
      <c r="E105" s="134"/>
      <c r="F105" s="134"/>
      <c r="G105" s="134"/>
      <c r="H105" s="134"/>
    </row>
    <row r="106" spans="1:10" ht="20.25" customHeight="1" x14ac:dyDescent="0.3">
      <c r="A106" s="170" t="str">
        <f>CONCATENATE((IF(OR(A48="",A48="NA"),"",A48)),"= ",(IF(OR(D48="",D48="NA"),"",D48)),".")</f>
        <v>Tower T4 = 2B + 1P to 5P + 1st to 42nd Floor.</v>
      </c>
      <c r="B106" s="170"/>
      <c r="C106" s="170"/>
      <c r="D106" s="30" t="s">
        <v>116</v>
      </c>
      <c r="E106" s="165" t="s">
        <v>103</v>
      </c>
      <c r="F106" s="165"/>
      <c r="G106" s="30" t="s">
        <v>117</v>
      </c>
      <c r="H106" s="30" t="s">
        <v>118</v>
      </c>
      <c r="I106" s="16" t="str">
        <f ca="1">(IF(E109&gt;99%,"All work completed. Please provide OC.",IF(E109&gt;89.8%,"Plinth, RCC, Brick, Plaster, Flooring, Wooden, Plumbing, Electrification, etc., work Completed. Finishing work is in process.",IF(E109&lt;94%,(IF(C109=0,"Work not yet Started.",IF(D109=25%,"Piling work in process",IF(D109=50%,"Excavation work in process",IF(D109=100%,"Excavation work Completed. ","0")))&amp;(IF(C110=0%,"",IF(C110=J111,"Footing work is process",IF(C110=J112,"Footing work Completed",IF(C110=J113,"1st Basement Completed",IF(C110=J114,"1st &amp; 2nd Basement Completed",IF(C110=J115,"1st to 3rd Basement Completed",IF(C110=J116,"1st to 4th Basement Completed",IF(C110=J117,"Plinth work is process",IF(C110=J118,"Plinth work completed","0")))))))))))&amp;(IF(C111=(E107+G107+H107),", RCC Slab",IF(C111&gt;0,", RCC upto "&amp;C111&amp;" Slab",""))&amp;(IF(C112=H107,", Brickwork",IF(C112&gt;0,", Brickwork upto "&amp;C112&amp;" Floor",""))&amp;(IF(C113=H107,", Internal Plaster",IF(C113&gt;0,", Internal Plaster upto "&amp;C113&amp;" Floor",""))&amp;(IF(C114=H107,", External Plaster",IF(C114&gt;0,", External Plaster upto "&amp;C114&amp;" Floor",""))&amp;(IF(C115=H107,", External Plumbing, Elevation and Waterproofing",IF(C115&gt;0,", External Plumbing, Elevation and Waterproofing upto "&amp;C115&amp;" Floor",""))&amp;(IF(C116=H107,", Flooring &amp; Fitting",IF(C116&gt;0,", Flooring &amp; Fitting upto "&amp;C116&amp;" Floor",""))&amp;(IF(C117=H107,", Wooden Work",IF(C117&gt;0,", Wooden Work upto "&amp;C117&amp;" Floor",""))&amp;(IF(C118=H107,", Electrical &amp; Sanitary fittings",IF(C118&gt;0,", Electrical &amp; Sanitary fittings upto "&amp;C118&amp;" Floor",""))&amp;(IF(C119&gt;0,", Finishing upto "&amp;C119&amp;" Floor","")&amp;(IF(C111&gt;0.5," Completed",""))))))))))))))))</f>
        <v>Excavation work in process</v>
      </c>
      <c r="J106" s="18"/>
    </row>
    <row r="107" spans="1:10" ht="20.25" x14ac:dyDescent="0.3">
      <c r="A107" s="170"/>
      <c r="B107" s="170"/>
      <c r="C107" s="170"/>
      <c r="D107" s="30">
        <f>IF(AND(ISNUMBER(SEARCH("1B",A106))),1,IF(AND(ISNUMBER(SEARCH("2B",A106))),2,IF(AND(ISNUMBER(SEARCH("3B",A106))),3,IF(AND(ISNUMBER(SEARCH("4B",A106))),4,IF(ISNUMBER(SEARCH("5B",A106)),5,0)))))</f>
        <v>2</v>
      </c>
      <c r="E107" s="165">
        <v>1</v>
      </c>
      <c r="F107" s="165"/>
      <c r="G107" s="30">
        <v>5</v>
      </c>
      <c r="H107" s="30">
        <f ca="1">--TRIM(RIGHT(SUBSTITUTE(LEFT(A106,_xlfn.AGGREGATE(16,6,FIND({0,1,2,3,4,5,6,7,8,9},A106,ROW(INDIRECT("1:"&amp;LEN(A106)))),1))," ",REPT(" ",LEN(A106))),LEN(A106)))</f>
        <v>42</v>
      </c>
      <c r="I107" s="17" t="s">
        <v>122</v>
      </c>
      <c r="J107" s="18"/>
    </row>
    <row r="108" spans="1:10" ht="20.25" customHeight="1" x14ac:dyDescent="0.3">
      <c r="A108" s="159" t="s">
        <v>120</v>
      </c>
      <c r="B108" s="159"/>
      <c r="C108" s="28" t="s">
        <v>133</v>
      </c>
      <c r="D108" s="28" t="s">
        <v>134</v>
      </c>
      <c r="E108" s="159" t="s">
        <v>121</v>
      </c>
      <c r="F108" s="159"/>
      <c r="G108" s="29" t="s">
        <v>119</v>
      </c>
      <c r="H108" s="29"/>
      <c r="I108" s="20" t="s">
        <v>135</v>
      </c>
      <c r="J108" s="19">
        <f ca="1">H107*25%</f>
        <v>10.5</v>
      </c>
    </row>
    <row r="109" spans="1:10" ht="20.25" customHeight="1" x14ac:dyDescent="0.3">
      <c r="A109" s="120" t="s">
        <v>136</v>
      </c>
      <c r="B109" s="120"/>
      <c r="C109" s="30">
        <f ca="1">J109</f>
        <v>21</v>
      </c>
      <c r="D109" s="5">
        <f ca="1">((100/H107)*C109)/100</f>
        <v>0.5</v>
      </c>
      <c r="E109" s="114">
        <f ca="1">(((C109/H107*10)+(C110/H107*15)+(25/(E107+G107+H107)*C111)+(5/(H107)*C112)+(2.5/(H107)*C113)+(2.5/(H107)*C114)+(5/H107*C115)+(10/H107*C116)+(2.5/H107*C117)+(2.5/H107*C118)+(10/H107*C119)+(10/H107*C120))/100)</f>
        <v>0.05</v>
      </c>
      <c r="F109" s="115"/>
      <c r="G109" s="120" t="str">
        <f ca="1">I106</f>
        <v>Excavation work in process</v>
      </c>
      <c r="H109" s="120"/>
      <c r="I109" s="20" t="s">
        <v>123</v>
      </c>
      <c r="J109" s="24">
        <f ca="1">H107*50%</f>
        <v>21</v>
      </c>
    </row>
    <row r="110" spans="1:10" ht="20.25" x14ac:dyDescent="0.3">
      <c r="A110" s="120" t="s">
        <v>104</v>
      </c>
      <c r="B110" s="120"/>
      <c r="C110" s="32">
        <v>0</v>
      </c>
      <c r="D110" s="5">
        <f ca="1">((100/H107)*C110)/100</f>
        <v>0</v>
      </c>
      <c r="E110" s="116"/>
      <c r="F110" s="117"/>
      <c r="G110" s="120"/>
      <c r="H110" s="120"/>
      <c r="I110" s="20" t="s">
        <v>124</v>
      </c>
      <c r="J110" s="24">
        <f ca="1">H107</f>
        <v>42</v>
      </c>
    </row>
    <row r="111" spans="1:10" ht="21" customHeight="1" x14ac:dyDescent="0.35">
      <c r="A111" s="120" t="s">
        <v>137</v>
      </c>
      <c r="B111" s="120"/>
      <c r="C111" s="30">
        <v>0</v>
      </c>
      <c r="D111" s="5">
        <f ca="1">((100/(E107+G107+H107))*C111)/100</f>
        <v>0</v>
      </c>
      <c r="E111" s="116"/>
      <c r="F111" s="117"/>
      <c r="G111" s="120"/>
      <c r="H111" s="120"/>
      <c r="I111" s="20" t="s">
        <v>125</v>
      </c>
      <c r="J111" s="25">
        <f ca="1">(IF(D107&gt;1,(H107/(D107+2)),H107*0.2))</f>
        <v>10.5</v>
      </c>
    </row>
    <row r="112" spans="1:10" ht="21" customHeight="1" x14ac:dyDescent="0.35">
      <c r="A112" s="120" t="s">
        <v>138</v>
      </c>
      <c r="B112" s="120"/>
      <c r="C112" s="30">
        <v>0</v>
      </c>
      <c r="D112" s="5">
        <f ca="1">((100/H107)*C112)/100</f>
        <v>0</v>
      </c>
      <c r="E112" s="116"/>
      <c r="F112" s="117"/>
      <c r="G112" s="120"/>
      <c r="H112" s="120"/>
      <c r="I112" s="20" t="s">
        <v>126</v>
      </c>
      <c r="J112" s="25">
        <f ca="1">(IF(D107&gt;1,(H107/(D107+2)+J111),H107*0.2+J111))</f>
        <v>21</v>
      </c>
    </row>
    <row r="113" spans="1:11" ht="21" customHeight="1" x14ac:dyDescent="0.35">
      <c r="A113" s="121" t="s">
        <v>139</v>
      </c>
      <c r="B113" s="122"/>
      <c r="C113" s="30">
        <v>0</v>
      </c>
      <c r="D113" s="5">
        <f ca="1">((100/H107)*C113)/100</f>
        <v>0</v>
      </c>
      <c r="E113" s="116"/>
      <c r="F113" s="117"/>
      <c r="G113" s="120"/>
      <c r="H113" s="120"/>
      <c r="I113" s="20" t="s">
        <v>140</v>
      </c>
      <c r="J113" s="25">
        <f ca="1">(IF(D107&gt;1,(H107/(D107+2)+J112),0))</f>
        <v>31.5</v>
      </c>
    </row>
    <row r="114" spans="1:11" ht="21" customHeight="1" x14ac:dyDescent="0.35">
      <c r="A114" s="121" t="s">
        <v>171</v>
      </c>
      <c r="B114" s="122"/>
      <c r="C114" s="30">
        <v>0</v>
      </c>
      <c r="D114" s="5">
        <f ca="1">((100/H107)*C114)/100</f>
        <v>0</v>
      </c>
      <c r="E114" s="116"/>
      <c r="F114" s="117"/>
      <c r="G114" s="120"/>
      <c r="H114" s="120"/>
      <c r="I114" s="20" t="s">
        <v>141</v>
      </c>
      <c r="J114" s="25">
        <f>(IF(D107&gt;2,(H107/(D107+2)+J113),0))</f>
        <v>0</v>
      </c>
    </row>
    <row r="115" spans="1:11" ht="57.75" customHeight="1" x14ac:dyDescent="0.35">
      <c r="A115" s="121" t="s">
        <v>168</v>
      </c>
      <c r="B115" s="122"/>
      <c r="C115" s="30">
        <v>0</v>
      </c>
      <c r="D115" s="5">
        <f ca="1">((100/(H107))*C115)/100</f>
        <v>0</v>
      </c>
      <c r="E115" s="116"/>
      <c r="F115" s="117"/>
      <c r="G115" s="120"/>
      <c r="H115" s="120"/>
      <c r="I115" s="20" t="s">
        <v>143</v>
      </c>
      <c r="J115" s="26">
        <f>(IF(D107&gt;3,(H107/(D107+2)+J114),0))</f>
        <v>0</v>
      </c>
    </row>
    <row r="116" spans="1:11" ht="21" x14ac:dyDescent="0.35">
      <c r="A116" s="120" t="s">
        <v>142</v>
      </c>
      <c r="B116" s="120"/>
      <c r="C116" s="30">
        <v>0</v>
      </c>
      <c r="D116" s="5">
        <f ca="1">((100/(H107))*C116)/100</f>
        <v>0</v>
      </c>
      <c r="E116" s="116"/>
      <c r="F116" s="117"/>
      <c r="G116" s="120"/>
      <c r="H116" s="120"/>
      <c r="I116" s="20" t="s">
        <v>144</v>
      </c>
      <c r="J116" s="25">
        <f>(IF(D107&gt;4,(H107/(D107+2)+J115),0))</f>
        <v>0</v>
      </c>
    </row>
    <row r="117" spans="1:11" ht="21" customHeight="1" x14ac:dyDescent="0.35">
      <c r="A117" s="120" t="s">
        <v>170</v>
      </c>
      <c r="B117" s="120"/>
      <c r="C117" s="30">
        <v>0</v>
      </c>
      <c r="D117" s="5">
        <f ca="1">((100/H107)*C117)/100</f>
        <v>0</v>
      </c>
      <c r="E117" s="116"/>
      <c r="F117" s="117"/>
      <c r="G117" s="120"/>
      <c r="H117" s="120"/>
      <c r="I117" s="20" t="s">
        <v>127</v>
      </c>
      <c r="J117" s="25">
        <f>(IF(D107=1,(H107/(D107+3)+J112),IF(D107=0,(H107*0.3+J112),IF(D107&gt;1,0))))</f>
        <v>0</v>
      </c>
    </row>
    <row r="118" spans="1:11" ht="21.75" thickBot="1" x14ac:dyDescent="0.4">
      <c r="A118" s="120" t="s">
        <v>169</v>
      </c>
      <c r="B118" s="120"/>
      <c r="C118" s="30">
        <v>0</v>
      </c>
      <c r="D118" s="5">
        <f ca="1">((100/H107)*C118)/100</f>
        <v>0</v>
      </c>
      <c r="E118" s="116"/>
      <c r="F118" s="117"/>
      <c r="G118" s="120"/>
      <c r="H118" s="120"/>
      <c r="I118" s="22" t="s">
        <v>128</v>
      </c>
      <c r="J118" s="27">
        <f ca="1">(IF(D107&gt;1.5,(H107/(D107+2)+J112+MAX(0,J113-J112)+MAX(0,J114-J113)+MAX(0,J115-J114)+MAX(0,J116-J115)+MAX(0,J117-J116)),IF(D107=1,(H107/(D107+3)+J117),IF(D107=0,H107*0.3+J117))))</f>
        <v>42</v>
      </c>
    </row>
    <row r="119" spans="1:11" ht="20.25" x14ac:dyDescent="0.25">
      <c r="A119" s="120" t="s">
        <v>145</v>
      </c>
      <c r="B119" s="120"/>
      <c r="C119" s="30">
        <v>0</v>
      </c>
      <c r="D119" s="5">
        <f ca="1">((100/(H107))*C119)/100</f>
        <v>0</v>
      </c>
      <c r="E119" s="116"/>
      <c r="F119" s="117"/>
      <c r="G119" s="120"/>
      <c r="H119" s="120"/>
    </row>
    <row r="120" spans="1:11" ht="20.25" x14ac:dyDescent="0.25">
      <c r="A120" s="120" t="s">
        <v>146</v>
      </c>
      <c r="B120" s="120"/>
      <c r="C120" s="30">
        <v>0</v>
      </c>
      <c r="D120" s="5">
        <f ca="1">((100/(H107))*C120)/100</f>
        <v>0</v>
      </c>
      <c r="E120" s="118"/>
      <c r="F120" s="119"/>
      <c r="G120" s="120"/>
      <c r="H120" s="120"/>
    </row>
    <row r="121" spans="1:11" ht="36.75" customHeight="1" x14ac:dyDescent="0.3">
      <c r="A121" s="173" t="s">
        <v>129</v>
      </c>
      <c r="B121" s="174"/>
      <c r="C121" s="174"/>
      <c r="D121" s="174"/>
      <c r="E121" s="174"/>
      <c r="F121" s="174"/>
      <c r="G121" s="171">
        <f ca="1">AVERAGE(E77,E93,E109)</f>
        <v>5.000000000000001E-2</v>
      </c>
      <c r="H121" s="172"/>
      <c r="I121" s="20"/>
      <c r="J121" s="21"/>
      <c r="K121" s="21"/>
    </row>
    <row r="122" spans="1:11" ht="20.25" x14ac:dyDescent="0.25">
      <c r="A122" s="135" t="s">
        <v>71</v>
      </c>
      <c r="B122" s="136"/>
      <c r="C122" s="136"/>
      <c r="D122" s="136"/>
      <c r="E122" s="136"/>
      <c r="F122" s="136"/>
      <c r="G122" s="136"/>
      <c r="H122" s="137"/>
    </row>
    <row r="123" spans="1:11" ht="54.75" customHeight="1" x14ac:dyDescent="0.25">
      <c r="A123" s="161" t="s">
        <v>72</v>
      </c>
      <c r="B123" s="163"/>
      <c r="C123" s="166" t="s">
        <v>108</v>
      </c>
      <c r="D123" s="167"/>
      <c r="E123" s="161" t="s">
        <v>147</v>
      </c>
      <c r="F123" s="163" t="s">
        <v>4</v>
      </c>
      <c r="G123" s="160" t="s">
        <v>160</v>
      </c>
      <c r="H123" s="160"/>
    </row>
    <row r="124" spans="1:11" ht="44.25" customHeight="1" x14ac:dyDescent="0.25">
      <c r="A124" s="161" t="s">
        <v>157</v>
      </c>
      <c r="B124" s="163"/>
      <c r="C124" s="166" t="s">
        <v>420</v>
      </c>
      <c r="D124" s="167"/>
      <c r="E124" s="161" t="s">
        <v>158</v>
      </c>
      <c r="F124" s="163" t="s">
        <v>4</v>
      </c>
      <c r="G124" s="96" t="s">
        <v>148</v>
      </c>
      <c r="H124" s="96"/>
      <c r="I124" s="78" t="s">
        <v>421</v>
      </c>
    </row>
    <row r="125" spans="1:11" ht="20.25" x14ac:dyDescent="0.25">
      <c r="A125" s="161" t="s">
        <v>73</v>
      </c>
      <c r="B125" s="163"/>
      <c r="C125" s="98">
        <v>500000</v>
      </c>
      <c r="D125" s="100"/>
      <c r="E125" s="161" t="s">
        <v>102</v>
      </c>
      <c r="F125" s="163" t="s">
        <v>4</v>
      </c>
      <c r="G125" s="166" t="s">
        <v>109</v>
      </c>
      <c r="H125" s="167"/>
    </row>
    <row r="126" spans="1:11" ht="20.25" x14ac:dyDescent="0.25">
      <c r="A126" s="135" t="s">
        <v>70</v>
      </c>
      <c r="B126" s="136"/>
      <c r="C126" s="136"/>
      <c r="D126" s="136"/>
      <c r="E126" s="136"/>
      <c r="F126" s="136"/>
      <c r="G126" s="136"/>
      <c r="H126" s="137"/>
    </row>
    <row r="127" spans="1:11" ht="20.25" customHeight="1" x14ac:dyDescent="0.25">
      <c r="A127" s="161" t="s">
        <v>8</v>
      </c>
      <c r="B127" s="162"/>
      <c r="C127" s="162"/>
      <c r="D127" s="162"/>
      <c r="E127" s="162"/>
      <c r="F127" s="163"/>
      <c r="G127" s="168">
        <f>52600/10.764</f>
        <v>4886.6592344853216</v>
      </c>
      <c r="H127" s="169"/>
    </row>
    <row r="128" spans="1:11" ht="20.25" customHeight="1" x14ac:dyDescent="0.25">
      <c r="A128" s="161" t="s">
        <v>28</v>
      </c>
      <c r="B128" s="162"/>
      <c r="C128" s="162"/>
      <c r="D128" s="162"/>
      <c r="E128" s="162"/>
      <c r="F128" s="163" t="s">
        <v>4</v>
      </c>
      <c r="G128" s="147">
        <f>140900/10.764</f>
        <v>13089.929394277222</v>
      </c>
      <c r="H128" s="147"/>
    </row>
    <row r="129" spans="1:150 16226:16383" ht="20.25" customHeight="1" x14ac:dyDescent="0.25">
      <c r="A129" s="161" t="s">
        <v>110</v>
      </c>
      <c r="B129" s="162"/>
      <c r="C129" s="162"/>
      <c r="D129" s="162"/>
      <c r="E129" s="162"/>
      <c r="F129" s="163" t="s">
        <v>4</v>
      </c>
      <c r="G129" s="147">
        <f>G127*0.8</f>
        <v>3909.3273875882574</v>
      </c>
      <c r="H129" s="147"/>
    </row>
    <row r="130" spans="1:150 16226:16383" ht="20.25" hidden="1" x14ac:dyDescent="0.25">
      <c r="A130" s="144" t="s">
        <v>245</v>
      </c>
      <c r="B130" s="145"/>
      <c r="C130" s="145"/>
      <c r="D130" s="145"/>
      <c r="E130" s="145"/>
      <c r="F130" s="145"/>
      <c r="G130" s="145"/>
      <c r="H130" s="146"/>
    </row>
    <row r="131" spans="1:150 16226:16383" s="3" customFormat="1" ht="20.25" hidden="1" x14ac:dyDescent="0.25">
      <c r="A131" s="94" t="s">
        <v>154</v>
      </c>
      <c r="B131" s="95"/>
      <c r="C131" s="94" t="s">
        <v>155</v>
      </c>
      <c r="D131" s="95"/>
      <c r="E131" s="94" t="s">
        <v>153</v>
      </c>
      <c r="F131" s="95"/>
      <c r="G131" s="94" t="s">
        <v>166</v>
      </c>
      <c r="H131" s="9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hidden="1" x14ac:dyDescent="0.25">
      <c r="A132" s="157"/>
      <c r="B132" s="158"/>
      <c r="C132" s="157"/>
      <c r="D132" s="158"/>
      <c r="E132" s="157"/>
      <c r="F132" s="158"/>
      <c r="G132" s="157"/>
      <c r="H132" s="158"/>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hidden="1" x14ac:dyDescent="0.25">
      <c r="A133" s="157"/>
      <c r="B133" s="158"/>
      <c r="C133" s="157"/>
      <c r="D133" s="158"/>
      <c r="E133" s="157"/>
      <c r="F133" s="158"/>
      <c r="G133" s="157"/>
      <c r="H133" s="158"/>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hidden="1" x14ac:dyDescent="0.25">
      <c r="A134" s="94" t="s">
        <v>156</v>
      </c>
      <c r="B134" s="95"/>
      <c r="C134" s="94" t="s">
        <v>95</v>
      </c>
      <c r="D134" s="95"/>
      <c r="E134" s="94">
        <f>SUM(F132:F133)</f>
        <v>0</v>
      </c>
      <c r="F134" s="95"/>
      <c r="G134" s="94">
        <f>SUM(H132:H133)</f>
        <v>0</v>
      </c>
      <c r="H134" s="95">
        <f>SUM(H132:H133)</f>
        <v>0</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ht="20.25" x14ac:dyDescent="0.25">
      <c r="A135" s="144" t="s">
        <v>234</v>
      </c>
      <c r="B135" s="145"/>
      <c r="C135" s="145"/>
      <c r="D135" s="145"/>
      <c r="E135" s="145"/>
      <c r="F135" s="145"/>
      <c r="G135" s="145"/>
      <c r="H135" s="146"/>
    </row>
    <row r="136" spans="1:150 16226:16383" s="3" customFormat="1" ht="20.25" x14ac:dyDescent="0.25">
      <c r="A136" s="94" t="s">
        <v>154</v>
      </c>
      <c r="B136" s="95"/>
      <c r="C136" s="94" t="s">
        <v>155</v>
      </c>
      <c r="D136" s="95"/>
      <c r="E136" s="94" t="s">
        <v>153</v>
      </c>
      <c r="F136" s="95"/>
      <c r="G136" s="94" t="s">
        <v>166</v>
      </c>
      <c r="H136" s="95"/>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57" t="s">
        <v>377</v>
      </c>
      <c r="B137" s="158"/>
      <c r="C137" s="157" t="s">
        <v>95</v>
      </c>
      <c r="D137" s="158"/>
      <c r="E137" s="157">
        <f>COUNT(H149:H152)+COUNT(H158:H163,H165)+COUNT(H167:H174)*12+COUNT(H176:H181,H183)*3+COUNT(H185:H192)*30+COUNT(H194:H199,H201)*7+COUNT(H203:H206)+COUNT(H212,H215:H219)+COUNT(H221:H228)</f>
        <v>435</v>
      </c>
      <c r="F137" s="158"/>
      <c r="G137" s="157">
        <f>SUM(H149:H152)+SUM(H158:H163,H165)+SUM(H167:H174)*12+SUM(H176:H181,H183)*3+SUM(H185:H192)*30+SUM(H194:H199,H201)*7+SUM(H203:H206)+SUM(H212,H215:H219)+SUM(H221:H228)</f>
        <v>377505.53567999991</v>
      </c>
      <c r="H137" s="158"/>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57" t="s">
        <v>378</v>
      </c>
      <c r="B138" s="158"/>
      <c r="C138" s="157" t="s">
        <v>95</v>
      </c>
      <c r="D138" s="158"/>
      <c r="E138" s="157">
        <f>COUNT(H235:H237)+COUNT(H242:H246)+COUNT(H249:H254)*12+COUNT(H256:H261)*3+COUNT(H263:H268)*30+COUNT(H270:H275)*7+COUNT(H277:H279)+COUNT(H284,H286:H289)+COUNT(H291:H296)</f>
        <v>334</v>
      </c>
      <c r="F138" s="158"/>
      <c r="G138" s="157">
        <f>SUM(H235:H237)+SUM(H242:H246)+SUM(H249:H254)*12+SUM(H256:H261)*3+SUM(H263:H268)*30+SUM(H270:H275)*7+SUM(H277:H279)+SUM(H284,H286:H289)+SUM(H291:H296)</f>
        <v>397531.48675500002</v>
      </c>
      <c r="H138" s="158"/>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57" t="s">
        <v>379</v>
      </c>
      <c r="B139" s="158"/>
      <c r="C139" s="157" t="s">
        <v>95</v>
      </c>
      <c r="D139" s="158"/>
      <c r="E139" s="157">
        <f>COUNT(H304:H305)*8+COUNT(H307:H308)*30+COUNT(H311)</f>
        <v>77</v>
      </c>
      <c r="F139" s="158"/>
      <c r="G139" s="157">
        <f>SUM(H304:H305)*8+SUM(H307:H308)*30+SUM(H311)</f>
        <v>152862.09569279998</v>
      </c>
      <c r="H139" s="158"/>
      <c r="I139" s="1"/>
      <c r="J139" s="1"/>
      <c r="K139" s="1"/>
      <c r="L139" s="1"/>
      <c r="M139" s="1"/>
      <c r="N139" s="1"/>
      <c r="O139" s="1" t="s">
        <v>410</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94" t="s">
        <v>156</v>
      </c>
      <c r="B140" s="95"/>
      <c r="C140" s="94" t="s">
        <v>95</v>
      </c>
      <c r="D140" s="95"/>
      <c r="E140" s="149">
        <f>SUM(E137:F139)</f>
        <v>846</v>
      </c>
      <c r="F140" s="150"/>
      <c r="G140" s="94">
        <f>SUM(G137:H139)</f>
        <v>927899.11812779994</v>
      </c>
      <c r="H140" s="95"/>
      <c r="I140" s="1"/>
      <c r="J140" s="1"/>
      <c r="K140" s="1"/>
      <c r="L140" s="1"/>
      <c r="M140" s="1"/>
      <c r="N140" s="1"/>
      <c r="O140" s="1" t="s">
        <v>409</v>
      </c>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hidden="1" x14ac:dyDescent="0.25">
      <c r="A141" s="94" t="s">
        <v>246</v>
      </c>
      <c r="B141" s="95"/>
      <c r="C141" s="94" t="s">
        <v>95</v>
      </c>
      <c r="D141" s="95"/>
      <c r="E141" s="94">
        <f>SUM(E140)</f>
        <v>846</v>
      </c>
      <c r="F141" s="95"/>
      <c r="G141" s="94">
        <f>SUM(G140)</f>
        <v>927899.11812779994</v>
      </c>
      <c r="H141" s="95"/>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ht="20.25" x14ac:dyDescent="0.25">
      <c r="A142" s="175" t="s">
        <v>152</v>
      </c>
      <c r="B142" s="176"/>
      <c r="C142" s="176"/>
      <c r="D142" s="176"/>
      <c r="E142" s="176"/>
      <c r="F142" s="176"/>
      <c r="G142" s="176"/>
      <c r="H142" s="146"/>
    </row>
    <row r="143" spans="1:150 16226:16383" ht="66" customHeight="1" x14ac:dyDescent="0.25">
      <c r="A143" s="53" t="s">
        <v>235</v>
      </c>
      <c r="B143" s="31" t="s">
        <v>236</v>
      </c>
      <c r="C143" s="34" t="s">
        <v>237</v>
      </c>
      <c r="D143" s="31" t="s">
        <v>88</v>
      </c>
      <c r="E143" s="31" t="s">
        <v>167</v>
      </c>
      <c r="F143" s="34" t="s">
        <v>238</v>
      </c>
      <c r="G143" s="31" t="s">
        <v>90</v>
      </c>
      <c r="H143" s="31" t="s">
        <v>89</v>
      </c>
    </row>
    <row r="144" spans="1:150 16226:16383" s="3" customFormat="1" ht="20.25" x14ac:dyDescent="0.25">
      <c r="A144" s="85" t="s">
        <v>364</v>
      </c>
      <c r="B144" s="86"/>
      <c r="C144" s="86"/>
      <c r="D144" s="86"/>
      <c r="E144" s="86"/>
      <c r="F144" s="86"/>
      <c r="G144" s="86"/>
      <c r="H144" s="8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85" t="s">
        <v>329</v>
      </c>
      <c r="B145" s="86"/>
      <c r="C145" s="86"/>
      <c r="D145" s="86"/>
      <c r="E145" s="86"/>
      <c r="F145" s="86"/>
      <c r="G145" s="86"/>
      <c r="H145" s="87"/>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42" customHeight="1" x14ac:dyDescent="0.25">
      <c r="A146" s="85" t="s">
        <v>330</v>
      </c>
      <c r="B146" s="86"/>
      <c r="C146" s="86"/>
      <c r="D146" s="86"/>
      <c r="E146" s="86"/>
      <c r="F146" s="86"/>
      <c r="G146" s="86"/>
      <c r="H146" s="8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85" t="s">
        <v>331</v>
      </c>
      <c r="B147" s="86"/>
      <c r="C147" s="86"/>
      <c r="D147" s="86"/>
      <c r="E147" s="86"/>
      <c r="F147" s="86"/>
      <c r="G147" s="86"/>
      <c r="H147" s="87"/>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85" t="s">
        <v>334</v>
      </c>
      <c r="B148" s="86"/>
      <c r="C148" s="86"/>
      <c r="D148" s="86"/>
      <c r="E148" s="86"/>
      <c r="F148" s="86"/>
      <c r="G148" s="86"/>
      <c r="H148" s="87"/>
      <c r="I148" s="1"/>
      <c r="J148" s="1"/>
      <c r="K148" s="1"/>
      <c r="L148" s="6">
        <f>(10.764)</f>
        <v>10.763999999999999</v>
      </c>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82">
        <v>1</v>
      </c>
      <c r="B149" s="82"/>
      <c r="C149" s="54" t="s">
        <v>95</v>
      </c>
      <c r="D149" s="54" t="s">
        <v>333</v>
      </c>
      <c r="E149" s="6">
        <f>(70.682)*(10.764)</f>
        <v>760.82104800000002</v>
      </c>
      <c r="F149" s="6">
        <f>(2.86+1.7*0.75)*(10.764)</f>
        <v>44.509139999999995</v>
      </c>
      <c r="G149" s="6">
        <v>0</v>
      </c>
      <c r="H149" s="6">
        <f>E149+F149+(IF(G149&lt;101,G149,IF(G149&lt;201,G149/2,IF(G149&lt;=301,G149/3,G149/4))))</f>
        <v>805.33018800000002</v>
      </c>
      <c r="I149" s="76">
        <f>(6.1*3.35+1.3*1.5+2.45*3.35+3.9*3.05+4.275*3.05+1.5*2.45+2.45*1.5+3.2*0.95+3.55*0.3)</f>
        <v>66.981249999999989</v>
      </c>
      <c r="J149" s="75">
        <f>2.2*1.3</f>
        <v>2.8600000000000003</v>
      </c>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x14ac:dyDescent="0.25">
      <c r="A150" s="83">
        <f>A149+1</f>
        <v>2</v>
      </c>
      <c r="B150" s="84"/>
      <c r="C150" s="54" t="s">
        <v>95</v>
      </c>
      <c r="D150" s="54" t="s">
        <v>333</v>
      </c>
      <c r="E150" s="6">
        <f>(70.646)*(10.764)</f>
        <v>760.43354399999998</v>
      </c>
      <c r="F150" s="6">
        <f>(3.185)*(10.764)</f>
        <v>34.283339999999995</v>
      </c>
      <c r="G150" s="6">
        <v>0</v>
      </c>
      <c r="H150" s="6">
        <f t="shared" ref="H150:H152" si="0">E150+F150+(IF(G150&lt;101,G150,IF(G150&lt;201,G150/2,IF(G150&lt;=301,G150/3,G150/4))))</f>
        <v>794.71688399999994</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x14ac:dyDescent="0.25">
      <c r="A151" s="83">
        <f t="shared" ref="A151:A156" si="1">A150+1</f>
        <v>3</v>
      </c>
      <c r="B151" s="84"/>
      <c r="C151" s="54" t="s">
        <v>95</v>
      </c>
      <c r="D151" s="54" t="s">
        <v>333</v>
      </c>
      <c r="E151" s="6">
        <f>(70.646)*(10.764)</f>
        <v>760.43354399999998</v>
      </c>
      <c r="F151" s="6">
        <f>(3.185)*(10.764)</f>
        <v>34.283339999999995</v>
      </c>
      <c r="G151" s="6">
        <v>0</v>
      </c>
      <c r="H151" s="6">
        <f t="shared" si="0"/>
        <v>794.71688399999994</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83">
        <f t="shared" si="1"/>
        <v>4</v>
      </c>
      <c r="B152" s="84"/>
      <c r="C152" s="54" t="s">
        <v>95</v>
      </c>
      <c r="D152" s="54" t="s">
        <v>333</v>
      </c>
      <c r="E152" s="6">
        <f>(70.682)*(10.764)</f>
        <v>760.82104800000002</v>
      </c>
      <c r="F152" s="6">
        <f>(2.86+1.7*0.75)*(10.764)</f>
        <v>44.509139999999995</v>
      </c>
      <c r="G152" s="6">
        <v>0</v>
      </c>
      <c r="H152" s="6">
        <f t="shared" si="0"/>
        <v>805.33018800000002</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83">
        <f t="shared" si="1"/>
        <v>5</v>
      </c>
      <c r="B153" s="84"/>
      <c r="C153" s="151" t="s">
        <v>335</v>
      </c>
      <c r="D153" s="152"/>
      <c r="E153" s="152"/>
      <c r="F153" s="152"/>
      <c r="G153" s="152"/>
      <c r="H153" s="153"/>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83">
        <f t="shared" si="1"/>
        <v>6</v>
      </c>
      <c r="B154" s="84"/>
      <c r="C154" s="154"/>
      <c r="D154" s="155"/>
      <c r="E154" s="155"/>
      <c r="F154" s="155"/>
      <c r="G154" s="155"/>
      <c r="H154" s="156"/>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83">
        <f t="shared" si="1"/>
        <v>7</v>
      </c>
      <c r="B155" s="84"/>
      <c r="C155" s="151" t="s">
        <v>332</v>
      </c>
      <c r="D155" s="152"/>
      <c r="E155" s="152"/>
      <c r="F155" s="152"/>
      <c r="G155" s="152"/>
      <c r="H155" s="153"/>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83">
        <f t="shared" si="1"/>
        <v>8</v>
      </c>
      <c r="B156" s="84"/>
      <c r="C156" s="154"/>
      <c r="D156" s="155"/>
      <c r="E156" s="155"/>
      <c r="F156" s="155"/>
      <c r="G156" s="155"/>
      <c r="H156" s="15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85" t="s">
        <v>337</v>
      </c>
      <c r="B157" s="86"/>
      <c r="C157" s="86"/>
      <c r="D157" s="86"/>
      <c r="E157" s="86"/>
      <c r="F157" s="86"/>
      <c r="G157" s="86"/>
      <c r="H157" s="8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82">
        <v>1</v>
      </c>
      <c r="B158" s="82"/>
      <c r="C158" s="54" t="s">
        <v>95</v>
      </c>
      <c r="D158" s="54" t="s">
        <v>333</v>
      </c>
      <c r="E158" s="6">
        <f>(71.869)*(10.764)</f>
        <v>773.59791599999994</v>
      </c>
      <c r="F158" s="6">
        <f>(6.922+0.75*(1.7+2.5+3.3))*(10.764)</f>
        <v>135.05590799999999</v>
      </c>
      <c r="G158" s="6">
        <v>0</v>
      </c>
      <c r="H158" s="6">
        <f>E158+F158+(IF(G158&lt;101,G158,IF(G158&lt;201,G158/2,IF(G158&lt;=301,G158/3,G158/4))))</f>
        <v>908.65382399999999</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83">
        <f>A158+1</f>
        <v>2</v>
      </c>
      <c r="B159" s="84"/>
      <c r="C159" s="54" t="s">
        <v>95</v>
      </c>
      <c r="D159" s="54" t="s">
        <v>333</v>
      </c>
      <c r="E159" s="6">
        <f>(71.958)*(10.764)</f>
        <v>774.55591199999992</v>
      </c>
      <c r="F159" s="6">
        <f>(7.122+0.75*(1.7+4.1+2.2))*(10.764)</f>
        <v>141.24520799999999</v>
      </c>
      <c r="G159" s="6">
        <v>0</v>
      </c>
      <c r="H159" s="6">
        <f t="shared" ref="H159:H165" si="2">E159+F159+(IF(G159&lt;101,G159,IF(G159&lt;201,G159/2,IF(G159&lt;=301,G159/3,G159/4))))</f>
        <v>915.80111999999986</v>
      </c>
      <c r="I159" s="76">
        <f>(6.1*3.35+1.3*1.1+3.425*2.45+3.9*3.05+3.975*3.05+2.45*1.5+2.45*1.5+3.55*0.3+0.6*2.8+3.3*0.95)</f>
        <v>67.504999999999995</v>
      </c>
      <c r="J159" s="76">
        <f>1.25*3.15+1.225*2.45</f>
        <v>6.9387500000000006</v>
      </c>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83">
        <f t="shared" ref="A160:A165" si="3">A159+1</f>
        <v>3</v>
      </c>
      <c r="B160" s="84"/>
      <c r="C160" s="54" t="s">
        <v>95</v>
      </c>
      <c r="D160" s="54" t="s">
        <v>333</v>
      </c>
      <c r="E160" s="6">
        <f>(71.958)*(10.764)</f>
        <v>774.55591199999992</v>
      </c>
      <c r="F160" s="6">
        <f>(7.122+0.75*(1.7+4.1+2.2))*(10.764)</f>
        <v>141.24520799999999</v>
      </c>
      <c r="G160" s="6">
        <v>0</v>
      </c>
      <c r="H160" s="6">
        <f t="shared" si="2"/>
        <v>915.80111999999986</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83">
        <f t="shared" si="3"/>
        <v>4</v>
      </c>
      <c r="B161" s="84"/>
      <c r="C161" s="54" t="s">
        <v>95</v>
      </c>
      <c r="D161" s="54" t="s">
        <v>333</v>
      </c>
      <c r="E161" s="6">
        <f>(71.869)*(10.764)</f>
        <v>773.59791599999994</v>
      </c>
      <c r="F161" s="6">
        <f>(6.922+0.75*(1.7+2.5+3.3))*(10.764)</f>
        <v>135.05590799999999</v>
      </c>
      <c r="G161" s="6">
        <v>0</v>
      </c>
      <c r="H161" s="6">
        <f t="shared" si="2"/>
        <v>908.65382399999999</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3">
        <f t="shared" si="3"/>
        <v>5</v>
      </c>
      <c r="B162" s="84"/>
      <c r="C162" s="54" t="s">
        <v>95</v>
      </c>
      <c r="D162" s="54" t="s">
        <v>333</v>
      </c>
      <c r="E162" s="6">
        <f>(63.356)*(10.764)</f>
        <v>681.96398399999998</v>
      </c>
      <c r="F162" s="6">
        <f>(6.061+0.75*(1.4+2.7+3.2))*(10.764)</f>
        <v>124.17350399999999</v>
      </c>
      <c r="G162" s="6">
        <v>0</v>
      </c>
      <c r="H162" s="6">
        <f t="shared" si="2"/>
        <v>806.13748799999996</v>
      </c>
      <c r="I162" s="76">
        <f>(5.8*3.05+1.25*1.25+2.275*2.8+3.675*3.05+3.65*3.05+1.375*2.35+2.35*1.375+3.2*0.4+3.35*0.95)</f>
        <v>58.888750000000002</v>
      </c>
      <c r="J162" s="76">
        <f>1.225*3.05+2.025*1.15</f>
        <v>6.0649999999999995</v>
      </c>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83">
        <f t="shared" si="3"/>
        <v>6</v>
      </c>
      <c r="B163" s="84"/>
      <c r="C163" s="54" t="s">
        <v>95</v>
      </c>
      <c r="D163" s="54" t="s">
        <v>333</v>
      </c>
      <c r="E163" s="6">
        <f>(63.31)*(10.764)</f>
        <v>681.46884</v>
      </c>
      <c r="F163" s="6">
        <f>(6.401+0.75*(1.5+4.1+2.3))*(10.764)</f>
        <v>132.677064</v>
      </c>
      <c r="G163" s="6">
        <v>0</v>
      </c>
      <c r="H163" s="6">
        <f t="shared" si="2"/>
        <v>814.14590399999997</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3">
        <f t="shared" si="3"/>
        <v>7</v>
      </c>
      <c r="B164" s="84"/>
      <c r="C164" s="54" t="s">
        <v>95</v>
      </c>
      <c r="D164" s="88" t="s">
        <v>338</v>
      </c>
      <c r="E164" s="89"/>
      <c r="F164" s="89"/>
      <c r="G164" s="89"/>
      <c r="H164" s="9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83">
        <f t="shared" si="3"/>
        <v>8</v>
      </c>
      <c r="B165" s="84"/>
      <c r="C165" s="54" t="s">
        <v>95</v>
      </c>
      <c r="D165" s="54" t="s">
        <v>336</v>
      </c>
      <c r="E165" s="6">
        <f>(73.749)*(10.764)</f>
        <v>793.83423599999992</v>
      </c>
      <c r="F165" s="6">
        <f>(6.065+0.75*(1.4+3.2+2.6+1.4))*(10.764)</f>
        <v>134.71145999999999</v>
      </c>
      <c r="G165" s="6">
        <v>0</v>
      </c>
      <c r="H165" s="6">
        <f t="shared" si="2"/>
        <v>928.54569599999991</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79" t="s">
        <v>340</v>
      </c>
      <c r="B166" s="80"/>
      <c r="C166" s="80"/>
      <c r="D166" s="80"/>
      <c r="E166" s="80"/>
      <c r="F166" s="80"/>
      <c r="G166" s="80"/>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2">
        <v>1</v>
      </c>
      <c r="B167" s="82"/>
      <c r="C167" s="54" t="s">
        <v>95</v>
      </c>
      <c r="D167" s="54" t="s">
        <v>333</v>
      </c>
      <c r="E167" s="6">
        <f>(71.869)*(10.764)</f>
        <v>773.59791599999994</v>
      </c>
      <c r="F167" s="6">
        <f>(6.922+0.75*(1.7+2.5+3.3))*(10.764)</f>
        <v>135.05590799999999</v>
      </c>
      <c r="G167" s="6">
        <v>0</v>
      </c>
      <c r="H167" s="6">
        <f>E167+F167+(IF(G167&lt;101,G167,IF(G167&lt;201,G167/2,IF(G167&lt;=301,G167/3,G167/4))))</f>
        <v>908.65382399999999</v>
      </c>
      <c r="I167" s="1"/>
      <c r="J167" s="1"/>
      <c r="K167" s="1"/>
      <c r="L167" s="1"/>
      <c r="M167" s="1"/>
      <c r="N167" s="1"/>
      <c r="O167" s="1"/>
      <c r="P167" s="1"/>
      <c r="Q167" s="1"/>
      <c r="R167" s="1"/>
      <c r="S167" s="1"/>
      <c r="T167" s="23" t="str">
        <f t="shared" ref="T167:T174" ca="1" si="4">U167&amp;""&amp;",..,"&amp;""&amp;V167</f>
        <v>201,..,1501</v>
      </c>
      <c r="U167" s="23">
        <f ca="1">(SUMPRODUCT(MID(0&amp;(LEFT(A166,SUM(LEN(A166)-LEN(SUBSTITUTE(A166,{"0","1","2","3"},""))))), LARGE(INDEX(ISNUMBER(--MID((LEFT(A166,SUM(LEN(A166)-LEN(SUBSTITUTE(A166,{"0","1","2","3"},""))))), ROW(INDIRECT("1:"&amp;LEN((LEFT(A166,SUM(LEN(A166)-LEN(SUBSTITUTE(A166,{"0","1","2","3"},"")))))))), 1)) * ROW(INDIRECT("1:"&amp;LEN((LEFT(A166,SUM(LEN(A166)-LEN(SUBSTITUTE(A166,{"0","1","2","3"},"")))))))), 0), ROW(INDIRECT("1:"&amp;LEN((LEFT(A166,SUM(LEN(A166)-LEN(SUBSTITUTE(A166,{"0","1","2","3"},"")))))))))+1, 1) * 10^ROW(INDIRECT("1:"&amp;LEN((LEFT(A166,SUM(LEN(A166)-LEN(SUBSTITUTE(A166,{"0","1","2","3"},""))))))))/10))*100+1</f>
        <v>201</v>
      </c>
      <c r="V167" s="23">
        <f ca="1">(SUMPRODUCT(MID(0&amp;(--TRIM(RIGHT(SUBSTITUTE(LEFT(A166,_xlfn.AGGREGATE(16,6,FIND({0,1,2,3,4,5,6,7,8,9},A166,ROW(INDIRECT("1:"&amp;LEN(A166)))),1)),"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",LEN(A166))),LEN(A166)))))))/10))*100+1</f>
        <v>1501</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3">
        <f>A167+1</f>
        <v>2</v>
      </c>
      <c r="B168" s="84"/>
      <c r="C168" s="54" t="s">
        <v>95</v>
      </c>
      <c r="D168" s="54" t="s">
        <v>333</v>
      </c>
      <c r="E168" s="6">
        <f>(71.958)*(10.764)</f>
        <v>774.55591199999992</v>
      </c>
      <c r="F168" s="6">
        <f>(7.122+0.75*(1.7+4.1+2.2))*(10.764)</f>
        <v>141.24520799999999</v>
      </c>
      <c r="G168" s="6">
        <v>0</v>
      </c>
      <c r="H168" s="6">
        <f t="shared" ref="H168:H174" si="5">E168+F168+(IF(G168&lt;101,G168,IF(G168&lt;201,G168/2,IF(G168&lt;=301,G168/3,G168/4))))</f>
        <v>915.80111999999986</v>
      </c>
      <c r="I168" s="1"/>
      <c r="J168" s="1"/>
      <c r="K168" s="1"/>
      <c r="L168" s="1"/>
      <c r="M168" s="1"/>
      <c r="N168" s="1"/>
      <c r="O168" s="1"/>
      <c r="P168" s="1"/>
      <c r="Q168" s="1"/>
      <c r="R168" s="1"/>
      <c r="S168" s="1"/>
      <c r="T168" s="23" t="str">
        <f t="shared" ca="1" si="4"/>
        <v>202,..,1502</v>
      </c>
      <c r="U168" s="23">
        <f ca="1">U167+1</f>
        <v>202</v>
      </c>
      <c r="V168" s="23">
        <f ca="1">V167+1</f>
        <v>1502</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83">
        <f t="shared" ref="A169:A174" si="6">A168+1</f>
        <v>3</v>
      </c>
      <c r="B169" s="84"/>
      <c r="C169" s="54" t="s">
        <v>95</v>
      </c>
      <c r="D169" s="54" t="s">
        <v>333</v>
      </c>
      <c r="E169" s="6">
        <f>(71.958)*(10.764)</f>
        <v>774.55591199999992</v>
      </c>
      <c r="F169" s="6">
        <f>(7.122+0.75*(1.7+4.1+2.2))*(10.764)</f>
        <v>141.24520799999999</v>
      </c>
      <c r="G169" s="6">
        <v>0</v>
      </c>
      <c r="H169" s="6">
        <f t="shared" si="5"/>
        <v>915.80111999999986</v>
      </c>
      <c r="I169" s="1"/>
      <c r="J169" s="1"/>
      <c r="K169" s="1"/>
      <c r="L169" s="1"/>
      <c r="M169" s="1"/>
      <c r="N169" s="1"/>
      <c r="O169" s="1"/>
      <c r="P169" s="1"/>
      <c r="Q169" s="1"/>
      <c r="R169" s="1"/>
      <c r="S169" s="1"/>
      <c r="T169" s="23" t="str">
        <f t="shared" ca="1" si="4"/>
        <v>203,..,1503</v>
      </c>
      <c r="U169" s="23">
        <f t="shared" ref="U169:V174" ca="1" si="7">U168+1</f>
        <v>203</v>
      </c>
      <c r="V169" s="23">
        <f t="shared" ca="1" si="7"/>
        <v>1503</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83">
        <f t="shared" si="6"/>
        <v>4</v>
      </c>
      <c r="B170" s="84"/>
      <c r="C170" s="54" t="s">
        <v>95</v>
      </c>
      <c r="D170" s="54" t="s">
        <v>333</v>
      </c>
      <c r="E170" s="6">
        <f>(71.869)*(10.764)</f>
        <v>773.59791599999994</v>
      </c>
      <c r="F170" s="6">
        <f>(6.922+0.75*(1.7+2.5+3.3))*(10.764)</f>
        <v>135.05590799999999</v>
      </c>
      <c r="G170" s="6">
        <v>0</v>
      </c>
      <c r="H170" s="6">
        <f t="shared" si="5"/>
        <v>908.65382399999999</v>
      </c>
      <c r="I170" s="1"/>
      <c r="J170" s="1"/>
      <c r="K170" s="1"/>
      <c r="L170" s="1"/>
      <c r="M170" s="1"/>
      <c r="N170" s="1"/>
      <c r="O170" s="1"/>
      <c r="P170" s="1"/>
      <c r="Q170" s="1"/>
      <c r="R170" s="1"/>
      <c r="S170" s="1"/>
      <c r="T170" s="23" t="str">
        <f t="shared" ca="1" si="4"/>
        <v>204,..,1504</v>
      </c>
      <c r="U170" s="23">
        <f t="shared" ca="1" si="7"/>
        <v>204</v>
      </c>
      <c r="V170" s="23">
        <f t="shared" ca="1" si="7"/>
        <v>1504</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83">
        <f t="shared" si="6"/>
        <v>5</v>
      </c>
      <c r="B171" s="84"/>
      <c r="C171" s="54" t="s">
        <v>95</v>
      </c>
      <c r="D171" s="54" t="s">
        <v>333</v>
      </c>
      <c r="E171" s="6">
        <f>(63.356)*(10.764)</f>
        <v>681.96398399999998</v>
      </c>
      <c r="F171" s="6">
        <f>(6.061+0.75*(1.4+2.7+3.2))*(10.764)</f>
        <v>124.17350399999999</v>
      </c>
      <c r="G171" s="6">
        <v>0</v>
      </c>
      <c r="H171" s="6">
        <f t="shared" si="5"/>
        <v>806.13748799999996</v>
      </c>
      <c r="I171" s="1">
        <f>15200000/H171</f>
        <v>18855.344437225827</v>
      </c>
      <c r="J171" s="1"/>
      <c r="K171" s="1"/>
      <c r="L171" s="1"/>
      <c r="M171" s="1"/>
      <c r="N171" s="1"/>
      <c r="O171" s="1"/>
      <c r="P171" s="1"/>
      <c r="Q171" s="1"/>
      <c r="R171" s="1"/>
      <c r="S171" s="1"/>
      <c r="T171" s="23" t="str">
        <f t="shared" ca="1" si="4"/>
        <v>205,..,1505</v>
      </c>
      <c r="U171" s="23">
        <f t="shared" ca="1" si="7"/>
        <v>205</v>
      </c>
      <c r="V171" s="23">
        <f t="shared" ca="1" si="7"/>
        <v>1505</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83">
        <f t="shared" si="6"/>
        <v>6</v>
      </c>
      <c r="B172" s="84"/>
      <c r="C172" s="54" t="s">
        <v>95</v>
      </c>
      <c r="D172" s="54" t="s">
        <v>333</v>
      </c>
      <c r="E172" s="6">
        <f>(63.307)*(10.764)</f>
        <v>681.43654800000002</v>
      </c>
      <c r="F172" s="6">
        <f>(6.401+0.75*(1.5+4.1+2.3))*(10.764)</f>
        <v>132.677064</v>
      </c>
      <c r="G172" s="6">
        <v>0</v>
      </c>
      <c r="H172" s="6">
        <f t="shared" si="5"/>
        <v>814.11361199999999</v>
      </c>
      <c r="I172" s="1"/>
      <c r="J172" s="1"/>
      <c r="K172" s="1"/>
      <c r="L172" s="1"/>
      <c r="M172" s="1"/>
      <c r="N172" s="1"/>
      <c r="O172" s="1"/>
      <c r="P172" s="1"/>
      <c r="Q172" s="1"/>
      <c r="R172" s="1"/>
      <c r="S172" s="1"/>
      <c r="T172" s="23" t="str">
        <f t="shared" ca="1" si="4"/>
        <v>206,..,1506</v>
      </c>
      <c r="U172" s="23">
        <f t="shared" ca="1" si="7"/>
        <v>206</v>
      </c>
      <c r="V172" s="23">
        <f t="shared" ca="1" si="7"/>
        <v>1506</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83">
        <f t="shared" si="6"/>
        <v>7</v>
      </c>
      <c r="B173" s="84"/>
      <c r="C173" s="54" t="s">
        <v>95</v>
      </c>
      <c r="D173" s="54" t="s">
        <v>333</v>
      </c>
      <c r="E173" s="6">
        <f>(63.307)*(10.764)</f>
        <v>681.43654800000002</v>
      </c>
      <c r="F173" s="6">
        <f>(6.401+0.75*(1.5+4.1+2.3))*(10.764)</f>
        <v>132.677064</v>
      </c>
      <c r="G173" s="6">
        <v>0</v>
      </c>
      <c r="H173" s="6">
        <f t="shared" si="5"/>
        <v>814.11361199999999</v>
      </c>
      <c r="I173" s="1"/>
      <c r="J173" s="1"/>
      <c r="K173" s="1"/>
      <c r="L173" s="1"/>
      <c r="M173" s="1"/>
      <c r="N173" s="1"/>
      <c r="O173" s="1"/>
      <c r="P173" s="1"/>
      <c r="Q173" s="1"/>
      <c r="R173" s="1"/>
      <c r="S173" s="1"/>
      <c r="T173" s="23" t="str">
        <f t="shared" ca="1" si="4"/>
        <v>207,..,1507</v>
      </c>
      <c r="U173" s="23">
        <f t="shared" ca="1" si="7"/>
        <v>207</v>
      </c>
      <c r="V173" s="23">
        <f t="shared" ca="1" si="7"/>
        <v>1507</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83">
        <f t="shared" si="6"/>
        <v>8</v>
      </c>
      <c r="B174" s="84"/>
      <c r="C174" s="54" t="s">
        <v>95</v>
      </c>
      <c r="D174" s="54" t="s">
        <v>333</v>
      </c>
      <c r="E174" s="6">
        <f>(63.356)*(10.764)</f>
        <v>681.96398399999998</v>
      </c>
      <c r="F174" s="6">
        <f>(6.061+0.75*(1.4+2.7+3.2))*(10.764)</f>
        <v>124.17350399999999</v>
      </c>
      <c r="G174" s="6">
        <v>0</v>
      </c>
      <c r="H174" s="6">
        <f t="shared" si="5"/>
        <v>806.13748799999996</v>
      </c>
      <c r="I174" s="1"/>
      <c r="J174" s="1"/>
      <c r="K174" s="1"/>
      <c r="L174" s="1"/>
      <c r="M174" s="1"/>
      <c r="N174" s="1"/>
      <c r="O174" s="1"/>
      <c r="P174" s="1"/>
      <c r="Q174" s="1"/>
      <c r="R174" s="1"/>
      <c r="S174" s="1"/>
      <c r="T174" s="23" t="str">
        <f t="shared" ca="1" si="4"/>
        <v>208,..,1508</v>
      </c>
      <c r="U174" s="23">
        <f t="shared" ca="1" si="7"/>
        <v>208</v>
      </c>
      <c r="V174" s="23">
        <f t="shared" ca="1" si="7"/>
        <v>1508</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x14ac:dyDescent="0.25">
      <c r="A175" s="79" t="s">
        <v>339</v>
      </c>
      <c r="B175" s="80"/>
      <c r="C175" s="80"/>
      <c r="D175" s="80"/>
      <c r="E175" s="80"/>
      <c r="F175" s="80"/>
      <c r="G175" s="80"/>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82">
        <v>1</v>
      </c>
      <c r="B176" s="82"/>
      <c r="C176" s="54" t="s">
        <v>95</v>
      </c>
      <c r="D176" s="54" t="s">
        <v>333</v>
      </c>
      <c r="E176" s="6">
        <f>(71.869)*(10.764)</f>
        <v>773.59791599999994</v>
      </c>
      <c r="F176" s="6">
        <f>(6.922+0.75*(1.7+2.5+3.3))*(10.764)</f>
        <v>135.05590799999999</v>
      </c>
      <c r="G176" s="6">
        <v>0</v>
      </c>
      <c r="H176" s="6">
        <f>E176+F176+(IF(G176&lt;101,G176,IF(G176&lt;201,G176/2,IF(G176&lt;=301,G176/3,G176/4))))</f>
        <v>908.65382399999999</v>
      </c>
      <c r="I176" s="1"/>
      <c r="J176" s="1"/>
      <c r="K176" s="1"/>
      <c r="L176" s="1"/>
      <c r="M176" s="1"/>
      <c r="N176" s="1"/>
      <c r="O176" s="1"/>
      <c r="P176" s="1"/>
      <c r="Q176" s="1"/>
      <c r="R176" s="1"/>
      <c r="S176" s="1"/>
      <c r="T176" s="23" t="str">
        <f t="shared" ref="T176:T183" ca="1" si="8">U176&amp;""&amp;",..,"&amp;""&amp;V176</f>
        <v>601,..,1601</v>
      </c>
      <c r="U176" s="23">
        <f ca="1">(SUMPRODUCT(MID(0&amp;(LEFT(A175,SUM(LEN(A175)-LEN(SUBSTITUTE(A175,{"0","1","2","3"},""))))), LARGE(INDEX(ISNUMBER(--MID((LEFT(A175,SUM(LEN(A175)-LEN(SUBSTITUTE(A175,{"0","1","2","3"},""))))), ROW(INDIRECT("1:"&amp;LEN((LEFT(A175,SUM(LEN(A175)-LEN(SUBSTITUTE(A175,{"0","1","2","3"},"")))))))), 1)) * ROW(INDIRECT("1:"&amp;LEN((LEFT(A175,SUM(LEN(A175)-LEN(SUBSTITUTE(A175,{"0","1","2","3"},"")))))))), 0), ROW(INDIRECT("1:"&amp;LEN((LEFT(A175,SUM(LEN(A175)-LEN(SUBSTITUTE(A175,{"0","1","2","3"},"")))))))))+1, 1) * 10^ROW(INDIRECT("1:"&amp;LEN((LEFT(A175,SUM(LEN(A175)-LEN(SUBSTITUTE(A175,{"0","1","2","3"},""))))))))/10))*100+1</f>
        <v>601</v>
      </c>
      <c r="V176" s="23">
        <f ca="1">(SUMPRODUCT(MID(0&amp;(--TRIM(RIGHT(SUBSTITUTE(LEFT(A175,_xlfn.AGGREGATE(16,6,FIND({0,1,2,3,4,5,6,7,8,9},A175,ROW(INDIRECT("1:"&amp;LEN(A175)))),1)),"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",LEN(A175))),LEN(A175)))))))/10))*100+1</f>
        <v>1601</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83">
        <f>A176+1</f>
        <v>2</v>
      </c>
      <c r="B177" s="84"/>
      <c r="C177" s="54" t="s">
        <v>95</v>
      </c>
      <c r="D177" s="54" t="s">
        <v>333</v>
      </c>
      <c r="E177" s="6">
        <f>(71.958)*(10.764)</f>
        <v>774.55591199999992</v>
      </c>
      <c r="F177" s="6">
        <f>(7.122+0.75*(1.7+4.1+2.2))*(10.764)</f>
        <v>141.24520799999999</v>
      </c>
      <c r="G177" s="6">
        <v>0</v>
      </c>
      <c r="H177" s="6">
        <f t="shared" ref="H177:H183" si="9">E177+F177+(IF(G177&lt;101,G177,IF(G177&lt;201,G177/2,IF(G177&lt;=301,G177/3,G177/4))))</f>
        <v>915.80111999999986</v>
      </c>
      <c r="I177" s="1"/>
      <c r="J177" s="1"/>
      <c r="K177" s="1"/>
      <c r="L177" s="1"/>
      <c r="M177" s="1"/>
      <c r="N177" s="1"/>
      <c r="O177" s="1"/>
      <c r="P177" s="1"/>
      <c r="Q177" s="1"/>
      <c r="R177" s="1"/>
      <c r="S177" s="1"/>
      <c r="T177" s="23" t="str">
        <f t="shared" ca="1" si="8"/>
        <v>602,..,1602</v>
      </c>
      <c r="U177" s="23">
        <f ca="1">U176+1</f>
        <v>602</v>
      </c>
      <c r="V177" s="23">
        <f ca="1">V176+1</f>
        <v>1602</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83">
        <f t="shared" ref="A178:A183" si="10">A177+1</f>
        <v>3</v>
      </c>
      <c r="B178" s="84"/>
      <c r="C178" s="54" t="s">
        <v>95</v>
      </c>
      <c r="D178" s="54" t="s">
        <v>333</v>
      </c>
      <c r="E178" s="6">
        <f>(71.958)*(10.764)</f>
        <v>774.55591199999992</v>
      </c>
      <c r="F178" s="6">
        <f>(7.122+0.75*(1.7+4.1+2.2))*(10.764)</f>
        <v>141.24520799999999</v>
      </c>
      <c r="G178" s="6">
        <v>0</v>
      </c>
      <c r="H178" s="6">
        <f t="shared" si="9"/>
        <v>915.80111999999986</v>
      </c>
      <c r="I178" s="1"/>
      <c r="J178" s="1"/>
      <c r="K178" s="1"/>
      <c r="L178" s="1"/>
      <c r="M178" s="1"/>
      <c r="N178" s="1"/>
      <c r="O178" s="1"/>
      <c r="P178" s="1"/>
      <c r="Q178" s="1"/>
      <c r="R178" s="1"/>
      <c r="S178" s="1"/>
      <c r="T178" s="23" t="str">
        <f t="shared" ca="1" si="8"/>
        <v>603,..,1603</v>
      </c>
      <c r="U178" s="23">
        <f t="shared" ref="U178:V183" ca="1" si="11">U177+1</f>
        <v>603</v>
      </c>
      <c r="V178" s="23">
        <f t="shared" ca="1" si="11"/>
        <v>1603</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83">
        <f t="shared" si="10"/>
        <v>4</v>
      </c>
      <c r="B179" s="84"/>
      <c r="C179" s="54" t="s">
        <v>95</v>
      </c>
      <c r="D179" s="54" t="s">
        <v>333</v>
      </c>
      <c r="E179" s="6">
        <f>(71.869)*(10.764)</f>
        <v>773.59791599999994</v>
      </c>
      <c r="F179" s="6">
        <f>(6.922+0.75*(1.7+2.5+3.3))*(10.764)</f>
        <v>135.05590799999999</v>
      </c>
      <c r="G179" s="6">
        <v>0</v>
      </c>
      <c r="H179" s="6">
        <f t="shared" si="9"/>
        <v>908.65382399999999</v>
      </c>
      <c r="I179" s="1"/>
      <c r="J179" s="1"/>
      <c r="K179" s="1"/>
      <c r="L179" s="1"/>
      <c r="M179" s="1"/>
      <c r="N179" s="1"/>
      <c r="O179" s="1"/>
      <c r="P179" s="1"/>
      <c r="Q179" s="1"/>
      <c r="R179" s="1"/>
      <c r="S179" s="1"/>
      <c r="T179" s="23" t="str">
        <f t="shared" ca="1" si="8"/>
        <v>604,..,1604</v>
      </c>
      <c r="U179" s="23">
        <f t="shared" ca="1" si="11"/>
        <v>604</v>
      </c>
      <c r="V179" s="23">
        <f t="shared" ca="1" si="11"/>
        <v>1604</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25">
      <c r="A180" s="83">
        <f t="shared" si="10"/>
        <v>5</v>
      </c>
      <c r="B180" s="84"/>
      <c r="C180" s="54" t="s">
        <v>95</v>
      </c>
      <c r="D180" s="54" t="s">
        <v>333</v>
      </c>
      <c r="E180" s="6">
        <f>(63.356)*(10.764)</f>
        <v>681.96398399999998</v>
      </c>
      <c r="F180" s="6">
        <f>(6.061+0.75*(1.4+2.7+3.2))*(10.764)</f>
        <v>124.17350399999999</v>
      </c>
      <c r="G180" s="6">
        <v>0</v>
      </c>
      <c r="H180" s="6">
        <f t="shared" si="9"/>
        <v>806.13748799999996</v>
      </c>
      <c r="I180" s="1"/>
      <c r="J180" s="1"/>
      <c r="K180" s="1"/>
      <c r="L180" s="1"/>
      <c r="M180" s="1"/>
      <c r="N180" s="1"/>
      <c r="O180" s="1"/>
      <c r="P180" s="1"/>
      <c r="Q180" s="1"/>
      <c r="R180" s="1"/>
      <c r="S180" s="1"/>
      <c r="T180" s="23" t="str">
        <f t="shared" ca="1" si="8"/>
        <v>605,..,1605</v>
      </c>
      <c r="U180" s="23">
        <f t="shared" ca="1" si="11"/>
        <v>605</v>
      </c>
      <c r="V180" s="23">
        <f t="shared" ca="1" si="11"/>
        <v>1605</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83">
        <f t="shared" si="10"/>
        <v>6</v>
      </c>
      <c r="B181" s="84"/>
      <c r="C181" s="54" t="s">
        <v>95</v>
      </c>
      <c r="D181" s="54" t="s">
        <v>333</v>
      </c>
      <c r="E181" s="6">
        <f>(63.31)*(10.764)</f>
        <v>681.46884</v>
      </c>
      <c r="F181" s="6">
        <f>(6.401+0.75*(1.5+4.1+2.3))*(10.764)</f>
        <v>132.677064</v>
      </c>
      <c r="G181" s="6">
        <v>0</v>
      </c>
      <c r="H181" s="6">
        <f t="shared" si="9"/>
        <v>814.14590399999997</v>
      </c>
      <c r="I181" s="1"/>
      <c r="J181" s="1"/>
      <c r="K181" s="1"/>
      <c r="L181" s="1"/>
      <c r="M181" s="1"/>
      <c r="N181" s="1"/>
      <c r="O181" s="1"/>
      <c r="P181" s="1"/>
      <c r="Q181" s="1"/>
      <c r="R181" s="1"/>
      <c r="S181" s="1"/>
      <c r="T181" s="23" t="str">
        <f t="shared" ca="1" si="8"/>
        <v>606,..,1606</v>
      </c>
      <c r="U181" s="23">
        <f t="shared" ca="1" si="11"/>
        <v>606</v>
      </c>
      <c r="V181" s="23">
        <f t="shared" ca="1" si="11"/>
        <v>1606</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83">
        <f t="shared" si="10"/>
        <v>7</v>
      </c>
      <c r="B182" s="84"/>
      <c r="C182" s="54"/>
      <c r="D182" s="88" t="s">
        <v>338</v>
      </c>
      <c r="E182" s="89"/>
      <c r="F182" s="89"/>
      <c r="G182" s="89"/>
      <c r="H182" s="90"/>
      <c r="I182" s="1"/>
      <c r="J182" s="1"/>
      <c r="K182" s="1"/>
      <c r="L182" s="1"/>
      <c r="M182" s="1"/>
      <c r="N182" s="1"/>
      <c r="O182" s="1"/>
      <c r="P182" s="1"/>
      <c r="Q182" s="1"/>
      <c r="R182" s="1"/>
      <c r="S182" s="1"/>
      <c r="T182" s="23" t="str">
        <f t="shared" ca="1" si="8"/>
        <v>607,..,1607</v>
      </c>
      <c r="U182" s="23">
        <f t="shared" ca="1" si="11"/>
        <v>607</v>
      </c>
      <c r="V182" s="23">
        <f t="shared" ca="1" si="11"/>
        <v>1607</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83">
        <f t="shared" si="10"/>
        <v>8</v>
      </c>
      <c r="B183" s="84"/>
      <c r="C183" s="54" t="s">
        <v>95</v>
      </c>
      <c r="D183" s="54" t="s">
        <v>336</v>
      </c>
      <c r="E183" s="6">
        <f>(73.749)*(10.764)</f>
        <v>793.83423599999992</v>
      </c>
      <c r="F183" s="6">
        <f>(6.065+0.75*(1.4+3.2+2.6+1.4))*(10.764)</f>
        <v>134.71145999999999</v>
      </c>
      <c r="G183" s="6">
        <v>0</v>
      </c>
      <c r="H183" s="6">
        <f t="shared" si="9"/>
        <v>928.54569599999991</v>
      </c>
      <c r="I183" s="1"/>
      <c r="J183" s="1"/>
      <c r="K183" s="1"/>
      <c r="L183" s="1"/>
      <c r="M183" s="1"/>
      <c r="N183" s="1"/>
      <c r="O183" s="1"/>
      <c r="P183" s="1"/>
      <c r="Q183" s="1"/>
      <c r="R183" s="1"/>
      <c r="S183" s="1"/>
      <c r="T183" s="23" t="str">
        <f t="shared" ca="1" si="8"/>
        <v>608,..,1608</v>
      </c>
      <c r="U183" s="23">
        <f t="shared" ca="1" si="11"/>
        <v>608</v>
      </c>
      <c r="V183" s="23">
        <f t="shared" ca="1" si="11"/>
        <v>1608</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40.5" customHeight="1" x14ac:dyDescent="0.25">
      <c r="A184" s="79" t="s">
        <v>341</v>
      </c>
      <c r="B184" s="80"/>
      <c r="C184" s="80"/>
      <c r="D184" s="80"/>
      <c r="E184" s="80"/>
      <c r="F184" s="80"/>
      <c r="G184" s="80"/>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82">
        <v>1</v>
      </c>
      <c r="B185" s="82"/>
      <c r="C185" s="54" t="s">
        <v>95</v>
      </c>
      <c r="D185" s="54" t="s">
        <v>333</v>
      </c>
      <c r="E185" s="6">
        <f>(72.457)*(10.764)</f>
        <v>779.92714799999987</v>
      </c>
      <c r="F185" s="6">
        <f>(6.922+0.75*(1.7+2.5+3.3))*(10.764)</f>
        <v>135.05590799999999</v>
      </c>
      <c r="G185" s="6">
        <v>0</v>
      </c>
      <c r="H185" s="6">
        <f>E185+F185+(IF(G185&lt;101,G185,IF(G185&lt;201,G185/2,IF(G185&lt;=301,G185/3,G185/4))))</f>
        <v>914.98305599999981</v>
      </c>
      <c r="I185" s="1"/>
      <c r="J185" s="1"/>
      <c r="K185" s="1"/>
      <c r="L185" s="1"/>
      <c r="M185" s="1"/>
      <c r="N185" s="1"/>
      <c r="O185" s="1"/>
      <c r="P185" s="1"/>
      <c r="Q185" s="1"/>
      <c r="R185" s="1"/>
      <c r="S185" s="1"/>
      <c r="T185" s="23" t="str">
        <f t="shared" ref="T185:T192" ca="1" si="12">U185&amp;""&amp;",..,"&amp;""&amp;V185</f>
        <v>17202201,..,5501</v>
      </c>
      <c r="U185" s="23">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17202201</v>
      </c>
      <c r="V185" s="23">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5501</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83">
        <f>A185+1</f>
        <v>2</v>
      </c>
      <c r="B186" s="84"/>
      <c r="C186" s="54" t="s">
        <v>95</v>
      </c>
      <c r="D186" s="54" t="s">
        <v>333</v>
      </c>
      <c r="E186" s="6">
        <f>(71.958)*(10.764)</f>
        <v>774.55591199999992</v>
      </c>
      <c r="F186" s="6">
        <f>(7.122+0.75*(1.7+4.1+2.2))*(10.764)</f>
        <v>141.24520799999999</v>
      </c>
      <c r="G186" s="6">
        <v>0</v>
      </c>
      <c r="H186" s="6">
        <f t="shared" ref="H186:H192" si="13">E186+F186+(IF(G186&lt;101,G186,IF(G186&lt;201,G186/2,IF(G186&lt;=301,G186/3,G186/4))))</f>
        <v>915.80111999999986</v>
      </c>
      <c r="I186" s="1"/>
      <c r="J186" s="1"/>
      <c r="K186" s="1"/>
      <c r="L186" s="1"/>
      <c r="M186" s="1"/>
      <c r="N186" s="1"/>
      <c r="O186" s="1"/>
      <c r="P186" s="1"/>
      <c r="Q186" s="1"/>
      <c r="R186" s="1"/>
      <c r="S186" s="1"/>
      <c r="T186" s="23" t="str">
        <f t="shared" ca="1" si="12"/>
        <v>17202202,..,5502</v>
      </c>
      <c r="U186" s="23">
        <f ca="1">U185+1</f>
        <v>17202202</v>
      </c>
      <c r="V186" s="23">
        <f ca="1">V185+1</f>
        <v>5502</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83">
        <f t="shared" ref="A187:A192" si="14">A186+1</f>
        <v>3</v>
      </c>
      <c r="B187" s="84"/>
      <c r="C187" s="54" t="s">
        <v>95</v>
      </c>
      <c r="D187" s="54" t="s">
        <v>333</v>
      </c>
      <c r="E187" s="6">
        <f>(71.958)*(10.764)</f>
        <v>774.55591199999992</v>
      </c>
      <c r="F187" s="6">
        <f>(7.122+0.75*(1.7+4.1+2.2))*(10.764)</f>
        <v>141.24520799999999</v>
      </c>
      <c r="G187" s="6">
        <v>0</v>
      </c>
      <c r="H187" s="6">
        <f t="shared" si="13"/>
        <v>915.80111999999986</v>
      </c>
      <c r="I187" s="1"/>
      <c r="J187" s="1"/>
      <c r="K187" s="1"/>
      <c r="L187" s="1"/>
      <c r="M187" s="1"/>
      <c r="N187" s="1"/>
      <c r="O187" s="1"/>
      <c r="P187" s="1"/>
      <c r="Q187" s="1"/>
      <c r="R187" s="1"/>
      <c r="S187" s="1"/>
      <c r="T187" s="23" t="str">
        <f t="shared" ca="1" si="12"/>
        <v>17202203,..,5503</v>
      </c>
      <c r="U187" s="23">
        <f t="shared" ref="U187:V192" ca="1" si="15">U186+1</f>
        <v>17202203</v>
      </c>
      <c r="V187" s="23">
        <f t="shared" ca="1" si="15"/>
        <v>5503</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25">
      <c r="A188" s="83">
        <f t="shared" si="14"/>
        <v>4</v>
      </c>
      <c r="B188" s="84"/>
      <c r="C188" s="54" t="s">
        <v>95</v>
      </c>
      <c r="D188" s="54" t="s">
        <v>333</v>
      </c>
      <c r="E188" s="6">
        <f>(72.457)*(10.764)</f>
        <v>779.92714799999987</v>
      </c>
      <c r="F188" s="6">
        <f>(6.922+0.75*(1.7+2.5+3.3))*(10.764)</f>
        <v>135.05590799999999</v>
      </c>
      <c r="G188" s="6">
        <v>0</v>
      </c>
      <c r="H188" s="6">
        <f t="shared" si="13"/>
        <v>914.98305599999981</v>
      </c>
      <c r="I188" s="1"/>
      <c r="J188" s="1"/>
      <c r="K188" s="1"/>
      <c r="L188" s="1"/>
      <c r="M188" s="1"/>
      <c r="N188" s="1"/>
      <c r="O188" s="1"/>
      <c r="P188" s="1"/>
      <c r="Q188" s="1"/>
      <c r="R188" s="1"/>
      <c r="S188" s="1"/>
      <c r="T188" s="23" t="str">
        <f t="shared" ca="1" si="12"/>
        <v>17202204,..,5504</v>
      </c>
      <c r="U188" s="23">
        <f t="shared" ca="1" si="15"/>
        <v>17202204</v>
      </c>
      <c r="V188" s="23">
        <f t="shared" ca="1" si="15"/>
        <v>5504</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25">
      <c r="A189" s="83">
        <f t="shared" si="14"/>
        <v>5</v>
      </c>
      <c r="B189" s="84"/>
      <c r="C189" s="54" t="s">
        <v>95</v>
      </c>
      <c r="D189" s="54" t="s">
        <v>333</v>
      </c>
      <c r="E189" s="6">
        <f>(63.868)*(10.764)</f>
        <v>687.47515199999998</v>
      </c>
      <c r="F189" s="6">
        <f>(6.061+0.75*(1.4+2.7+3.2))*(10.764)</f>
        <v>124.17350399999999</v>
      </c>
      <c r="G189" s="6">
        <v>0</v>
      </c>
      <c r="H189" s="6">
        <f t="shared" si="13"/>
        <v>811.64865599999996</v>
      </c>
      <c r="I189" s="1"/>
      <c r="J189" s="1"/>
      <c r="K189" s="1"/>
      <c r="L189" s="1"/>
      <c r="M189" s="1"/>
      <c r="N189" s="1"/>
      <c r="O189" s="1"/>
      <c r="P189" s="1"/>
      <c r="Q189" s="1"/>
      <c r="R189" s="1"/>
      <c r="S189" s="1"/>
      <c r="T189" s="23" t="str">
        <f t="shared" ca="1" si="12"/>
        <v>17202205,..,5505</v>
      </c>
      <c r="U189" s="23">
        <f t="shared" ca="1" si="15"/>
        <v>17202205</v>
      </c>
      <c r="V189" s="23">
        <f t="shared" ca="1" si="15"/>
        <v>5505</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25">
      <c r="A190" s="83">
        <f t="shared" si="14"/>
        <v>6</v>
      </c>
      <c r="B190" s="84"/>
      <c r="C190" s="54" t="s">
        <v>95</v>
      </c>
      <c r="D190" s="54" t="s">
        <v>333</v>
      </c>
      <c r="E190" s="6">
        <f>(63.307)*(10.764)</f>
        <v>681.43654800000002</v>
      </c>
      <c r="F190" s="6">
        <f>(6.401+0.75*(1.5+4.1+2.3))*(10.764)</f>
        <v>132.677064</v>
      </c>
      <c r="G190" s="6">
        <v>0</v>
      </c>
      <c r="H190" s="6">
        <f t="shared" si="13"/>
        <v>814.11361199999999</v>
      </c>
      <c r="I190" s="1"/>
      <c r="J190" s="1"/>
      <c r="K190" s="1"/>
      <c r="L190" s="1"/>
      <c r="M190" s="1"/>
      <c r="N190" s="1"/>
      <c r="O190" s="1"/>
      <c r="P190" s="1"/>
      <c r="Q190" s="1"/>
      <c r="R190" s="1"/>
      <c r="S190" s="1"/>
      <c r="T190" s="23" t="str">
        <f t="shared" ca="1" si="12"/>
        <v>17202206,..,5506</v>
      </c>
      <c r="U190" s="23">
        <f t="shared" ca="1" si="15"/>
        <v>17202206</v>
      </c>
      <c r="V190" s="23">
        <f t="shared" ca="1" si="15"/>
        <v>5506</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25">
      <c r="A191" s="83">
        <f t="shared" si="14"/>
        <v>7</v>
      </c>
      <c r="B191" s="84"/>
      <c r="C191" s="54" t="s">
        <v>95</v>
      </c>
      <c r="D191" s="54" t="s">
        <v>333</v>
      </c>
      <c r="E191" s="6">
        <f>(63.307)*(10.764)</f>
        <v>681.43654800000002</v>
      </c>
      <c r="F191" s="6">
        <f>(6.401+0.75*(1.5+4.1+2.3))*(10.764)</f>
        <v>132.677064</v>
      </c>
      <c r="G191" s="6">
        <v>0</v>
      </c>
      <c r="H191" s="6">
        <f t="shared" si="13"/>
        <v>814.11361199999999</v>
      </c>
      <c r="I191" s="1"/>
      <c r="J191" s="1"/>
      <c r="K191" s="1"/>
      <c r="L191" s="1"/>
      <c r="M191" s="1"/>
      <c r="N191" s="1"/>
      <c r="O191" s="1"/>
      <c r="P191" s="1"/>
      <c r="Q191" s="1"/>
      <c r="R191" s="1"/>
      <c r="S191" s="1"/>
      <c r="T191" s="23" t="str">
        <f t="shared" ca="1" si="12"/>
        <v>17202207,..,5507</v>
      </c>
      <c r="U191" s="23">
        <f t="shared" ca="1" si="15"/>
        <v>17202207</v>
      </c>
      <c r="V191" s="23">
        <f t="shared" ca="1" si="15"/>
        <v>5507</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83">
        <f t="shared" si="14"/>
        <v>8</v>
      </c>
      <c r="B192" s="84"/>
      <c r="C192" s="54" t="s">
        <v>95</v>
      </c>
      <c r="D192" s="54" t="s">
        <v>333</v>
      </c>
      <c r="E192" s="6">
        <f>(63.864)*(10.764)</f>
        <v>687.43209599999989</v>
      </c>
      <c r="F192" s="6">
        <f>(6.065+0.75*(1.4+2.7+3.2))*(10.764)</f>
        <v>124.21655999999999</v>
      </c>
      <c r="G192" s="6">
        <v>0</v>
      </c>
      <c r="H192" s="6">
        <f t="shared" si="13"/>
        <v>811.64865599999985</v>
      </c>
      <c r="I192" s="1"/>
      <c r="J192" s="1"/>
      <c r="K192" s="1"/>
      <c r="L192" s="1"/>
      <c r="M192" s="1"/>
      <c r="N192" s="1"/>
      <c r="O192" s="1"/>
      <c r="P192" s="1"/>
      <c r="Q192" s="1"/>
      <c r="R192" s="1"/>
      <c r="S192" s="1"/>
      <c r="T192" s="23" t="str">
        <f t="shared" ca="1" si="12"/>
        <v>17202208,..,5508</v>
      </c>
      <c r="U192" s="23">
        <f t="shared" ca="1" si="15"/>
        <v>17202208</v>
      </c>
      <c r="V192" s="23">
        <f t="shared" ca="1" si="15"/>
        <v>5508</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79" t="s">
        <v>342</v>
      </c>
      <c r="B193" s="80"/>
      <c r="C193" s="80"/>
      <c r="D193" s="80"/>
      <c r="E193" s="80"/>
      <c r="F193" s="80"/>
      <c r="G193" s="80"/>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82">
        <v>1</v>
      </c>
      <c r="B194" s="82"/>
      <c r="C194" s="54" t="s">
        <v>95</v>
      </c>
      <c r="D194" s="54" t="s">
        <v>333</v>
      </c>
      <c r="E194" s="6">
        <f>(72.457)*(10.764)</f>
        <v>779.92714799999987</v>
      </c>
      <c r="F194" s="6">
        <f>(6.922+0.75*(1.7+2.5+3.3))*(10.764)</f>
        <v>135.05590799999999</v>
      </c>
      <c r="G194" s="6">
        <v>0</v>
      </c>
      <c r="H194" s="6">
        <f>E194+F194+(IF(G194&lt;101,G194,IF(G194&lt;201,G194/2,IF(G194&lt;=301,G194/3,G194/4))))</f>
        <v>914.98305599999981</v>
      </c>
      <c r="I194" s="1"/>
      <c r="J194" s="1"/>
      <c r="K194" s="1"/>
      <c r="L194" s="1"/>
      <c r="M194" s="1"/>
      <c r="N194" s="1"/>
      <c r="O194" s="1"/>
      <c r="P194" s="1"/>
      <c r="Q194" s="1"/>
      <c r="R194" s="1"/>
      <c r="S194" s="1"/>
      <c r="T194" s="23" t="str">
        <f t="shared" ref="T194:T201" ca="1" si="16">U194&amp;""&amp;",..,"&amp;""&amp;V194</f>
        <v>2101,..,5601</v>
      </c>
      <c r="U194" s="23">
        <f ca="1">(SUMPRODUCT(MID(0&amp;(LEFT(A193,SUM(LEN(A193)-LEN(SUBSTITUTE(A193,{"0","1","2","3"},""))))), LARGE(INDEX(ISNUMBER(--MID((LEFT(A193,SUM(LEN(A193)-LEN(SUBSTITUTE(A193,{"0","1","2","3"},""))))), ROW(INDIRECT("1:"&amp;LEN((LEFT(A193,SUM(LEN(A193)-LEN(SUBSTITUTE(A193,{"0","1","2","3"},"")))))))), 1)) * ROW(INDIRECT("1:"&amp;LEN((LEFT(A193,SUM(LEN(A193)-LEN(SUBSTITUTE(A193,{"0","1","2","3"},"")))))))), 0), ROW(INDIRECT("1:"&amp;LEN((LEFT(A193,SUM(LEN(A193)-LEN(SUBSTITUTE(A193,{"0","1","2","3"},"")))))))))+1, 1) * 10^ROW(INDIRECT("1:"&amp;LEN((LEFT(A193,SUM(LEN(A193)-LEN(SUBSTITUTE(A193,{"0","1","2","3"},""))))))))/10))*100+1</f>
        <v>2101</v>
      </c>
      <c r="V194" s="23">
        <f ca="1">(SUMPRODUCT(MID(0&amp;(--TRIM(RIGHT(SUBSTITUTE(LEFT(A193,_xlfn.AGGREGATE(16,6,FIND({0,1,2,3,4,5,6,7,8,9},A193,ROW(INDIRECT("1:"&amp;LEN(A193)))),1)),"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5601</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83">
        <f>A194+1</f>
        <v>2</v>
      </c>
      <c r="B195" s="84"/>
      <c r="C195" s="54" t="s">
        <v>95</v>
      </c>
      <c r="D195" s="54" t="s">
        <v>333</v>
      </c>
      <c r="E195" s="6">
        <f>(71.958)*(10.764)</f>
        <v>774.55591199999992</v>
      </c>
      <c r="F195" s="6">
        <f>(7.122+0.75*(1.7+4.1+2.2))*(10.764)</f>
        <v>141.24520799999999</v>
      </c>
      <c r="G195" s="6">
        <v>0</v>
      </c>
      <c r="H195" s="6">
        <f t="shared" ref="H195:H201" si="17">E195+F195+(IF(G195&lt;101,G195,IF(G195&lt;201,G195/2,IF(G195&lt;=301,G195/3,G195/4))))</f>
        <v>915.80111999999986</v>
      </c>
      <c r="I195" s="1"/>
      <c r="J195" s="1"/>
      <c r="K195" s="1"/>
      <c r="L195" s="1"/>
      <c r="M195" s="1"/>
      <c r="N195" s="1"/>
      <c r="O195" s="1"/>
      <c r="P195" s="1"/>
      <c r="Q195" s="1"/>
      <c r="R195" s="1"/>
      <c r="S195" s="1"/>
      <c r="T195" s="23" t="str">
        <f t="shared" ca="1" si="16"/>
        <v>2102,..,5602</v>
      </c>
      <c r="U195" s="23">
        <f ca="1">U194+1</f>
        <v>2102</v>
      </c>
      <c r="V195" s="23">
        <f ca="1">V194+1</f>
        <v>5602</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83">
        <f t="shared" ref="A196:A201" si="18">A195+1</f>
        <v>3</v>
      </c>
      <c r="B196" s="84"/>
      <c r="C196" s="54" t="s">
        <v>95</v>
      </c>
      <c r="D196" s="54" t="s">
        <v>333</v>
      </c>
      <c r="E196" s="6">
        <f>(71.958)*(10.764)</f>
        <v>774.55591199999992</v>
      </c>
      <c r="F196" s="6">
        <f>(7.122+0.75*(1.7+4.1+2.2))*(10.764)</f>
        <v>141.24520799999999</v>
      </c>
      <c r="G196" s="6">
        <v>0</v>
      </c>
      <c r="H196" s="6">
        <f t="shared" si="17"/>
        <v>915.80111999999986</v>
      </c>
      <c r="I196" s="1"/>
      <c r="J196" s="1"/>
      <c r="K196" s="1"/>
      <c r="L196" s="1"/>
      <c r="M196" s="1"/>
      <c r="N196" s="1"/>
      <c r="O196" s="1"/>
      <c r="P196" s="1"/>
      <c r="Q196" s="1"/>
      <c r="R196" s="1"/>
      <c r="S196" s="1"/>
      <c r="T196" s="23" t="str">
        <f t="shared" ca="1" si="16"/>
        <v>2103,..,5603</v>
      </c>
      <c r="U196" s="23">
        <f t="shared" ref="U196:V196" ca="1" si="19">U195+1</f>
        <v>2103</v>
      </c>
      <c r="V196" s="23">
        <f t="shared" ca="1" si="19"/>
        <v>5603</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83">
        <f t="shared" si="18"/>
        <v>4</v>
      </c>
      <c r="B197" s="84"/>
      <c r="C197" s="54" t="s">
        <v>95</v>
      </c>
      <c r="D197" s="54" t="s">
        <v>333</v>
      </c>
      <c r="E197" s="6">
        <f>(72.457)*(10.764)</f>
        <v>779.92714799999987</v>
      </c>
      <c r="F197" s="6">
        <f>(6.922+0.75*(1.7+2.5+3.3))*(10.764)</f>
        <v>135.05590799999999</v>
      </c>
      <c r="G197" s="6">
        <v>0</v>
      </c>
      <c r="H197" s="6">
        <f t="shared" si="17"/>
        <v>914.98305599999981</v>
      </c>
      <c r="I197" s="1"/>
      <c r="J197" s="1"/>
      <c r="K197" s="1"/>
      <c r="L197" s="1"/>
      <c r="M197" s="1"/>
      <c r="N197" s="1"/>
      <c r="O197" s="1"/>
      <c r="P197" s="1"/>
      <c r="Q197" s="1"/>
      <c r="R197" s="1"/>
      <c r="S197" s="1"/>
      <c r="T197" s="23" t="str">
        <f t="shared" ca="1" si="16"/>
        <v>2104,..,5604</v>
      </c>
      <c r="U197" s="23">
        <f t="shared" ref="U197:V197" ca="1" si="20">U196+1</f>
        <v>2104</v>
      </c>
      <c r="V197" s="23">
        <f t="shared" ca="1" si="20"/>
        <v>5604</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83">
        <f t="shared" si="18"/>
        <v>5</v>
      </c>
      <c r="B198" s="84"/>
      <c r="C198" s="54" t="s">
        <v>95</v>
      </c>
      <c r="D198" s="54" t="s">
        <v>333</v>
      </c>
      <c r="E198" s="6">
        <f>(63.869)*(10.764)</f>
        <v>687.48591599999997</v>
      </c>
      <c r="F198" s="6">
        <f>(6.061+0.75*(1.4+2.7+3.2))*(10.764)</f>
        <v>124.17350399999999</v>
      </c>
      <c r="G198" s="6">
        <v>0</v>
      </c>
      <c r="H198" s="6">
        <f t="shared" si="17"/>
        <v>811.65941999999995</v>
      </c>
      <c r="I198" s="1"/>
      <c r="J198" s="1"/>
      <c r="K198" s="1"/>
      <c r="L198" s="1"/>
      <c r="M198" s="1"/>
      <c r="N198" s="1"/>
      <c r="O198" s="1"/>
      <c r="P198" s="1"/>
      <c r="Q198" s="1"/>
      <c r="R198" s="1"/>
      <c r="S198" s="1"/>
      <c r="T198" s="23" t="str">
        <f t="shared" ca="1" si="16"/>
        <v>2105,..,5605</v>
      </c>
      <c r="U198" s="23">
        <f t="shared" ref="U198:V198" ca="1" si="21">U197+1</f>
        <v>2105</v>
      </c>
      <c r="V198" s="23">
        <f t="shared" ca="1" si="21"/>
        <v>5605</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83">
        <f t="shared" si="18"/>
        <v>6</v>
      </c>
      <c r="B199" s="84"/>
      <c r="C199" s="54" t="s">
        <v>95</v>
      </c>
      <c r="D199" s="54" t="s">
        <v>333</v>
      </c>
      <c r="E199" s="6">
        <f>(63.307)*(10.764)</f>
        <v>681.43654800000002</v>
      </c>
      <c r="F199" s="6">
        <f>(6.401+0.75*(1.5+4.1+2.3))*(10.764)</f>
        <v>132.677064</v>
      </c>
      <c r="G199" s="6">
        <v>0</v>
      </c>
      <c r="H199" s="6">
        <f t="shared" si="17"/>
        <v>814.11361199999999</v>
      </c>
      <c r="I199" s="1"/>
      <c r="J199" s="1"/>
      <c r="K199" s="1"/>
      <c r="L199" s="1"/>
      <c r="M199" s="1"/>
      <c r="N199" s="1"/>
      <c r="O199" s="1"/>
      <c r="P199" s="1"/>
      <c r="Q199" s="1"/>
      <c r="R199" s="1"/>
      <c r="S199" s="1"/>
      <c r="T199" s="23" t="str">
        <f t="shared" ca="1" si="16"/>
        <v>2106,..,5606</v>
      </c>
      <c r="U199" s="23">
        <f t="shared" ref="U199:V199" ca="1" si="22">U198+1</f>
        <v>2106</v>
      </c>
      <c r="V199" s="23">
        <f t="shared" ca="1" si="22"/>
        <v>5606</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25">
      <c r="A200" s="83">
        <f t="shared" si="18"/>
        <v>7</v>
      </c>
      <c r="B200" s="84"/>
      <c r="C200" s="54" t="s">
        <v>95</v>
      </c>
      <c r="D200" s="88" t="s">
        <v>338</v>
      </c>
      <c r="E200" s="89"/>
      <c r="F200" s="89"/>
      <c r="G200" s="89"/>
      <c r="H200" s="90"/>
      <c r="I200" s="1"/>
      <c r="J200" s="1"/>
      <c r="K200" s="1"/>
      <c r="L200" s="1"/>
      <c r="M200" s="1"/>
      <c r="N200" s="1"/>
      <c r="O200" s="1"/>
      <c r="P200" s="1"/>
      <c r="Q200" s="1"/>
      <c r="R200" s="1"/>
      <c r="S200" s="1"/>
      <c r="T200" s="23" t="str">
        <f t="shared" ca="1" si="16"/>
        <v>2107,..,5607</v>
      </c>
      <c r="U200" s="23">
        <f t="shared" ref="U200:V200" ca="1" si="23">U199+1</f>
        <v>2107</v>
      </c>
      <c r="V200" s="23">
        <f t="shared" ca="1" si="23"/>
        <v>5607</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83">
        <f t="shared" si="18"/>
        <v>8</v>
      </c>
      <c r="B201" s="84"/>
      <c r="C201" s="54" t="s">
        <v>95</v>
      </c>
      <c r="D201" s="54" t="s">
        <v>336</v>
      </c>
      <c r="E201" s="6">
        <f>(74.721)*(10.764)</f>
        <v>804.29684399999996</v>
      </c>
      <c r="F201" s="6">
        <f>(6.065+0.75*(1.4+2.7+3.2+1.4))*(10.764)</f>
        <v>135.51875999999999</v>
      </c>
      <c r="G201" s="6">
        <v>0</v>
      </c>
      <c r="H201" s="6">
        <f t="shared" si="17"/>
        <v>939.81560399999989</v>
      </c>
      <c r="I201" s="1"/>
      <c r="J201" s="1"/>
      <c r="K201" s="1"/>
      <c r="L201" s="1"/>
      <c r="M201" s="1"/>
      <c r="N201" s="1"/>
      <c r="O201" s="1"/>
      <c r="P201" s="1"/>
      <c r="Q201" s="1"/>
      <c r="R201" s="1"/>
      <c r="S201" s="1"/>
      <c r="T201" s="23" t="str">
        <f t="shared" ca="1" si="16"/>
        <v>2108,..,5608</v>
      </c>
      <c r="U201" s="23">
        <f t="shared" ref="U201:V201" ca="1" si="24">U200+1</f>
        <v>2108</v>
      </c>
      <c r="V201" s="23">
        <f t="shared" ca="1" si="24"/>
        <v>5608</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x14ac:dyDescent="0.25">
      <c r="A202" s="79" t="s">
        <v>343</v>
      </c>
      <c r="B202" s="80"/>
      <c r="C202" s="80"/>
      <c r="D202" s="80"/>
      <c r="E202" s="80"/>
      <c r="F202" s="80"/>
      <c r="G202" s="80"/>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82">
        <v>1</v>
      </c>
      <c r="B203" s="82"/>
      <c r="C203" s="54" t="s">
        <v>95</v>
      </c>
      <c r="D203" s="54" t="s">
        <v>333</v>
      </c>
      <c r="E203" s="6">
        <f>(72.457)*(10.764)</f>
        <v>779.92714799999987</v>
      </c>
      <c r="F203" s="6">
        <f>(6.922+0.75*(1.7+2.5+3.3))*(10.764)</f>
        <v>135.05590799999999</v>
      </c>
      <c r="G203" s="6">
        <v>0</v>
      </c>
      <c r="H203" s="6">
        <f>E203+F203+(IF(G203&lt;101,G203,IF(G203&lt;201,G203/2,IF(G203&lt;=301,G203/3,G203/4))))</f>
        <v>914.98305599999981</v>
      </c>
      <c r="I203" s="1"/>
      <c r="J203" s="1"/>
      <c r="K203" s="1"/>
      <c r="L203" s="1"/>
      <c r="M203" s="1"/>
      <c r="N203" s="1"/>
      <c r="O203" s="1"/>
      <c r="P203" s="1"/>
      <c r="Q203" s="1"/>
      <c r="R203" s="1"/>
      <c r="S203" s="1"/>
      <c r="T203" s="23" t="str">
        <f t="shared" ref="T203:T210" ca="1" si="25">U203&amp;""&amp;",..,"&amp;""&amp;V203</f>
        <v>3101,..,3101</v>
      </c>
      <c r="U203" s="23">
        <f ca="1">(SUMPRODUCT(MID(0&amp;(LEFT(A202,SUM(LEN(A202)-LEN(SUBSTITUTE(A202,{"0","1","2","3"},""))))), LARGE(INDEX(ISNUMBER(--MID((LEFT(A202,SUM(LEN(A202)-LEN(SUBSTITUTE(A202,{"0","1","2","3"},""))))), ROW(INDIRECT("1:"&amp;LEN((LEFT(A202,SUM(LEN(A202)-LEN(SUBSTITUTE(A202,{"0","1","2","3"},"")))))))), 1)) * ROW(INDIRECT("1:"&amp;LEN((LEFT(A202,SUM(LEN(A202)-LEN(SUBSTITUTE(A202,{"0","1","2","3"},"")))))))), 0), ROW(INDIRECT("1:"&amp;LEN((LEFT(A202,SUM(LEN(A202)-LEN(SUBSTITUTE(A202,{"0","1","2","3"},"")))))))))+1, 1) * 10^ROW(INDIRECT("1:"&amp;LEN((LEFT(A202,SUM(LEN(A202)-LEN(SUBSTITUTE(A202,{"0","1","2","3"},""))))))))/10))*100+1</f>
        <v>3101</v>
      </c>
      <c r="V203" s="23">
        <f ca="1">(SUMPRODUCT(MID(0&amp;(--TRIM(RIGHT(SUBSTITUTE(LEFT(A202,_xlfn.AGGREGATE(16,6,FIND({0,1,2,3,4,5,6,7,8,9},A202,ROW(INDIRECT("1:"&amp;LEN(A202)))),1)),"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3101</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25">
      <c r="A204" s="83">
        <f>A203+1</f>
        <v>2</v>
      </c>
      <c r="B204" s="84"/>
      <c r="C204" s="54" t="s">
        <v>95</v>
      </c>
      <c r="D204" s="54" t="s">
        <v>333</v>
      </c>
      <c r="E204" s="6">
        <f>(71.958)*(10.764)</f>
        <v>774.55591199999992</v>
      </c>
      <c r="F204" s="6">
        <f>(7.122+0.75*(1.7+4.1+2.2))*(10.764)</f>
        <v>141.24520799999999</v>
      </c>
      <c r="G204" s="6">
        <v>0</v>
      </c>
      <c r="H204" s="6">
        <f t="shared" ref="H204:H206" si="26">E204+F204+(IF(G204&lt;101,G204,IF(G204&lt;201,G204/2,IF(G204&lt;=301,G204/3,G204/4))))</f>
        <v>915.80111999999986</v>
      </c>
      <c r="I204" s="1"/>
      <c r="J204" s="1"/>
      <c r="K204" s="1"/>
      <c r="L204" s="1"/>
      <c r="M204" s="1"/>
      <c r="N204" s="1"/>
      <c r="O204" s="1"/>
      <c r="P204" s="1"/>
      <c r="Q204" s="1"/>
      <c r="R204" s="1"/>
      <c r="S204" s="1"/>
      <c r="T204" s="23" t="str">
        <f t="shared" ca="1" si="25"/>
        <v>3102,..,3102</v>
      </c>
      <c r="U204" s="23">
        <f ca="1">U203+1</f>
        <v>3102</v>
      </c>
      <c r="V204" s="23">
        <f ca="1">V203+1</f>
        <v>3102</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25">
      <c r="A205" s="83">
        <f t="shared" ref="A205:A210" si="27">A204+1</f>
        <v>3</v>
      </c>
      <c r="B205" s="84"/>
      <c r="C205" s="54" t="s">
        <v>95</v>
      </c>
      <c r="D205" s="54" t="s">
        <v>333</v>
      </c>
      <c r="E205" s="6">
        <f>(71.958)*(10.764)</f>
        <v>774.55591199999992</v>
      </c>
      <c r="F205" s="6">
        <f>(7.122+0.75*(1.7+4.1+2.2))*(10.764)</f>
        <v>141.24520799999999</v>
      </c>
      <c r="G205" s="6">
        <v>0</v>
      </c>
      <c r="H205" s="6">
        <f t="shared" si="26"/>
        <v>915.80111999999986</v>
      </c>
      <c r="I205" s="1"/>
      <c r="J205" s="1"/>
      <c r="K205" s="1"/>
      <c r="L205" s="1"/>
      <c r="M205" s="1"/>
      <c r="N205" s="1"/>
      <c r="O205" s="1"/>
      <c r="P205" s="1"/>
      <c r="Q205" s="1"/>
      <c r="R205" s="1"/>
      <c r="S205" s="1"/>
      <c r="T205" s="23" t="str">
        <f t="shared" ca="1" si="25"/>
        <v>3103,..,3103</v>
      </c>
      <c r="U205" s="23">
        <f t="shared" ref="U205:V205" ca="1" si="28">U204+1</f>
        <v>3103</v>
      </c>
      <c r="V205" s="23">
        <f t="shared" ca="1" si="28"/>
        <v>3103</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25">
      <c r="A206" s="83">
        <f t="shared" si="27"/>
        <v>4</v>
      </c>
      <c r="B206" s="84"/>
      <c r="C206" s="54" t="s">
        <v>95</v>
      </c>
      <c r="D206" s="54" t="s">
        <v>333</v>
      </c>
      <c r="E206" s="6">
        <f>(72.457)*(10.764)</f>
        <v>779.92714799999987</v>
      </c>
      <c r="F206" s="6">
        <f>(6.922+0.75*(1.7+2.5+3.3))*(10.764)</f>
        <v>135.05590799999999</v>
      </c>
      <c r="G206" s="6">
        <v>0</v>
      </c>
      <c r="H206" s="6">
        <f t="shared" si="26"/>
        <v>914.98305599999981</v>
      </c>
      <c r="I206" s="1"/>
      <c r="J206" s="1"/>
      <c r="K206" s="1"/>
      <c r="L206" s="1"/>
      <c r="M206" s="1"/>
      <c r="N206" s="1"/>
      <c r="O206" s="1"/>
      <c r="P206" s="1"/>
      <c r="Q206" s="1"/>
      <c r="R206" s="1"/>
      <c r="S206" s="1"/>
      <c r="T206" s="23" t="str">
        <f t="shared" ca="1" si="25"/>
        <v>3104,..,3104</v>
      </c>
      <c r="U206" s="23">
        <f t="shared" ref="U206:V206" ca="1" si="29">U205+1</f>
        <v>3104</v>
      </c>
      <c r="V206" s="23">
        <f t="shared" ca="1" si="29"/>
        <v>3104</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25">
      <c r="A207" s="83">
        <f t="shared" si="27"/>
        <v>5</v>
      </c>
      <c r="B207" s="84"/>
      <c r="C207" s="54" t="s">
        <v>95</v>
      </c>
      <c r="D207" s="151" t="s">
        <v>345</v>
      </c>
      <c r="E207" s="152"/>
      <c r="F207" s="152"/>
      <c r="G207" s="152"/>
      <c r="H207" s="153"/>
      <c r="I207" s="1"/>
      <c r="J207" s="1"/>
      <c r="K207" s="1"/>
      <c r="L207" s="1"/>
      <c r="M207" s="1"/>
      <c r="N207" s="1"/>
      <c r="O207" s="1"/>
      <c r="P207" s="1"/>
      <c r="Q207" s="1"/>
      <c r="R207" s="1"/>
      <c r="S207" s="1"/>
      <c r="T207" s="23" t="str">
        <f t="shared" ca="1" si="25"/>
        <v>3105,..,3105</v>
      </c>
      <c r="U207" s="23">
        <f t="shared" ref="U207:V207" ca="1" si="30">U206+1</f>
        <v>3105</v>
      </c>
      <c r="V207" s="23">
        <f t="shared" ca="1" si="30"/>
        <v>3105</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83">
        <f t="shared" si="27"/>
        <v>6</v>
      </c>
      <c r="B208" s="84"/>
      <c r="C208" s="54" t="s">
        <v>95</v>
      </c>
      <c r="D208" s="154"/>
      <c r="E208" s="155"/>
      <c r="F208" s="155"/>
      <c r="G208" s="155"/>
      <c r="H208" s="156"/>
      <c r="I208" s="1"/>
      <c r="J208" s="1"/>
      <c r="K208" s="1"/>
      <c r="L208" s="1"/>
      <c r="M208" s="1"/>
      <c r="N208" s="1"/>
      <c r="O208" s="1"/>
      <c r="P208" s="1"/>
      <c r="Q208" s="1"/>
      <c r="R208" s="1"/>
      <c r="S208" s="1"/>
      <c r="T208" s="23" t="str">
        <f t="shared" ca="1" si="25"/>
        <v>3106,..,3106</v>
      </c>
      <c r="U208" s="23">
        <f t="shared" ref="U208:V208" ca="1" si="31">U207+1</f>
        <v>3106</v>
      </c>
      <c r="V208" s="23">
        <f t="shared" ca="1" si="31"/>
        <v>3106</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83">
        <f t="shared" si="27"/>
        <v>7</v>
      </c>
      <c r="B209" s="84"/>
      <c r="C209" s="54" t="s">
        <v>95</v>
      </c>
      <c r="D209" s="88" t="s">
        <v>338</v>
      </c>
      <c r="E209" s="89"/>
      <c r="F209" s="89"/>
      <c r="G209" s="89"/>
      <c r="H209" s="90"/>
      <c r="I209" s="1"/>
      <c r="J209" s="1"/>
      <c r="K209" s="1"/>
      <c r="L209" s="1"/>
      <c r="M209" s="1"/>
      <c r="N209" s="1"/>
      <c r="O209" s="1"/>
      <c r="P209" s="1"/>
      <c r="Q209" s="1"/>
      <c r="R209" s="1"/>
      <c r="S209" s="1"/>
      <c r="T209" s="23" t="str">
        <f t="shared" ca="1" si="25"/>
        <v>3107,..,3107</v>
      </c>
      <c r="U209" s="23">
        <f t="shared" ref="U209:V209" ca="1" si="32">U208+1</f>
        <v>3107</v>
      </c>
      <c r="V209" s="23">
        <f t="shared" ca="1" si="32"/>
        <v>3107</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83">
        <f t="shared" si="27"/>
        <v>8</v>
      </c>
      <c r="B210" s="84"/>
      <c r="C210" s="54" t="s">
        <v>95</v>
      </c>
      <c r="D210" s="88" t="s">
        <v>344</v>
      </c>
      <c r="E210" s="89"/>
      <c r="F210" s="89"/>
      <c r="G210" s="89"/>
      <c r="H210" s="90"/>
      <c r="I210" s="1"/>
      <c r="J210" s="1"/>
      <c r="K210" s="1"/>
      <c r="L210" s="1"/>
      <c r="M210" s="1"/>
      <c r="N210" s="1"/>
      <c r="O210" s="1"/>
      <c r="P210" s="1"/>
      <c r="Q210" s="1"/>
      <c r="R210" s="1"/>
      <c r="S210" s="1"/>
      <c r="T210" s="23" t="str">
        <f t="shared" ca="1" si="25"/>
        <v>3108,..,3108</v>
      </c>
      <c r="U210" s="23">
        <f t="shared" ref="U210:V210" ca="1" si="33">U209+1</f>
        <v>3108</v>
      </c>
      <c r="V210" s="23">
        <f t="shared" ca="1" si="33"/>
        <v>3108</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79" t="s">
        <v>346</v>
      </c>
      <c r="B211" s="80"/>
      <c r="C211" s="80"/>
      <c r="D211" s="80"/>
      <c r="E211" s="80"/>
      <c r="F211" s="80"/>
      <c r="G211" s="80"/>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82">
        <v>1</v>
      </c>
      <c r="B212" s="82"/>
      <c r="C212" s="54" t="s">
        <v>95</v>
      </c>
      <c r="D212" s="54" t="s">
        <v>333</v>
      </c>
      <c r="E212" s="6">
        <f>(72.456)*(10.764)</f>
        <v>779.91638399999999</v>
      </c>
      <c r="F212" s="6">
        <f>(2.86+6.988+0.75*(1.7+2.5+3.3))*(10.764)</f>
        <v>166.55137199999999</v>
      </c>
      <c r="G212" s="6">
        <v>0</v>
      </c>
      <c r="H212" s="6">
        <f>E212+F212+(IF(G212&lt;101,G212,IF(G212&lt;201,G212/2,IF(G212&lt;=301,G212/3,G212/4))))</f>
        <v>946.46775600000001</v>
      </c>
      <c r="I212" s="1"/>
      <c r="J212" s="1"/>
      <c r="K212" s="1"/>
      <c r="L212" s="1"/>
      <c r="M212" s="1"/>
      <c r="N212" s="1"/>
      <c r="O212" s="1"/>
      <c r="P212" s="1"/>
      <c r="Q212" s="1"/>
      <c r="R212" s="1"/>
      <c r="S212" s="1"/>
      <c r="T212" s="23" t="str">
        <f t="shared" ref="T212:T218" ca="1" si="34">U212&amp;""&amp;",..,"&amp;""&amp;V212</f>
        <v>3201,..,3201</v>
      </c>
      <c r="U212" s="23">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3201</v>
      </c>
      <c r="V212" s="23">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3201</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83">
        <f>A212+1</f>
        <v>2</v>
      </c>
      <c r="B213" s="84"/>
      <c r="C213" s="54" t="s">
        <v>95</v>
      </c>
      <c r="D213" s="88" t="s">
        <v>347</v>
      </c>
      <c r="E213" s="89"/>
      <c r="F213" s="89"/>
      <c r="G213" s="89"/>
      <c r="H213" s="90"/>
      <c r="I213" s="1"/>
      <c r="J213" s="1"/>
      <c r="K213" s="1"/>
      <c r="L213" s="1"/>
      <c r="M213" s="1"/>
      <c r="N213" s="1"/>
      <c r="O213" s="1"/>
      <c r="P213" s="1"/>
      <c r="Q213" s="1"/>
      <c r="R213" s="1"/>
      <c r="S213" s="1"/>
      <c r="T213" s="23" t="str">
        <f t="shared" ca="1" si="34"/>
        <v>3202,..,3202</v>
      </c>
      <c r="U213" s="23">
        <f ca="1">U212+1</f>
        <v>3202</v>
      </c>
      <c r="V213" s="23">
        <f ca="1">V212+1</f>
        <v>3202</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83">
        <f t="shared" ref="A214:A218" si="35">A213+1</f>
        <v>3</v>
      </c>
      <c r="B214" s="84"/>
      <c r="C214" s="54" t="s">
        <v>95</v>
      </c>
      <c r="D214" s="88" t="s">
        <v>348</v>
      </c>
      <c r="E214" s="89"/>
      <c r="F214" s="89"/>
      <c r="G214" s="89"/>
      <c r="H214" s="90"/>
      <c r="I214" s="1"/>
      <c r="J214" s="1"/>
      <c r="K214" s="1"/>
      <c r="L214" s="1"/>
      <c r="M214" s="1"/>
      <c r="N214" s="1"/>
      <c r="O214" s="1"/>
      <c r="P214" s="1"/>
      <c r="Q214" s="1"/>
      <c r="R214" s="1"/>
      <c r="S214" s="1"/>
      <c r="T214" s="23" t="str">
        <f t="shared" ca="1" si="34"/>
        <v>3203,..,3203</v>
      </c>
      <c r="U214" s="23">
        <f t="shared" ref="U214:V214" ca="1" si="36">U213+1</f>
        <v>3203</v>
      </c>
      <c r="V214" s="23">
        <f t="shared" ca="1" si="36"/>
        <v>3203</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83">
        <f t="shared" si="35"/>
        <v>4</v>
      </c>
      <c r="B215" s="84"/>
      <c r="C215" s="54" t="s">
        <v>95</v>
      </c>
      <c r="D215" s="54" t="s">
        <v>333</v>
      </c>
      <c r="E215" s="6">
        <f>(72.456)*(10.764)</f>
        <v>779.91638399999999</v>
      </c>
      <c r="F215" s="6">
        <f>(2.86+6.988+0.75*(1.7+2.5+3.3))*(10.764)</f>
        <v>166.55137199999999</v>
      </c>
      <c r="G215" s="6">
        <v>0</v>
      </c>
      <c r="H215" s="6">
        <f t="shared" ref="H215:H218" si="37">E215+F215+(IF(G215&lt;101,G215,IF(G215&lt;201,G215/2,IF(G215&lt;=301,G215/3,G215/4))))</f>
        <v>946.46775600000001</v>
      </c>
      <c r="I215" s="1"/>
      <c r="J215" s="1"/>
      <c r="K215" s="1"/>
      <c r="L215" s="1"/>
      <c r="M215" s="1"/>
      <c r="N215" s="1"/>
      <c r="O215" s="1"/>
      <c r="P215" s="1"/>
      <c r="Q215" s="1"/>
      <c r="R215" s="1"/>
      <c r="S215" s="1"/>
      <c r="T215" s="23" t="str">
        <f t="shared" ca="1" si="34"/>
        <v>3204,..,3204</v>
      </c>
      <c r="U215" s="23">
        <f t="shared" ref="U215:V215" ca="1" si="38">U214+1</f>
        <v>3204</v>
      </c>
      <c r="V215" s="23">
        <f t="shared" ca="1" si="38"/>
        <v>3204</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83">
        <f t="shared" si="35"/>
        <v>5</v>
      </c>
      <c r="B216" s="84"/>
      <c r="C216" s="54" t="s">
        <v>95</v>
      </c>
      <c r="D216" s="54" t="s">
        <v>333</v>
      </c>
      <c r="E216" s="6">
        <f>(63.864)*(10.764)</f>
        <v>687.43209599999989</v>
      </c>
      <c r="F216" s="6">
        <f>(2.329+6.481+0.75*(1.4+2.7+3.2))*(10.764)</f>
        <v>153.76373999999998</v>
      </c>
      <c r="G216" s="6">
        <v>0</v>
      </c>
      <c r="H216" s="6">
        <f t="shared" si="37"/>
        <v>841.19583599999987</v>
      </c>
      <c r="I216" s="1"/>
      <c r="J216" s="1"/>
      <c r="K216" s="1"/>
      <c r="L216" s="1"/>
      <c r="M216" s="1"/>
      <c r="N216" s="1"/>
      <c r="O216" s="1"/>
      <c r="P216" s="1"/>
      <c r="Q216" s="1"/>
      <c r="R216" s="1"/>
      <c r="S216" s="1"/>
      <c r="T216" s="23" t="str">
        <f t="shared" ca="1" si="34"/>
        <v>3205,..,3205</v>
      </c>
      <c r="U216" s="23">
        <f t="shared" ref="U216:V216" ca="1" si="39">U215+1</f>
        <v>3205</v>
      </c>
      <c r="V216" s="23">
        <f t="shared" ca="1" si="39"/>
        <v>3205</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83">
        <f t="shared" si="35"/>
        <v>6</v>
      </c>
      <c r="B217" s="84"/>
      <c r="C217" s="54" t="s">
        <v>95</v>
      </c>
      <c r="D217" s="54" t="s">
        <v>333</v>
      </c>
      <c r="E217" s="6">
        <f>(65.606)*(10.764)</f>
        <v>706.18298399999992</v>
      </c>
      <c r="F217" s="6">
        <f>(3.016)*(10.764)</f>
        <v>32.464224000000002</v>
      </c>
      <c r="G217" s="6">
        <f>(19.304)*((10.764))</f>
        <v>207.78825599999996</v>
      </c>
      <c r="H217" s="6">
        <f t="shared" si="37"/>
        <v>807.90995999999984</v>
      </c>
      <c r="I217" s="1"/>
      <c r="J217" s="1"/>
      <c r="K217" s="1"/>
      <c r="L217" s="1"/>
      <c r="M217" s="1"/>
      <c r="N217" s="1"/>
      <c r="O217" s="1"/>
      <c r="P217" s="1"/>
      <c r="Q217" s="1"/>
      <c r="R217" s="1"/>
      <c r="S217" s="1"/>
      <c r="T217" s="23" t="str">
        <f t="shared" ca="1" si="34"/>
        <v>3206,..,3206</v>
      </c>
      <c r="U217" s="23">
        <f t="shared" ref="U217:V217" ca="1" si="40">U216+1</f>
        <v>3206</v>
      </c>
      <c r="V217" s="23">
        <f t="shared" ca="1" si="40"/>
        <v>3206</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83">
        <f t="shared" si="35"/>
        <v>7</v>
      </c>
      <c r="B218" s="84"/>
      <c r="C218" s="54" t="s">
        <v>95</v>
      </c>
      <c r="D218" s="54" t="s">
        <v>333</v>
      </c>
      <c r="E218" s="6">
        <f>(65.605)*(10.764)</f>
        <v>706.17222000000004</v>
      </c>
      <c r="F218" s="6">
        <f>(3.016)*(10.764)</f>
        <v>32.464224000000002</v>
      </c>
      <c r="G218" s="6">
        <f>(19.297)*((10.764))</f>
        <v>207.712908</v>
      </c>
      <c r="H218" s="6">
        <f t="shared" si="37"/>
        <v>807.87407999999994</v>
      </c>
      <c r="I218" s="1"/>
      <c r="J218" s="1"/>
      <c r="K218" s="1"/>
      <c r="L218" s="1"/>
      <c r="M218" s="1"/>
      <c r="N218" s="1"/>
      <c r="O218" s="1"/>
      <c r="P218" s="1"/>
      <c r="Q218" s="1"/>
      <c r="R218" s="1"/>
      <c r="S218" s="1"/>
      <c r="T218" s="23" t="str">
        <f t="shared" ca="1" si="34"/>
        <v>3207,..,3207</v>
      </c>
      <c r="U218" s="23">
        <f t="shared" ref="U218:V218" ca="1" si="41">U217+1</f>
        <v>3207</v>
      </c>
      <c r="V218" s="23">
        <f t="shared" ca="1" si="41"/>
        <v>3207</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83">
        <f>A218+1</f>
        <v>8</v>
      </c>
      <c r="B219" s="84"/>
      <c r="C219" s="54" t="s">
        <v>95</v>
      </c>
      <c r="D219" s="54" t="s">
        <v>333</v>
      </c>
      <c r="E219" s="6">
        <f>(63.864)*(10.764)</f>
        <v>687.43209599999989</v>
      </c>
      <c r="F219" s="6">
        <f>(2.329+0.75*(1.4+2.7+3.2))*(10.764)</f>
        <v>84.002256000000003</v>
      </c>
      <c r="G219" s="6">
        <f>(6.481)*((10.764))</f>
        <v>69.761483999999996</v>
      </c>
      <c r="H219" s="6">
        <f>E219+F219+(IF(G219&lt;101,G219,IF(G219&lt;201,G219/2,IF(G219&lt;=301,G219/3,G219/4))))</f>
        <v>841.19583599999987</v>
      </c>
      <c r="I219" s="1"/>
      <c r="J219" s="1"/>
      <c r="K219" s="1"/>
      <c r="L219" s="1"/>
      <c r="M219" s="1"/>
      <c r="N219" s="1"/>
      <c r="O219" s="1"/>
      <c r="P219" s="1"/>
      <c r="Q219" s="1"/>
      <c r="R219" s="1"/>
      <c r="S219" s="1"/>
      <c r="T219" s="23" t="str">
        <f ca="1">U219&amp;""&amp;",..,"&amp;""&amp;V219</f>
        <v>3208,..,3208</v>
      </c>
      <c r="U219" s="23">
        <f ca="1">U218+1</f>
        <v>3208</v>
      </c>
      <c r="V219" s="23">
        <f ca="1">V218+1</f>
        <v>3208</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79" t="s">
        <v>349</v>
      </c>
      <c r="B220" s="80"/>
      <c r="C220" s="80"/>
      <c r="D220" s="80"/>
      <c r="E220" s="80"/>
      <c r="F220" s="80"/>
      <c r="G220" s="80"/>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82">
        <v>1</v>
      </c>
      <c r="B221" s="82"/>
      <c r="C221" s="54" t="s">
        <v>95</v>
      </c>
      <c r="D221" s="54" t="s">
        <v>333</v>
      </c>
      <c r="E221" s="6">
        <f>(72.456)*(10.764)</f>
        <v>779.91638399999999</v>
      </c>
      <c r="F221" s="6">
        <f>(2.86+0.75*(1.7+2.5+3.3))*(10.764)</f>
        <v>91.332539999999995</v>
      </c>
      <c r="G221" s="6">
        <f>(6.988)*((10.764))</f>
        <v>75.218832000000006</v>
      </c>
      <c r="H221" s="6">
        <f>E221+F221+(IF(G221&lt;101,G221,IF(G221&lt;201,G221/2,IF(G221&lt;=301,G221/3,G221/4))))</f>
        <v>946.46775600000001</v>
      </c>
      <c r="I221" s="1"/>
      <c r="J221" s="1"/>
      <c r="K221" s="1"/>
      <c r="L221" s="1"/>
      <c r="M221" s="1"/>
      <c r="N221" s="1"/>
      <c r="O221" s="1"/>
      <c r="P221" s="1"/>
      <c r="Q221" s="1"/>
      <c r="R221" s="1"/>
      <c r="S221" s="1"/>
      <c r="T221" s="23" t="str">
        <f t="shared" ref="T221:T228" ca="1" si="42">U221&amp;""&amp;",..,"&amp;""&amp;V221</f>
        <v>3301,..,3301</v>
      </c>
      <c r="U221" s="23">
        <f ca="1">(SUMPRODUCT(MID(0&amp;(LEFT(A220,SUM(LEN(A220)-LEN(SUBSTITUTE(A220,{"0","1","2","3"},""))))), LARGE(INDEX(ISNUMBER(--MID((LEFT(A220,SUM(LEN(A220)-LEN(SUBSTITUTE(A220,{"0","1","2","3"},""))))), ROW(INDIRECT("1:"&amp;LEN((LEFT(A220,SUM(LEN(A220)-LEN(SUBSTITUTE(A220,{"0","1","2","3"},"")))))))), 1)) * ROW(INDIRECT("1:"&amp;LEN((LEFT(A220,SUM(LEN(A220)-LEN(SUBSTITUTE(A220,{"0","1","2","3"},"")))))))), 0), ROW(INDIRECT("1:"&amp;LEN((LEFT(A220,SUM(LEN(A220)-LEN(SUBSTITUTE(A220,{"0","1","2","3"},"")))))))))+1, 1) * 10^ROW(INDIRECT("1:"&amp;LEN((LEFT(A220,SUM(LEN(A220)-LEN(SUBSTITUTE(A220,{"0","1","2","3"},""))))))))/10))*100+1</f>
        <v>3301</v>
      </c>
      <c r="V221" s="23">
        <f ca="1">(SUMPRODUCT(MID(0&amp;(--TRIM(RIGHT(SUBSTITUTE(LEFT(A220,_xlfn.AGGREGATE(16,6,FIND({0,1,2,3,4,5,6,7,8,9},A220,ROW(INDIRECT("1:"&amp;LEN(A220)))),1)),"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3301</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83">
        <f>A221+1</f>
        <v>2</v>
      </c>
      <c r="B222" s="84"/>
      <c r="C222" s="54" t="s">
        <v>95</v>
      </c>
      <c r="D222" s="54" t="s">
        <v>333</v>
      </c>
      <c r="E222" s="6">
        <f>(73.991)*(10.764)</f>
        <v>796.43912399999999</v>
      </c>
      <c r="F222" s="6">
        <f>(3.256)*(10.764)</f>
        <v>35.047583999999993</v>
      </c>
      <c r="G222" s="6">
        <f>(18.445)*((10.764))</f>
        <v>198.54198</v>
      </c>
      <c r="H222" s="6">
        <f t="shared" ref="H222:H228" si="43">E222+F222+(IF(G222&lt;101,G222,IF(G222&lt;201,G222/2,IF(G222&lt;=301,G222/3,G222/4))))</f>
        <v>930.757698</v>
      </c>
      <c r="I222" s="1"/>
      <c r="J222" s="1"/>
      <c r="K222" s="1"/>
      <c r="L222" s="1"/>
      <c r="M222" s="1"/>
      <c r="N222" s="1"/>
      <c r="O222" s="1"/>
      <c r="P222" s="1"/>
      <c r="Q222" s="1"/>
      <c r="R222" s="1"/>
      <c r="S222" s="1"/>
      <c r="T222" s="23" t="str">
        <f t="shared" ca="1" si="42"/>
        <v>3302,..,3302</v>
      </c>
      <c r="U222" s="23">
        <f ca="1">U221+1</f>
        <v>3302</v>
      </c>
      <c r="V222" s="23">
        <f ca="1">V221+1</f>
        <v>3302</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83">
        <f t="shared" ref="A223:A228" si="44">A222+1</f>
        <v>3</v>
      </c>
      <c r="B223" s="84"/>
      <c r="C223" s="54" t="s">
        <v>95</v>
      </c>
      <c r="D223" s="54" t="s">
        <v>333</v>
      </c>
      <c r="E223" s="6">
        <f>(73.991)*(10.764)</f>
        <v>796.43912399999999</v>
      </c>
      <c r="F223" s="6">
        <f>(3.256)*(10.764)</f>
        <v>35.047583999999993</v>
      </c>
      <c r="G223" s="6">
        <f>(18.445)*((10.764))</f>
        <v>198.54198</v>
      </c>
      <c r="H223" s="6">
        <f t="shared" si="43"/>
        <v>930.757698</v>
      </c>
      <c r="I223" s="1"/>
      <c r="J223" s="1"/>
      <c r="K223" s="1"/>
      <c r="L223" s="1"/>
      <c r="M223" s="1"/>
      <c r="N223" s="1"/>
      <c r="O223" s="1"/>
      <c r="P223" s="1"/>
      <c r="Q223" s="1"/>
      <c r="R223" s="1"/>
      <c r="S223" s="1"/>
      <c r="T223" s="23" t="str">
        <f t="shared" ca="1" si="42"/>
        <v>3303,..,3303</v>
      </c>
      <c r="U223" s="23">
        <f t="shared" ref="U223:V223" ca="1" si="45">U222+1</f>
        <v>3303</v>
      </c>
      <c r="V223" s="23">
        <f t="shared" ca="1" si="45"/>
        <v>3303</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83">
        <f t="shared" si="44"/>
        <v>4</v>
      </c>
      <c r="B224" s="84"/>
      <c r="C224" s="54" t="s">
        <v>95</v>
      </c>
      <c r="D224" s="54" t="s">
        <v>333</v>
      </c>
      <c r="E224" s="6">
        <f>(72.456)*(10.764)</f>
        <v>779.91638399999999</v>
      </c>
      <c r="F224" s="6">
        <f>(2.86+0.75*(1.7+2.5+3.3))*(10.764)</f>
        <v>91.332539999999995</v>
      </c>
      <c r="G224" s="6">
        <f>(6.987)*((10.764))</f>
        <v>75.208067999999997</v>
      </c>
      <c r="H224" s="6">
        <f t="shared" si="43"/>
        <v>946.45699200000001</v>
      </c>
      <c r="I224" s="1"/>
      <c r="J224" s="1"/>
      <c r="K224" s="1"/>
      <c r="L224" s="1"/>
      <c r="M224" s="1"/>
      <c r="N224" s="1"/>
      <c r="O224" s="1"/>
      <c r="P224" s="1"/>
      <c r="Q224" s="1"/>
      <c r="R224" s="1"/>
      <c r="S224" s="1"/>
      <c r="T224" s="23" t="str">
        <f t="shared" ca="1" si="42"/>
        <v>3304,..,3304</v>
      </c>
      <c r="U224" s="23">
        <f t="shared" ref="U224:V224" ca="1" si="46">U223+1</f>
        <v>3304</v>
      </c>
      <c r="V224" s="23">
        <f t="shared" ca="1" si="46"/>
        <v>3304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25">
      <c r="A225" s="83">
        <f t="shared" si="44"/>
        <v>5</v>
      </c>
      <c r="B225" s="84"/>
      <c r="C225" s="54" t="s">
        <v>95</v>
      </c>
      <c r="D225" s="54" t="s">
        <v>333</v>
      </c>
      <c r="E225" s="6">
        <f>(63.866)*(10.764)</f>
        <v>687.45362399999999</v>
      </c>
      <c r="F225" s="6">
        <f>(6.063+0.75*(1.4+2.7+3.2))*(10.764)</f>
        <v>124.195032</v>
      </c>
      <c r="G225" s="6">
        <v>0</v>
      </c>
      <c r="H225" s="6">
        <f t="shared" si="43"/>
        <v>811.64865599999996</v>
      </c>
      <c r="I225" s="1"/>
      <c r="J225" s="1"/>
      <c r="K225" s="1"/>
      <c r="L225" s="1"/>
      <c r="M225" s="1"/>
      <c r="N225" s="1"/>
      <c r="O225" s="1"/>
      <c r="P225" s="1"/>
      <c r="Q225" s="1"/>
      <c r="R225" s="1"/>
      <c r="S225" s="1"/>
      <c r="T225" s="23" t="str">
        <f t="shared" ca="1" si="42"/>
        <v>3305,..,3305</v>
      </c>
      <c r="U225" s="23">
        <f t="shared" ref="U225:V225" ca="1" si="47">U224+1</f>
        <v>3305</v>
      </c>
      <c r="V225" s="23">
        <f t="shared" ca="1" si="47"/>
        <v>3305</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83">
        <f t="shared" si="44"/>
        <v>6</v>
      </c>
      <c r="B226" s="84"/>
      <c r="C226" s="54" t="s">
        <v>95</v>
      </c>
      <c r="D226" s="54" t="s">
        <v>333</v>
      </c>
      <c r="E226" s="6">
        <f>(63.307)*(10.764)</f>
        <v>681.43654800000002</v>
      </c>
      <c r="F226" s="6">
        <f>(6.401+0.75*(1.5+4.1+2.3))*(10.764)</f>
        <v>132.677064</v>
      </c>
      <c r="G226" s="6">
        <v>0</v>
      </c>
      <c r="H226" s="6">
        <f t="shared" si="43"/>
        <v>814.11361199999999</v>
      </c>
      <c r="I226" s="1"/>
      <c r="J226" s="1"/>
      <c r="K226" s="1"/>
      <c r="L226" s="1"/>
      <c r="M226" s="1"/>
      <c r="N226" s="1"/>
      <c r="O226" s="1"/>
      <c r="P226" s="1"/>
      <c r="Q226" s="1"/>
      <c r="R226" s="1"/>
      <c r="S226" s="1"/>
      <c r="T226" s="23" t="str">
        <f t="shared" ca="1" si="42"/>
        <v>3306,..,3306</v>
      </c>
      <c r="U226" s="23">
        <f t="shared" ref="U226:V226" ca="1" si="48">U225+1</f>
        <v>3306</v>
      </c>
      <c r="V226" s="23">
        <f t="shared" ca="1" si="48"/>
        <v>3306</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83">
        <f t="shared" si="44"/>
        <v>7</v>
      </c>
      <c r="B227" s="84"/>
      <c r="C227" s="54" t="s">
        <v>95</v>
      </c>
      <c r="D227" s="54" t="s">
        <v>333</v>
      </c>
      <c r="E227" s="6">
        <f>(63.307)*(10.764)</f>
        <v>681.43654800000002</v>
      </c>
      <c r="F227" s="6">
        <f>(6.401+0.75*(1.5+4.1+2.3))*(10.764)</f>
        <v>132.677064</v>
      </c>
      <c r="G227" s="6">
        <v>0</v>
      </c>
      <c r="H227" s="6">
        <f t="shared" si="43"/>
        <v>814.11361199999999</v>
      </c>
      <c r="I227" s="1"/>
      <c r="J227" s="1"/>
      <c r="K227" s="1"/>
      <c r="L227" s="1"/>
      <c r="M227" s="1"/>
      <c r="N227" s="1"/>
      <c r="O227" s="1"/>
      <c r="P227" s="1"/>
      <c r="Q227" s="1"/>
      <c r="R227" s="1"/>
      <c r="S227" s="1"/>
      <c r="T227" s="23" t="str">
        <f t="shared" ca="1" si="42"/>
        <v>3307,..,3307</v>
      </c>
      <c r="U227" s="23">
        <f t="shared" ref="U227:V227" ca="1" si="49">U226+1</f>
        <v>3307</v>
      </c>
      <c r="V227" s="23">
        <f t="shared" ca="1" si="49"/>
        <v>3307</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83">
        <f t="shared" si="44"/>
        <v>8</v>
      </c>
      <c r="B228" s="84"/>
      <c r="C228" s="54" t="s">
        <v>95</v>
      </c>
      <c r="D228" s="54" t="s">
        <v>333</v>
      </c>
      <c r="E228" s="6">
        <f>(63.869)*(10.764)</f>
        <v>687.48591599999997</v>
      </c>
      <c r="F228" s="6">
        <f>(6.061+0.75*(1.4+2.7+3.2))*(10.764)</f>
        <v>124.17350399999999</v>
      </c>
      <c r="G228" s="6">
        <v>0</v>
      </c>
      <c r="H228" s="6">
        <f t="shared" si="43"/>
        <v>811.65941999999995</v>
      </c>
      <c r="I228" s="1"/>
      <c r="J228" s="1"/>
      <c r="K228" s="1"/>
      <c r="L228" s="1"/>
      <c r="M228" s="1"/>
      <c r="N228" s="1"/>
      <c r="O228" s="1"/>
      <c r="P228" s="1"/>
      <c r="Q228" s="1"/>
      <c r="R228" s="1"/>
      <c r="S228" s="1"/>
      <c r="T228" s="23" t="str">
        <f t="shared" ca="1" si="42"/>
        <v>3308,..,3308</v>
      </c>
      <c r="U228" s="23">
        <f t="shared" ref="U228:V228" ca="1" si="50">U227+1</f>
        <v>3308</v>
      </c>
      <c r="V228" s="23">
        <f t="shared" ca="1" si="50"/>
        <v>3308</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x14ac:dyDescent="0.25">
      <c r="A229" s="85" t="s">
        <v>363</v>
      </c>
      <c r="B229" s="86"/>
      <c r="C229" s="86"/>
      <c r="D229" s="86"/>
      <c r="E229" s="86"/>
      <c r="F229" s="86"/>
      <c r="G229" s="86"/>
      <c r="H229" s="87"/>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x14ac:dyDescent="0.25">
      <c r="A230" s="79" t="s">
        <v>350</v>
      </c>
      <c r="B230" s="80"/>
      <c r="C230" s="80"/>
      <c r="D230" s="80"/>
      <c r="E230" s="80"/>
      <c r="F230" s="80"/>
      <c r="G230" s="80"/>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x14ac:dyDescent="0.25">
      <c r="A231" s="79" t="s">
        <v>351</v>
      </c>
      <c r="B231" s="80"/>
      <c r="C231" s="80"/>
      <c r="D231" s="80"/>
      <c r="E231" s="80"/>
      <c r="F231" s="80"/>
      <c r="G231" s="80"/>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42" customHeight="1" x14ac:dyDescent="0.25">
      <c r="A232" s="85" t="s">
        <v>352</v>
      </c>
      <c r="B232" s="86"/>
      <c r="C232" s="86"/>
      <c r="D232" s="86"/>
      <c r="E232" s="86"/>
      <c r="F232" s="86"/>
      <c r="G232" s="86"/>
      <c r="H232" s="87"/>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x14ac:dyDescent="0.25">
      <c r="A233" s="85" t="s">
        <v>331</v>
      </c>
      <c r="B233" s="86"/>
      <c r="C233" s="86"/>
      <c r="D233" s="86"/>
      <c r="E233" s="86"/>
      <c r="F233" s="86"/>
      <c r="G233" s="86"/>
      <c r="H233" s="87"/>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x14ac:dyDescent="0.25">
      <c r="A234" s="79" t="s">
        <v>353</v>
      </c>
      <c r="B234" s="80"/>
      <c r="C234" s="80"/>
      <c r="D234" s="80"/>
      <c r="E234" s="80"/>
      <c r="F234" s="80"/>
      <c r="G234" s="80"/>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82">
        <v>1</v>
      </c>
      <c r="B235" s="82"/>
      <c r="C235" s="54" t="s">
        <v>95</v>
      </c>
      <c r="D235" s="54" t="s">
        <v>354</v>
      </c>
      <c r="E235" s="6">
        <f>((6.25*3.35+3.675*2.45+3.95*3.05+1.525*2.45+1.525*1.7+2.575*0.8+2.2*0.95))*(10.764)</f>
        <v>564.76017000000002</v>
      </c>
      <c r="F235" s="6">
        <f>(1.225*2.6+0.75*(2.6+1.9))*(10.764)</f>
        <v>70.611840000000001</v>
      </c>
      <c r="G235" s="6">
        <v>0</v>
      </c>
      <c r="H235" s="6">
        <f>E235+F235+(IF(G235&lt;101,G235,IF(G235&lt;201,G235/2,IF(G235&lt;=301,G235/3,G235/4))))</f>
        <v>635.37201000000005</v>
      </c>
      <c r="I235" s="77"/>
      <c r="J235" s="75"/>
      <c r="K235" s="1"/>
      <c r="L235" s="1"/>
      <c r="M235" s="1"/>
      <c r="N235" s="1"/>
      <c r="O235" s="1"/>
      <c r="P235" s="1"/>
      <c r="Q235" s="1"/>
      <c r="R235" s="1"/>
      <c r="S235" s="1"/>
      <c r="T235" s="23" t="e">
        <f t="shared" ref="T235:T240" ca="1" si="51">U235&amp;""&amp;",..,"&amp;""&amp;V235</f>
        <v>#REF!</v>
      </c>
      <c r="U235" s="23" t="e">
        <f ca="1">(SUMPRODUCT(MID(0&amp;(LEFT(A234,SUM(LEN(A234)-LEN(SUBSTITUTE(A234,{"0","1","2","3"},""))))), LARGE(INDEX(ISNUMBER(--MID((LEFT(A234,SUM(LEN(A234)-LEN(SUBSTITUTE(A234,{"0","1","2","3"},""))))), ROW(INDIRECT("1:"&amp;LEN((LEFT(A234,SUM(LEN(A234)-LEN(SUBSTITUTE(A234,{"0","1","2","3"},"")))))))), 1)) * ROW(INDIRECT("1:"&amp;LEN((LEFT(A234,SUM(LEN(A234)-LEN(SUBSTITUTE(A234,{"0","1","2","3"},"")))))))), 0), ROW(INDIRECT("1:"&amp;LEN((LEFT(A234,SUM(LEN(A234)-LEN(SUBSTITUTE(A234,{"0","1","2","3"},"")))))))))+1, 1) * 10^ROW(INDIRECT("1:"&amp;LEN((LEFT(A234,SUM(LEN(A234)-LEN(SUBSTITUTE(A234,{"0","1","2","3"},""))))))))/10))*100+1</f>
        <v>#REF!</v>
      </c>
      <c r="V235" s="23">
        <f ca="1">(SUMPRODUCT(MID(0&amp;(--TRIM(RIGHT(SUBSTITUTE(LEFT(A234,_xlfn.AGGREGATE(16,6,FIND({0,1,2,3,4,5,6,7,8,9},A234,ROW(INDIRECT("1:"&amp;LEN(A234)))),1))," ",REPT(" ",LEN(A234))),LEN(A234)))), LARGE(INDEX(ISNUMBER(--MID((--TRIM(RIGHT(SUBSTITUTE(LEFT(A234,_xlfn.AGGREGATE(16,6,FIND({0,1,2,3,4,5,6,7,8,9},A234,ROW(INDIRECT("1:"&amp;LEN(A234)))),1))," ",REPT(" ",LEN(A234))),LEN(A234)))), ROW(INDIRECT("1:"&amp;LEN((--TRIM(RIGHT(SUBSTITUTE(LEFT(A234,_xlfn.AGGREGATE(16,6,FIND({0,1,2,3,4,5,6,7,8,9},A234,ROW(INDIRECT("1:"&amp;LEN(A234)))),1))," ",REPT(" ",LEN(A234))),LEN(A234))))))), 1)) * ROW(INDIRECT("1:"&amp;LEN((--TRIM(RIGHT(SUBSTITUTE(LEFT(A234,_xlfn.AGGREGATE(16,6,FIND({0,1,2,3,4,5,6,7,8,9},A234,ROW(INDIRECT("1:"&amp;LEN(A234)))),1))," ",REPT(" ",LEN(A234))),LEN(A234))))))), 0), ROW(INDIRECT("1:"&amp;LEN((--TRIM(RIGHT(SUBSTITUTE(LEFT(A234,_xlfn.AGGREGATE(16,6,FIND({0,1,2,3,4,5,6,7,8,9},A234,ROW(INDIRECT("1:"&amp;LEN(A234)))),1))," ",REPT(" ",LEN(A234))),LEN(A234))))))))+1, 1) * 10^ROW(INDIRECT("1:"&amp;LEN((--TRIM(RIGHT(SUBSTITUTE(LEFT(A234,_xlfn.AGGREGATE(16,6,FIND({0,1,2,3,4,5,6,7,8,9},A234,ROW(INDIRECT("1:"&amp;LEN(A234)))),1))," ",REPT(" ",LEN(A234))),LEN(A234)))))))/10))*100+1</f>
        <v>501</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83">
        <f>A235+1</f>
        <v>2</v>
      </c>
      <c r="B236" s="84"/>
      <c r="C236" s="54" t="s">
        <v>95</v>
      </c>
      <c r="D236" s="54" t="s">
        <v>355</v>
      </c>
      <c r="E236" s="6">
        <f>(90.25)*(10.764)</f>
        <v>971.45099999999991</v>
      </c>
      <c r="F236" s="6">
        <f>(3.19+0.75*(2.6+1.9+3.3+3))*(10.764)</f>
        <v>121.52556</v>
      </c>
      <c r="G236" s="6">
        <v>0</v>
      </c>
      <c r="H236" s="6">
        <f>E236+F236+(IF(G236&lt;101,G236,IF(G236&lt;201,G236/2,IF(G236&lt;=301,G236/3,G236/4))))</f>
        <v>1092.9765599999998</v>
      </c>
      <c r="I236" s="76">
        <f>(6.25*3.35+2.575*0.8+3.675*2.45+3.95*3.05+3.65*3.05+3.45*3.35+1.525*2.45+1.525*2.45+2.45*1.525+0.6*2.4+5.4*0.95)</f>
        <v>84.517499999999984</v>
      </c>
      <c r="J236" s="1"/>
      <c r="K236" s="1"/>
      <c r="L236" s="1"/>
      <c r="M236" s="1"/>
      <c r="N236" s="1"/>
      <c r="O236" s="1"/>
      <c r="P236" s="1"/>
      <c r="Q236" s="1"/>
      <c r="R236" s="1"/>
      <c r="S236" s="1"/>
      <c r="T236" s="23" t="e">
        <f t="shared" ca="1" si="51"/>
        <v>#REF!</v>
      </c>
      <c r="U236" s="23" t="e">
        <f ca="1">U235+1</f>
        <v>#REF!</v>
      </c>
      <c r="V236" s="23">
        <f ca="1">V235+1</f>
        <v>502</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83">
        <f t="shared" ref="A237:A240" si="52">A236+1</f>
        <v>3</v>
      </c>
      <c r="B237" s="84"/>
      <c r="C237" s="54" t="s">
        <v>95</v>
      </c>
      <c r="D237" s="54" t="s">
        <v>355</v>
      </c>
      <c r="E237" s="6">
        <f>(98.44)*(10.764)</f>
        <v>1059.60816</v>
      </c>
      <c r="F237" s="6">
        <f>(3.57+0.75*(3.1+1.9+3.1))*(10.764)</f>
        <v>103.81877999999999</v>
      </c>
      <c r="G237" s="6">
        <v>0</v>
      </c>
      <c r="H237" s="6">
        <f>E237+F237+(IF(G237&lt;101,G237,IF(G237&lt;201,G237/2,IF(G237&lt;=301,G237/3,G237/4))))</f>
        <v>1163.4269400000001</v>
      </c>
      <c r="I237" s="1"/>
      <c r="J237" s="1"/>
      <c r="K237" s="1"/>
      <c r="L237" s="1"/>
      <c r="M237" s="1"/>
      <c r="N237" s="1"/>
      <c r="O237" s="1"/>
      <c r="P237" s="1"/>
      <c r="Q237" s="1"/>
      <c r="R237" s="1"/>
      <c r="S237" s="1"/>
      <c r="T237" s="23" t="e">
        <f t="shared" ca="1" si="51"/>
        <v>#REF!</v>
      </c>
      <c r="U237" s="23" t="e">
        <f t="shared" ref="U237:V237" ca="1" si="53">U236+1</f>
        <v>#REF!</v>
      </c>
      <c r="V237" s="23">
        <f t="shared" ca="1" si="53"/>
        <v>503</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83">
        <f t="shared" si="52"/>
        <v>4</v>
      </c>
      <c r="B238" s="84"/>
      <c r="C238" s="54" t="s">
        <v>95</v>
      </c>
      <c r="D238" s="88" t="s">
        <v>356</v>
      </c>
      <c r="E238" s="89"/>
      <c r="F238" s="89"/>
      <c r="G238" s="89"/>
      <c r="H238" s="90"/>
      <c r="I238" s="1"/>
      <c r="J238" s="1"/>
      <c r="K238" s="1"/>
      <c r="L238" s="1"/>
      <c r="M238" s="1"/>
      <c r="N238" s="1"/>
      <c r="O238" s="1"/>
      <c r="P238" s="1"/>
      <c r="Q238" s="1"/>
      <c r="R238" s="1"/>
      <c r="S238" s="1"/>
      <c r="T238" s="23" t="e">
        <f t="shared" ca="1" si="51"/>
        <v>#REF!</v>
      </c>
      <c r="U238" s="23" t="e">
        <f t="shared" ref="U238:V238" ca="1" si="54">U237+1</f>
        <v>#REF!</v>
      </c>
      <c r="V238" s="23">
        <f t="shared" ca="1" si="54"/>
        <v>504</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83">
        <f t="shared" si="52"/>
        <v>5</v>
      </c>
      <c r="B239" s="84"/>
      <c r="C239" s="54" t="s">
        <v>95</v>
      </c>
      <c r="D239" s="88" t="s">
        <v>357</v>
      </c>
      <c r="E239" s="89"/>
      <c r="F239" s="89"/>
      <c r="G239" s="89"/>
      <c r="H239" s="90"/>
      <c r="I239" s="1"/>
      <c r="J239" s="1"/>
      <c r="K239" s="1"/>
      <c r="L239" s="1"/>
      <c r="M239" s="1"/>
      <c r="N239" s="1"/>
      <c r="O239" s="1"/>
      <c r="P239" s="1"/>
      <c r="Q239" s="1"/>
      <c r="R239" s="1"/>
      <c r="S239" s="1"/>
      <c r="T239" s="23" t="e">
        <f t="shared" ca="1" si="51"/>
        <v>#REF!</v>
      </c>
      <c r="U239" s="23" t="e">
        <f t="shared" ref="U239:V239" ca="1" si="55">U238+1</f>
        <v>#REF!</v>
      </c>
      <c r="V239" s="23">
        <f t="shared" ca="1" si="55"/>
        <v>505</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83">
        <f t="shared" si="52"/>
        <v>6</v>
      </c>
      <c r="B240" s="84"/>
      <c r="C240" s="54" t="s">
        <v>95</v>
      </c>
      <c r="D240" s="88" t="s">
        <v>358</v>
      </c>
      <c r="E240" s="89"/>
      <c r="F240" s="89"/>
      <c r="G240" s="89"/>
      <c r="H240" s="90"/>
      <c r="I240" s="1"/>
      <c r="J240" s="1"/>
      <c r="K240" s="1"/>
      <c r="L240" s="1"/>
      <c r="M240" s="1"/>
      <c r="N240" s="1"/>
      <c r="O240" s="1"/>
      <c r="P240" s="1"/>
      <c r="Q240" s="1"/>
      <c r="R240" s="1"/>
      <c r="S240" s="1"/>
      <c r="T240" s="23" t="e">
        <f t="shared" ca="1" si="51"/>
        <v>#REF!</v>
      </c>
      <c r="U240" s="23" t="e">
        <f t="shared" ref="U240:V240" ca="1" si="56">U239+1</f>
        <v>#REF!</v>
      </c>
      <c r="V240" s="23">
        <f t="shared" ca="1" si="56"/>
        <v>506</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x14ac:dyDescent="0.25">
      <c r="A241" s="79" t="s">
        <v>337</v>
      </c>
      <c r="B241" s="80"/>
      <c r="C241" s="80"/>
      <c r="D241" s="80"/>
      <c r="E241" s="80"/>
      <c r="F241" s="80"/>
      <c r="G241" s="80"/>
      <c r="H241" s="8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82">
        <v>1</v>
      </c>
      <c r="B242" s="82"/>
      <c r="C242" s="54" t="s">
        <v>95</v>
      </c>
      <c r="D242" s="54" t="s">
        <v>354</v>
      </c>
      <c r="E242" s="6">
        <f>((6.25*3.35+3.675*2.45+3.95*3.05+1.525*2.45+1.525*1.7+2.575*0.8+2.2*0.95))*(10.764)</f>
        <v>564.76017000000002</v>
      </c>
      <c r="F242" s="6">
        <f>(1.225*2.6+3.35*1.225+0.75*(2.6+1.9))*(10.764)</f>
        <v>114.784605</v>
      </c>
      <c r="G242" s="6">
        <v>0</v>
      </c>
      <c r="H242" s="6">
        <f>E242+F242+(IF(G242&lt;101,G242,IF(G242&lt;201,G242/2,IF(G242&lt;=301,G242/3,G242/4))))</f>
        <v>679.54477500000007</v>
      </c>
      <c r="I242" s="1"/>
      <c r="J242" s="1"/>
      <c r="K242" s="1"/>
      <c r="L242" s="1"/>
      <c r="M242" s="1"/>
      <c r="N242" s="1"/>
      <c r="O242" s="1"/>
      <c r="P242" s="1"/>
      <c r="Q242" s="1"/>
      <c r="R242" s="1"/>
      <c r="S242" s="1"/>
      <c r="T242" s="23" t="str">
        <f t="shared" ref="T242:T247" ca="1" si="57">U242&amp;""&amp;",..,"&amp;""&amp;V242</f>
        <v>101,..,101</v>
      </c>
      <c r="U242" s="23">
        <f ca="1">(SUMPRODUCT(MID(0&amp;(LEFT(A241,SUM(LEN(A241)-LEN(SUBSTITUTE(A241,{"0","1","2","3"},""))))), LARGE(INDEX(ISNUMBER(--MID((LEFT(A241,SUM(LEN(A241)-LEN(SUBSTITUTE(A241,{"0","1","2","3"},""))))), ROW(INDIRECT("1:"&amp;LEN((LEFT(A241,SUM(LEN(A241)-LEN(SUBSTITUTE(A241,{"0","1","2","3"},"")))))))), 1)) * ROW(INDIRECT("1:"&amp;LEN((LEFT(A241,SUM(LEN(A241)-LEN(SUBSTITUTE(A241,{"0","1","2","3"},"")))))))), 0), ROW(INDIRECT("1:"&amp;LEN((LEFT(A241,SUM(LEN(A241)-LEN(SUBSTITUTE(A241,{"0","1","2","3"},"")))))))))+1, 1) * 10^ROW(INDIRECT("1:"&amp;LEN((LEFT(A241,SUM(LEN(A241)-LEN(SUBSTITUTE(A241,{"0","1","2","3"},""))))))))/10))*100+1</f>
        <v>101</v>
      </c>
      <c r="V242" s="23">
        <f ca="1">(SUMPRODUCT(MID(0&amp;(--TRIM(RIGHT(SUBSTITUTE(LEFT(A241,_xlfn.AGGREGATE(16,6,FIND({0,1,2,3,4,5,6,7,8,9},A241,ROW(INDIRECT("1:"&amp;LEN(A241)))),1))," ",REPT(" ",LEN(A241))),LEN(A241)))), LARGE(INDEX(ISNUMBER(--MID((--TRIM(RIGHT(SUBSTITUTE(LEFT(A241,_xlfn.AGGREGATE(16,6,FIND({0,1,2,3,4,5,6,7,8,9},A241,ROW(INDIRECT("1:"&amp;LEN(A241)))),1))," ",REPT(" ",LEN(A241))),LEN(A241)))), ROW(INDIRECT("1:"&amp;LEN((--TRIM(RIGHT(SUBSTITUTE(LEFT(A241,_xlfn.AGGREGATE(16,6,FIND({0,1,2,3,4,5,6,7,8,9},A241,ROW(INDIRECT("1:"&amp;LEN(A241)))),1))," ",REPT(" ",LEN(A241))),LEN(A241))))))), 1)) * ROW(INDIRECT("1:"&amp;LEN((--TRIM(RIGHT(SUBSTITUTE(LEFT(A241,_xlfn.AGGREGATE(16,6,FIND({0,1,2,3,4,5,6,7,8,9},A241,ROW(INDIRECT("1:"&amp;LEN(A241)))),1))," ",REPT(" ",LEN(A241))),LEN(A241))))))), 0), ROW(INDIRECT("1:"&amp;LEN((--TRIM(RIGHT(SUBSTITUTE(LEFT(A241,_xlfn.AGGREGATE(16,6,FIND({0,1,2,3,4,5,6,7,8,9},A241,ROW(INDIRECT("1:"&amp;LEN(A241)))),1))," ",REPT(" ",LEN(A241))),LEN(A241))))))))+1, 1) * 10^ROW(INDIRECT("1:"&amp;LEN((--TRIM(RIGHT(SUBSTITUTE(LEFT(A241,_xlfn.AGGREGATE(16,6,FIND({0,1,2,3,4,5,6,7,8,9},A241,ROW(INDIRECT("1:"&amp;LEN(A241)))),1))," ",REPT(" ",LEN(A241))),LEN(A241)))))))/10))*100+1</f>
        <v>101</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83">
        <f>A242+1</f>
        <v>2</v>
      </c>
      <c r="B243" s="84"/>
      <c r="C243" s="54" t="s">
        <v>95</v>
      </c>
      <c r="D243" s="54" t="s">
        <v>355</v>
      </c>
      <c r="E243" s="6">
        <f>(90.8)*(10.764)</f>
        <v>977.37119999999993</v>
      </c>
      <c r="F243" s="6">
        <f>(7.47+0.75*(2.6+1.9+3.3+3))*(10.764)</f>
        <v>167.59547999999998</v>
      </c>
      <c r="G243" s="6">
        <v>0</v>
      </c>
      <c r="H243" s="6">
        <f t="shared" ref="H243:H246" si="58">E243+F243+(IF(G243&lt;101,G243,IF(G243&lt;201,G243/2,IF(G243&lt;=301,G243/3,G243/4))))</f>
        <v>1144.96668</v>
      </c>
      <c r="I243" s="1"/>
      <c r="J243" s="1"/>
      <c r="K243" s="1"/>
      <c r="L243" s="1"/>
      <c r="M243" s="1"/>
      <c r="N243" s="1"/>
      <c r="O243" s="1"/>
      <c r="P243" s="1"/>
      <c r="Q243" s="1"/>
      <c r="R243" s="1"/>
      <c r="S243" s="1"/>
      <c r="T243" s="23" t="str">
        <f t="shared" ca="1" si="57"/>
        <v>102,..,102</v>
      </c>
      <c r="U243" s="23">
        <f ca="1">U242+1</f>
        <v>102</v>
      </c>
      <c r="V243" s="23">
        <f ca="1">V242+1</f>
        <v>102</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83">
        <f t="shared" ref="A244:A247" si="59">A243+1</f>
        <v>3</v>
      </c>
      <c r="B244" s="84"/>
      <c r="C244" s="54" t="s">
        <v>95</v>
      </c>
      <c r="D244" s="54" t="s">
        <v>355</v>
      </c>
      <c r="E244" s="6">
        <f>(99.8)*(10.764)</f>
        <v>1074.2471999999998</v>
      </c>
      <c r="F244" s="6">
        <f>(12.84+0.75*(3.1+1.9+3.05))*(10.764)</f>
        <v>203.19740999999999</v>
      </c>
      <c r="G244" s="6">
        <v>0</v>
      </c>
      <c r="H244" s="6">
        <f t="shared" si="58"/>
        <v>1277.4446099999998</v>
      </c>
      <c r="I244" s="76">
        <f>(6.375*3.65+2.575*1.3+3.8*2.45+3.7*3.05+3.975*3.3+4.275*3.35+2.575*1.525+1.525*2.45+1.525*2.75+0.6*2.35+0.95*5)</f>
        <v>92.66687499999999</v>
      </c>
      <c r="J244" s="1"/>
      <c r="K244" s="1"/>
      <c r="L244" s="1"/>
      <c r="M244" s="1"/>
      <c r="N244" s="1"/>
      <c r="O244" s="1"/>
      <c r="P244" s="1"/>
      <c r="Q244" s="1"/>
      <c r="R244" s="1"/>
      <c r="S244" s="1"/>
      <c r="T244" s="23" t="str">
        <f t="shared" ca="1" si="57"/>
        <v>103,..,103</v>
      </c>
      <c r="U244" s="23">
        <f t="shared" ref="U244:V244" ca="1" si="60">U243+1</f>
        <v>103</v>
      </c>
      <c r="V244" s="23">
        <f t="shared" ca="1" si="60"/>
        <v>103</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83">
        <f t="shared" si="59"/>
        <v>4</v>
      </c>
      <c r="B245" s="84"/>
      <c r="C245" s="54" t="s">
        <v>95</v>
      </c>
      <c r="D245" s="54" t="s">
        <v>355</v>
      </c>
      <c r="E245" s="6">
        <f>(100.12)*(10.764)</f>
        <v>1077.6916799999999</v>
      </c>
      <c r="F245" s="6">
        <f>(12.84+0.75*(3.2+1.9+3.05))*(10.764)</f>
        <v>204.00470999999999</v>
      </c>
      <c r="G245" s="6">
        <v>0</v>
      </c>
      <c r="H245" s="6">
        <f t="shared" si="58"/>
        <v>1281.6963899999998</v>
      </c>
      <c r="I245" s="1"/>
      <c r="J245" s="1"/>
      <c r="K245" s="1"/>
      <c r="L245" s="1"/>
      <c r="M245" s="1"/>
      <c r="N245" s="1"/>
      <c r="O245" s="1"/>
      <c r="P245" s="1"/>
      <c r="Q245" s="1"/>
      <c r="R245" s="1"/>
      <c r="S245" s="1"/>
      <c r="T245" s="23" t="str">
        <f t="shared" ca="1" si="57"/>
        <v>104,..,104</v>
      </c>
      <c r="U245" s="23">
        <f t="shared" ref="U245:V245" ca="1" si="61">U244+1</f>
        <v>104</v>
      </c>
      <c r="V245" s="23">
        <f t="shared" ca="1" si="61"/>
        <v>104</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83">
        <f t="shared" si="59"/>
        <v>5</v>
      </c>
      <c r="B246" s="84"/>
      <c r="C246" s="54" t="s">
        <v>95</v>
      </c>
      <c r="D246" s="54" t="s">
        <v>355</v>
      </c>
      <c r="E246" s="6">
        <f>(90.8)*(10.764)</f>
        <v>977.37119999999993</v>
      </c>
      <c r="F246" s="6">
        <f>(7.47+0.75*(2.6+1.9+3.3+3))*(10.764)</f>
        <v>167.59547999999998</v>
      </c>
      <c r="G246" s="6">
        <v>0</v>
      </c>
      <c r="H246" s="6">
        <f t="shared" si="58"/>
        <v>1144.96668</v>
      </c>
      <c r="I246" s="1"/>
      <c r="J246" s="1"/>
      <c r="K246" s="1"/>
      <c r="L246" s="1"/>
      <c r="M246" s="1"/>
      <c r="N246" s="1"/>
      <c r="O246" s="1"/>
      <c r="P246" s="1"/>
      <c r="Q246" s="1"/>
      <c r="R246" s="1"/>
      <c r="S246" s="1"/>
      <c r="T246" s="23" t="str">
        <f t="shared" ca="1" si="57"/>
        <v>105,..,105</v>
      </c>
      <c r="U246" s="23">
        <f t="shared" ref="U246:V246" ca="1" si="62">U245+1</f>
        <v>105</v>
      </c>
      <c r="V246" s="23">
        <f t="shared" ca="1" si="62"/>
        <v>105</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83">
        <f t="shared" si="59"/>
        <v>6</v>
      </c>
      <c r="B247" s="84"/>
      <c r="C247" s="54" t="s">
        <v>95</v>
      </c>
      <c r="D247" s="88" t="s">
        <v>338</v>
      </c>
      <c r="E247" s="89"/>
      <c r="F247" s="89"/>
      <c r="G247" s="89"/>
      <c r="H247" s="90"/>
      <c r="I247" s="1"/>
      <c r="J247" s="1"/>
      <c r="K247" s="1"/>
      <c r="L247" s="1"/>
      <c r="M247" s="1"/>
      <c r="N247" s="1"/>
      <c r="O247" s="1"/>
      <c r="P247" s="1"/>
      <c r="Q247" s="1"/>
      <c r="R247" s="1"/>
      <c r="S247" s="1"/>
      <c r="T247" s="23" t="str">
        <f t="shared" ca="1" si="57"/>
        <v>106,..,106</v>
      </c>
      <c r="U247" s="23">
        <f t="shared" ref="U247:V247" ca="1" si="63">U246+1</f>
        <v>106</v>
      </c>
      <c r="V247" s="23">
        <f t="shared" ca="1" si="63"/>
        <v>106</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x14ac:dyDescent="0.25">
      <c r="A248" s="79" t="s">
        <v>360</v>
      </c>
      <c r="B248" s="80"/>
      <c r="C248" s="80"/>
      <c r="D248" s="80"/>
      <c r="E248" s="80"/>
      <c r="F248" s="80"/>
      <c r="G248" s="80"/>
      <c r="H248" s="8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82">
        <v>1</v>
      </c>
      <c r="B249" s="82"/>
      <c r="C249" s="54" t="s">
        <v>95</v>
      </c>
      <c r="D249" s="54" t="s">
        <v>355</v>
      </c>
      <c r="E249" s="6">
        <f>(93.68)*(10.764)</f>
        <v>1008.37152</v>
      </c>
      <c r="F249" s="6">
        <f>(7.47+0.75*(6.7+1.9+2.4))*(10.764)</f>
        <v>169.21007999999998</v>
      </c>
      <c r="G249" s="6">
        <v>0</v>
      </c>
      <c r="H249" s="6">
        <f>E249+F249+(IF(G249&lt;101,G249,IF(G249&lt;201,G249/2,IF(G249&lt;=301,G249/3,G249/4))))</f>
        <v>1177.5816</v>
      </c>
      <c r="I249" s="76"/>
      <c r="J249" s="1"/>
      <c r="K249" s="1"/>
      <c r="L249" s="1"/>
      <c r="M249" s="1"/>
      <c r="N249" s="1"/>
      <c r="O249" s="1"/>
      <c r="P249" s="1"/>
      <c r="Q249" s="1"/>
      <c r="R249" s="1"/>
      <c r="S249" s="1"/>
      <c r="T249" s="23" t="str">
        <f t="shared" ref="T249:T254" ca="1" si="64">U249&amp;""&amp;",..,"&amp;""&amp;V249</f>
        <v>201,..,1501</v>
      </c>
      <c r="U249" s="23">
        <f ca="1">(SUMPRODUCT(MID(0&amp;(LEFT(A248,SUM(LEN(A248)-LEN(SUBSTITUTE(A248,{"0","1","2","3"},""))))), LARGE(INDEX(ISNUMBER(--MID((LEFT(A248,SUM(LEN(A248)-LEN(SUBSTITUTE(A248,{"0","1","2","3"},""))))), ROW(INDIRECT("1:"&amp;LEN((LEFT(A248,SUM(LEN(A248)-LEN(SUBSTITUTE(A248,{"0","1","2","3"},"")))))))), 1)) * ROW(INDIRECT("1:"&amp;LEN((LEFT(A248,SUM(LEN(A248)-LEN(SUBSTITUTE(A248,{"0","1","2","3"},"")))))))), 0), ROW(INDIRECT("1:"&amp;LEN((LEFT(A248,SUM(LEN(A248)-LEN(SUBSTITUTE(A248,{"0","1","2","3"},"")))))))))+1, 1) * 10^ROW(INDIRECT("1:"&amp;LEN((LEFT(A248,SUM(LEN(A248)-LEN(SUBSTITUTE(A248,{"0","1","2","3"},""))))))))/10))*100+1</f>
        <v>201</v>
      </c>
      <c r="V249" s="23">
        <f ca="1">(SUMPRODUCT(MID(0&amp;(--TRIM(RIGHT(SUBSTITUTE(LEFT(A248,_xlfn.AGGREGATE(16,6,FIND({0,1,2,3,4,5,6,7,8,9},A248,ROW(INDIRECT("1:"&amp;LEN(A248)))),1)),"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",LEN(A248))),LEN(A248)))))))/10))*100+1</f>
        <v>1501</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83">
        <f>A249+1</f>
        <v>2</v>
      </c>
      <c r="B250" s="84"/>
      <c r="C250" s="54" t="s">
        <v>95</v>
      </c>
      <c r="D250" s="54" t="s">
        <v>355</v>
      </c>
      <c r="E250" s="6">
        <f>(90.8)*(10.764)</f>
        <v>977.37119999999993</v>
      </c>
      <c r="F250" s="6">
        <f>(7.47+0.75*(2.6+1.9+3.3+3))*(10.764)</f>
        <v>167.59547999999998</v>
      </c>
      <c r="G250" s="6">
        <v>0</v>
      </c>
      <c r="H250" s="6">
        <f t="shared" ref="H250:H254" si="65">E250+F250+(IF(G250&lt;101,G250,IF(G250&lt;201,G250/2,IF(G250&lt;=301,G250/3,G250/4))))</f>
        <v>1144.96668</v>
      </c>
      <c r="I250" s="1"/>
      <c r="J250" s="1"/>
      <c r="K250" s="1"/>
      <c r="L250" s="1"/>
      <c r="M250" s="1"/>
      <c r="N250" s="1"/>
      <c r="O250" s="1"/>
      <c r="P250" s="1"/>
      <c r="Q250" s="1"/>
      <c r="R250" s="1"/>
      <c r="S250" s="1"/>
      <c r="T250" s="23" t="str">
        <f t="shared" ca="1" si="64"/>
        <v>202,..,1502</v>
      </c>
      <c r="U250" s="23">
        <f ca="1">U249+1</f>
        <v>202</v>
      </c>
      <c r="V250" s="23">
        <f ca="1">V249+1</f>
        <v>1502</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83">
        <f t="shared" ref="A251:A254" si="66">A250+1</f>
        <v>3</v>
      </c>
      <c r="B251" s="84"/>
      <c r="C251" s="54" t="s">
        <v>95</v>
      </c>
      <c r="D251" s="54" t="s">
        <v>355</v>
      </c>
      <c r="E251" s="6">
        <f>(99.8)*(10.764)</f>
        <v>1074.2471999999998</v>
      </c>
      <c r="F251" s="6">
        <f>(12.84+0.75*(3.1+1.9+3.05))*(10.764)</f>
        <v>203.19740999999999</v>
      </c>
      <c r="G251" s="6">
        <v>0</v>
      </c>
      <c r="H251" s="6">
        <f t="shared" si="65"/>
        <v>1277.4446099999998</v>
      </c>
      <c r="I251" s="1"/>
      <c r="J251" s="1"/>
      <c r="K251" s="1"/>
      <c r="L251" s="1"/>
      <c r="M251" s="1"/>
      <c r="N251" s="1"/>
      <c r="O251" s="1"/>
      <c r="P251" s="1"/>
      <c r="Q251" s="1"/>
      <c r="R251" s="1"/>
      <c r="S251" s="1"/>
      <c r="T251" s="23" t="str">
        <f t="shared" ca="1" si="64"/>
        <v>203,..,1503</v>
      </c>
      <c r="U251" s="23">
        <f t="shared" ref="U251:V254" ca="1" si="67">U250+1</f>
        <v>203</v>
      </c>
      <c r="V251" s="23">
        <f t="shared" ca="1" si="67"/>
        <v>1503</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83">
        <f t="shared" si="66"/>
        <v>4</v>
      </c>
      <c r="B252" s="84"/>
      <c r="C252" s="54" t="s">
        <v>95</v>
      </c>
      <c r="D252" s="54" t="s">
        <v>355</v>
      </c>
      <c r="E252" s="6">
        <f>(100.12)*(10.764)</f>
        <v>1077.6916799999999</v>
      </c>
      <c r="F252" s="6">
        <f>(12.84+0.75*(3.2+1.9+3.05))*(10.764)</f>
        <v>204.00470999999999</v>
      </c>
      <c r="G252" s="6">
        <v>0</v>
      </c>
      <c r="H252" s="6">
        <f t="shared" si="65"/>
        <v>1281.6963899999998</v>
      </c>
      <c r="I252" s="1"/>
      <c r="J252" s="1"/>
      <c r="K252" s="1"/>
      <c r="L252" s="1"/>
      <c r="M252" s="1"/>
      <c r="N252" s="1"/>
      <c r="O252" s="1"/>
      <c r="P252" s="1"/>
      <c r="Q252" s="1"/>
      <c r="R252" s="1"/>
      <c r="S252" s="1"/>
      <c r="T252" s="23" t="str">
        <f t="shared" ca="1" si="64"/>
        <v>204,..,1504</v>
      </c>
      <c r="U252" s="23">
        <f t="shared" ca="1" si="67"/>
        <v>204</v>
      </c>
      <c r="V252" s="23">
        <f t="shared" ca="1" si="67"/>
        <v>1504</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83">
        <f t="shared" si="66"/>
        <v>5</v>
      </c>
      <c r="B253" s="84"/>
      <c r="C253" s="54" t="s">
        <v>95</v>
      </c>
      <c r="D253" s="54" t="s">
        <v>355</v>
      </c>
      <c r="E253" s="6">
        <f>(90.8)*(10.764)</f>
        <v>977.37119999999993</v>
      </c>
      <c r="F253" s="6">
        <f>(7.47+0.75*(2.6+1.9+3.3+3))*(10.764)</f>
        <v>167.59547999999998</v>
      </c>
      <c r="G253" s="6">
        <v>0</v>
      </c>
      <c r="H253" s="6">
        <f t="shared" si="65"/>
        <v>1144.96668</v>
      </c>
      <c r="I253" s="1"/>
      <c r="J253" s="1"/>
      <c r="K253" s="1"/>
      <c r="L253" s="1"/>
      <c r="M253" s="1"/>
      <c r="N253" s="1"/>
      <c r="O253" s="1"/>
      <c r="P253" s="1"/>
      <c r="Q253" s="1"/>
      <c r="R253" s="1"/>
      <c r="S253" s="1"/>
      <c r="T253" s="23" t="str">
        <f t="shared" ca="1" si="64"/>
        <v>205,..,1505</v>
      </c>
      <c r="U253" s="23">
        <f t="shared" ca="1" si="67"/>
        <v>205</v>
      </c>
      <c r="V253" s="23">
        <f t="shared" ca="1" si="67"/>
        <v>1505</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83">
        <f t="shared" si="66"/>
        <v>6</v>
      </c>
      <c r="B254" s="84"/>
      <c r="C254" s="54" t="s">
        <v>95</v>
      </c>
      <c r="D254" s="54" t="s">
        <v>355</v>
      </c>
      <c r="E254" s="6">
        <f>(93.67)*(10.764)</f>
        <v>1008.26388</v>
      </c>
      <c r="F254" s="6">
        <f>(7.47+0.75*(2.6+1.9+6.7))*(10.764)</f>
        <v>170.82467999999997</v>
      </c>
      <c r="G254" s="6">
        <v>0</v>
      </c>
      <c r="H254" s="6">
        <f t="shared" si="65"/>
        <v>1179.0885599999999</v>
      </c>
      <c r="I254" s="1"/>
      <c r="J254" s="1"/>
      <c r="K254" s="1"/>
      <c r="L254" s="1"/>
      <c r="M254" s="1"/>
      <c r="N254" s="1"/>
      <c r="O254" s="1"/>
      <c r="P254" s="1"/>
      <c r="Q254" s="1"/>
      <c r="R254" s="1"/>
      <c r="S254" s="1"/>
      <c r="T254" s="23" t="str">
        <f t="shared" ca="1" si="64"/>
        <v>206,..,1506</v>
      </c>
      <c r="U254" s="23">
        <f t="shared" ca="1" si="67"/>
        <v>206</v>
      </c>
      <c r="V254" s="23">
        <f t="shared" ca="1" si="67"/>
        <v>1506</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79" t="s">
        <v>339</v>
      </c>
      <c r="B255" s="80"/>
      <c r="C255" s="80"/>
      <c r="D255" s="80"/>
      <c r="E255" s="80"/>
      <c r="F255" s="80"/>
      <c r="G255" s="80"/>
      <c r="H255" s="8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82">
        <v>1</v>
      </c>
      <c r="B256" s="82"/>
      <c r="C256" s="54" t="s">
        <v>95</v>
      </c>
      <c r="D256" s="54" t="s">
        <v>355</v>
      </c>
      <c r="E256" s="6">
        <f>(93.68)*(10.764)</f>
        <v>1008.37152</v>
      </c>
      <c r="F256" s="6">
        <f>(7.47+0.75*(6.7+1.9+2.4))*(10.764)</f>
        <v>169.21007999999998</v>
      </c>
      <c r="G256" s="6">
        <v>0</v>
      </c>
      <c r="H256" s="6">
        <f>E256+F256+(IF(G256&lt;101,G256,IF(G256&lt;201,G256/2,IF(G256&lt;=301,G256/3,G256/4))))</f>
        <v>1177.5816</v>
      </c>
      <c r="I256" s="76"/>
      <c r="J256" s="1"/>
      <c r="K256" s="1"/>
      <c r="L256" s="1"/>
      <c r="M256" s="1"/>
      <c r="N256" s="1"/>
      <c r="O256" s="1"/>
      <c r="P256" s="1"/>
      <c r="Q256" s="1"/>
      <c r="R256" s="1"/>
      <c r="S256" s="1"/>
      <c r="T256" s="23" t="str">
        <f t="shared" ref="T256:T261" ca="1" si="68">U256&amp;""&amp;",..,"&amp;""&amp;V256</f>
        <v>601,..,1601</v>
      </c>
      <c r="U256" s="23">
        <f ca="1">(SUMPRODUCT(MID(0&amp;(LEFT(A255,SUM(LEN(A255)-LEN(SUBSTITUTE(A255,{"0","1","2","3"},""))))), LARGE(INDEX(ISNUMBER(--MID((LEFT(A255,SUM(LEN(A255)-LEN(SUBSTITUTE(A255,{"0","1","2","3"},""))))), ROW(INDIRECT("1:"&amp;LEN((LEFT(A255,SUM(LEN(A255)-LEN(SUBSTITUTE(A255,{"0","1","2","3"},"")))))))), 1)) * ROW(INDIRECT("1:"&amp;LEN((LEFT(A255,SUM(LEN(A255)-LEN(SUBSTITUTE(A255,{"0","1","2","3"},"")))))))), 0), ROW(INDIRECT("1:"&amp;LEN((LEFT(A255,SUM(LEN(A255)-LEN(SUBSTITUTE(A255,{"0","1","2","3"},"")))))))))+1, 1) * 10^ROW(INDIRECT("1:"&amp;LEN((LEFT(A255,SUM(LEN(A255)-LEN(SUBSTITUTE(A255,{"0","1","2","3"},""))))))))/10))*100+1</f>
        <v>601</v>
      </c>
      <c r="V256" s="23">
        <f ca="1">(SUMPRODUCT(MID(0&amp;(--TRIM(RIGHT(SUBSTITUTE(LEFT(A255,_xlfn.AGGREGATE(16,6,FIND({0,1,2,3,4,5,6,7,8,9},A255,ROW(INDIRECT("1:"&amp;LEN(A255)))),1))," ",REPT(" ",LEN(A255))),LEN(A255)))), LARGE(INDEX(ISNUMBER(--MID((--TRIM(RIGHT(SUBSTITUTE(LEFT(A255,_xlfn.AGGREGATE(16,6,FIND({0,1,2,3,4,5,6,7,8,9},A255,ROW(INDIRECT("1:"&amp;LEN(A255)))),1))," ",REPT(" ",LEN(A255))),LEN(A255)))), ROW(INDIRECT("1:"&amp;LEN((--TRIM(RIGHT(SUBSTITUTE(LEFT(A255,_xlfn.AGGREGATE(16,6,FIND({0,1,2,3,4,5,6,7,8,9},A255,ROW(INDIRECT("1:"&amp;LEN(A255)))),1))," ",REPT(" ",LEN(A255))),LEN(A255))))))), 1)) * ROW(INDIRECT("1:"&amp;LEN((--TRIM(RIGHT(SUBSTITUTE(LEFT(A255,_xlfn.AGGREGATE(16,6,FIND({0,1,2,3,4,5,6,7,8,9},A255,ROW(INDIRECT("1:"&amp;LEN(A255)))),1))," ",REPT(" ",LEN(A255))),LEN(A255))))))), 0), ROW(INDIRECT("1:"&amp;LEN((--TRIM(RIGHT(SUBSTITUTE(LEFT(A255,_xlfn.AGGREGATE(16,6,FIND({0,1,2,3,4,5,6,7,8,9},A255,ROW(INDIRECT("1:"&amp;LEN(A255)))),1))," ",REPT(" ",LEN(A255))),LEN(A255))))))))+1, 1) * 10^ROW(INDIRECT("1:"&amp;LEN((--TRIM(RIGHT(SUBSTITUTE(LEFT(A255,_xlfn.AGGREGATE(16,6,FIND({0,1,2,3,4,5,6,7,8,9},A255,ROW(INDIRECT("1:"&amp;LEN(A255)))),1))," ",REPT(" ",LEN(A255))),LEN(A255)))))))/10))*100+1</f>
        <v>1601</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customHeight="1" x14ac:dyDescent="0.25">
      <c r="A257" s="83">
        <f>A256+1</f>
        <v>2</v>
      </c>
      <c r="B257" s="84"/>
      <c r="C257" s="54" t="s">
        <v>95</v>
      </c>
      <c r="D257" s="54" t="s">
        <v>355</v>
      </c>
      <c r="E257" s="6">
        <f>(90.8)*(10.764)</f>
        <v>977.37119999999993</v>
      </c>
      <c r="F257" s="6">
        <f>(7.47+0.75*(2.6+1.9+3.3+3))*(10.764)</f>
        <v>167.59547999999998</v>
      </c>
      <c r="G257" s="6">
        <v>0</v>
      </c>
      <c r="H257" s="6">
        <f t="shared" ref="H257:H261" si="69">E257+F257+(IF(G257&lt;101,G257,IF(G257&lt;201,G257/2,IF(G257&lt;=301,G257/3,G257/4))))</f>
        <v>1144.96668</v>
      </c>
      <c r="I257" s="1"/>
      <c r="J257" s="1"/>
      <c r="K257" s="1"/>
      <c r="L257" s="1"/>
      <c r="M257" s="1"/>
      <c r="N257" s="1"/>
      <c r="O257" s="1"/>
      <c r="P257" s="1"/>
      <c r="Q257" s="1"/>
      <c r="R257" s="1"/>
      <c r="S257" s="1"/>
      <c r="T257" s="23" t="str">
        <f t="shared" ca="1" si="68"/>
        <v>602,..,1602</v>
      </c>
      <c r="U257" s="23">
        <f ca="1">U256+1</f>
        <v>602</v>
      </c>
      <c r="V257" s="23">
        <f ca="1">V256+1</f>
        <v>1602</v>
      </c>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83">
        <f t="shared" ref="A258:A261" si="70">A257+1</f>
        <v>3</v>
      </c>
      <c r="B258" s="84"/>
      <c r="C258" s="54" t="s">
        <v>95</v>
      </c>
      <c r="D258" s="54" t="s">
        <v>355</v>
      </c>
      <c r="E258" s="6">
        <f>(99.8)*(10.764)</f>
        <v>1074.2471999999998</v>
      </c>
      <c r="F258" s="6">
        <f>(12.84+0.75*(3.1+1.9+3.05))*(10.764)</f>
        <v>203.19740999999999</v>
      </c>
      <c r="G258" s="6">
        <v>0</v>
      </c>
      <c r="H258" s="6">
        <f t="shared" si="69"/>
        <v>1277.4446099999998</v>
      </c>
      <c r="I258" s="1"/>
      <c r="J258" s="1"/>
      <c r="K258" s="1"/>
      <c r="L258" s="1"/>
      <c r="M258" s="1"/>
      <c r="N258" s="1"/>
      <c r="O258" s="1"/>
      <c r="P258" s="1"/>
      <c r="Q258" s="1"/>
      <c r="R258" s="1"/>
      <c r="S258" s="1"/>
      <c r="T258" s="23" t="str">
        <f t="shared" ca="1" si="68"/>
        <v>603,..,1603</v>
      </c>
      <c r="U258" s="23">
        <f t="shared" ref="U258:V258" ca="1" si="71">U257+1</f>
        <v>603</v>
      </c>
      <c r="V258" s="23">
        <f t="shared" ca="1" si="71"/>
        <v>1603</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83">
        <f t="shared" si="70"/>
        <v>4</v>
      </c>
      <c r="B259" s="84"/>
      <c r="C259" s="54" t="s">
        <v>95</v>
      </c>
      <c r="D259" s="54" t="s">
        <v>355</v>
      </c>
      <c r="E259" s="6">
        <f>(100.12)*(10.764)</f>
        <v>1077.6916799999999</v>
      </c>
      <c r="F259" s="6">
        <f>(12.84+0.75*(3.2+1.9+3.05))*(10.764)</f>
        <v>204.00470999999999</v>
      </c>
      <c r="G259" s="6">
        <v>0</v>
      </c>
      <c r="H259" s="6">
        <f t="shared" si="69"/>
        <v>1281.6963899999998</v>
      </c>
      <c r="I259" s="1"/>
      <c r="J259" s="1"/>
      <c r="K259" s="1"/>
      <c r="L259" s="1"/>
      <c r="M259" s="1"/>
      <c r="N259" s="1"/>
      <c r="O259" s="1"/>
      <c r="P259" s="1"/>
      <c r="Q259" s="1"/>
      <c r="R259" s="1"/>
      <c r="S259" s="1"/>
      <c r="T259" s="23" t="str">
        <f t="shared" ca="1" si="68"/>
        <v>604,..,1604</v>
      </c>
      <c r="U259" s="23">
        <f t="shared" ref="U259:V259" ca="1" si="72">U258+1</f>
        <v>604</v>
      </c>
      <c r="V259" s="23">
        <f t="shared" ca="1" si="72"/>
        <v>1604</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83">
        <f t="shared" si="70"/>
        <v>5</v>
      </c>
      <c r="B260" s="84"/>
      <c r="C260" s="54" t="s">
        <v>95</v>
      </c>
      <c r="D260" s="54" t="s">
        <v>333</v>
      </c>
      <c r="E260" s="6">
        <f>(73.82)*(10.764)</f>
        <v>794.59847999999988</v>
      </c>
      <c r="F260" s="6">
        <f>(7.47+0.75*(1.9+3.3+3))*(10.764)</f>
        <v>146.60567999999998</v>
      </c>
      <c r="G260" s="6">
        <v>0</v>
      </c>
      <c r="H260" s="6">
        <f t="shared" si="69"/>
        <v>941.20415999999989</v>
      </c>
      <c r="I260" s="76">
        <f>(6.25*3.35+2.575*0.8+3.675*2.45+3.65*3.05+3.45*3.35+1.525*2.45+1.525*2.45+0.6*2.6+5.6*0.95)</f>
        <v>69.043749999999989</v>
      </c>
      <c r="J260" s="76">
        <f>1.225*2.6+3.35*1.225</f>
        <v>7.2887500000000012</v>
      </c>
      <c r="K260" s="1"/>
      <c r="L260" s="1"/>
      <c r="M260" s="1"/>
      <c r="N260" s="1"/>
      <c r="O260" s="1"/>
      <c r="P260" s="1"/>
      <c r="Q260" s="1"/>
      <c r="R260" s="1"/>
      <c r="S260" s="1"/>
      <c r="T260" s="23" t="str">
        <f t="shared" ca="1" si="68"/>
        <v>605,..,1605</v>
      </c>
      <c r="U260" s="23">
        <f t="shared" ref="U260:V260" ca="1" si="73">U259+1</f>
        <v>605</v>
      </c>
      <c r="V260" s="23">
        <f t="shared" ca="1" si="73"/>
        <v>1605</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83">
        <f t="shared" si="70"/>
        <v>6</v>
      </c>
      <c r="B261" s="84"/>
      <c r="C261" s="54" t="s">
        <v>95</v>
      </c>
      <c r="D261" s="54" t="s">
        <v>333</v>
      </c>
      <c r="E261" s="6">
        <f>(76.6)*(10.764)</f>
        <v>824.52239999999983</v>
      </c>
      <c r="F261" s="6">
        <f>(7.47+0.75*(1.9+6.7))*(10.764)</f>
        <v>149.83487999999997</v>
      </c>
      <c r="G261" s="6">
        <v>0</v>
      </c>
      <c r="H261" s="6">
        <f t="shared" si="69"/>
        <v>974.35727999999983</v>
      </c>
      <c r="I261" s="1"/>
      <c r="J261" s="1"/>
      <c r="K261" s="1"/>
      <c r="L261" s="1"/>
      <c r="M261" s="1"/>
      <c r="N261" s="1"/>
      <c r="O261" s="1"/>
      <c r="P261" s="1"/>
      <c r="Q261" s="1"/>
      <c r="R261" s="1"/>
      <c r="S261" s="1"/>
      <c r="T261" s="23" t="str">
        <f t="shared" ca="1" si="68"/>
        <v>606,..,1606</v>
      </c>
      <c r="U261" s="23">
        <f t="shared" ref="U261:V261" ca="1" si="74">U260+1</f>
        <v>606</v>
      </c>
      <c r="V261" s="23">
        <f t="shared" ca="1" si="74"/>
        <v>1606</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42.75" customHeight="1" x14ac:dyDescent="0.25">
      <c r="A262" s="79" t="s">
        <v>361</v>
      </c>
      <c r="B262" s="80"/>
      <c r="C262" s="80"/>
      <c r="D262" s="80"/>
      <c r="E262" s="80"/>
      <c r="F262" s="80"/>
      <c r="G262" s="80"/>
      <c r="H262" s="8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82">
        <v>1</v>
      </c>
      <c r="B263" s="82"/>
      <c r="C263" s="54" t="s">
        <v>95</v>
      </c>
      <c r="D263" s="54" t="s">
        <v>355</v>
      </c>
      <c r="E263" s="6">
        <f>(94.31)*(10.764)</f>
        <v>1015.15284</v>
      </c>
      <c r="F263" s="6">
        <f>(7.47+0.75*(6.7+1.9+2.4))*(10.764)</f>
        <v>169.21007999999998</v>
      </c>
      <c r="G263" s="6">
        <v>0</v>
      </c>
      <c r="H263" s="6">
        <f>E263+F263+(IF(G263&lt;101,G263,IF(G263&lt;201,G263/2,IF(G263&lt;=301,G263/3,G263/4))))</f>
        <v>1184.36292</v>
      </c>
      <c r="I263" s="1"/>
      <c r="J263" s="1"/>
      <c r="K263" s="1"/>
      <c r="L263" s="1"/>
      <c r="M263" s="1"/>
      <c r="N263" s="1"/>
      <c r="O263" s="1"/>
      <c r="P263" s="1"/>
      <c r="Q263" s="1"/>
      <c r="R263" s="1"/>
      <c r="S263" s="1"/>
      <c r="T263" s="23" t="str">
        <f t="shared" ref="T263:T268" ca="1" si="75">U263&amp;""&amp;",..,"&amp;""&amp;V263</f>
        <v>17202201,..,5501</v>
      </c>
      <c r="U263" s="23">
        <f ca="1">(SUMPRODUCT(MID(0&amp;(LEFT(A262,SUM(LEN(A262)-LEN(SUBSTITUTE(A262,{"0","1","2","3"},""))))), LARGE(INDEX(ISNUMBER(--MID((LEFT(A262,SUM(LEN(A262)-LEN(SUBSTITUTE(A262,{"0","1","2","3"},""))))), ROW(INDIRECT("1:"&amp;LEN((LEFT(A262,SUM(LEN(A262)-LEN(SUBSTITUTE(A262,{"0","1","2","3"},"")))))))), 1)) * ROW(INDIRECT("1:"&amp;LEN((LEFT(A262,SUM(LEN(A262)-LEN(SUBSTITUTE(A262,{"0","1","2","3"},"")))))))), 0), ROW(INDIRECT("1:"&amp;LEN((LEFT(A262,SUM(LEN(A262)-LEN(SUBSTITUTE(A262,{"0","1","2","3"},"")))))))))+1, 1) * 10^ROW(INDIRECT("1:"&amp;LEN((LEFT(A262,SUM(LEN(A262)-LEN(SUBSTITUTE(A262,{"0","1","2","3"},""))))))))/10))*100+1</f>
        <v>17202201</v>
      </c>
      <c r="V263" s="23">
        <f ca="1">(SUMPRODUCT(MID(0&amp;(--TRIM(RIGHT(SUBSTITUTE(LEFT(A262,_xlfn.AGGREGATE(16,6,FIND({0,1,2,3,4,5,6,7,8,9},A262,ROW(INDIRECT("1:"&amp;LEN(A262)))),1))," ",REPT(" ",LEN(A262))),LEN(A262)))), LARGE(INDEX(ISNUMBER(--MID((--TRIM(RIGHT(SUBSTITUTE(LEFT(A262,_xlfn.AGGREGATE(16,6,FIND({0,1,2,3,4,5,6,7,8,9},A262,ROW(INDIRECT("1:"&amp;LEN(A262)))),1))," ",REPT(" ",LEN(A262))),LEN(A262)))), ROW(INDIRECT("1:"&amp;LEN((--TRIM(RIGHT(SUBSTITUTE(LEFT(A262,_xlfn.AGGREGATE(16,6,FIND({0,1,2,3,4,5,6,7,8,9},A262,ROW(INDIRECT("1:"&amp;LEN(A262)))),1))," ",REPT(" ",LEN(A262))),LEN(A262))))))), 1)) * ROW(INDIRECT("1:"&amp;LEN((--TRIM(RIGHT(SUBSTITUTE(LEFT(A262,_xlfn.AGGREGATE(16,6,FIND({0,1,2,3,4,5,6,7,8,9},A262,ROW(INDIRECT("1:"&amp;LEN(A262)))),1))," ",REPT(" ",LEN(A262))),LEN(A262))))))), 0), ROW(INDIRECT("1:"&amp;LEN((--TRIM(RIGHT(SUBSTITUTE(LEFT(A262,_xlfn.AGGREGATE(16,6,FIND({0,1,2,3,4,5,6,7,8,9},A262,ROW(INDIRECT("1:"&amp;LEN(A262)))),1))," ",REPT(" ",LEN(A262))),LEN(A262))))))))+1, 1) * 10^ROW(INDIRECT("1:"&amp;LEN((--TRIM(RIGHT(SUBSTITUTE(LEFT(A262,_xlfn.AGGREGATE(16,6,FIND({0,1,2,3,4,5,6,7,8,9},A262,ROW(INDIRECT("1:"&amp;LEN(A262)))),1))," ",REPT(" ",LEN(A262))),LEN(A262)))))))/10))*100+1</f>
        <v>5501</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83">
        <f>A263+1</f>
        <v>2</v>
      </c>
      <c r="B264" s="84"/>
      <c r="C264" s="54" t="s">
        <v>95</v>
      </c>
      <c r="D264" s="54" t="s">
        <v>355</v>
      </c>
      <c r="E264" s="6">
        <f>(90.8)*(10.764)</f>
        <v>977.37119999999993</v>
      </c>
      <c r="F264" s="6">
        <f>(7.47+0.75*(2.6+1.9+3.3+3))*(10.764)</f>
        <v>167.59547999999998</v>
      </c>
      <c r="G264" s="6">
        <v>0</v>
      </c>
      <c r="H264" s="6">
        <f t="shared" ref="H264:H268" si="76">E264+F264+(IF(G264&lt;101,G264,IF(G264&lt;201,G264/2,IF(G264&lt;=301,G264/3,G264/4))))</f>
        <v>1144.96668</v>
      </c>
      <c r="I264" s="1"/>
      <c r="J264" s="1"/>
      <c r="K264" s="1"/>
      <c r="L264" s="1"/>
      <c r="M264" s="1"/>
      <c r="N264" s="1"/>
      <c r="O264" s="1"/>
      <c r="P264" s="1"/>
      <c r="Q264" s="1"/>
      <c r="R264" s="1"/>
      <c r="S264" s="1"/>
      <c r="T264" s="23" t="str">
        <f t="shared" ca="1" si="75"/>
        <v>17202202,..,5502</v>
      </c>
      <c r="U264" s="23">
        <f ca="1">U263+1</f>
        <v>17202202</v>
      </c>
      <c r="V264" s="23">
        <f ca="1">V263+1</f>
        <v>5502</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customHeight="1" x14ac:dyDescent="0.25">
      <c r="A265" s="83">
        <f t="shared" ref="A265:A268" si="77">A264+1</f>
        <v>3</v>
      </c>
      <c r="B265" s="84"/>
      <c r="C265" s="54" t="s">
        <v>95</v>
      </c>
      <c r="D265" s="54" t="s">
        <v>355</v>
      </c>
      <c r="E265" s="6">
        <f>(100.38)*(10.764)</f>
        <v>1080.4903199999999</v>
      </c>
      <c r="F265" s="6">
        <f>(12.84+0.75*(3.1+1.9+3.05))*(10.764)</f>
        <v>203.19740999999999</v>
      </c>
      <c r="G265" s="6">
        <v>0</v>
      </c>
      <c r="H265" s="6">
        <f t="shared" si="76"/>
        <v>1283.6877299999999</v>
      </c>
      <c r="I265" s="1"/>
      <c r="J265" s="1"/>
      <c r="K265" s="1"/>
      <c r="L265" s="1"/>
      <c r="M265" s="1"/>
      <c r="N265" s="1"/>
      <c r="O265" s="1"/>
      <c r="P265" s="1"/>
      <c r="Q265" s="1"/>
      <c r="R265" s="1"/>
      <c r="S265" s="1"/>
      <c r="T265" s="23" t="str">
        <f t="shared" ca="1" si="75"/>
        <v>17202203,..,5503</v>
      </c>
      <c r="U265" s="23">
        <f t="shared" ref="U265:V268" ca="1" si="78">U264+1</f>
        <v>17202203</v>
      </c>
      <c r="V265" s="23">
        <f t="shared" ca="1" si="78"/>
        <v>5503</v>
      </c>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83">
        <f t="shared" si="77"/>
        <v>4</v>
      </c>
      <c r="B266" s="84"/>
      <c r="C266" s="54" t="s">
        <v>95</v>
      </c>
      <c r="D266" s="54" t="s">
        <v>355</v>
      </c>
      <c r="E266" s="6">
        <f>(100.7)*(10.764)</f>
        <v>1083.9348</v>
      </c>
      <c r="F266" s="6">
        <f>(12.84+0.75*(3.2+1.9+3.05))*(10.764)</f>
        <v>204.00470999999999</v>
      </c>
      <c r="G266" s="6">
        <v>0</v>
      </c>
      <c r="H266" s="6">
        <f t="shared" si="76"/>
        <v>1287.9395099999999</v>
      </c>
      <c r="I266" s="1"/>
      <c r="J266" s="1"/>
      <c r="K266" s="1"/>
      <c r="L266" s="1"/>
      <c r="M266" s="1"/>
      <c r="N266" s="1"/>
      <c r="O266" s="1"/>
      <c r="P266" s="1"/>
      <c r="Q266" s="1"/>
      <c r="R266" s="1"/>
      <c r="S266" s="1"/>
      <c r="T266" s="23" t="str">
        <f t="shared" ca="1" si="75"/>
        <v>17202204,..,5504</v>
      </c>
      <c r="U266" s="23">
        <f t="shared" ca="1" si="78"/>
        <v>17202204</v>
      </c>
      <c r="V266" s="23">
        <f t="shared" ca="1" si="78"/>
        <v>5504</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83">
        <f t="shared" si="77"/>
        <v>5</v>
      </c>
      <c r="B267" s="84"/>
      <c r="C267" s="54" t="s">
        <v>95</v>
      </c>
      <c r="D267" s="54" t="s">
        <v>355</v>
      </c>
      <c r="E267" s="6">
        <f>(90.8)*(10.764)</f>
        <v>977.37119999999993</v>
      </c>
      <c r="F267" s="6">
        <f>(7.47+0.75*(2.6+1.9+3.3+3))*(10.764)</f>
        <v>167.59547999999998</v>
      </c>
      <c r="G267" s="6">
        <v>0</v>
      </c>
      <c r="H267" s="6">
        <f t="shared" si="76"/>
        <v>1144.96668</v>
      </c>
      <c r="I267" s="1"/>
      <c r="J267" s="1"/>
      <c r="K267" s="1"/>
      <c r="L267" s="1"/>
      <c r="M267" s="1"/>
      <c r="N267" s="1"/>
      <c r="O267" s="1"/>
      <c r="P267" s="1"/>
      <c r="Q267" s="1"/>
      <c r="R267" s="1"/>
      <c r="S267" s="1"/>
      <c r="T267" s="23" t="str">
        <f t="shared" ca="1" si="75"/>
        <v>17202205,..,5505</v>
      </c>
      <c r="U267" s="23">
        <f t="shared" ca="1" si="78"/>
        <v>17202205</v>
      </c>
      <c r="V267" s="23">
        <f t="shared" ca="1" si="78"/>
        <v>5505</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83">
        <f t="shared" si="77"/>
        <v>6</v>
      </c>
      <c r="B268" s="84"/>
      <c r="C268" s="54" t="s">
        <v>95</v>
      </c>
      <c r="D268" s="54" t="s">
        <v>355</v>
      </c>
      <c r="E268" s="6">
        <f>(94.31)*(10.764)</f>
        <v>1015.15284</v>
      </c>
      <c r="F268" s="6">
        <f>(7.47+0.75*(2.6+1.9+6.7))*(10.764)</f>
        <v>170.82467999999997</v>
      </c>
      <c r="G268" s="6">
        <v>0</v>
      </c>
      <c r="H268" s="6">
        <f t="shared" si="76"/>
        <v>1185.9775199999999</v>
      </c>
      <c r="I268" s="1"/>
      <c r="J268" s="1"/>
      <c r="K268" s="1"/>
      <c r="L268" s="1"/>
      <c r="M268" s="1"/>
      <c r="N268" s="1"/>
      <c r="O268" s="1"/>
      <c r="P268" s="1"/>
      <c r="Q268" s="1"/>
      <c r="R268" s="1"/>
      <c r="S268" s="1"/>
      <c r="T268" s="23" t="str">
        <f t="shared" ca="1" si="75"/>
        <v>17202206,..,5506</v>
      </c>
      <c r="U268" s="23">
        <f t="shared" ca="1" si="78"/>
        <v>17202206</v>
      </c>
      <c r="V268" s="23">
        <f t="shared" ca="1" si="78"/>
        <v>5506</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79" t="s">
        <v>362</v>
      </c>
      <c r="B269" s="80"/>
      <c r="C269" s="80"/>
      <c r="D269" s="80"/>
      <c r="E269" s="80"/>
      <c r="F269" s="80"/>
      <c r="G269" s="80"/>
      <c r="H269" s="8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82">
        <v>1</v>
      </c>
      <c r="B270" s="82"/>
      <c r="C270" s="54" t="s">
        <v>95</v>
      </c>
      <c r="D270" s="54" t="s">
        <v>355</v>
      </c>
      <c r="E270" s="6">
        <f>(94.31)*(10.764)</f>
        <v>1015.15284</v>
      </c>
      <c r="F270" s="6">
        <f>(7.47+0.75*(6.7+1.9+2.4))*(10.764)</f>
        <v>169.21007999999998</v>
      </c>
      <c r="G270" s="6">
        <v>0</v>
      </c>
      <c r="H270" s="6">
        <f>E270+F270+(IF(G270&lt;101,G270,IF(G270&lt;201,G270/2,IF(G270&lt;=301,G270/3,G270/4))))</f>
        <v>1184.36292</v>
      </c>
      <c r="I270" s="1"/>
      <c r="J270" s="1"/>
      <c r="K270" s="1"/>
      <c r="L270" s="1"/>
      <c r="M270" s="1"/>
      <c r="N270" s="1"/>
      <c r="O270" s="1"/>
      <c r="P270" s="1"/>
      <c r="Q270" s="1"/>
      <c r="R270" s="1"/>
      <c r="S270" s="1"/>
      <c r="T270" s="23" t="str">
        <f t="shared" ref="T270:T275" ca="1" si="79">U270&amp;""&amp;",..,"&amp;""&amp;V270</f>
        <v>2101,..,5601</v>
      </c>
      <c r="U270" s="23">
        <f ca="1">(SUMPRODUCT(MID(0&amp;(LEFT(A269,SUM(LEN(A269)-LEN(SUBSTITUTE(A269,{"0","1","2","3"},""))))), LARGE(INDEX(ISNUMBER(--MID((LEFT(A269,SUM(LEN(A269)-LEN(SUBSTITUTE(A269,{"0","1","2","3"},""))))), ROW(INDIRECT("1:"&amp;LEN((LEFT(A269,SUM(LEN(A269)-LEN(SUBSTITUTE(A269,{"0","1","2","3"},"")))))))), 1)) * ROW(INDIRECT("1:"&amp;LEN((LEFT(A269,SUM(LEN(A269)-LEN(SUBSTITUTE(A269,{"0","1","2","3"},"")))))))), 0), ROW(INDIRECT("1:"&amp;LEN((LEFT(A269,SUM(LEN(A269)-LEN(SUBSTITUTE(A269,{"0","1","2","3"},"")))))))))+1, 1) * 10^ROW(INDIRECT("1:"&amp;LEN((LEFT(A269,SUM(LEN(A269)-LEN(SUBSTITUTE(A269,{"0","1","2","3"},""))))))))/10))*100+1</f>
        <v>2101</v>
      </c>
      <c r="V270" s="23">
        <f ca="1">(SUMPRODUCT(MID(0&amp;(--TRIM(RIGHT(SUBSTITUTE(LEFT(A269,_xlfn.AGGREGATE(16,6,FIND({0,1,2,3,4,5,6,7,8,9},A269,ROW(INDIRECT("1:"&amp;LEN(A269)))),1))," ",REPT(" ",LEN(A269))),LEN(A269)))), LARGE(INDEX(ISNUMBER(--MID((--TRIM(RIGHT(SUBSTITUTE(LEFT(A269,_xlfn.AGGREGATE(16,6,FIND({0,1,2,3,4,5,6,7,8,9},A269,ROW(INDIRECT("1:"&amp;LEN(A269)))),1))," ",REPT(" ",LEN(A269))),LEN(A269)))), ROW(INDIRECT("1:"&amp;LEN((--TRIM(RIGHT(SUBSTITUTE(LEFT(A269,_xlfn.AGGREGATE(16,6,FIND({0,1,2,3,4,5,6,7,8,9},A269,ROW(INDIRECT("1:"&amp;LEN(A269)))),1))," ",REPT(" ",LEN(A269))),LEN(A269))))))), 1)) * ROW(INDIRECT("1:"&amp;LEN((--TRIM(RIGHT(SUBSTITUTE(LEFT(A269,_xlfn.AGGREGATE(16,6,FIND({0,1,2,3,4,5,6,7,8,9},A269,ROW(INDIRECT("1:"&amp;LEN(A269)))),1))," ",REPT(" ",LEN(A269))),LEN(A269))))))), 0), ROW(INDIRECT("1:"&amp;LEN((--TRIM(RIGHT(SUBSTITUTE(LEFT(A269,_xlfn.AGGREGATE(16,6,FIND({0,1,2,3,4,5,6,7,8,9},A269,ROW(INDIRECT("1:"&amp;LEN(A269)))),1))," ",REPT(" ",LEN(A269))),LEN(A269))))))))+1, 1) * 10^ROW(INDIRECT("1:"&amp;LEN((--TRIM(RIGHT(SUBSTITUTE(LEFT(A269,_xlfn.AGGREGATE(16,6,FIND({0,1,2,3,4,5,6,7,8,9},A269,ROW(INDIRECT("1:"&amp;LEN(A269)))),1))," ",REPT(" ",LEN(A269))),LEN(A269)))))))/10))*100+1</f>
        <v>5601</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83">
        <f>A270+1</f>
        <v>2</v>
      </c>
      <c r="B271" s="84"/>
      <c r="C271" s="54" t="s">
        <v>95</v>
      </c>
      <c r="D271" s="54" t="s">
        <v>355</v>
      </c>
      <c r="E271" s="6">
        <f>(90.8)*(10.764)</f>
        <v>977.37119999999993</v>
      </c>
      <c r="F271" s="6">
        <f>(7.47+0.75*(2.6+1.9+3.3+3))*(10.764)</f>
        <v>167.59547999999998</v>
      </c>
      <c r="G271" s="6">
        <v>0</v>
      </c>
      <c r="H271" s="6">
        <f t="shared" ref="H271:H275" si="80">E271+F271+(IF(G271&lt;101,G271,IF(G271&lt;201,G271/2,IF(G271&lt;=301,G271/3,G271/4))))</f>
        <v>1144.96668</v>
      </c>
      <c r="I271" s="1"/>
      <c r="J271" s="1"/>
      <c r="K271" s="1"/>
      <c r="L271" s="1"/>
      <c r="M271" s="1"/>
      <c r="N271" s="1"/>
      <c r="O271" s="1"/>
      <c r="P271" s="1"/>
      <c r="Q271" s="1"/>
      <c r="R271" s="1"/>
      <c r="S271" s="1"/>
      <c r="T271" s="23" t="str">
        <f t="shared" ca="1" si="79"/>
        <v>2102,..,5602</v>
      </c>
      <c r="U271" s="23">
        <f ca="1">U270+1</f>
        <v>2102</v>
      </c>
      <c r="V271" s="23">
        <f ca="1">V270+1</f>
        <v>5602</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83">
        <f t="shared" ref="A272:A275" si="81">A271+1</f>
        <v>3</v>
      </c>
      <c r="B272" s="84"/>
      <c r="C272" s="54" t="s">
        <v>95</v>
      </c>
      <c r="D272" s="54" t="s">
        <v>355</v>
      </c>
      <c r="E272" s="6">
        <f>(100.38)*(10.764)</f>
        <v>1080.4903199999999</v>
      </c>
      <c r="F272" s="6">
        <f>(12.84+0.75*(3.1+1.9+3.05))*(10.764)</f>
        <v>203.19740999999999</v>
      </c>
      <c r="G272" s="6">
        <v>0</v>
      </c>
      <c r="H272" s="6">
        <f t="shared" si="80"/>
        <v>1283.6877299999999</v>
      </c>
      <c r="I272" s="1"/>
      <c r="J272" s="1"/>
      <c r="K272" s="1"/>
      <c r="L272" s="1"/>
      <c r="M272" s="1"/>
      <c r="N272" s="1"/>
      <c r="O272" s="1"/>
      <c r="P272" s="1"/>
      <c r="Q272" s="1"/>
      <c r="R272" s="1"/>
      <c r="S272" s="1"/>
      <c r="T272" s="23" t="str">
        <f t="shared" ca="1" si="79"/>
        <v>2103,..,5603</v>
      </c>
      <c r="U272" s="23">
        <f t="shared" ref="U272:V272" ca="1" si="82">U271+1</f>
        <v>2103</v>
      </c>
      <c r="V272" s="23">
        <f t="shared" ca="1" si="82"/>
        <v>5603</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customHeight="1" x14ac:dyDescent="0.25">
      <c r="A273" s="83">
        <f t="shared" si="81"/>
        <v>4</v>
      </c>
      <c r="B273" s="84"/>
      <c r="C273" s="54" t="s">
        <v>95</v>
      </c>
      <c r="D273" s="54" t="s">
        <v>355</v>
      </c>
      <c r="E273" s="6">
        <f>(100.7)*(10.764)</f>
        <v>1083.9348</v>
      </c>
      <c r="F273" s="6">
        <f>(12.84+0.75*(3.2+1.9+3.05))*(10.764)</f>
        <v>204.00470999999999</v>
      </c>
      <c r="G273" s="6">
        <v>0</v>
      </c>
      <c r="H273" s="6">
        <f t="shared" si="80"/>
        <v>1287.9395099999999</v>
      </c>
      <c r="I273" s="1"/>
      <c r="J273" s="1"/>
      <c r="K273" s="1"/>
      <c r="L273" s="1"/>
      <c r="M273" s="1"/>
      <c r="N273" s="1"/>
      <c r="O273" s="1"/>
      <c r="P273" s="1"/>
      <c r="Q273" s="1"/>
      <c r="R273" s="1"/>
      <c r="S273" s="1"/>
      <c r="T273" s="23" t="str">
        <f t="shared" ca="1" si="79"/>
        <v>2104,..,5604</v>
      </c>
      <c r="U273" s="23">
        <f t="shared" ref="U273:V273" ca="1" si="83">U272+1</f>
        <v>2104</v>
      </c>
      <c r="V273" s="23">
        <f t="shared" ca="1" si="83"/>
        <v>5604</v>
      </c>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83">
        <f t="shared" si="81"/>
        <v>5</v>
      </c>
      <c r="B274" s="84"/>
      <c r="C274" s="54" t="s">
        <v>95</v>
      </c>
      <c r="D274" s="54" t="s">
        <v>333</v>
      </c>
      <c r="E274" s="6">
        <f>(73.82)*(10.764)</f>
        <v>794.59847999999988</v>
      </c>
      <c r="F274" s="6">
        <f>(7.47+0.75*(1.9+3.3+3))*(10.764)</f>
        <v>146.60567999999998</v>
      </c>
      <c r="G274" s="6">
        <v>0</v>
      </c>
      <c r="H274" s="6">
        <f t="shared" si="80"/>
        <v>941.20415999999989</v>
      </c>
      <c r="I274" s="1"/>
      <c r="J274" s="1"/>
      <c r="K274" s="1"/>
      <c r="L274" s="1"/>
      <c r="M274" s="1"/>
      <c r="N274" s="1"/>
      <c r="O274" s="1"/>
      <c r="P274" s="1"/>
      <c r="Q274" s="1"/>
      <c r="R274" s="1"/>
      <c r="S274" s="1"/>
      <c r="T274" s="23" t="str">
        <f t="shared" ca="1" si="79"/>
        <v>2105,..,5605</v>
      </c>
      <c r="U274" s="23">
        <f t="shared" ref="U274:V274" ca="1" si="84">U273+1</f>
        <v>2105</v>
      </c>
      <c r="V274" s="23">
        <f t="shared" ca="1" si="84"/>
        <v>5605</v>
      </c>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83">
        <f t="shared" si="81"/>
        <v>6</v>
      </c>
      <c r="B275" s="84"/>
      <c r="C275" s="54" t="s">
        <v>95</v>
      </c>
      <c r="D275" s="54" t="s">
        <v>333</v>
      </c>
      <c r="E275" s="6">
        <f>(77.23)*(10.764)</f>
        <v>831.30372</v>
      </c>
      <c r="F275" s="6">
        <f>(7.47+0.75*(1.9+6.7))*(10.764)</f>
        <v>149.83487999999997</v>
      </c>
      <c r="G275" s="6">
        <v>0</v>
      </c>
      <c r="H275" s="6">
        <f t="shared" si="80"/>
        <v>981.1386</v>
      </c>
      <c r="I275" s="1"/>
      <c r="J275" s="1"/>
      <c r="K275" s="1"/>
      <c r="L275" s="1"/>
      <c r="M275" s="1"/>
      <c r="N275" s="1"/>
      <c r="O275" s="1"/>
      <c r="P275" s="1"/>
      <c r="Q275" s="1"/>
      <c r="R275" s="1"/>
      <c r="S275" s="1"/>
      <c r="T275" s="23" t="str">
        <f t="shared" ca="1" si="79"/>
        <v>2106,..,5606</v>
      </c>
      <c r="U275" s="23">
        <f t="shared" ref="U275:V275" ca="1" si="85">U274+1</f>
        <v>2106</v>
      </c>
      <c r="V275" s="23">
        <f t="shared" ca="1" si="85"/>
        <v>5606</v>
      </c>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x14ac:dyDescent="0.25">
      <c r="A276" s="79" t="s">
        <v>365</v>
      </c>
      <c r="B276" s="80"/>
      <c r="C276" s="80"/>
      <c r="D276" s="80"/>
      <c r="E276" s="80"/>
      <c r="F276" s="80"/>
      <c r="G276" s="80"/>
      <c r="H276" s="8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customHeight="1" x14ac:dyDescent="0.25">
      <c r="A277" s="82">
        <v>1</v>
      </c>
      <c r="B277" s="82"/>
      <c r="C277" s="54" t="s">
        <v>95</v>
      </c>
      <c r="D277" s="54" t="s">
        <v>355</v>
      </c>
      <c r="E277" s="6">
        <f>(94.31)*(10.764)</f>
        <v>1015.15284</v>
      </c>
      <c r="F277" s="6">
        <f>(7.47+0.75*(6.7+1.9+2.4))*(10.764)</f>
        <v>169.21007999999998</v>
      </c>
      <c r="G277" s="6">
        <v>0</v>
      </c>
      <c r="H277" s="6">
        <f>E277+F277+(IF(G277&lt;101,G277,IF(G277&lt;201,G277/2,IF(G277&lt;=301,G277/3,G277/4))))</f>
        <v>1184.36292</v>
      </c>
      <c r="I277" s="1"/>
      <c r="J277" s="1"/>
      <c r="K277" s="1"/>
      <c r="L277" s="1"/>
      <c r="M277" s="1"/>
      <c r="N277" s="1"/>
      <c r="O277" s="1"/>
      <c r="P277" s="1"/>
      <c r="Q277" s="1"/>
      <c r="R277" s="1"/>
      <c r="S277" s="1"/>
      <c r="T277" s="23" t="str">
        <f t="shared" ref="T277:T282" ca="1" si="86">U277&amp;""&amp;",..,"&amp;""&amp;V277</f>
        <v>3101,..,3101</v>
      </c>
      <c r="U277" s="23">
        <f ca="1">(SUMPRODUCT(MID(0&amp;(LEFT(A276,SUM(LEN(A276)-LEN(SUBSTITUTE(A276,{"0","1","2","3"},""))))), LARGE(INDEX(ISNUMBER(--MID((LEFT(A276,SUM(LEN(A276)-LEN(SUBSTITUTE(A276,{"0","1","2","3"},""))))), ROW(INDIRECT("1:"&amp;LEN((LEFT(A276,SUM(LEN(A276)-LEN(SUBSTITUTE(A276,{"0","1","2","3"},"")))))))), 1)) * ROW(INDIRECT("1:"&amp;LEN((LEFT(A276,SUM(LEN(A276)-LEN(SUBSTITUTE(A276,{"0","1","2","3"},"")))))))), 0), ROW(INDIRECT("1:"&amp;LEN((LEFT(A276,SUM(LEN(A276)-LEN(SUBSTITUTE(A276,{"0","1","2","3"},"")))))))))+1, 1) * 10^ROW(INDIRECT("1:"&amp;LEN((LEFT(A276,SUM(LEN(A276)-LEN(SUBSTITUTE(A276,{"0","1","2","3"},""))))))))/10))*100+1</f>
        <v>3101</v>
      </c>
      <c r="V277" s="23">
        <f ca="1">(SUMPRODUCT(MID(0&amp;(--TRIM(RIGHT(SUBSTITUTE(LEFT(A276,_xlfn.AGGREGATE(16,6,FIND({0,1,2,3,4,5,6,7,8,9},A276,ROW(INDIRECT("1:"&amp;LEN(A276)))),1)),"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",LEN(A276))),LEN(A276)))))))/10))*100+1</f>
        <v>3101</v>
      </c>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customHeight="1" x14ac:dyDescent="0.25">
      <c r="A278" s="83">
        <f>A277+1</f>
        <v>2</v>
      </c>
      <c r="B278" s="84"/>
      <c r="C278" s="54" t="s">
        <v>95</v>
      </c>
      <c r="D278" s="54" t="s">
        <v>355</v>
      </c>
      <c r="E278" s="6">
        <f>(90.8)*(10.764)</f>
        <v>977.37119999999993</v>
      </c>
      <c r="F278" s="6">
        <f>(7.47+0.75*(2.6+1.9+3.3+3))*(10.764)</f>
        <v>167.59547999999998</v>
      </c>
      <c r="G278" s="6">
        <v>0</v>
      </c>
      <c r="H278" s="6">
        <f t="shared" ref="H278:H279" si="87">E278+F278+(IF(G278&lt;101,G278,IF(G278&lt;201,G278/2,IF(G278&lt;=301,G278/3,G278/4))))</f>
        <v>1144.96668</v>
      </c>
      <c r="I278" s="1"/>
      <c r="J278" s="1"/>
      <c r="K278" s="1"/>
      <c r="L278" s="1"/>
      <c r="M278" s="1"/>
      <c r="N278" s="1"/>
      <c r="O278" s="1"/>
      <c r="P278" s="1"/>
      <c r="Q278" s="1"/>
      <c r="R278" s="1"/>
      <c r="S278" s="1"/>
      <c r="T278" s="23" t="str">
        <f t="shared" ca="1" si="86"/>
        <v>3102,..,3102</v>
      </c>
      <c r="U278" s="23">
        <f ca="1">U277+1</f>
        <v>3102</v>
      </c>
      <c r="V278" s="23">
        <f ca="1">V277+1</f>
        <v>3102</v>
      </c>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customHeight="1" x14ac:dyDescent="0.25">
      <c r="A279" s="83">
        <f t="shared" ref="A279:A282" si="88">A278+1</f>
        <v>3</v>
      </c>
      <c r="B279" s="84"/>
      <c r="C279" s="54" t="s">
        <v>95</v>
      </c>
      <c r="D279" s="54" t="s">
        <v>355</v>
      </c>
      <c r="E279" s="6">
        <f>(100.38)*(10.764)</f>
        <v>1080.4903199999999</v>
      </c>
      <c r="F279" s="6">
        <f>(12.84+0.75*(3.1+1.9+3.05))*(10.764)</f>
        <v>203.19740999999999</v>
      </c>
      <c r="G279" s="6">
        <v>0</v>
      </c>
      <c r="H279" s="6">
        <f t="shared" si="87"/>
        <v>1283.6877299999999</v>
      </c>
      <c r="I279" s="1"/>
      <c r="J279" s="1"/>
      <c r="K279" s="1"/>
      <c r="L279" s="1"/>
      <c r="M279" s="1"/>
      <c r="N279" s="1"/>
      <c r="O279" s="1"/>
      <c r="P279" s="1"/>
      <c r="Q279" s="1"/>
      <c r="R279" s="1"/>
      <c r="S279" s="1"/>
      <c r="T279" s="23" t="str">
        <f t="shared" ca="1" si="86"/>
        <v>3103,..,3103</v>
      </c>
      <c r="U279" s="23">
        <f t="shared" ref="U279:V279" ca="1" si="89">U278+1</f>
        <v>3103</v>
      </c>
      <c r="V279" s="23">
        <f t="shared" ca="1" si="89"/>
        <v>3103</v>
      </c>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customHeight="1" x14ac:dyDescent="0.25">
      <c r="A280" s="83">
        <f t="shared" si="88"/>
        <v>4</v>
      </c>
      <c r="B280" s="84"/>
      <c r="C280" s="54" t="s">
        <v>95</v>
      </c>
      <c r="D280" s="88" t="s">
        <v>366</v>
      </c>
      <c r="E280" s="89"/>
      <c r="F280" s="89"/>
      <c r="G280" s="89"/>
      <c r="H280" s="90"/>
      <c r="I280" s="1"/>
      <c r="J280" s="1"/>
      <c r="K280" s="1"/>
      <c r="L280" s="1"/>
      <c r="M280" s="1"/>
      <c r="N280" s="1"/>
      <c r="O280" s="1"/>
      <c r="P280" s="1"/>
      <c r="Q280" s="1"/>
      <c r="R280" s="1"/>
      <c r="S280" s="1"/>
      <c r="T280" s="23" t="str">
        <f t="shared" ca="1" si="86"/>
        <v>3104,..,3104</v>
      </c>
      <c r="U280" s="23">
        <f t="shared" ref="U280:V280" ca="1" si="90">U279+1</f>
        <v>3104</v>
      </c>
      <c r="V280" s="23">
        <f t="shared" ca="1" si="90"/>
        <v>3104</v>
      </c>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83">
        <f t="shared" si="88"/>
        <v>5</v>
      </c>
      <c r="B281" s="84"/>
      <c r="C281" s="54" t="s">
        <v>95</v>
      </c>
      <c r="D281" s="88" t="s">
        <v>338</v>
      </c>
      <c r="E281" s="89"/>
      <c r="F281" s="89"/>
      <c r="G281" s="89"/>
      <c r="H281" s="90"/>
      <c r="I281" s="1"/>
      <c r="J281" s="1"/>
      <c r="K281" s="1"/>
      <c r="L281" s="1"/>
      <c r="M281" s="1"/>
      <c r="N281" s="1"/>
      <c r="O281" s="1"/>
      <c r="P281" s="1"/>
      <c r="Q281" s="1"/>
      <c r="R281" s="1"/>
      <c r="S281" s="1"/>
      <c r="T281" s="23" t="str">
        <f t="shared" ca="1" si="86"/>
        <v>3105,..,3105</v>
      </c>
      <c r="U281" s="23">
        <f t="shared" ref="U281:V281" ca="1" si="91">U280+1</f>
        <v>3105</v>
      </c>
      <c r="V281" s="23">
        <f t="shared" ca="1" si="91"/>
        <v>3105</v>
      </c>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83">
        <f t="shared" si="88"/>
        <v>6</v>
      </c>
      <c r="B282" s="84"/>
      <c r="C282" s="54" t="s">
        <v>95</v>
      </c>
      <c r="D282" s="88" t="s">
        <v>367</v>
      </c>
      <c r="E282" s="89"/>
      <c r="F282" s="89"/>
      <c r="G282" s="89"/>
      <c r="H282" s="90"/>
      <c r="I282" s="1"/>
      <c r="J282" s="1"/>
      <c r="K282" s="1"/>
      <c r="L282" s="1"/>
      <c r="M282" s="1"/>
      <c r="N282" s="1"/>
      <c r="O282" s="1"/>
      <c r="P282" s="1"/>
      <c r="Q282" s="1"/>
      <c r="R282" s="1"/>
      <c r="S282" s="1"/>
      <c r="T282" s="23" t="str">
        <f t="shared" ca="1" si="86"/>
        <v>3106,..,3106</v>
      </c>
      <c r="U282" s="23">
        <f t="shared" ref="U282:V282" ca="1" si="92">U281+1</f>
        <v>3106</v>
      </c>
      <c r="V282" s="23">
        <f t="shared" ca="1" si="92"/>
        <v>3106</v>
      </c>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x14ac:dyDescent="0.25">
      <c r="A283" s="79" t="s">
        <v>346</v>
      </c>
      <c r="B283" s="80"/>
      <c r="C283" s="80"/>
      <c r="D283" s="80"/>
      <c r="E283" s="80"/>
      <c r="F283" s="80"/>
      <c r="G283" s="80"/>
      <c r="H283" s="8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customHeight="1" x14ac:dyDescent="0.25">
      <c r="A284" s="82">
        <v>1</v>
      </c>
      <c r="B284" s="82"/>
      <c r="C284" s="54" t="s">
        <v>95</v>
      </c>
      <c r="D284" s="54" t="s">
        <v>333</v>
      </c>
      <c r="E284" s="6">
        <f>(77.23)*(10.764)</f>
        <v>831.30372</v>
      </c>
      <c r="F284" s="6">
        <f>(7.47+0.75*(1.9+6.7))*(10.764)</f>
        <v>149.83487999999997</v>
      </c>
      <c r="G284" s="6">
        <v>0</v>
      </c>
      <c r="H284" s="6">
        <f>E284+F284+(IF(G284&lt;101,G284,IF(G284&lt;201,G284/2,IF(G284&lt;=301,G284/3,G284/4))))</f>
        <v>981.1386</v>
      </c>
      <c r="I284" s="1"/>
      <c r="J284" s="1"/>
      <c r="K284" s="1"/>
      <c r="L284" s="1"/>
      <c r="M284" s="1"/>
      <c r="N284" s="1"/>
      <c r="O284" s="1"/>
      <c r="P284" s="1"/>
      <c r="Q284" s="1"/>
      <c r="R284" s="1"/>
      <c r="S284" s="1"/>
      <c r="T284" s="23" t="str">
        <f t="shared" ref="T284:T289" ca="1" si="93">U284&amp;""&amp;",..,"&amp;""&amp;V284</f>
        <v>3201,..,3201</v>
      </c>
      <c r="U284" s="23">
        <f ca="1">(SUMPRODUCT(MID(0&amp;(LEFT(A283,SUM(LEN(A283)-LEN(SUBSTITUTE(A283,{"0","1","2","3"},""))))), LARGE(INDEX(ISNUMBER(--MID((LEFT(A283,SUM(LEN(A283)-LEN(SUBSTITUTE(A283,{"0","1","2","3"},""))))), ROW(INDIRECT("1:"&amp;LEN((LEFT(A283,SUM(LEN(A283)-LEN(SUBSTITUTE(A283,{"0","1","2","3"},"")))))))), 1)) * ROW(INDIRECT("1:"&amp;LEN((LEFT(A283,SUM(LEN(A283)-LEN(SUBSTITUTE(A283,{"0","1","2","3"},"")))))))), 0), ROW(INDIRECT("1:"&amp;LEN((LEFT(A283,SUM(LEN(A283)-LEN(SUBSTITUTE(A283,{"0","1","2","3"},"")))))))))+1, 1) * 10^ROW(INDIRECT("1:"&amp;LEN((LEFT(A283,SUM(LEN(A283)-LEN(SUBSTITUTE(A283,{"0","1","2","3"},""))))))))/10))*100+1</f>
        <v>3201</v>
      </c>
      <c r="V284" s="23">
        <f ca="1">(SUMPRODUCT(MID(0&amp;(--TRIM(RIGHT(SUBSTITUTE(LEFT(A283,_xlfn.AGGREGATE(16,6,FIND({0,1,2,3,4,5,6,7,8,9},A283,ROW(INDIRECT("1:"&amp;LEN(A283)))),1)),"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3201</v>
      </c>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customHeight="1" x14ac:dyDescent="0.25">
      <c r="A285" s="83">
        <f>A284+1</f>
        <v>2</v>
      </c>
      <c r="B285" s="84"/>
      <c r="C285" s="54" t="s">
        <v>95</v>
      </c>
      <c r="D285" s="88" t="s">
        <v>368</v>
      </c>
      <c r="E285" s="89"/>
      <c r="F285" s="89"/>
      <c r="G285" s="89"/>
      <c r="H285" s="90"/>
      <c r="I285" s="1"/>
      <c r="J285" s="1"/>
      <c r="K285" s="1"/>
      <c r="L285" s="1"/>
      <c r="M285" s="1"/>
      <c r="N285" s="1"/>
      <c r="O285" s="1"/>
      <c r="P285" s="1"/>
      <c r="Q285" s="1"/>
      <c r="R285" s="1"/>
      <c r="S285" s="1"/>
      <c r="T285" s="23" t="str">
        <f t="shared" ca="1" si="93"/>
        <v>3202,..,3202</v>
      </c>
      <c r="U285" s="23">
        <f ca="1">U284+1</f>
        <v>3202</v>
      </c>
      <c r="V285" s="23">
        <f ca="1">V284+1</f>
        <v>3202</v>
      </c>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customHeight="1" x14ac:dyDescent="0.25">
      <c r="A286" s="83">
        <f t="shared" ref="A286:A289" si="94">A285+1</f>
        <v>3</v>
      </c>
      <c r="B286" s="84"/>
      <c r="C286" s="54" t="s">
        <v>95</v>
      </c>
      <c r="D286" s="54" t="s">
        <v>333</v>
      </c>
      <c r="E286" s="6">
        <f>(81.3)*(10.764)</f>
        <v>875.11319999999989</v>
      </c>
      <c r="F286" s="6">
        <f>(16.31+0.75*(3.05))*(10.764)</f>
        <v>200.18348999999995</v>
      </c>
      <c r="G286" s="6">
        <v>0</v>
      </c>
      <c r="H286" s="6">
        <f t="shared" ref="H286:H289" si="95">E286+F286+(IF(G286&lt;101,G286,IF(G286&lt;201,G286/2,IF(G286&lt;=301,G286/3,G286/4))))</f>
        <v>1075.2966899999999</v>
      </c>
      <c r="I286" s="1"/>
      <c r="J286" s="1"/>
      <c r="K286" s="1"/>
      <c r="L286" s="1"/>
      <c r="M286" s="1"/>
      <c r="N286" s="1"/>
      <c r="O286" s="1"/>
      <c r="P286" s="1"/>
      <c r="Q286" s="1"/>
      <c r="R286" s="1"/>
      <c r="S286" s="1"/>
      <c r="T286" s="23" t="str">
        <f t="shared" ca="1" si="93"/>
        <v>3203,..,3203</v>
      </c>
      <c r="U286" s="23">
        <f t="shared" ref="U286:V286" ca="1" si="96">U285+1</f>
        <v>3203</v>
      </c>
      <c r="V286" s="23">
        <f t="shared" ca="1" si="96"/>
        <v>3203</v>
      </c>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customHeight="1" x14ac:dyDescent="0.25">
      <c r="A287" s="83">
        <f t="shared" si="94"/>
        <v>4</v>
      </c>
      <c r="B287" s="84"/>
      <c r="C287" s="54" t="s">
        <v>95</v>
      </c>
      <c r="D287" s="54" t="s">
        <v>355</v>
      </c>
      <c r="E287" s="6">
        <f>(101.41)*(10.764)</f>
        <v>1091.5772399999998</v>
      </c>
      <c r="F287" s="6">
        <f>(25.83+0.75*3.05)*(10.764)</f>
        <v>302.65676999999999</v>
      </c>
      <c r="G287" s="6">
        <v>0</v>
      </c>
      <c r="H287" s="6">
        <f t="shared" si="95"/>
        <v>1394.2340099999999</v>
      </c>
      <c r="I287" s="1"/>
      <c r="J287" s="1"/>
      <c r="K287" s="1"/>
      <c r="L287" s="1"/>
      <c r="M287" s="1"/>
      <c r="N287" s="1"/>
      <c r="O287" s="1"/>
      <c r="P287" s="1"/>
      <c r="Q287" s="1"/>
      <c r="R287" s="1"/>
      <c r="S287" s="1"/>
      <c r="T287" s="23" t="str">
        <f t="shared" ca="1" si="93"/>
        <v>3204,..,3204</v>
      </c>
      <c r="U287" s="23">
        <f t="shared" ref="U287:V287" ca="1" si="97">U286+1</f>
        <v>3204</v>
      </c>
      <c r="V287" s="23">
        <f t="shared" ca="1" si="97"/>
        <v>3204</v>
      </c>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83">
        <f t="shared" si="94"/>
        <v>5</v>
      </c>
      <c r="B288" s="84"/>
      <c r="C288" s="54" t="s">
        <v>95</v>
      </c>
      <c r="D288" s="54" t="s">
        <v>355</v>
      </c>
      <c r="E288" s="6">
        <f>(92.79)*(10.764)</f>
        <v>998.79156</v>
      </c>
      <c r="F288" s="6">
        <f>(39.39)*(10.764)</f>
        <v>423.99395999999996</v>
      </c>
      <c r="G288" s="6">
        <v>0</v>
      </c>
      <c r="H288" s="6">
        <f t="shared" si="95"/>
        <v>1422.7855199999999</v>
      </c>
      <c r="I288" s="1"/>
      <c r="J288" s="1"/>
      <c r="K288" s="1"/>
      <c r="L288" s="1"/>
      <c r="M288" s="1"/>
      <c r="N288" s="1"/>
      <c r="O288" s="1"/>
      <c r="P288" s="1"/>
      <c r="Q288" s="1"/>
      <c r="R288" s="1"/>
      <c r="S288" s="1"/>
      <c r="T288" s="23" t="str">
        <f t="shared" ca="1" si="93"/>
        <v>3205,..,3205</v>
      </c>
      <c r="U288" s="23">
        <f t="shared" ref="U288:V288" ca="1" si="98">U287+1</f>
        <v>3205</v>
      </c>
      <c r="V288" s="23">
        <f t="shared" ca="1" si="98"/>
        <v>3205</v>
      </c>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83">
        <f t="shared" si="94"/>
        <v>6</v>
      </c>
      <c r="B289" s="84"/>
      <c r="C289" s="54" t="s">
        <v>95</v>
      </c>
      <c r="D289" s="54" t="s">
        <v>355</v>
      </c>
      <c r="E289" s="6">
        <f>(95.12)*(10.764)</f>
        <v>1023.87168</v>
      </c>
      <c r="F289" s="6">
        <f>(20.57+0.75*6.7)*(10.764)</f>
        <v>275.50457999999998</v>
      </c>
      <c r="G289" s="6">
        <v>0</v>
      </c>
      <c r="H289" s="6">
        <f t="shared" si="95"/>
        <v>1299.37626</v>
      </c>
      <c r="I289" s="1"/>
      <c r="J289" s="1"/>
      <c r="K289" s="1"/>
      <c r="L289" s="1"/>
      <c r="M289" s="1"/>
      <c r="N289" s="1"/>
      <c r="O289" s="1"/>
      <c r="P289" s="1"/>
      <c r="Q289" s="1"/>
      <c r="R289" s="1"/>
      <c r="S289" s="1"/>
      <c r="T289" s="23" t="str">
        <f t="shared" ca="1" si="93"/>
        <v>3206,..,3206</v>
      </c>
      <c r="U289" s="23">
        <f t="shared" ref="U289:V289" ca="1" si="99">U288+1</f>
        <v>3206</v>
      </c>
      <c r="V289" s="23">
        <f t="shared" ca="1" si="99"/>
        <v>3206</v>
      </c>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x14ac:dyDescent="0.25">
      <c r="A290" s="79" t="s">
        <v>369</v>
      </c>
      <c r="B290" s="80"/>
      <c r="C290" s="80"/>
      <c r="D290" s="80"/>
      <c r="E290" s="80"/>
      <c r="F290" s="80"/>
      <c r="G290" s="80"/>
      <c r="H290" s="8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82">
        <v>1</v>
      </c>
      <c r="B291" s="82"/>
      <c r="C291" s="54" t="s">
        <v>95</v>
      </c>
      <c r="D291" s="54" t="s">
        <v>355</v>
      </c>
      <c r="E291" s="6">
        <f>(95.12)*(10.764)</f>
        <v>1023.87168</v>
      </c>
      <c r="F291" s="6">
        <f>(20.76+0.75*6.7)*(10.764)</f>
        <v>277.54974000000004</v>
      </c>
      <c r="G291" s="6">
        <v>0</v>
      </c>
      <c r="H291" s="6">
        <f>E291+F291+(IF(G291&lt;101,G291,IF(G291&lt;201,G291/2,IF(G291&lt;=301,G291/3,G291/4))))</f>
        <v>1301.4214200000001</v>
      </c>
      <c r="I291" s="1"/>
      <c r="J291" s="1"/>
      <c r="K291" s="1"/>
      <c r="L291" s="1"/>
      <c r="M291" s="1"/>
      <c r="N291" s="1"/>
      <c r="O291" s="1"/>
      <c r="P291" s="1"/>
      <c r="Q291" s="1"/>
      <c r="R291" s="1"/>
      <c r="S291" s="1"/>
      <c r="T291" s="23" t="str">
        <f t="shared" ref="T291:T296" ca="1" si="100">U291&amp;""&amp;",..,"&amp;""&amp;V291</f>
        <v>3301,..,3301</v>
      </c>
      <c r="U291" s="23">
        <f ca="1">(SUMPRODUCT(MID(0&amp;(LEFT(A290,SUM(LEN(A290)-LEN(SUBSTITUTE(A290,{"0","1","2","3"},""))))), LARGE(INDEX(ISNUMBER(--MID((LEFT(A290,SUM(LEN(A290)-LEN(SUBSTITUTE(A290,{"0","1","2","3"},""))))), ROW(INDIRECT("1:"&amp;LEN((LEFT(A290,SUM(LEN(A290)-LEN(SUBSTITUTE(A290,{"0","1","2","3"},"")))))))), 1)) * ROW(INDIRECT("1:"&amp;LEN((LEFT(A290,SUM(LEN(A290)-LEN(SUBSTITUTE(A290,{"0","1","2","3"},"")))))))), 0), ROW(INDIRECT("1:"&amp;LEN((LEFT(A290,SUM(LEN(A290)-LEN(SUBSTITUTE(A290,{"0","1","2","3"},"")))))))))+1, 1) * 10^ROW(INDIRECT("1:"&amp;LEN((LEFT(A290,SUM(LEN(A290)-LEN(SUBSTITUTE(A290,{"0","1","2","3"},""))))))))/10))*100+1</f>
        <v>3301</v>
      </c>
      <c r="V291" s="23">
        <f ca="1">(SUMPRODUCT(MID(0&amp;(--TRIM(RIGHT(SUBSTITUTE(LEFT(A290,_xlfn.AGGREGATE(16,6,FIND({0,1,2,3,4,5,6,7,8,9},A290,ROW(INDIRECT("1:"&amp;LEN(A290)))),1))," ",REPT(" ",LEN(A290))),LEN(A290)))), LARGE(INDEX(ISNUMBER(--MID((--TRIM(RIGHT(SUBSTITUTE(LEFT(A290,_xlfn.AGGREGATE(16,6,FIND({0,1,2,3,4,5,6,7,8,9},A290,ROW(INDIRECT("1:"&amp;LEN(A290)))),1))," ",REPT(" ",LEN(A290))),LEN(A290)))), ROW(INDIRECT("1:"&amp;LEN((--TRIM(RIGHT(SUBSTITUTE(LEFT(A290,_xlfn.AGGREGATE(16,6,FIND({0,1,2,3,4,5,6,7,8,9},A290,ROW(INDIRECT("1:"&amp;LEN(A290)))),1))," ",REPT(" ",LEN(A290))),LEN(A290))))))), 1)) * ROW(INDIRECT("1:"&amp;LEN((--TRIM(RIGHT(SUBSTITUTE(LEFT(A290,_xlfn.AGGREGATE(16,6,FIND({0,1,2,3,4,5,6,7,8,9},A290,ROW(INDIRECT("1:"&amp;LEN(A290)))),1))," ",REPT(" ",LEN(A290))),LEN(A290))))))), 0), ROW(INDIRECT("1:"&amp;LEN((--TRIM(RIGHT(SUBSTITUTE(LEFT(A290,_xlfn.AGGREGATE(16,6,FIND({0,1,2,3,4,5,6,7,8,9},A290,ROW(INDIRECT("1:"&amp;LEN(A290)))),1))," ",REPT(" ",LEN(A290))),LEN(A290))))))))+1, 1) * 10^ROW(INDIRECT("1:"&amp;LEN((--TRIM(RIGHT(SUBSTITUTE(LEFT(A290,_xlfn.AGGREGATE(16,6,FIND({0,1,2,3,4,5,6,7,8,9},A290,ROW(INDIRECT("1:"&amp;LEN(A290)))),1))," ",REPT(" ",LEN(A290))),LEN(A290)))))))/10))*100+1</f>
        <v>3301</v>
      </c>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customHeight="1" x14ac:dyDescent="0.25">
      <c r="A292" s="83">
        <f>A291+1</f>
        <v>2</v>
      </c>
      <c r="B292" s="84"/>
      <c r="C292" s="54" t="s">
        <v>95</v>
      </c>
      <c r="D292" s="54" t="s">
        <v>355</v>
      </c>
      <c r="E292" s="6">
        <f>(93.11)*(10.764)</f>
        <v>1002.2360399999999</v>
      </c>
      <c r="F292" s="6">
        <f>(40.05)*(10.764)</f>
        <v>431.09819999999996</v>
      </c>
      <c r="G292" s="6">
        <v>0</v>
      </c>
      <c r="H292" s="6">
        <f t="shared" ref="H292:H296" si="101">E292+F292+(IF(G292&lt;101,G292,IF(G292&lt;201,G292/2,IF(G292&lt;=301,G292/3,G292/4))))</f>
        <v>1433.3342399999999</v>
      </c>
      <c r="I292" s="1"/>
      <c r="J292" s="1"/>
      <c r="K292" s="1"/>
      <c r="L292" s="1"/>
      <c r="M292" s="1"/>
      <c r="N292" s="1"/>
      <c r="O292" s="1"/>
      <c r="P292" s="1"/>
      <c r="Q292" s="1"/>
      <c r="R292" s="1"/>
      <c r="S292" s="1"/>
      <c r="T292" s="23" t="str">
        <f t="shared" ca="1" si="100"/>
        <v>3302,..,3302</v>
      </c>
      <c r="U292" s="23">
        <f ca="1">U291+1</f>
        <v>3302</v>
      </c>
      <c r="V292" s="23">
        <f ca="1">V291+1</f>
        <v>3302</v>
      </c>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customHeight="1" x14ac:dyDescent="0.25">
      <c r="A293" s="83">
        <f t="shared" ref="A293:A296" si="102">A292+1</f>
        <v>3</v>
      </c>
      <c r="B293" s="84"/>
      <c r="C293" s="54" t="s">
        <v>95</v>
      </c>
      <c r="D293" s="54" t="s">
        <v>355</v>
      </c>
      <c r="E293" s="6">
        <f>(101.08)*(10.764)</f>
        <v>1088.02512</v>
      </c>
      <c r="F293" s="6">
        <f>(25.84+0.75*3.05)*(10.764)</f>
        <v>302.76440999999994</v>
      </c>
      <c r="G293" s="6">
        <v>0</v>
      </c>
      <c r="H293" s="6">
        <f t="shared" si="101"/>
        <v>1390.78953</v>
      </c>
      <c r="I293" s="1"/>
      <c r="J293" s="1"/>
      <c r="K293" s="1"/>
      <c r="L293" s="1"/>
      <c r="M293" s="1"/>
      <c r="N293" s="1"/>
      <c r="O293" s="1"/>
      <c r="P293" s="1"/>
      <c r="Q293" s="1"/>
      <c r="R293" s="1"/>
      <c r="S293" s="1"/>
      <c r="T293" s="23" t="str">
        <f t="shared" ca="1" si="100"/>
        <v>3303,..,3303</v>
      </c>
      <c r="U293" s="23">
        <f t="shared" ref="U293:V293" ca="1" si="103">U292+1</f>
        <v>3303</v>
      </c>
      <c r="V293" s="23">
        <f t="shared" ca="1" si="103"/>
        <v>3303</v>
      </c>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customHeight="1" x14ac:dyDescent="0.25">
      <c r="A294" s="83">
        <f t="shared" si="102"/>
        <v>4</v>
      </c>
      <c r="B294" s="84"/>
      <c r="C294" s="54" t="s">
        <v>95</v>
      </c>
      <c r="D294" s="54" t="s">
        <v>355</v>
      </c>
      <c r="E294" s="6">
        <f>(100.7)*(10.764)</f>
        <v>1083.9348</v>
      </c>
      <c r="F294" s="6">
        <f>(12.84+0.75*(3.2+1.9+3.05))*(10.764)</f>
        <v>204.00470999999999</v>
      </c>
      <c r="G294" s="6">
        <v>0</v>
      </c>
      <c r="H294" s="6">
        <f t="shared" si="101"/>
        <v>1287.9395099999999</v>
      </c>
      <c r="I294" s="1"/>
      <c r="J294" s="1"/>
      <c r="K294" s="1"/>
      <c r="L294" s="1"/>
      <c r="M294" s="1"/>
      <c r="N294" s="1"/>
      <c r="O294" s="1"/>
      <c r="P294" s="1"/>
      <c r="Q294" s="1"/>
      <c r="R294" s="1"/>
      <c r="S294" s="1"/>
      <c r="T294" s="23" t="str">
        <f t="shared" ca="1" si="100"/>
        <v>3304,..,3304</v>
      </c>
      <c r="U294" s="23">
        <f t="shared" ref="U294:V294" ca="1" si="104">U293+1</f>
        <v>3304</v>
      </c>
      <c r="V294" s="23">
        <f t="shared" ca="1" si="104"/>
        <v>3304</v>
      </c>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83">
        <f t="shared" si="102"/>
        <v>5</v>
      </c>
      <c r="B295" s="84"/>
      <c r="C295" s="54" t="s">
        <v>95</v>
      </c>
      <c r="D295" s="54" t="s">
        <v>355</v>
      </c>
      <c r="E295" s="6">
        <f>(90.8)*(10.764)</f>
        <v>977.37119999999993</v>
      </c>
      <c r="F295" s="6">
        <f>(7.47+0.75*(2.6+1.9+3.3+3))*(10.764)</f>
        <v>167.59547999999998</v>
      </c>
      <c r="G295" s="6">
        <v>0</v>
      </c>
      <c r="H295" s="6">
        <f t="shared" si="101"/>
        <v>1144.96668</v>
      </c>
      <c r="I295" s="1"/>
      <c r="J295" s="1"/>
      <c r="K295" s="1"/>
      <c r="L295" s="1"/>
      <c r="M295" s="1"/>
      <c r="N295" s="1"/>
      <c r="O295" s="1"/>
      <c r="P295" s="1"/>
      <c r="Q295" s="1"/>
      <c r="R295" s="1"/>
      <c r="S295" s="1"/>
      <c r="T295" s="23" t="str">
        <f t="shared" ca="1" si="100"/>
        <v>3305,..,3305</v>
      </c>
      <c r="U295" s="23">
        <f t="shared" ref="U295:V295" ca="1" si="105">U294+1</f>
        <v>3305</v>
      </c>
      <c r="V295" s="23">
        <f t="shared" ca="1" si="105"/>
        <v>3305</v>
      </c>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83">
        <f t="shared" si="102"/>
        <v>6</v>
      </c>
      <c r="B296" s="84"/>
      <c r="C296" s="54" t="s">
        <v>95</v>
      </c>
      <c r="D296" s="54" t="s">
        <v>355</v>
      </c>
      <c r="E296" s="6">
        <f>(94.31)*(10.764)</f>
        <v>1015.15284</v>
      </c>
      <c r="F296" s="6">
        <f>(7.47+0.75*(2.6+1.9+6.7))*(10.764)</f>
        <v>170.82467999999997</v>
      </c>
      <c r="G296" s="6">
        <v>0</v>
      </c>
      <c r="H296" s="6">
        <f t="shared" si="101"/>
        <v>1185.9775199999999</v>
      </c>
      <c r="I296" s="1"/>
      <c r="J296" s="1"/>
      <c r="K296" s="1"/>
      <c r="L296" s="1"/>
      <c r="M296" s="1"/>
      <c r="N296" s="1"/>
      <c r="O296" s="1"/>
      <c r="P296" s="1"/>
      <c r="Q296" s="1"/>
      <c r="R296" s="1"/>
      <c r="S296" s="1"/>
      <c r="T296" s="23" t="str">
        <f t="shared" ca="1" si="100"/>
        <v>3306,..,3306</v>
      </c>
      <c r="U296" s="23">
        <f t="shared" ref="U296:V296" ca="1" si="106">U295+1</f>
        <v>3306</v>
      </c>
      <c r="V296" s="23">
        <f t="shared" ca="1" si="106"/>
        <v>3306</v>
      </c>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x14ac:dyDescent="0.25">
      <c r="A297" s="85" t="s">
        <v>419</v>
      </c>
      <c r="B297" s="86"/>
      <c r="C297" s="86"/>
      <c r="D297" s="86"/>
      <c r="E297" s="86"/>
      <c r="F297" s="86"/>
      <c r="G297" s="86"/>
      <c r="H297" s="87"/>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x14ac:dyDescent="0.25">
      <c r="A298" s="79" t="s">
        <v>370</v>
      </c>
      <c r="B298" s="80"/>
      <c r="C298" s="80"/>
      <c r="D298" s="80"/>
      <c r="E298" s="80"/>
      <c r="F298" s="80"/>
      <c r="G298" s="80"/>
      <c r="H298" s="8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x14ac:dyDescent="0.25">
      <c r="A299" s="79" t="s">
        <v>351</v>
      </c>
      <c r="B299" s="80"/>
      <c r="C299" s="80"/>
      <c r="D299" s="80"/>
      <c r="E299" s="80"/>
      <c r="F299" s="80"/>
      <c r="G299" s="80"/>
      <c r="H299" s="8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85" t="s">
        <v>371</v>
      </c>
      <c r="B300" s="86"/>
      <c r="C300" s="86"/>
      <c r="D300" s="86"/>
      <c r="E300" s="86"/>
      <c r="F300" s="86"/>
      <c r="G300" s="86"/>
      <c r="H300" s="87"/>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85" t="s">
        <v>331</v>
      </c>
      <c r="B301" s="86"/>
      <c r="C301" s="86"/>
      <c r="D301" s="86"/>
      <c r="E301" s="86"/>
      <c r="F301" s="86"/>
      <c r="G301" s="86"/>
      <c r="H301" s="87"/>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x14ac:dyDescent="0.25">
      <c r="A302" s="85" t="s">
        <v>372</v>
      </c>
      <c r="B302" s="86"/>
      <c r="C302" s="86"/>
      <c r="D302" s="86"/>
      <c r="E302" s="86"/>
      <c r="F302" s="86"/>
      <c r="G302" s="86"/>
      <c r="H302" s="87"/>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x14ac:dyDescent="0.25">
      <c r="A303" s="79" t="s">
        <v>386</v>
      </c>
      <c r="B303" s="80"/>
      <c r="C303" s="80"/>
      <c r="D303" s="80"/>
      <c r="E303" s="80"/>
      <c r="F303" s="80"/>
      <c r="G303" s="80"/>
      <c r="H303" s="8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82">
        <v>1</v>
      </c>
      <c r="B304" s="82"/>
      <c r="C304" s="54" t="s">
        <v>95</v>
      </c>
      <c r="D304" s="54" t="s">
        <v>373</v>
      </c>
      <c r="E304" s="6">
        <f>((4.875*8.525+2.175*1.7+3.65*2.75+1.35*2.15+5.15*3.35+1.825*2.125+1.825*2.75+3.95*3.35+2.45*1.525+1.825*1.525+4.575*3.35+1.55*2.45+4.275*3.35+2.45*1.675+1.1*1.5+1.1*5.9+1.825*2.1+1.85*1.1+1.75*0.9))*(10.764)</f>
        <v>1692.4169924999999</v>
      </c>
      <c r="F304" s="6">
        <f>(8.325*1.525+1.525*3.325*2+4.05*1.526+1.425*2.75)*(10.764)</f>
        <v>354.52229669999997</v>
      </c>
      <c r="G304" s="6">
        <v>0</v>
      </c>
      <c r="H304" s="6">
        <f>E304+F304+(IF(G304&lt;101,G304,IF(G304&lt;201,G304/2,IF(G304&lt;=301,G304/3,G304/4))))</f>
        <v>2046.9392891999998</v>
      </c>
      <c r="I304" s="1">
        <f>(4.875*8.525+2.175*1.7+3.65*2.75+1.35*2.15+5.15*3.35+1.825*2.125+1.825*2.75+3.95*3.35+2.45*1.525+1.825*1.525+4.575*3.35+1.55*2.45+4.275*3.35+2.45*1.675+1.1*1.5+1.1*5.9)</f>
        <v>149.78687500000001</v>
      </c>
      <c r="J304" s="1"/>
      <c r="K304" s="1"/>
      <c r="L304" s="1"/>
      <c r="M304" s="1"/>
      <c r="N304" s="1"/>
      <c r="O304" s="1"/>
      <c r="P304" s="1"/>
      <c r="Q304" s="1"/>
      <c r="R304" s="1"/>
      <c r="S304" s="1"/>
      <c r="T304" s="23" t="str">
        <f t="shared" ref="T304:T305" ca="1" si="107">U304&amp;""&amp;",..,"&amp;""&amp;V304</f>
        <v>1601,..,3601</v>
      </c>
      <c r="U304" s="23">
        <f ca="1">(SUMPRODUCT(MID(0&amp;(LEFT(A303,SUM(LEN(A303)-LEN(SUBSTITUTE(A303,{"0","1","2","3"},""))))), LARGE(INDEX(ISNUMBER(--MID((LEFT(A303,SUM(LEN(A303)-LEN(SUBSTITUTE(A303,{"0","1","2","3"},""))))), ROW(INDIRECT("1:"&amp;LEN((LEFT(A303,SUM(LEN(A303)-LEN(SUBSTITUTE(A303,{"0","1","2","3"},"")))))))), 1)) * ROW(INDIRECT("1:"&amp;LEN((LEFT(A303,SUM(LEN(A303)-LEN(SUBSTITUTE(A303,{"0","1","2","3"},"")))))))), 0), ROW(INDIRECT("1:"&amp;LEN((LEFT(A303,SUM(LEN(A303)-LEN(SUBSTITUTE(A303,{"0","1","2","3"},"")))))))))+1, 1) * 10^ROW(INDIRECT("1:"&amp;LEN((LEFT(A303,SUM(LEN(A303)-LEN(SUBSTITUTE(A303,{"0","1","2","3"},""))))))))/10))*100+1</f>
        <v>1601</v>
      </c>
      <c r="V304" s="23">
        <f ca="1">(SUMPRODUCT(MID(0&amp;(--TRIM(RIGHT(SUBSTITUTE(LEFT(A303,_xlfn.AGGREGATE(16,6,FIND({0,1,2,3,4,5,6,7,8,9},A303,ROW(INDIRECT("1:"&amp;LEN(A303)))),1))," ",REPT(" ",LEN(A303))),LEN(A303)))), LARGE(INDEX(ISNUMBER(--MID((--TRIM(RIGHT(SUBSTITUTE(LEFT(A303,_xlfn.AGGREGATE(16,6,FIND({0,1,2,3,4,5,6,7,8,9},A303,ROW(INDIRECT("1:"&amp;LEN(A303)))),1))," ",REPT(" ",LEN(A303))),LEN(A303)))), ROW(INDIRECT("1:"&amp;LEN((--TRIM(RIGHT(SUBSTITUTE(LEFT(A303,_xlfn.AGGREGATE(16,6,FIND({0,1,2,3,4,5,6,7,8,9},A303,ROW(INDIRECT("1:"&amp;LEN(A303)))),1))," ",REPT(" ",LEN(A303))),LEN(A303))))))), 1)) * ROW(INDIRECT("1:"&amp;LEN((--TRIM(RIGHT(SUBSTITUTE(LEFT(A303,_xlfn.AGGREGATE(16,6,FIND({0,1,2,3,4,5,6,7,8,9},A303,ROW(INDIRECT("1:"&amp;LEN(A303)))),1))," ",REPT(" ",LEN(A303))),LEN(A303))))))), 0), ROW(INDIRECT("1:"&amp;LEN((--TRIM(RIGHT(SUBSTITUTE(LEFT(A303,_xlfn.AGGREGATE(16,6,FIND({0,1,2,3,4,5,6,7,8,9},A303,ROW(INDIRECT("1:"&amp;LEN(A303)))),1))," ",REPT(" ",LEN(A303))),LEN(A303))))))))+1, 1) * 10^ROW(INDIRECT("1:"&amp;LEN((--TRIM(RIGHT(SUBSTITUTE(LEFT(A303,_xlfn.AGGREGATE(16,6,FIND({0,1,2,3,4,5,6,7,8,9},A303,ROW(INDIRECT("1:"&amp;LEN(A303)))),1))," ",REPT(" ",LEN(A303))),LEN(A303)))))))/10))*100+1</f>
        <v>3601</v>
      </c>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82">
        <f>A304+1</f>
        <v>2</v>
      </c>
      <c r="B305" s="82"/>
      <c r="C305" s="54" t="s">
        <v>95</v>
      </c>
      <c r="D305" s="54" t="s">
        <v>373</v>
      </c>
      <c r="E305" s="6">
        <f>((4.275*7.625+2.175*1.6+2.075*1.225+3.5*2.75+5.15*3.35+1.825*2.75+3.95*3.35+2.45*1.525+1.1*1.625+4.3*3.35+1.55*2.45+3.975*3.35+2.45*1.75+1.825*1.525+3.3*0.6+6*1.1+1.5*1.1))*(10.764)</f>
        <v>1486.4074874999999</v>
      </c>
      <c r="F305" s="6">
        <f>(7.425*1.525+1.525*3.325*2+1.425*2.75)*(10.764)</f>
        <v>273.22395749999993</v>
      </c>
      <c r="G305" s="6">
        <v>0</v>
      </c>
      <c r="H305" s="6">
        <f t="shared" ref="H305" si="108">E305+F305+(IF(G305&lt;101,G305,IF(G305&lt;201,G305/2,IF(G305&lt;=301,G305/3,G305/4))))</f>
        <v>1759.6314449999998</v>
      </c>
      <c r="I305" s="1">
        <f>(4.275*7.625+2.175*1.6+2.075*1.225+3.5*2.75+5.15*3.35+1.825*2.75+3.95*3.35+2.45*1.525+1.1*1.625+4.3*3.35+1.55*2.45+3.975*3.35+2.45*1.75+1.825*1.525+3.3*0.6+6*1.1+1.5*1.1)</f>
        <v>138.09062499999999</v>
      </c>
      <c r="J305" s="1"/>
      <c r="K305" s="1"/>
      <c r="L305" s="1"/>
      <c r="M305" s="1"/>
      <c r="N305" s="1"/>
      <c r="O305" s="1"/>
      <c r="P305" s="1"/>
      <c r="Q305" s="1"/>
      <c r="R305" s="1"/>
      <c r="S305" s="1"/>
      <c r="T305" s="23" t="str">
        <f t="shared" ca="1" si="107"/>
        <v>1602,..,3602</v>
      </c>
      <c r="U305" s="23">
        <f ca="1">U304+1</f>
        <v>1602</v>
      </c>
      <c r="V305" s="23">
        <f ca="1">V304+1</f>
        <v>3602</v>
      </c>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39.75" customHeight="1" x14ac:dyDescent="0.25">
      <c r="A306" s="79" t="s">
        <v>374</v>
      </c>
      <c r="B306" s="80"/>
      <c r="C306" s="80"/>
      <c r="D306" s="80"/>
      <c r="E306" s="80"/>
      <c r="F306" s="80"/>
      <c r="G306" s="80"/>
      <c r="H306" s="8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82">
        <v>1</v>
      </c>
      <c r="B307" s="82"/>
      <c r="C307" s="54" t="s">
        <v>95</v>
      </c>
      <c r="D307" s="54" t="s">
        <v>373</v>
      </c>
      <c r="E307" s="6">
        <f>((4.875*8.525+2.175*1.7+3.65*2.75+1.35*2.15+5.15*3.35+1.825*2.125+1.825*2.75+3.95*3.35+2.45*1.525+1.825*1.525+4.575*3.35+1.55*2.45+4.275*3.35+2.45*1.675+1.1*1.5+1.1*5.9+1.825*2.1+1.85*1.1+1.75*0.9))*(10.764)</f>
        <v>1692.4169924999999</v>
      </c>
      <c r="F307" s="6">
        <f>(8.325*1.525+1.525*3.325*2+4.05*1.526+1.425*2.75)*(10.764)</f>
        <v>354.52229669999997</v>
      </c>
      <c r="G307" s="6">
        <v>0</v>
      </c>
      <c r="H307" s="6">
        <f>E307+F307+(IF(G307&lt;101,G307,IF(G307&lt;201,G307/2,IF(G307&lt;=301,G307/3,G307/4))))</f>
        <v>2046.9392891999998</v>
      </c>
      <c r="I307" s="1"/>
      <c r="J307" s="1"/>
      <c r="K307" s="1"/>
      <c r="L307" s="1"/>
      <c r="M307" s="1"/>
      <c r="N307" s="1"/>
      <c r="O307" s="1"/>
      <c r="P307" s="1"/>
      <c r="Q307" s="1"/>
      <c r="R307" s="1"/>
      <c r="S307" s="1"/>
      <c r="T307" s="23" t="str">
        <f t="shared" ref="T307:T308" ca="1" si="109">U307&amp;""&amp;",..,"&amp;""&amp;V307</f>
        <v>257101,..,3801</v>
      </c>
      <c r="U307" s="23">
        <f ca="1">(SUMPRODUCT(MID(0&amp;(LEFT(A306,SUM(LEN(A306)-LEN(SUBSTITUTE(A306,{"0","1","2","3"},""))))), LARGE(INDEX(ISNUMBER(--MID((LEFT(A306,SUM(LEN(A306)-LEN(SUBSTITUTE(A306,{"0","1","2","3"},""))))), ROW(INDIRECT("1:"&amp;LEN((LEFT(A306,SUM(LEN(A306)-LEN(SUBSTITUTE(A306,{"0","1","2","3"},"")))))))), 1)) * ROW(INDIRECT("1:"&amp;LEN((LEFT(A306,SUM(LEN(A306)-LEN(SUBSTITUTE(A306,{"0","1","2","3"},"")))))))), 0), ROW(INDIRECT("1:"&amp;LEN((LEFT(A306,SUM(LEN(A306)-LEN(SUBSTITUTE(A306,{"0","1","2","3"},"")))))))))+1, 1) * 10^ROW(INDIRECT("1:"&amp;LEN((LEFT(A306,SUM(LEN(A306)-LEN(SUBSTITUTE(A306,{"0","1","2","3"},""))))))))/10))*100+1</f>
        <v>257101</v>
      </c>
      <c r="V307" s="23">
        <f ca="1">(SUMPRODUCT(MID(0&amp;(--TRIM(RIGHT(SUBSTITUTE(LEFT(A306,_xlfn.AGGREGATE(16,6,FIND({0,1,2,3,4,5,6,7,8,9},A306,ROW(INDIRECT("1:"&amp;LEN(A306)))),1))," ",REPT(" ",LEN(A306))),LEN(A306)))), LARGE(INDEX(ISNUMBER(--MID((--TRIM(RIGHT(SUBSTITUTE(LEFT(A306,_xlfn.AGGREGATE(16,6,FIND({0,1,2,3,4,5,6,7,8,9},A306,ROW(INDIRECT("1:"&amp;LEN(A306)))),1))," ",REPT(" ",LEN(A306))),LEN(A306)))), ROW(INDIRECT("1:"&amp;LEN((--TRIM(RIGHT(SUBSTITUTE(LEFT(A306,_xlfn.AGGREGATE(16,6,FIND({0,1,2,3,4,5,6,7,8,9},A306,ROW(INDIRECT("1:"&amp;LEN(A306)))),1))," ",REPT(" ",LEN(A306))),LEN(A306))))))), 1)) * ROW(INDIRECT("1:"&amp;LEN((--TRIM(RIGHT(SUBSTITUTE(LEFT(A306,_xlfn.AGGREGATE(16,6,FIND({0,1,2,3,4,5,6,7,8,9},A306,ROW(INDIRECT("1:"&amp;LEN(A306)))),1))," ",REPT(" ",LEN(A306))),LEN(A306))))))), 0), ROW(INDIRECT("1:"&amp;LEN((--TRIM(RIGHT(SUBSTITUTE(LEFT(A306,_xlfn.AGGREGATE(16,6,FIND({0,1,2,3,4,5,6,7,8,9},A306,ROW(INDIRECT("1:"&amp;LEN(A306)))),1))," ",REPT(" ",LEN(A306))),LEN(A306))))))))+1, 1) * 10^ROW(INDIRECT("1:"&amp;LEN((--TRIM(RIGHT(SUBSTITUTE(LEFT(A306,_xlfn.AGGREGATE(16,6,FIND({0,1,2,3,4,5,6,7,8,9},A306,ROW(INDIRECT("1:"&amp;LEN(A306)))),1))," ",REPT(" ",LEN(A306))),LEN(A306)))))))/10))*100+1</f>
        <v>3801</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82">
        <f>A307+1</f>
        <v>2</v>
      </c>
      <c r="B308" s="82"/>
      <c r="C308" s="54" t="s">
        <v>95</v>
      </c>
      <c r="D308" s="54" t="s">
        <v>373</v>
      </c>
      <c r="E308" s="6">
        <f>((4.275*7.625+2.175*1.6+2.075*1.225+3.5*2.75+5.15*3.35+1.825*2.75+3.95*3.35+2.45*1.525+1.1*1.625+4.3*3.35+1.55*2.45+3.975*3.35+2.45*1.75+1.825*1.525+3.3*0.6+6*1.1+1.5*1.1))*(10.764)</f>
        <v>1486.4074874999999</v>
      </c>
      <c r="F308" s="6">
        <f>(7.425*1.525+1.525*3.325*2+1.425*2.75)*(10.764)</f>
        <v>273.22395749999993</v>
      </c>
      <c r="G308" s="6">
        <v>0</v>
      </c>
      <c r="H308" s="6">
        <f t="shared" ref="H308" si="110">E308+F308+(IF(G308&lt;101,G308,IF(G308&lt;201,G308/2,IF(G308&lt;=301,G308/3,G308/4))))</f>
        <v>1759.6314449999998</v>
      </c>
      <c r="I308" s="1"/>
      <c r="J308" s="1"/>
      <c r="K308" s="1"/>
      <c r="L308" s="1"/>
      <c r="M308" s="1"/>
      <c r="N308" s="1"/>
      <c r="O308" s="1"/>
      <c r="P308" s="1"/>
      <c r="Q308" s="1"/>
      <c r="R308" s="1"/>
      <c r="S308" s="1"/>
      <c r="T308" s="23" t="str">
        <f t="shared" ca="1" si="109"/>
        <v>257102,..,3802</v>
      </c>
      <c r="U308" s="23">
        <f ca="1">U307+1</f>
        <v>257102</v>
      </c>
      <c r="V308" s="23">
        <f ca="1">V307+1</f>
        <v>3802</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x14ac:dyDescent="0.25">
      <c r="A309" s="79" t="s">
        <v>375</v>
      </c>
      <c r="B309" s="80"/>
      <c r="C309" s="80"/>
      <c r="D309" s="80"/>
      <c r="E309" s="80"/>
      <c r="F309" s="80"/>
      <c r="G309" s="80"/>
      <c r="H309" s="8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x14ac:dyDescent="0.25">
      <c r="A310" s="79" t="s">
        <v>376</v>
      </c>
      <c r="B310" s="80"/>
      <c r="C310" s="80"/>
      <c r="D310" s="80"/>
      <c r="E310" s="80"/>
      <c r="F310" s="80"/>
      <c r="G310" s="80"/>
      <c r="H310" s="8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66" customHeight="1" x14ac:dyDescent="0.25">
      <c r="A311" s="82">
        <v>1</v>
      </c>
      <c r="B311" s="82"/>
      <c r="C311" s="54" t="s">
        <v>95</v>
      </c>
      <c r="D311" s="54" t="s">
        <v>384</v>
      </c>
      <c r="E311" s="6">
        <f>((3.675*7.95+3.5*3.125+3.5*3.123+1.35*1.8+5.3*2.975+1.925*4.902+4.85*2.325+3.85*7.925+2.65*1.05+2.85*3.175+10.325*3.35+2.45*1.75+5.1*2.75+2.075*1.6+1.925*1.15+5.3*2.975+3.65*2.325+1.825*1.525+2.025*1.7+3.75*5+2.45*1.675+4.575*3.6+1.1*2.825+4.451*8.925+1.05*2.65+2.249*3.625+5.025*1.05+4.575*2.3+1.55*2.458+1.1*7.1+1.1*8.1+2.2*1.8)+(6.775*5.4+6.1*2.65+3.6*2.75+4.9*3.225+1.8*3.175+1.15*1.9+2.6*1.8+4.3*3.35+1.55*2.45+4.275*3.35+2.45*1.75+6.5*1.1+1.375*2.975+0.7*1.6+3.5*2.4+2*0.75+1.35*3.05)+(3.65*2.425+5.3*2.975+1.925+1.15+3.5*2.4+2*0.75+6.7*2.65+3.75*2.75+4.45*3.625+2.249*3.625+3*1.8+1.35*1.9+4.575*2.3+5.025*1.05+3.6*0.45+1.55*2.45+4.575*3.35+2.45*1.675+4.525*2.15+1.425*1.7+1.825*1.525))*((10.764))</f>
        <v>7129.4713542000009</v>
      </c>
      <c r="F311" s="6">
        <f>((2.6*14.5+4.9*1.8+1.8*3.6+1.2*4.9+1.525*4.05+1.45*5)+(1.1*3.55+1.8*3.6+1.424*2.75)+(1.1*3.55+1.525*4.05+1.425*2.75))*((10.764))</f>
        <v>1082.9364390000001</v>
      </c>
      <c r="G311" s="6">
        <v>0</v>
      </c>
      <c r="H311" s="6">
        <f>E311+F311+(IF(G311&lt;101,G311,IF(G311&lt;201,G311/2,IF(G311&lt;=301,G311/3,G311/4))))</f>
        <v>8212.4077932</v>
      </c>
      <c r="I311" s="1"/>
      <c r="J311" s="1"/>
      <c r="K311" s="1"/>
      <c r="L311" s="1"/>
      <c r="M311" s="1"/>
      <c r="N311" s="1"/>
      <c r="O311" s="1"/>
      <c r="P311" s="1"/>
      <c r="Q311" s="1"/>
      <c r="R311" s="1"/>
      <c r="S311" s="1"/>
      <c r="T311" s="23" t="str">
        <f t="shared" ref="T311" ca="1" si="111">U311&amp;""&amp;",..,"&amp;""&amp;V311</f>
        <v>401,..,4001</v>
      </c>
      <c r="U311" s="23">
        <f ca="1">(SUMPRODUCT(MID(0&amp;(LEFT(A310,SUM(LEN(A310)-LEN(SUBSTITUTE(A310,{"0","1","2","3"},""))))), LARGE(INDEX(ISNUMBER(--MID((LEFT(A310,SUM(LEN(A310)-LEN(SUBSTITUTE(A310,{"0","1","2","3"},""))))), ROW(INDIRECT("1:"&amp;LEN((LEFT(A310,SUM(LEN(A310)-LEN(SUBSTITUTE(A310,{"0","1","2","3"},"")))))))), 1)) * ROW(INDIRECT("1:"&amp;LEN((LEFT(A310,SUM(LEN(A310)-LEN(SUBSTITUTE(A310,{"0","1","2","3"},"")))))))), 0), ROW(INDIRECT("1:"&amp;LEN((LEFT(A310,SUM(LEN(A310)-LEN(SUBSTITUTE(A310,{"0","1","2","3"},"")))))))))+1, 1) * 10^ROW(INDIRECT("1:"&amp;LEN((LEFT(A310,SUM(LEN(A310)-LEN(SUBSTITUTE(A310,{"0","1","2","3"},""))))))))/10))*100+1</f>
        <v>401</v>
      </c>
      <c r="V311" s="23">
        <f ca="1">(SUMPRODUCT(MID(0&amp;(--TRIM(RIGHT(SUBSTITUTE(LEFT(A310,_xlfn.AGGREGATE(16,6,FIND({0,1,2,3,4,5,6,7,8,9},A310,ROW(INDIRECT("1:"&amp;LEN(A310)))),1))," ",REPT(" ",LEN(A310))),LEN(A310)))), LARGE(INDEX(ISNUMBER(--MID((--TRIM(RIGHT(SUBSTITUTE(LEFT(A310,_xlfn.AGGREGATE(16,6,FIND({0,1,2,3,4,5,6,7,8,9},A310,ROW(INDIRECT("1:"&amp;LEN(A310)))),1))," ",REPT(" ",LEN(A310))),LEN(A310)))), ROW(INDIRECT("1:"&amp;LEN((--TRIM(RIGHT(SUBSTITUTE(LEFT(A310,_xlfn.AGGREGATE(16,6,FIND({0,1,2,3,4,5,6,7,8,9},A310,ROW(INDIRECT("1:"&amp;LEN(A310)))),1))," ",REPT(" ",LEN(A310))),LEN(A310))))))), 1)) * ROW(INDIRECT("1:"&amp;LEN((--TRIM(RIGHT(SUBSTITUTE(LEFT(A310,_xlfn.AGGREGATE(16,6,FIND({0,1,2,3,4,5,6,7,8,9},A310,ROW(INDIRECT("1:"&amp;LEN(A310)))),1))," ",REPT(" ",LEN(A310))),LEN(A310))))))), 0), ROW(INDIRECT("1:"&amp;LEN((--TRIM(RIGHT(SUBSTITUTE(LEFT(A310,_xlfn.AGGREGATE(16,6,FIND({0,1,2,3,4,5,6,7,8,9},A310,ROW(INDIRECT("1:"&amp;LEN(A310)))),1))," ",REPT(" ",LEN(A310))),LEN(A310))))))))+1, 1) * 10^ROW(INDIRECT("1:"&amp;LEN((--TRIM(RIGHT(SUBSTITUTE(LEFT(A310,_xlfn.AGGREGATE(16,6,FIND({0,1,2,3,4,5,6,7,8,9},A310,ROW(INDIRECT("1:"&amp;LEN(A310)))),1))," ",REPT(" ",LEN(A310))),LEN(A310)))))))/10))*100+1</f>
        <v>4001</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79" t="s">
        <v>385</v>
      </c>
      <c r="B312" s="80"/>
      <c r="C312" s="80"/>
      <c r="D312" s="80"/>
      <c r="E312" s="80"/>
      <c r="F312" s="80"/>
      <c r="G312" s="80"/>
      <c r="H312" s="8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x14ac:dyDescent="0.25">
      <c r="A313" s="91" t="s">
        <v>387</v>
      </c>
      <c r="B313" s="92"/>
      <c r="C313" s="92"/>
      <c r="D313" s="92"/>
      <c r="E313" s="92"/>
      <c r="F313" s="92"/>
      <c r="G313" s="92"/>
      <c r="H313" s="93"/>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hidden="1" x14ac:dyDescent="0.25">
      <c r="A314" s="79" t="s">
        <v>359</v>
      </c>
      <c r="B314" s="80"/>
      <c r="C314" s="80"/>
      <c r="D314" s="80"/>
      <c r="E314" s="80"/>
      <c r="F314" s="80"/>
      <c r="G314" s="80"/>
      <c r="H314" s="8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hidden="1" customHeight="1" x14ac:dyDescent="0.25">
      <c r="A315" s="82">
        <v>1</v>
      </c>
      <c r="B315" s="82"/>
      <c r="C315" s="54"/>
      <c r="D315" s="54"/>
      <c r="E315" s="33">
        <v>0</v>
      </c>
      <c r="F315" s="6">
        <v>0</v>
      </c>
      <c r="G315" s="6">
        <v>0</v>
      </c>
      <c r="H315" s="6">
        <f>E315+F315+(IF(G315&lt;101,G315,IF(G315&lt;201,G315/2,IF(G315&lt;=301,G315/3,G315/4))))</f>
        <v>0</v>
      </c>
      <c r="I315" s="1"/>
      <c r="J315" s="1"/>
      <c r="K315" s="1"/>
      <c r="L315" s="1"/>
      <c r="M315" s="1"/>
      <c r="N315" s="1"/>
      <c r="O315" s="1"/>
      <c r="P315" s="1"/>
      <c r="Q315" s="1"/>
      <c r="R315" s="1"/>
      <c r="S315" s="1"/>
      <c r="T315" s="23" t="str">
        <f t="shared" ref="T315:T322" ca="1" si="112">U315&amp;""&amp;",..,"&amp;""&amp;V315</f>
        <v>101,..,101</v>
      </c>
      <c r="U315" s="23">
        <f ca="1">(SUMPRODUCT(MID(0&amp;(LEFT(A314,SUM(LEN(A314)-LEN(SUBSTITUTE(A314,{"0","1","2","3"},""))))), LARGE(INDEX(ISNUMBER(--MID((LEFT(A314,SUM(LEN(A314)-LEN(SUBSTITUTE(A314,{"0","1","2","3"},""))))), ROW(INDIRECT("1:"&amp;LEN((LEFT(A314,SUM(LEN(A314)-LEN(SUBSTITUTE(A314,{"0","1","2","3"},"")))))))), 1)) * ROW(INDIRECT("1:"&amp;LEN((LEFT(A314,SUM(LEN(A314)-LEN(SUBSTITUTE(A314,{"0","1","2","3"},"")))))))), 0), ROW(INDIRECT("1:"&amp;LEN((LEFT(A314,SUM(LEN(A314)-LEN(SUBSTITUTE(A314,{"0","1","2","3"},"")))))))))+1, 1) * 10^ROW(INDIRECT("1:"&amp;LEN((LEFT(A314,SUM(LEN(A314)-LEN(SUBSTITUTE(A314,{"0","1","2","3"},""))))))))/10))*100+1</f>
        <v>101</v>
      </c>
      <c r="V315" s="23">
        <f ca="1">(SUMPRODUCT(MID(0&amp;(--TRIM(RIGHT(SUBSTITUTE(LEFT(A314,_xlfn.AGGREGATE(16,6,FIND({0,1,2,3,4,5,6,7,8,9},A314,ROW(INDIRECT("1:"&amp;LEN(A314)))),1))," ",REPT(" ",LEN(A314))),LEN(A314)))), LARGE(INDEX(ISNUMBER(--MID((--TRIM(RIGHT(SUBSTITUTE(LEFT(A314,_xlfn.AGGREGATE(16,6,FIND({0,1,2,3,4,5,6,7,8,9},A314,ROW(INDIRECT("1:"&amp;LEN(A314)))),1))," ",REPT(" ",LEN(A314))),LEN(A314)))), ROW(INDIRECT("1:"&amp;LEN((--TRIM(RIGHT(SUBSTITUTE(LEFT(A314,_xlfn.AGGREGATE(16,6,FIND({0,1,2,3,4,5,6,7,8,9},A314,ROW(INDIRECT("1:"&amp;LEN(A314)))),1))," ",REPT(" ",LEN(A314))),LEN(A314))))))), 1)) * ROW(INDIRECT("1:"&amp;LEN((--TRIM(RIGHT(SUBSTITUTE(LEFT(A314,_xlfn.AGGREGATE(16,6,FIND({0,1,2,3,4,5,6,7,8,9},A314,ROW(INDIRECT("1:"&amp;LEN(A314)))),1))," ",REPT(" ",LEN(A314))),LEN(A314))))))), 0), ROW(INDIRECT("1:"&amp;LEN((--TRIM(RIGHT(SUBSTITUTE(LEFT(A314,_xlfn.AGGREGATE(16,6,FIND({0,1,2,3,4,5,6,7,8,9},A314,ROW(INDIRECT("1:"&amp;LEN(A314)))),1))," ",REPT(" ",LEN(A314))),LEN(A314))))))))+1, 1) * 10^ROW(INDIRECT("1:"&amp;LEN((--TRIM(RIGHT(SUBSTITUTE(LEFT(A314,_xlfn.AGGREGATE(16,6,FIND({0,1,2,3,4,5,6,7,8,9},A314,ROW(INDIRECT("1:"&amp;LEN(A314)))),1))," ",REPT(" ",LEN(A314))),LEN(A314)))))))/10))*100+1</f>
        <v>101</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hidden="1" customHeight="1" x14ac:dyDescent="0.25">
      <c r="A316" s="83">
        <f>A315+1</f>
        <v>2</v>
      </c>
      <c r="B316" s="84"/>
      <c r="C316" s="54"/>
      <c r="D316" s="54"/>
      <c r="E316" s="33"/>
      <c r="F316" s="6"/>
      <c r="G316" s="6"/>
      <c r="H316" s="6">
        <f t="shared" ref="H316:H322" si="113">E316+F316+(IF(G316&lt;101,G316,IF(G316&lt;201,G316/2,IF(G316&lt;=301,G316/3,G316/4))))</f>
        <v>0</v>
      </c>
      <c r="I316" s="1"/>
      <c r="J316" s="1"/>
      <c r="K316" s="1"/>
      <c r="L316" s="1"/>
      <c r="M316" s="1"/>
      <c r="N316" s="1"/>
      <c r="O316" s="1"/>
      <c r="P316" s="1"/>
      <c r="Q316" s="1"/>
      <c r="R316" s="1"/>
      <c r="S316" s="1"/>
      <c r="T316" s="23" t="str">
        <f t="shared" ca="1" si="112"/>
        <v>102,..,102</v>
      </c>
      <c r="U316" s="23">
        <f ca="1">U315+1</f>
        <v>102</v>
      </c>
      <c r="V316" s="23">
        <f ca="1">V315+1</f>
        <v>102</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hidden="1" customHeight="1" x14ac:dyDescent="0.25">
      <c r="A317" s="83">
        <f t="shared" ref="A317:A322" si="114">A316+1</f>
        <v>3</v>
      </c>
      <c r="B317" s="84"/>
      <c r="C317" s="54"/>
      <c r="D317" s="54"/>
      <c r="E317" s="33"/>
      <c r="F317" s="6"/>
      <c r="G317" s="6"/>
      <c r="H317" s="6">
        <f t="shared" si="113"/>
        <v>0</v>
      </c>
      <c r="I317" s="1"/>
      <c r="J317" s="1"/>
      <c r="K317" s="1"/>
      <c r="L317" s="1"/>
      <c r="M317" s="1"/>
      <c r="N317" s="1"/>
      <c r="O317" s="1"/>
      <c r="P317" s="1"/>
      <c r="Q317" s="1"/>
      <c r="R317" s="1"/>
      <c r="S317" s="1"/>
      <c r="T317" s="23" t="str">
        <f t="shared" ca="1" si="112"/>
        <v>103,..,103</v>
      </c>
      <c r="U317" s="23">
        <f t="shared" ref="U317:V322" ca="1" si="115">U316+1</f>
        <v>103</v>
      </c>
      <c r="V317" s="23">
        <f t="shared" ca="1" si="115"/>
        <v>103</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hidden="1" customHeight="1" x14ac:dyDescent="0.25">
      <c r="A318" s="83">
        <f t="shared" si="114"/>
        <v>4</v>
      </c>
      <c r="B318" s="84"/>
      <c r="C318" s="54"/>
      <c r="D318" s="54"/>
      <c r="E318" s="33"/>
      <c r="F318" s="6"/>
      <c r="G318" s="6"/>
      <c r="H318" s="6">
        <f t="shared" si="113"/>
        <v>0</v>
      </c>
      <c r="I318" s="1"/>
      <c r="J318" s="1"/>
      <c r="K318" s="1"/>
      <c r="L318" s="1"/>
      <c r="M318" s="1"/>
      <c r="N318" s="1"/>
      <c r="O318" s="1"/>
      <c r="P318" s="1"/>
      <c r="Q318" s="1"/>
      <c r="R318" s="1"/>
      <c r="S318" s="1"/>
      <c r="T318" s="23" t="str">
        <f t="shared" ca="1" si="112"/>
        <v>104,..,104</v>
      </c>
      <c r="U318" s="23">
        <f t="shared" ca="1" si="115"/>
        <v>104</v>
      </c>
      <c r="V318" s="23">
        <f t="shared" ca="1" si="115"/>
        <v>104</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hidden="1" customHeight="1" x14ac:dyDescent="0.25">
      <c r="A319" s="83">
        <f t="shared" si="114"/>
        <v>5</v>
      </c>
      <c r="B319" s="84"/>
      <c r="C319" s="54"/>
      <c r="D319" s="54"/>
      <c r="E319" s="33"/>
      <c r="F319" s="6"/>
      <c r="G319" s="6"/>
      <c r="H319" s="6">
        <f t="shared" si="113"/>
        <v>0</v>
      </c>
      <c r="I319" s="1"/>
      <c r="J319" s="1"/>
      <c r="K319" s="1"/>
      <c r="L319" s="1"/>
      <c r="M319" s="1"/>
      <c r="N319" s="1"/>
      <c r="O319" s="1"/>
      <c r="P319" s="1"/>
      <c r="Q319" s="1"/>
      <c r="R319" s="1"/>
      <c r="S319" s="1"/>
      <c r="T319" s="23" t="str">
        <f t="shared" ca="1" si="112"/>
        <v>105,..,105</v>
      </c>
      <c r="U319" s="23">
        <f t="shared" ca="1" si="115"/>
        <v>105</v>
      </c>
      <c r="V319" s="23">
        <f t="shared" ca="1" si="115"/>
        <v>105</v>
      </c>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hidden="1" customHeight="1" x14ac:dyDescent="0.25">
      <c r="A320" s="83">
        <f t="shared" si="114"/>
        <v>6</v>
      </c>
      <c r="B320" s="84"/>
      <c r="C320" s="54"/>
      <c r="D320" s="54"/>
      <c r="E320" s="33"/>
      <c r="F320" s="6"/>
      <c r="G320" s="6"/>
      <c r="H320" s="6">
        <f t="shared" si="113"/>
        <v>0</v>
      </c>
      <c r="I320" s="1"/>
      <c r="J320" s="1"/>
      <c r="K320" s="1"/>
      <c r="L320" s="1"/>
      <c r="M320" s="1"/>
      <c r="N320" s="1"/>
      <c r="O320" s="1"/>
      <c r="P320" s="1"/>
      <c r="Q320" s="1"/>
      <c r="R320" s="1"/>
      <c r="S320" s="1"/>
      <c r="T320" s="23" t="str">
        <f t="shared" ca="1" si="112"/>
        <v>106,..,106</v>
      </c>
      <c r="U320" s="23">
        <f t="shared" ca="1" si="115"/>
        <v>106</v>
      </c>
      <c r="V320" s="23">
        <f t="shared" ca="1" si="115"/>
        <v>106</v>
      </c>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hidden="1" customHeight="1" x14ac:dyDescent="0.25">
      <c r="A321" s="83">
        <f t="shared" si="114"/>
        <v>7</v>
      </c>
      <c r="B321" s="84"/>
      <c r="C321" s="54"/>
      <c r="D321" s="54"/>
      <c r="E321" s="33"/>
      <c r="F321" s="6"/>
      <c r="G321" s="6"/>
      <c r="H321" s="6">
        <f t="shared" si="113"/>
        <v>0</v>
      </c>
      <c r="I321" s="1"/>
      <c r="J321" s="1"/>
      <c r="K321" s="1"/>
      <c r="L321" s="1"/>
      <c r="M321" s="1"/>
      <c r="N321" s="1"/>
      <c r="O321" s="1"/>
      <c r="P321" s="1"/>
      <c r="Q321" s="1"/>
      <c r="R321" s="1"/>
      <c r="S321" s="1"/>
      <c r="T321" s="23" t="str">
        <f t="shared" ca="1" si="112"/>
        <v>107,..,107</v>
      </c>
      <c r="U321" s="23">
        <f t="shared" ca="1" si="115"/>
        <v>107</v>
      </c>
      <c r="V321" s="23">
        <f t="shared" ca="1" si="115"/>
        <v>107</v>
      </c>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hidden="1" customHeight="1" x14ac:dyDescent="0.25">
      <c r="A322" s="83">
        <f t="shared" si="114"/>
        <v>8</v>
      </c>
      <c r="B322" s="84"/>
      <c r="C322" s="54"/>
      <c r="D322" s="54"/>
      <c r="E322" s="33"/>
      <c r="F322" s="6"/>
      <c r="G322" s="6"/>
      <c r="H322" s="6">
        <f t="shared" si="113"/>
        <v>0</v>
      </c>
      <c r="I322" s="1"/>
      <c r="J322" s="1"/>
      <c r="K322" s="1"/>
      <c r="L322" s="1"/>
      <c r="M322" s="1"/>
      <c r="N322" s="1"/>
      <c r="O322" s="1"/>
      <c r="P322" s="1"/>
      <c r="Q322" s="1"/>
      <c r="R322" s="1"/>
      <c r="S322" s="1"/>
      <c r="T322" s="23" t="str">
        <f t="shared" ca="1" si="112"/>
        <v>108,..,108</v>
      </c>
      <c r="U322" s="23">
        <f t="shared" ca="1" si="115"/>
        <v>108</v>
      </c>
      <c r="V322" s="23">
        <f t="shared" ca="1" si="115"/>
        <v>108</v>
      </c>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hidden="1" x14ac:dyDescent="0.25">
      <c r="A323" s="79" t="s">
        <v>130</v>
      </c>
      <c r="B323" s="80"/>
      <c r="C323" s="80"/>
      <c r="D323" s="80"/>
      <c r="E323" s="80"/>
      <c r="F323" s="80"/>
      <c r="G323" s="80"/>
      <c r="H323" s="8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hidden="1" customHeight="1" x14ac:dyDescent="0.25">
      <c r="A324" s="82" t="str">
        <f ca="1">T324</f>
        <v>201,..,901</v>
      </c>
      <c r="B324" s="82"/>
      <c r="C324" s="54"/>
      <c r="D324" s="54"/>
      <c r="E324" s="33">
        <v>0</v>
      </c>
      <c r="F324" s="6">
        <v>0</v>
      </c>
      <c r="G324" s="6">
        <v>0</v>
      </c>
      <c r="H324" s="6">
        <f>E324+F324+(IF(G324&lt;101,G324,IF(G324&lt;201,G324/2,IF(G324&lt;=301,G324/3,G324/4))))</f>
        <v>0</v>
      </c>
      <c r="I324" s="1"/>
      <c r="J324" s="1"/>
      <c r="K324" s="1"/>
      <c r="L324" s="1"/>
      <c r="M324" s="1"/>
      <c r="N324" s="1"/>
      <c r="O324" s="1"/>
      <c r="P324" s="1"/>
      <c r="Q324" s="1"/>
      <c r="R324" s="1"/>
      <c r="S324" s="1"/>
      <c r="T324" s="23" t="str">
        <f t="shared" ref="T324:T331" ca="1" si="116">U324&amp;""&amp;",..,"&amp;""&amp;V324</f>
        <v>201,..,901</v>
      </c>
      <c r="U324" s="23">
        <f ca="1">(SUMPRODUCT(MID(0&amp;(LEFT(A323,SUM(LEN(A323)-LEN(SUBSTITUTE(A323,{"0","1","2","3"},""))))), LARGE(INDEX(ISNUMBER(--MID((LEFT(A323,SUM(LEN(A323)-LEN(SUBSTITUTE(A323,{"0","1","2","3"},""))))), ROW(INDIRECT("1:"&amp;LEN((LEFT(A323,SUM(LEN(A323)-LEN(SUBSTITUTE(A323,{"0","1","2","3"},"")))))))), 1)) * ROW(INDIRECT("1:"&amp;LEN((LEFT(A323,SUM(LEN(A323)-LEN(SUBSTITUTE(A323,{"0","1","2","3"},"")))))))), 0), ROW(INDIRECT("1:"&amp;LEN((LEFT(A323,SUM(LEN(A323)-LEN(SUBSTITUTE(A323,{"0","1","2","3"},"")))))))))+1, 1) * 10^ROW(INDIRECT("1:"&amp;LEN((LEFT(A323,SUM(LEN(A323)-LEN(SUBSTITUTE(A323,{"0","1","2","3"},""))))))))/10))*100+1</f>
        <v>201</v>
      </c>
      <c r="V324" s="23">
        <f ca="1">(SUMPRODUCT(MID(0&amp;(--TRIM(RIGHT(SUBSTITUTE(LEFT(A323,_xlfn.AGGREGATE(16,6,FIND({0,1,2,3,4,5,6,7,8,9},A323,ROW(INDIRECT("1:"&amp;LEN(A323)))),1))," ",REPT(" ",LEN(A323))),LEN(A323)))), LARGE(INDEX(ISNUMBER(--MID((--TRIM(RIGHT(SUBSTITUTE(LEFT(A323,_xlfn.AGGREGATE(16,6,FIND({0,1,2,3,4,5,6,7,8,9},A323,ROW(INDIRECT("1:"&amp;LEN(A323)))),1))," ",REPT(" ",LEN(A323))),LEN(A323)))), ROW(INDIRECT("1:"&amp;LEN((--TRIM(RIGHT(SUBSTITUTE(LEFT(A323,_xlfn.AGGREGATE(16,6,FIND({0,1,2,3,4,5,6,7,8,9},A323,ROW(INDIRECT("1:"&amp;LEN(A323)))),1))," ",REPT(" ",LEN(A323))),LEN(A323))))))), 1)) * ROW(INDIRECT("1:"&amp;LEN((--TRIM(RIGHT(SUBSTITUTE(LEFT(A323,_xlfn.AGGREGATE(16,6,FIND({0,1,2,3,4,5,6,7,8,9},A323,ROW(INDIRECT("1:"&amp;LEN(A323)))),1))," ",REPT(" ",LEN(A323))),LEN(A323))))))), 0), ROW(INDIRECT("1:"&amp;LEN((--TRIM(RIGHT(SUBSTITUTE(LEFT(A323,_xlfn.AGGREGATE(16,6,FIND({0,1,2,3,4,5,6,7,8,9},A323,ROW(INDIRECT("1:"&amp;LEN(A323)))),1))," ",REPT(" ",LEN(A323))),LEN(A323))))))))+1, 1) * 10^ROW(INDIRECT("1:"&amp;LEN((--TRIM(RIGHT(SUBSTITUTE(LEFT(A323,_xlfn.AGGREGATE(16,6,FIND({0,1,2,3,4,5,6,7,8,9},A323,ROW(INDIRECT("1:"&amp;LEN(A323)))),1))," ",REPT(" ",LEN(A323))),LEN(A323)))))))/10))*100+1</f>
        <v>901</v>
      </c>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hidden="1" customHeight="1" x14ac:dyDescent="0.25">
      <c r="A325" s="82" t="str">
        <f t="shared" ref="A325:A331" ca="1" si="117">T325</f>
        <v>202,..,902</v>
      </c>
      <c r="B325" s="82"/>
      <c r="C325" s="54"/>
      <c r="D325" s="54"/>
      <c r="E325" s="33"/>
      <c r="F325" s="6"/>
      <c r="G325" s="6"/>
      <c r="H325" s="6">
        <f t="shared" ref="H325:H331" si="118">E325+F325+(IF(G325&lt;101,G325,IF(G325&lt;201,G325/2,IF(G325&lt;=301,G325/3,G325/4))))</f>
        <v>0</v>
      </c>
      <c r="I325" s="1"/>
      <c r="J325" s="1"/>
      <c r="K325" s="1"/>
      <c r="L325" s="1"/>
      <c r="M325" s="1"/>
      <c r="N325" s="1"/>
      <c r="O325" s="1"/>
      <c r="P325" s="1"/>
      <c r="Q325" s="1"/>
      <c r="R325" s="1"/>
      <c r="S325" s="1"/>
      <c r="T325" s="23" t="str">
        <f t="shared" ca="1" si="116"/>
        <v>202,..,902</v>
      </c>
      <c r="U325" s="23">
        <f ca="1">U324+1</f>
        <v>202</v>
      </c>
      <c r="V325" s="23">
        <f ca="1">V324+1</f>
        <v>902</v>
      </c>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hidden="1" customHeight="1" x14ac:dyDescent="0.25">
      <c r="A326" s="82" t="str">
        <f t="shared" ca="1" si="117"/>
        <v>203,..,903</v>
      </c>
      <c r="B326" s="82"/>
      <c r="C326" s="54"/>
      <c r="D326" s="54"/>
      <c r="E326" s="33"/>
      <c r="F326" s="6"/>
      <c r="G326" s="6"/>
      <c r="H326" s="6">
        <f t="shared" si="118"/>
        <v>0</v>
      </c>
      <c r="I326" s="1"/>
      <c r="J326" s="1"/>
      <c r="K326" s="1"/>
      <c r="L326" s="1"/>
      <c r="M326" s="1"/>
      <c r="N326" s="1"/>
      <c r="O326" s="1"/>
      <c r="P326" s="1"/>
      <c r="Q326" s="1"/>
      <c r="R326" s="1"/>
      <c r="S326" s="1"/>
      <c r="T326" s="23" t="str">
        <f t="shared" ca="1" si="116"/>
        <v>203,..,903</v>
      </c>
      <c r="U326" s="23">
        <f t="shared" ref="U326:U331" ca="1" si="119">U325+1</f>
        <v>203</v>
      </c>
      <c r="V326" s="23">
        <f t="shared" ref="V326:V331" ca="1" si="120">V325+1</f>
        <v>903</v>
      </c>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hidden="1" customHeight="1" x14ac:dyDescent="0.25">
      <c r="A327" s="82" t="str">
        <f t="shared" ca="1" si="117"/>
        <v>204,..,904</v>
      </c>
      <c r="B327" s="82"/>
      <c r="C327" s="54"/>
      <c r="D327" s="54"/>
      <c r="E327" s="33"/>
      <c r="F327" s="6"/>
      <c r="G327" s="6"/>
      <c r="H327" s="6">
        <f t="shared" si="118"/>
        <v>0</v>
      </c>
      <c r="I327" s="1"/>
      <c r="J327" s="1"/>
      <c r="K327" s="1"/>
      <c r="L327" s="1"/>
      <c r="M327" s="1"/>
      <c r="N327" s="1"/>
      <c r="O327" s="1"/>
      <c r="P327" s="1"/>
      <c r="Q327" s="1"/>
      <c r="R327" s="1"/>
      <c r="S327" s="1"/>
      <c r="T327" s="23" t="str">
        <f t="shared" ca="1" si="116"/>
        <v>204,..,904</v>
      </c>
      <c r="U327" s="23">
        <f t="shared" ca="1" si="119"/>
        <v>204</v>
      </c>
      <c r="V327" s="23">
        <f t="shared" ca="1" si="120"/>
        <v>904</v>
      </c>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hidden="1" customHeight="1" x14ac:dyDescent="0.25">
      <c r="A328" s="82" t="str">
        <f t="shared" ca="1" si="117"/>
        <v>205,..,905</v>
      </c>
      <c r="B328" s="82"/>
      <c r="C328" s="54"/>
      <c r="D328" s="54"/>
      <c r="E328" s="33"/>
      <c r="F328" s="6"/>
      <c r="G328" s="6"/>
      <c r="H328" s="6">
        <f t="shared" si="118"/>
        <v>0</v>
      </c>
      <c r="I328" s="1"/>
      <c r="J328" s="1"/>
      <c r="K328" s="1"/>
      <c r="L328" s="1"/>
      <c r="M328" s="1"/>
      <c r="N328" s="1"/>
      <c r="O328" s="1"/>
      <c r="P328" s="1"/>
      <c r="Q328" s="1"/>
      <c r="R328" s="1"/>
      <c r="S328" s="1"/>
      <c r="T328" s="23" t="str">
        <f t="shared" ca="1" si="116"/>
        <v>205,..,905</v>
      </c>
      <c r="U328" s="23">
        <f t="shared" ca="1" si="119"/>
        <v>205</v>
      </c>
      <c r="V328" s="23">
        <f t="shared" ca="1" si="120"/>
        <v>905</v>
      </c>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hidden="1" customHeight="1" x14ac:dyDescent="0.25">
      <c r="A329" s="82" t="str">
        <f t="shared" ca="1" si="117"/>
        <v>206,..,906</v>
      </c>
      <c r="B329" s="82"/>
      <c r="C329" s="54"/>
      <c r="D329" s="54"/>
      <c r="E329" s="33"/>
      <c r="F329" s="6"/>
      <c r="G329" s="6"/>
      <c r="H329" s="6">
        <f t="shared" si="118"/>
        <v>0</v>
      </c>
      <c r="I329" s="1"/>
      <c r="J329" s="1"/>
      <c r="K329" s="1"/>
      <c r="L329" s="1"/>
      <c r="M329" s="1"/>
      <c r="N329" s="1"/>
      <c r="O329" s="1"/>
      <c r="P329" s="1"/>
      <c r="Q329" s="1"/>
      <c r="R329" s="1"/>
      <c r="S329" s="1"/>
      <c r="T329" s="23" t="str">
        <f t="shared" ca="1" si="116"/>
        <v>206,..,906</v>
      </c>
      <c r="U329" s="23">
        <f t="shared" ca="1" si="119"/>
        <v>206</v>
      </c>
      <c r="V329" s="23">
        <f t="shared" ca="1" si="120"/>
        <v>906</v>
      </c>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hidden="1" customHeight="1" x14ac:dyDescent="0.25">
      <c r="A330" s="82" t="str">
        <f t="shared" ca="1" si="117"/>
        <v>207,..,907</v>
      </c>
      <c r="B330" s="82"/>
      <c r="C330" s="54"/>
      <c r="D330" s="54"/>
      <c r="E330" s="33"/>
      <c r="F330" s="6"/>
      <c r="G330" s="6"/>
      <c r="H330" s="6">
        <f t="shared" si="118"/>
        <v>0</v>
      </c>
      <c r="I330" s="1"/>
      <c r="J330" s="1"/>
      <c r="K330" s="1"/>
      <c r="L330" s="1"/>
      <c r="M330" s="1"/>
      <c r="N330" s="1"/>
      <c r="O330" s="1"/>
      <c r="P330" s="1"/>
      <c r="Q330" s="1"/>
      <c r="R330" s="1"/>
      <c r="S330" s="1"/>
      <c r="T330" s="23" t="str">
        <f t="shared" ca="1" si="116"/>
        <v>207,..,907</v>
      </c>
      <c r="U330" s="23">
        <f t="shared" ca="1" si="119"/>
        <v>207</v>
      </c>
      <c r="V330" s="23">
        <f t="shared" ca="1" si="120"/>
        <v>907</v>
      </c>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hidden="1" customHeight="1" x14ac:dyDescent="0.25">
      <c r="A331" s="82" t="str">
        <f t="shared" ca="1" si="117"/>
        <v>208,..,908</v>
      </c>
      <c r="B331" s="82"/>
      <c r="C331" s="54"/>
      <c r="D331" s="54"/>
      <c r="E331" s="33"/>
      <c r="F331" s="6"/>
      <c r="G331" s="6"/>
      <c r="H331" s="6">
        <f t="shared" si="118"/>
        <v>0</v>
      </c>
      <c r="I331" s="1"/>
      <c r="J331" s="1"/>
      <c r="K331" s="1"/>
      <c r="L331" s="1"/>
      <c r="M331" s="1"/>
      <c r="N331" s="1"/>
      <c r="O331" s="1"/>
      <c r="P331" s="1"/>
      <c r="Q331" s="1"/>
      <c r="R331" s="1"/>
      <c r="S331" s="1"/>
      <c r="T331" s="23" t="str">
        <f t="shared" ca="1" si="116"/>
        <v>208,..,908</v>
      </c>
      <c r="U331" s="23">
        <f t="shared" ca="1" si="119"/>
        <v>208</v>
      </c>
      <c r="V331" s="23">
        <f t="shared" ca="1" si="120"/>
        <v>908</v>
      </c>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hidden="1" x14ac:dyDescent="0.25">
      <c r="A332" s="79" t="s">
        <v>131</v>
      </c>
      <c r="B332" s="80"/>
      <c r="C332" s="80"/>
      <c r="D332" s="80"/>
      <c r="E332" s="80"/>
      <c r="F332" s="80"/>
      <c r="G332" s="80"/>
      <c r="H332" s="8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hidden="1" customHeight="1" x14ac:dyDescent="0.25">
      <c r="A333" s="82" t="str">
        <f ca="1">T333</f>
        <v>201 to 501</v>
      </c>
      <c r="B333" s="82"/>
      <c r="C333" s="54"/>
      <c r="D333" s="54"/>
      <c r="E333" s="33">
        <v>0</v>
      </c>
      <c r="F333" s="6">
        <v>0</v>
      </c>
      <c r="G333" s="6">
        <v>0</v>
      </c>
      <c r="H333" s="6">
        <f>E333+F333+(IF(G333&lt;101,G333,IF(G333&lt;201,G333/2,IF(G333&lt;=301,G333/3,G333/4))))</f>
        <v>0</v>
      </c>
      <c r="I333" s="1"/>
      <c r="J333" s="1"/>
      <c r="K333" s="1"/>
      <c r="L333" s="1"/>
      <c r="M333" s="1"/>
      <c r="N333" s="1"/>
      <c r="O333" s="1"/>
      <c r="P333" s="1"/>
      <c r="Q333" s="1"/>
      <c r="R333" s="1"/>
      <c r="S333" s="1"/>
      <c r="T333" s="23" t="str">
        <f ca="1">U333&amp;""&amp;" to "&amp;""&amp;V333</f>
        <v>201 to 501</v>
      </c>
      <c r="U333" s="23">
        <f ca="1">(SUMPRODUCT(MID(0&amp;(LEFT(A332,SUM(LEN(A332)-LEN(SUBSTITUTE(A332,{"0","1","2","3"},""))))), LARGE(INDEX(ISNUMBER(--MID((LEFT(A332,SUM(LEN(A332)-LEN(SUBSTITUTE(A332,{"0","1","2","3"},""))))), ROW(INDIRECT("1:"&amp;LEN((LEFT(A332,SUM(LEN(A332)-LEN(SUBSTITUTE(A332,{"0","1","2","3"},"")))))))), 1)) * ROW(INDIRECT("1:"&amp;LEN((LEFT(A332,SUM(LEN(A332)-LEN(SUBSTITUTE(A332,{"0","1","2","3"},"")))))))), 0), ROW(INDIRECT("1:"&amp;LEN((LEFT(A332,SUM(LEN(A332)-LEN(SUBSTITUTE(A332,{"0","1","2","3"},"")))))))))+1, 1) * 10^ROW(INDIRECT("1:"&amp;LEN((LEFT(A332,SUM(LEN(A332)-LEN(SUBSTITUTE(A332,{"0","1","2","3"},""))))))))/10))*100+1</f>
        <v>201</v>
      </c>
      <c r="V333" s="23">
        <f ca="1">(SUMPRODUCT(MID(0&amp;(--TRIM(RIGHT(SUBSTITUTE(LEFT(A332,_xlfn.AGGREGATE(16,6,FIND({0,1,2,3,4,5,6,7,8,9},A332,ROW(INDIRECT("1:"&amp;LEN(A332)))),1))," ",REPT(" ",LEN(A332))),LEN(A332)))), LARGE(INDEX(ISNUMBER(--MID((--TRIM(RIGHT(SUBSTITUTE(LEFT(A332,_xlfn.AGGREGATE(16,6,FIND({0,1,2,3,4,5,6,7,8,9},A332,ROW(INDIRECT("1:"&amp;LEN(A332)))),1))," ",REPT(" ",LEN(A332))),LEN(A332)))), ROW(INDIRECT("1:"&amp;LEN((--TRIM(RIGHT(SUBSTITUTE(LEFT(A332,_xlfn.AGGREGATE(16,6,FIND({0,1,2,3,4,5,6,7,8,9},A332,ROW(INDIRECT("1:"&amp;LEN(A332)))),1))," ",REPT(" ",LEN(A332))),LEN(A332))))))), 1)) * ROW(INDIRECT("1:"&amp;LEN((--TRIM(RIGHT(SUBSTITUTE(LEFT(A332,_xlfn.AGGREGATE(16,6,FIND({0,1,2,3,4,5,6,7,8,9},A332,ROW(INDIRECT("1:"&amp;LEN(A332)))),1))," ",REPT(" ",LEN(A332))),LEN(A332))))))), 0), ROW(INDIRECT("1:"&amp;LEN((--TRIM(RIGHT(SUBSTITUTE(LEFT(A332,_xlfn.AGGREGATE(16,6,FIND({0,1,2,3,4,5,6,7,8,9},A332,ROW(INDIRECT("1:"&amp;LEN(A332)))),1))," ",REPT(" ",LEN(A332))),LEN(A332))))))))+1, 1) * 10^ROW(INDIRECT("1:"&amp;LEN((--TRIM(RIGHT(SUBSTITUTE(LEFT(A332,_xlfn.AGGREGATE(16,6,FIND({0,1,2,3,4,5,6,7,8,9},A332,ROW(INDIRECT("1:"&amp;LEN(A332)))),1))," ",REPT(" ",LEN(A332))),LEN(A332)))))))/10))*100+1</f>
        <v>501</v>
      </c>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hidden="1" customHeight="1" x14ac:dyDescent="0.25">
      <c r="A334" s="82" t="str">
        <f t="shared" ref="A334:A340" ca="1" si="121">T334</f>
        <v>202 to 502</v>
      </c>
      <c r="B334" s="82"/>
      <c r="C334" s="54"/>
      <c r="D334" s="54"/>
      <c r="E334" s="33"/>
      <c r="F334" s="6"/>
      <c r="G334" s="6"/>
      <c r="H334" s="6">
        <f t="shared" ref="H334:H340" si="122">E334+F334+(IF(G334&lt;101,G334,IF(G334&lt;201,G334/2,IF(G334&lt;=301,G334/3,G334/4))))</f>
        <v>0</v>
      </c>
      <c r="I334" s="1"/>
      <c r="J334" s="1"/>
      <c r="K334" s="1"/>
      <c r="L334" s="1"/>
      <c r="M334" s="1"/>
      <c r="N334" s="1"/>
      <c r="O334" s="1"/>
      <c r="P334" s="1"/>
      <c r="Q334" s="1"/>
      <c r="R334" s="1"/>
      <c r="S334" s="1"/>
      <c r="T334" s="23" t="str">
        <f t="shared" ref="T334:T340" ca="1" si="123">U334&amp;""&amp;" to "&amp;""&amp;V334</f>
        <v>202 to 502</v>
      </c>
      <c r="U334" s="23">
        <f ca="1">U333+1</f>
        <v>202</v>
      </c>
      <c r="V334" s="23">
        <f ca="1">V333+1</f>
        <v>502</v>
      </c>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hidden="1" customHeight="1" x14ac:dyDescent="0.25">
      <c r="A335" s="82" t="str">
        <f t="shared" ca="1" si="121"/>
        <v>203 to 503</v>
      </c>
      <c r="B335" s="82"/>
      <c r="C335" s="54"/>
      <c r="D335" s="54"/>
      <c r="E335" s="33"/>
      <c r="F335" s="6"/>
      <c r="G335" s="6"/>
      <c r="H335" s="6">
        <f t="shared" si="122"/>
        <v>0</v>
      </c>
      <c r="I335" s="1"/>
      <c r="J335" s="1"/>
      <c r="K335" s="1"/>
      <c r="L335" s="1"/>
      <c r="M335" s="1"/>
      <c r="N335" s="1"/>
      <c r="O335" s="1"/>
      <c r="P335" s="1"/>
      <c r="Q335" s="1"/>
      <c r="R335" s="1"/>
      <c r="S335" s="1"/>
      <c r="T335" s="23" t="str">
        <f t="shared" ca="1" si="123"/>
        <v>203 to 503</v>
      </c>
      <c r="U335" s="23">
        <f t="shared" ref="U335:U340" ca="1" si="124">U334+1</f>
        <v>203</v>
      </c>
      <c r="V335" s="23">
        <f t="shared" ref="V335:V340" ca="1" si="125">V334+1</f>
        <v>503</v>
      </c>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hidden="1" customHeight="1" x14ac:dyDescent="0.25">
      <c r="A336" s="82" t="str">
        <f t="shared" ca="1" si="121"/>
        <v>204 to 504</v>
      </c>
      <c r="B336" s="82"/>
      <c r="C336" s="54"/>
      <c r="D336" s="54"/>
      <c r="E336" s="33"/>
      <c r="F336" s="6"/>
      <c r="G336" s="6"/>
      <c r="H336" s="6">
        <f t="shared" si="122"/>
        <v>0</v>
      </c>
      <c r="I336" s="1"/>
      <c r="J336" s="1"/>
      <c r="K336" s="1"/>
      <c r="L336" s="1"/>
      <c r="M336" s="1"/>
      <c r="N336" s="1"/>
      <c r="O336" s="1"/>
      <c r="P336" s="1"/>
      <c r="Q336" s="1"/>
      <c r="R336" s="1"/>
      <c r="S336" s="1"/>
      <c r="T336" s="23" t="str">
        <f t="shared" ca="1" si="123"/>
        <v>204 to 504</v>
      </c>
      <c r="U336" s="23">
        <f t="shared" ca="1" si="124"/>
        <v>204</v>
      </c>
      <c r="V336" s="23">
        <f t="shared" ca="1" si="125"/>
        <v>504</v>
      </c>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hidden="1" customHeight="1" x14ac:dyDescent="0.25">
      <c r="A337" s="82" t="str">
        <f t="shared" ca="1" si="121"/>
        <v>205 to 505</v>
      </c>
      <c r="B337" s="82"/>
      <c r="C337" s="54"/>
      <c r="D337" s="54"/>
      <c r="E337" s="33"/>
      <c r="F337" s="6"/>
      <c r="G337" s="6"/>
      <c r="H337" s="6">
        <f t="shared" si="122"/>
        <v>0</v>
      </c>
      <c r="I337" s="1"/>
      <c r="J337" s="1"/>
      <c r="K337" s="1"/>
      <c r="L337" s="1"/>
      <c r="M337" s="1"/>
      <c r="N337" s="1"/>
      <c r="O337" s="1"/>
      <c r="P337" s="1"/>
      <c r="Q337" s="1"/>
      <c r="R337" s="1"/>
      <c r="S337" s="1"/>
      <c r="T337" s="23" t="str">
        <f t="shared" ca="1" si="123"/>
        <v>205 to 505</v>
      </c>
      <c r="U337" s="23">
        <f t="shared" ca="1" si="124"/>
        <v>205</v>
      </c>
      <c r="V337" s="23">
        <f t="shared" ca="1" si="125"/>
        <v>505</v>
      </c>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hidden="1" customHeight="1" x14ac:dyDescent="0.25">
      <c r="A338" s="82" t="str">
        <f t="shared" ca="1" si="121"/>
        <v>206 to 506</v>
      </c>
      <c r="B338" s="82"/>
      <c r="C338" s="54"/>
      <c r="D338" s="54"/>
      <c r="E338" s="33"/>
      <c r="F338" s="6"/>
      <c r="G338" s="6"/>
      <c r="H338" s="6">
        <f t="shared" si="122"/>
        <v>0</v>
      </c>
      <c r="I338" s="1"/>
      <c r="J338" s="1"/>
      <c r="K338" s="1"/>
      <c r="L338" s="1"/>
      <c r="M338" s="1"/>
      <c r="N338" s="1"/>
      <c r="O338" s="1"/>
      <c r="P338" s="1"/>
      <c r="Q338" s="1"/>
      <c r="R338" s="1"/>
      <c r="S338" s="1"/>
      <c r="T338" s="23" t="str">
        <f t="shared" ca="1" si="123"/>
        <v>206 to 506</v>
      </c>
      <c r="U338" s="23">
        <f t="shared" ca="1" si="124"/>
        <v>206</v>
      </c>
      <c r="V338" s="23">
        <f t="shared" ca="1" si="125"/>
        <v>506</v>
      </c>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hidden="1" customHeight="1" x14ac:dyDescent="0.25">
      <c r="A339" s="82" t="str">
        <f t="shared" ca="1" si="121"/>
        <v>207 to 507</v>
      </c>
      <c r="B339" s="82"/>
      <c r="C339" s="54"/>
      <c r="D339" s="54"/>
      <c r="E339" s="33"/>
      <c r="F339" s="6"/>
      <c r="G339" s="6"/>
      <c r="H339" s="6">
        <f t="shared" si="122"/>
        <v>0</v>
      </c>
      <c r="I339" s="1"/>
      <c r="J339" s="1"/>
      <c r="K339" s="1"/>
      <c r="L339" s="1"/>
      <c r="M339" s="1"/>
      <c r="N339" s="1"/>
      <c r="O339" s="1"/>
      <c r="P339" s="1"/>
      <c r="Q339" s="1"/>
      <c r="R339" s="1"/>
      <c r="S339" s="1"/>
      <c r="T339" s="23" t="str">
        <f t="shared" ca="1" si="123"/>
        <v>207 to 507</v>
      </c>
      <c r="U339" s="23">
        <f t="shared" ca="1" si="124"/>
        <v>207</v>
      </c>
      <c r="V339" s="23">
        <f t="shared" ca="1" si="125"/>
        <v>507</v>
      </c>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hidden="1" customHeight="1" x14ac:dyDescent="0.25">
      <c r="A340" s="82" t="str">
        <f t="shared" ca="1" si="121"/>
        <v>208 to 508</v>
      </c>
      <c r="B340" s="82"/>
      <c r="C340" s="54"/>
      <c r="D340" s="54"/>
      <c r="E340" s="33"/>
      <c r="F340" s="6"/>
      <c r="G340" s="6"/>
      <c r="H340" s="6">
        <f t="shared" si="122"/>
        <v>0</v>
      </c>
      <c r="I340" s="1"/>
      <c r="J340" s="1"/>
      <c r="K340" s="1"/>
      <c r="L340" s="1"/>
      <c r="M340" s="1"/>
      <c r="N340" s="1"/>
      <c r="O340" s="1"/>
      <c r="P340" s="1"/>
      <c r="Q340" s="1"/>
      <c r="R340" s="1"/>
      <c r="S340" s="1"/>
      <c r="T340" s="23" t="str">
        <f t="shared" ca="1" si="123"/>
        <v>208 to 508</v>
      </c>
      <c r="U340" s="23">
        <f t="shared" ca="1" si="124"/>
        <v>208</v>
      </c>
      <c r="V340" s="23">
        <f t="shared" ca="1" si="125"/>
        <v>508</v>
      </c>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hidden="1" x14ac:dyDescent="0.25">
      <c r="A341" s="79" t="s">
        <v>132</v>
      </c>
      <c r="B341" s="80"/>
      <c r="C341" s="80"/>
      <c r="D341" s="80"/>
      <c r="E341" s="80"/>
      <c r="F341" s="80"/>
      <c r="G341" s="80"/>
      <c r="H341" s="8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hidden="1" customHeight="1" x14ac:dyDescent="0.25">
      <c r="A342" s="82" t="str">
        <f ca="1">T342</f>
        <v>201 &amp; 501</v>
      </c>
      <c r="B342" s="82"/>
      <c r="C342" s="54"/>
      <c r="D342" s="54"/>
      <c r="E342" s="33">
        <v>0</v>
      </c>
      <c r="F342" s="6">
        <v>0</v>
      </c>
      <c r="G342" s="6">
        <v>0</v>
      </c>
      <c r="H342" s="6">
        <f>E342+F342+(IF(G342&lt;101,G342,IF(G342&lt;201,G342/2,IF(G342&lt;=301,G342/3,G342/4))))</f>
        <v>0</v>
      </c>
      <c r="I342" s="1"/>
      <c r="J342" s="1"/>
      <c r="K342" s="1"/>
      <c r="L342" s="1"/>
      <c r="M342" s="1"/>
      <c r="N342" s="1"/>
      <c r="O342" s="1"/>
      <c r="P342" s="1"/>
      <c r="Q342" s="1"/>
      <c r="R342" s="1"/>
      <c r="S342" s="1"/>
      <c r="T342" s="23" t="str">
        <f ca="1">U342&amp;""&amp;" &amp; "&amp;""&amp;V342</f>
        <v>201 &amp; 501</v>
      </c>
      <c r="U342" s="23">
        <f ca="1">(SUMPRODUCT(MID(0&amp;(LEFT(A341,SUM(LEN(A341)-LEN(SUBSTITUTE(A341,{"0","1","2","3"},""))))), LARGE(INDEX(ISNUMBER(--MID((LEFT(A341,SUM(LEN(A341)-LEN(SUBSTITUTE(A341,{"0","1","2","3"},""))))), ROW(INDIRECT("1:"&amp;LEN((LEFT(A341,SUM(LEN(A341)-LEN(SUBSTITUTE(A341,{"0","1","2","3"},"")))))))), 1)) * ROW(INDIRECT("1:"&amp;LEN((LEFT(A341,SUM(LEN(A341)-LEN(SUBSTITUTE(A341,{"0","1","2","3"},"")))))))), 0), ROW(INDIRECT("1:"&amp;LEN((LEFT(A341,SUM(LEN(A341)-LEN(SUBSTITUTE(A341,{"0","1","2","3"},"")))))))))+1, 1) * 10^ROW(INDIRECT("1:"&amp;LEN((LEFT(A341,SUM(LEN(A341)-LEN(SUBSTITUTE(A341,{"0","1","2","3"},""))))))))/10))*100+1</f>
        <v>201</v>
      </c>
      <c r="V342" s="23">
        <f ca="1">(SUMPRODUCT(MID(0&amp;(--TRIM(RIGHT(SUBSTITUTE(LEFT(A341,_xlfn.AGGREGATE(16,6,FIND({0,1,2,3,4,5,6,7,8,9},A341,ROW(INDIRECT("1:"&amp;LEN(A341)))),1))," ",REPT(" ",LEN(A341))),LEN(A341)))), LARGE(INDEX(ISNUMBER(--MID((--TRIM(RIGHT(SUBSTITUTE(LEFT(A341,_xlfn.AGGREGATE(16,6,FIND({0,1,2,3,4,5,6,7,8,9},A341,ROW(INDIRECT("1:"&amp;LEN(A341)))),1))," ",REPT(" ",LEN(A341))),LEN(A341)))), ROW(INDIRECT("1:"&amp;LEN((--TRIM(RIGHT(SUBSTITUTE(LEFT(A341,_xlfn.AGGREGATE(16,6,FIND({0,1,2,3,4,5,6,7,8,9},A341,ROW(INDIRECT("1:"&amp;LEN(A341)))),1))," ",REPT(" ",LEN(A341))),LEN(A341))))))), 1)) * ROW(INDIRECT("1:"&amp;LEN((--TRIM(RIGHT(SUBSTITUTE(LEFT(A341,_xlfn.AGGREGATE(16,6,FIND({0,1,2,3,4,5,6,7,8,9},A341,ROW(INDIRECT("1:"&amp;LEN(A341)))),1))," ",REPT(" ",LEN(A341))),LEN(A341))))))), 0), ROW(INDIRECT("1:"&amp;LEN((--TRIM(RIGHT(SUBSTITUTE(LEFT(A341,_xlfn.AGGREGATE(16,6,FIND({0,1,2,3,4,5,6,7,8,9},A341,ROW(INDIRECT("1:"&amp;LEN(A341)))),1))," ",REPT(" ",LEN(A341))),LEN(A341))))))))+1, 1) * 10^ROW(INDIRECT("1:"&amp;LEN((--TRIM(RIGHT(SUBSTITUTE(LEFT(A341,_xlfn.AGGREGATE(16,6,FIND({0,1,2,3,4,5,6,7,8,9},A341,ROW(INDIRECT("1:"&amp;LEN(A341)))),1))," ",REPT(" ",LEN(A341))),LEN(A341)))))))/10))*100+1</f>
        <v>501</v>
      </c>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hidden="1" customHeight="1" x14ac:dyDescent="0.25">
      <c r="A343" s="82" t="str">
        <f t="shared" ref="A343:A349" ca="1" si="126">T343</f>
        <v>202 &amp; 502</v>
      </c>
      <c r="B343" s="82"/>
      <c r="C343" s="54"/>
      <c r="D343" s="54"/>
      <c r="E343" s="33"/>
      <c r="F343" s="6"/>
      <c r="G343" s="6"/>
      <c r="H343" s="6">
        <f t="shared" ref="H343:H349" si="127">E343+F343+(IF(G343&lt;101,G343,IF(G343&lt;201,G343/2,IF(G343&lt;=301,G343/3,G343/4))))</f>
        <v>0</v>
      </c>
      <c r="I343" s="1"/>
      <c r="J343" s="1"/>
      <c r="K343" s="1"/>
      <c r="L343" s="1"/>
      <c r="M343" s="1"/>
      <c r="N343" s="1"/>
      <c r="O343" s="1"/>
      <c r="P343" s="1"/>
      <c r="Q343" s="1"/>
      <c r="R343" s="1"/>
      <c r="S343" s="1"/>
      <c r="T343" s="23" t="str">
        <f t="shared" ref="T343:T349" ca="1" si="128">U343&amp;""&amp;" &amp; "&amp;""&amp;V343</f>
        <v>202 &amp; 502</v>
      </c>
      <c r="U343" s="23">
        <f ca="1">U342+1</f>
        <v>202</v>
      </c>
      <c r="V343" s="23">
        <f ca="1">V342+1</f>
        <v>502</v>
      </c>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hidden="1" customHeight="1" x14ac:dyDescent="0.25">
      <c r="A344" s="82" t="str">
        <f t="shared" ca="1" si="126"/>
        <v>203 &amp; 503</v>
      </c>
      <c r="B344" s="82"/>
      <c r="C344" s="54"/>
      <c r="D344" s="54"/>
      <c r="E344" s="33"/>
      <c r="F344" s="6"/>
      <c r="G344" s="6"/>
      <c r="H344" s="6">
        <f t="shared" si="127"/>
        <v>0</v>
      </c>
      <c r="I344" s="1"/>
      <c r="J344" s="1"/>
      <c r="K344" s="1"/>
      <c r="L344" s="1"/>
      <c r="M344" s="1"/>
      <c r="N344" s="1"/>
      <c r="O344" s="1"/>
      <c r="P344" s="1"/>
      <c r="Q344" s="1"/>
      <c r="R344" s="1"/>
      <c r="S344" s="1"/>
      <c r="T344" s="23" t="str">
        <f t="shared" ca="1" si="128"/>
        <v>203 &amp; 503</v>
      </c>
      <c r="U344" s="23">
        <f t="shared" ref="U344:U349" ca="1" si="129">U343+1</f>
        <v>203</v>
      </c>
      <c r="V344" s="23">
        <f t="shared" ref="V344:V349" ca="1" si="130">V343+1</f>
        <v>503</v>
      </c>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hidden="1" customHeight="1" x14ac:dyDescent="0.25">
      <c r="A345" s="82" t="str">
        <f t="shared" ca="1" si="126"/>
        <v>204 &amp; 504</v>
      </c>
      <c r="B345" s="82"/>
      <c r="C345" s="54"/>
      <c r="D345" s="54"/>
      <c r="E345" s="33"/>
      <c r="F345" s="6"/>
      <c r="G345" s="6"/>
      <c r="H345" s="6">
        <f t="shared" si="127"/>
        <v>0</v>
      </c>
      <c r="I345" s="1"/>
      <c r="J345" s="1"/>
      <c r="K345" s="1"/>
      <c r="L345" s="1"/>
      <c r="M345" s="1"/>
      <c r="N345" s="1"/>
      <c r="O345" s="1"/>
      <c r="P345" s="1"/>
      <c r="Q345" s="1"/>
      <c r="R345" s="1"/>
      <c r="S345" s="1"/>
      <c r="T345" s="23" t="str">
        <f t="shared" ca="1" si="128"/>
        <v>204 &amp; 504</v>
      </c>
      <c r="U345" s="23">
        <f t="shared" ca="1" si="129"/>
        <v>204</v>
      </c>
      <c r="V345" s="23">
        <f t="shared" ca="1" si="130"/>
        <v>504</v>
      </c>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hidden="1" customHeight="1" x14ac:dyDescent="0.25">
      <c r="A346" s="82" t="str">
        <f t="shared" ca="1" si="126"/>
        <v>205 &amp; 505</v>
      </c>
      <c r="B346" s="82"/>
      <c r="C346" s="54"/>
      <c r="D346" s="54"/>
      <c r="E346" s="33"/>
      <c r="F346" s="6"/>
      <c r="G346" s="6"/>
      <c r="H346" s="6">
        <f t="shared" si="127"/>
        <v>0</v>
      </c>
      <c r="I346" s="1"/>
      <c r="J346" s="1"/>
      <c r="K346" s="1"/>
      <c r="L346" s="1"/>
      <c r="M346" s="1"/>
      <c r="N346" s="1"/>
      <c r="O346" s="1"/>
      <c r="P346" s="1"/>
      <c r="Q346" s="1"/>
      <c r="R346" s="1"/>
      <c r="S346" s="1"/>
      <c r="T346" s="23" t="str">
        <f t="shared" ca="1" si="128"/>
        <v>205 &amp; 505</v>
      </c>
      <c r="U346" s="23">
        <f t="shared" ca="1" si="129"/>
        <v>205</v>
      </c>
      <c r="V346" s="23">
        <f t="shared" ca="1" si="130"/>
        <v>505</v>
      </c>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hidden="1" customHeight="1" x14ac:dyDescent="0.25">
      <c r="A347" s="82" t="str">
        <f t="shared" ca="1" si="126"/>
        <v>206 &amp; 506</v>
      </c>
      <c r="B347" s="82"/>
      <c r="C347" s="54"/>
      <c r="D347" s="54"/>
      <c r="E347" s="33"/>
      <c r="F347" s="6"/>
      <c r="G347" s="6"/>
      <c r="H347" s="6">
        <f t="shared" si="127"/>
        <v>0</v>
      </c>
      <c r="I347" s="1"/>
      <c r="J347" s="1"/>
      <c r="K347" s="1"/>
      <c r="L347" s="1"/>
      <c r="M347" s="1"/>
      <c r="N347" s="1"/>
      <c r="O347" s="1"/>
      <c r="P347" s="1"/>
      <c r="Q347" s="1"/>
      <c r="R347" s="1"/>
      <c r="S347" s="1"/>
      <c r="T347" s="23" t="str">
        <f t="shared" ca="1" si="128"/>
        <v>206 &amp; 506</v>
      </c>
      <c r="U347" s="23">
        <f t="shared" ca="1" si="129"/>
        <v>206</v>
      </c>
      <c r="V347" s="23">
        <f t="shared" ca="1" si="130"/>
        <v>506</v>
      </c>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hidden="1" customHeight="1" x14ac:dyDescent="0.25">
      <c r="A348" s="82" t="str">
        <f t="shared" ca="1" si="126"/>
        <v>207 &amp; 507</v>
      </c>
      <c r="B348" s="82"/>
      <c r="C348" s="54"/>
      <c r="D348" s="54"/>
      <c r="E348" s="33"/>
      <c r="F348" s="6"/>
      <c r="G348" s="6"/>
      <c r="H348" s="6">
        <f t="shared" si="127"/>
        <v>0</v>
      </c>
      <c r="I348" s="1"/>
      <c r="J348" s="1"/>
      <c r="K348" s="1"/>
      <c r="L348" s="1"/>
      <c r="M348" s="1"/>
      <c r="N348" s="1"/>
      <c r="O348" s="1"/>
      <c r="P348" s="1"/>
      <c r="Q348" s="1"/>
      <c r="R348" s="1"/>
      <c r="S348" s="1"/>
      <c r="T348" s="23" t="str">
        <f t="shared" ca="1" si="128"/>
        <v>207 &amp; 507</v>
      </c>
      <c r="U348" s="23">
        <f t="shared" ca="1" si="129"/>
        <v>207</v>
      </c>
      <c r="V348" s="23">
        <f t="shared" ca="1" si="130"/>
        <v>507</v>
      </c>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hidden="1" customHeight="1" x14ac:dyDescent="0.25">
      <c r="A349" s="82" t="str">
        <f t="shared" ca="1" si="126"/>
        <v>208 &amp; 508</v>
      </c>
      <c r="B349" s="82"/>
      <c r="C349" s="54"/>
      <c r="D349" s="54"/>
      <c r="E349" s="33"/>
      <c r="F349" s="6"/>
      <c r="G349" s="6"/>
      <c r="H349" s="6">
        <f t="shared" si="127"/>
        <v>0</v>
      </c>
      <c r="I349" s="1"/>
      <c r="J349" s="1"/>
      <c r="K349" s="1"/>
      <c r="L349" s="1"/>
      <c r="M349" s="1"/>
      <c r="N349" s="1"/>
      <c r="O349" s="1"/>
      <c r="P349" s="1"/>
      <c r="Q349" s="1"/>
      <c r="R349" s="1"/>
      <c r="S349" s="1"/>
      <c r="T349" s="23" t="str">
        <f t="shared" ca="1" si="128"/>
        <v>208 &amp; 508</v>
      </c>
      <c r="U349" s="23">
        <f t="shared" ca="1" si="129"/>
        <v>208</v>
      </c>
      <c r="V349" s="23">
        <f t="shared" ca="1" si="130"/>
        <v>508</v>
      </c>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ht="20.25" x14ac:dyDescent="0.25">
      <c r="A350" s="134" t="s">
        <v>68</v>
      </c>
      <c r="B350" s="134"/>
      <c r="C350" s="134"/>
      <c r="D350" s="134"/>
      <c r="E350" s="134"/>
      <c r="F350" s="134"/>
      <c r="G350" s="134"/>
      <c r="H350" s="134"/>
    </row>
    <row r="351" spans="1:150 16226:16383" ht="20.25" x14ac:dyDescent="0.25">
      <c r="A351" s="2" t="s">
        <v>239</v>
      </c>
      <c r="B351" s="98" t="s">
        <v>424</v>
      </c>
      <c r="C351" s="99"/>
      <c r="D351" s="99"/>
      <c r="E351" s="99"/>
      <c r="F351" s="99"/>
      <c r="G351" s="99"/>
      <c r="H351" s="100"/>
      <c r="I351" s="1" t="s">
        <v>423</v>
      </c>
    </row>
    <row r="352" spans="1:150 16226:16383" ht="20.25" x14ac:dyDescent="0.25">
      <c r="A352" s="2" t="s">
        <v>239</v>
      </c>
      <c r="B352" s="98" t="s">
        <v>240</v>
      </c>
      <c r="C352" s="99"/>
      <c r="D352" s="99"/>
      <c r="E352" s="99"/>
      <c r="F352" s="99"/>
      <c r="G352" s="99"/>
      <c r="H352" s="100"/>
    </row>
    <row r="353" spans="1:8" ht="20.25" x14ac:dyDescent="0.25">
      <c r="A353" s="2" t="s">
        <v>239</v>
      </c>
      <c r="B353" s="98" t="s">
        <v>404</v>
      </c>
      <c r="C353" s="99"/>
      <c r="D353" s="99"/>
      <c r="E353" s="99"/>
      <c r="F353" s="99"/>
      <c r="G353" s="99"/>
      <c r="H353" s="100"/>
    </row>
    <row r="354" spans="1:8" ht="20.25" x14ac:dyDescent="0.25">
      <c r="A354" s="2" t="s">
        <v>239</v>
      </c>
      <c r="B354" s="98" t="s">
        <v>241</v>
      </c>
      <c r="C354" s="99"/>
      <c r="D354" s="99"/>
      <c r="E354" s="99"/>
      <c r="F354" s="99"/>
      <c r="G354" s="99"/>
      <c r="H354" s="100"/>
    </row>
    <row r="355" spans="1:8" ht="20.25" x14ac:dyDescent="0.25">
      <c r="A355" s="2" t="s">
        <v>239</v>
      </c>
      <c r="B355" s="98" t="s">
        <v>242</v>
      </c>
      <c r="C355" s="99"/>
      <c r="D355" s="99"/>
      <c r="E355" s="99"/>
      <c r="F355" s="99"/>
      <c r="G355" s="99"/>
      <c r="H355" s="100"/>
    </row>
    <row r="356" spans="1:8" ht="46.5" hidden="1" customHeight="1" x14ac:dyDescent="0.25">
      <c r="A356" s="2" t="s">
        <v>239</v>
      </c>
      <c r="B356" s="123" t="s">
        <v>243</v>
      </c>
      <c r="C356" s="99"/>
      <c r="D356" s="99"/>
      <c r="E356" s="99"/>
      <c r="F356" s="99"/>
      <c r="G356" s="99"/>
      <c r="H356" s="100"/>
    </row>
    <row r="357" spans="1:8" ht="20.25" x14ac:dyDescent="0.25">
      <c r="A357" s="2" t="s">
        <v>239</v>
      </c>
      <c r="B357" s="98" t="s">
        <v>413</v>
      </c>
      <c r="C357" s="99"/>
      <c r="D357" s="99"/>
      <c r="E357" s="99"/>
      <c r="F357" s="99"/>
      <c r="G357" s="99"/>
      <c r="H357" s="100"/>
    </row>
    <row r="358" spans="1:8" ht="20.25" x14ac:dyDescent="0.25">
      <c r="A358" s="2" t="s">
        <v>239</v>
      </c>
      <c r="B358" s="98" t="s">
        <v>405</v>
      </c>
      <c r="C358" s="99"/>
      <c r="D358" s="99"/>
      <c r="E358" s="99"/>
      <c r="F358" s="99"/>
      <c r="G358" s="99"/>
      <c r="H358" s="100"/>
    </row>
    <row r="359" spans="1:8" ht="20.25" hidden="1" customHeight="1" x14ac:dyDescent="0.25">
      <c r="A359" s="2" t="s">
        <v>239</v>
      </c>
      <c r="B359" s="123" t="s">
        <v>243</v>
      </c>
      <c r="C359" s="99"/>
      <c r="D359" s="99"/>
      <c r="E359" s="99"/>
      <c r="F359" s="99"/>
      <c r="G359" s="99"/>
      <c r="H359" s="100"/>
    </row>
    <row r="360" spans="1:8" ht="20.25" x14ac:dyDescent="0.25">
      <c r="A360" s="128" t="s">
        <v>74</v>
      </c>
      <c r="B360" s="128"/>
      <c r="C360" s="128"/>
      <c r="D360" s="128"/>
      <c r="E360" s="128"/>
      <c r="F360" s="128"/>
      <c r="G360" s="128"/>
      <c r="H360" s="128"/>
    </row>
    <row r="361" spans="1:8" ht="20.25" x14ac:dyDescent="0.25">
      <c r="A361" s="97" t="s">
        <v>69</v>
      </c>
      <c r="B361" s="97"/>
      <c r="C361" s="97"/>
      <c r="D361" s="138" t="str">
        <f>C3</f>
        <v>L and T Realty Evara Heights T1, T2 &amp; T4</v>
      </c>
      <c r="E361" s="99"/>
      <c r="F361" s="99"/>
      <c r="G361" s="99"/>
      <c r="H361" s="100"/>
    </row>
    <row r="362" spans="1:8" ht="60.75" customHeight="1" x14ac:dyDescent="0.25">
      <c r="A362" s="97" t="s">
        <v>105</v>
      </c>
      <c r="B362" s="97"/>
      <c r="C362" s="97"/>
      <c r="D362" s="98" t="str">
        <f>C9</f>
        <v>L&amp;T Evara Heights T1, T2, T4. S . No. 502/A(pt), 67(pt), 83/1 (pt), 83/3 (pt) 83/4, 84/1 to 7, 120/2(pt) and 121 (pt) of Village Panchpakhadi at Thane (M Corp.), Thane, Thane, 400606.</v>
      </c>
      <c r="E362" s="99"/>
      <c r="F362" s="99"/>
      <c r="G362" s="99"/>
      <c r="H362" s="100"/>
    </row>
    <row r="363" spans="1:8" ht="20.25" customHeight="1" x14ac:dyDescent="0.25">
      <c r="A363" s="139" t="s">
        <v>111</v>
      </c>
      <c r="B363" s="139"/>
      <c r="C363" s="139"/>
      <c r="D363" s="138" t="str">
        <f>G3</f>
        <v>05/07/2025 @11:06 AM</v>
      </c>
      <c r="E363" s="99"/>
      <c r="F363" s="99"/>
      <c r="G363" s="99"/>
      <c r="H363" s="100"/>
    </row>
    <row r="364" spans="1:8" ht="20.25" x14ac:dyDescent="0.25">
      <c r="A364" s="10"/>
      <c r="B364" s="11"/>
      <c r="C364" s="11"/>
      <c r="D364" s="11"/>
      <c r="E364" s="11"/>
      <c r="F364" s="11"/>
      <c r="G364" s="11"/>
      <c r="H364" s="7"/>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2"/>
      <c r="B372" s="13"/>
      <c r="C372" s="13"/>
      <c r="D372" s="13"/>
      <c r="E372" s="13"/>
      <c r="F372" s="13"/>
      <c r="G372" s="13"/>
      <c r="H372" s="8"/>
    </row>
    <row r="373" spans="1:8" ht="20.25" x14ac:dyDescent="0.25">
      <c r="A373" s="12"/>
      <c r="B373" s="13"/>
      <c r="C373" s="13"/>
      <c r="D373" s="13"/>
      <c r="E373" s="13"/>
      <c r="F373" s="13"/>
      <c r="G373" s="13"/>
      <c r="H373" s="8"/>
    </row>
    <row r="374" spans="1:8" ht="20.25" x14ac:dyDescent="0.25">
      <c r="A374" s="12"/>
      <c r="B374" s="13"/>
      <c r="C374" s="13"/>
      <c r="D374" s="13"/>
      <c r="E374" s="13"/>
      <c r="F374" s="13"/>
      <c r="G374" s="13"/>
      <c r="H374" s="8"/>
    </row>
    <row r="375" spans="1:8" ht="20.25" x14ac:dyDescent="0.25">
      <c r="A375" s="12"/>
      <c r="B375" s="13"/>
      <c r="C375" s="13"/>
      <c r="D375" s="13"/>
      <c r="E375" s="13"/>
      <c r="F375" s="13"/>
      <c r="G375" s="13"/>
      <c r="H375" s="8"/>
    </row>
    <row r="376" spans="1:8" ht="20.25" x14ac:dyDescent="0.25">
      <c r="A376" s="12"/>
      <c r="B376" s="13"/>
      <c r="C376" s="13"/>
      <c r="D376" s="13"/>
      <c r="E376" s="13"/>
      <c r="F376" s="13"/>
      <c r="G376" s="13"/>
      <c r="H376" s="8"/>
    </row>
    <row r="377" spans="1:8" ht="20.25" x14ac:dyDescent="0.25">
      <c r="A377" s="12"/>
      <c r="B377" s="13"/>
      <c r="C377" s="13"/>
      <c r="D377" s="13"/>
      <c r="E377" s="13"/>
      <c r="F377" s="13"/>
      <c r="G377" s="13"/>
      <c r="H377" s="8"/>
    </row>
    <row r="378" spans="1:8" ht="20.25" x14ac:dyDescent="0.25">
      <c r="A378" s="12"/>
      <c r="B378" s="13"/>
      <c r="C378" s="13"/>
      <c r="D378" s="13"/>
      <c r="E378" s="13"/>
      <c r="F378" s="13"/>
      <c r="G378" s="13"/>
      <c r="H378" s="8"/>
    </row>
    <row r="379" spans="1:8" ht="20.25" x14ac:dyDescent="0.25">
      <c r="A379" s="12"/>
      <c r="B379" s="13"/>
      <c r="C379" s="13"/>
      <c r="D379" s="13"/>
      <c r="E379" s="13"/>
      <c r="F379" s="13"/>
      <c r="G379" s="13"/>
      <c r="H379" s="8"/>
    </row>
    <row r="380" spans="1:8" ht="20.25" x14ac:dyDescent="0.25">
      <c r="A380" s="12"/>
      <c r="B380" s="13"/>
      <c r="C380" s="13"/>
      <c r="D380" s="13"/>
      <c r="E380" s="13"/>
      <c r="F380" s="13"/>
      <c r="G380" s="13"/>
      <c r="H380" s="8"/>
    </row>
    <row r="381" spans="1:8" ht="20.25" x14ac:dyDescent="0.25">
      <c r="A381" s="12"/>
      <c r="B381" s="13"/>
      <c r="C381" s="13"/>
      <c r="D381" s="13"/>
      <c r="E381" s="13"/>
      <c r="F381" s="13"/>
      <c r="G381" s="13"/>
      <c r="H381" s="8"/>
    </row>
    <row r="382" spans="1:8" ht="20.25" x14ac:dyDescent="0.25">
      <c r="A382" s="12"/>
      <c r="B382" s="13"/>
      <c r="C382" s="13"/>
      <c r="D382" s="13"/>
      <c r="E382" s="13"/>
      <c r="F382" s="13"/>
      <c r="G382" s="13"/>
      <c r="H382" s="8"/>
    </row>
    <row r="383" spans="1:8" ht="20.25" x14ac:dyDescent="0.25">
      <c r="A383" s="12"/>
      <c r="B383" s="13"/>
      <c r="C383" s="13"/>
      <c r="D383" s="13"/>
      <c r="E383" s="13"/>
      <c r="F383" s="13"/>
      <c r="G383" s="13"/>
      <c r="H383" s="8"/>
    </row>
    <row r="384" spans="1:8" ht="20.25" x14ac:dyDescent="0.25">
      <c r="A384" s="12"/>
      <c r="B384" s="13"/>
      <c r="C384" s="13"/>
      <c r="D384" s="13"/>
      <c r="E384" s="13"/>
      <c r="F384" s="13"/>
      <c r="G384" s="13"/>
      <c r="H384" s="8"/>
    </row>
    <row r="385" spans="1:8" ht="20.25" x14ac:dyDescent="0.25">
      <c r="A385" s="12"/>
      <c r="B385" s="13"/>
      <c r="C385" s="13"/>
      <c r="D385" s="13"/>
      <c r="E385" s="13"/>
      <c r="F385" s="13"/>
      <c r="G385" s="13"/>
      <c r="H385" s="8"/>
    </row>
    <row r="386" spans="1:8" ht="20.25" x14ac:dyDescent="0.25">
      <c r="A386" s="12"/>
      <c r="B386" s="13"/>
      <c r="C386" s="13"/>
      <c r="D386" s="13"/>
      <c r="E386" s="13"/>
      <c r="F386" s="13"/>
      <c r="G386" s="13"/>
      <c r="H386" s="8"/>
    </row>
    <row r="387" spans="1:8" ht="20.25" x14ac:dyDescent="0.25">
      <c r="A387" s="12"/>
      <c r="B387" s="13"/>
      <c r="C387" s="13"/>
      <c r="D387" s="13"/>
      <c r="E387" s="13"/>
      <c r="F387" s="13"/>
      <c r="G387" s="13"/>
      <c r="H387" s="8"/>
    </row>
    <row r="388" spans="1:8" ht="20.25" x14ac:dyDescent="0.25">
      <c r="A388" s="12"/>
      <c r="B388" s="13"/>
      <c r="C388" s="13"/>
      <c r="D388" s="13"/>
      <c r="E388" s="13"/>
      <c r="F388" s="13"/>
      <c r="G388" s="13"/>
      <c r="H388" s="8"/>
    </row>
    <row r="389" spans="1:8" ht="20.25" x14ac:dyDescent="0.25">
      <c r="A389" s="12"/>
      <c r="B389" s="13"/>
      <c r="C389" s="13"/>
      <c r="D389" s="13"/>
      <c r="E389" s="13"/>
      <c r="F389" s="13"/>
      <c r="G389" s="13"/>
      <c r="H389" s="8"/>
    </row>
    <row r="390" spans="1:8" ht="20.25" x14ac:dyDescent="0.25">
      <c r="A390" s="12"/>
      <c r="B390" s="13"/>
      <c r="C390" s="13"/>
      <c r="D390" s="13"/>
      <c r="E390" s="13"/>
      <c r="F390" s="13"/>
      <c r="G390" s="13"/>
      <c r="H390" s="8"/>
    </row>
    <row r="391" spans="1:8" ht="20.25" x14ac:dyDescent="0.25">
      <c r="A391" s="12"/>
      <c r="B391" s="13"/>
      <c r="C391" s="13"/>
      <c r="D391" s="13"/>
      <c r="E391" s="13"/>
      <c r="F391" s="13"/>
      <c r="G391" s="13"/>
      <c r="H391" s="8"/>
    </row>
    <row r="392" spans="1:8" ht="20.25" x14ac:dyDescent="0.25">
      <c r="A392" s="12"/>
      <c r="B392" s="13"/>
      <c r="C392" s="13"/>
      <c r="D392" s="13"/>
      <c r="E392" s="13"/>
      <c r="F392" s="13"/>
      <c r="G392" s="13"/>
      <c r="H392" s="8"/>
    </row>
    <row r="393" spans="1:8" ht="20.25" x14ac:dyDescent="0.25">
      <c r="A393" s="12"/>
      <c r="B393" s="13"/>
      <c r="C393" s="13"/>
      <c r="D393" s="13"/>
      <c r="E393" s="13"/>
      <c r="F393" s="13"/>
      <c r="G393" s="13"/>
      <c r="H393" s="8"/>
    </row>
    <row r="394" spans="1:8" ht="20.25" x14ac:dyDescent="0.25">
      <c r="A394" s="12"/>
      <c r="B394" s="13"/>
      <c r="C394" s="13"/>
      <c r="D394" s="13"/>
      <c r="E394" s="13"/>
      <c r="F394" s="13"/>
      <c r="G394" s="13"/>
      <c r="H394" s="8"/>
    </row>
    <row r="395" spans="1:8" ht="20.25" x14ac:dyDescent="0.25">
      <c r="A395" s="12"/>
      <c r="B395" s="13"/>
      <c r="C395" s="13"/>
      <c r="D395" s="13"/>
      <c r="E395" s="13"/>
      <c r="F395" s="13"/>
      <c r="G395" s="13"/>
      <c r="H395" s="8"/>
    </row>
    <row r="396" spans="1:8" ht="20.25" x14ac:dyDescent="0.25">
      <c r="A396" s="12"/>
      <c r="B396" s="13"/>
      <c r="C396" s="13"/>
      <c r="D396" s="13"/>
      <c r="E396" s="13"/>
      <c r="F396" s="13"/>
      <c r="G396" s="13"/>
      <c r="H396" s="8"/>
    </row>
    <row r="397" spans="1:8" ht="20.25" x14ac:dyDescent="0.25">
      <c r="A397" s="12"/>
      <c r="B397" s="13"/>
      <c r="C397" s="13"/>
      <c r="D397" s="13"/>
      <c r="E397" s="13"/>
      <c r="F397" s="13"/>
      <c r="G397" s="13"/>
      <c r="H397" s="8"/>
    </row>
    <row r="398" spans="1:8" ht="20.25" x14ac:dyDescent="0.25">
      <c r="A398" s="12"/>
      <c r="B398" s="13"/>
      <c r="C398" s="13"/>
      <c r="D398" s="13"/>
      <c r="E398" s="13"/>
      <c r="F398" s="13"/>
      <c r="G398" s="13"/>
      <c r="H398" s="8"/>
    </row>
    <row r="399" spans="1:8" ht="20.25" x14ac:dyDescent="0.25">
      <c r="A399" s="12"/>
      <c r="B399" s="13"/>
      <c r="C399" s="13"/>
      <c r="D399" s="13"/>
      <c r="E399" s="13"/>
      <c r="F399" s="13"/>
      <c r="G399" s="13"/>
      <c r="H399" s="8"/>
    </row>
    <row r="400" spans="1:8" ht="20.25" x14ac:dyDescent="0.25">
      <c r="A400" s="12"/>
      <c r="B400" s="13"/>
      <c r="C400" s="13"/>
      <c r="D400" s="13"/>
      <c r="E400" s="13"/>
      <c r="F400" s="13"/>
      <c r="G400" s="13"/>
      <c r="H400" s="8"/>
    </row>
    <row r="401" spans="1:8" ht="20.25" hidden="1" x14ac:dyDescent="0.25">
      <c r="A401" s="12"/>
      <c r="B401" s="13"/>
      <c r="C401" s="13"/>
      <c r="D401" s="13"/>
      <c r="E401" s="13"/>
      <c r="F401" s="13"/>
      <c r="G401" s="13"/>
      <c r="H401" s="8"/>
    </row>
    <row r="402" spans="1:8" ht="20.25" hidden="1" x14ac:dyDescent="0.25">
      <c r="A402" s="12"/>
      <c r="B402" s="13"/>
      <c r="C402" s="13"/>
      <c r="D402" s="13"/>
      <c r="E402" s="13"/>
      <c r="F402" s="13"/>
      <c r="G402" s="13"/>
      <c r="H402" s="8"/>
    </row>
    <row r="403" spans="1:8" ht="20.25" hidden="1" x14ac:dyDescent="0.25">
      <c r="A403" s="12"/>
      <c r="B403" s="13"/>
      <c r="C403" s="13"/>
      <c r="D403" s="13"/>
      <c r="E403" s="13"/>
      <c r="F403" s="13"/>
      <c r="G403" s="13"/>
      <c r="H403" s="8"/>
    </row>
    <row r="404" spans="1:8" ht="20.25" hidden="1" x14ac:dyDescent="0.25">
      <c r="A404" s="12"/>
      <c r="B404" s="13"/>
      <c r="C404" s="13"/>
      <c r="D404" s="13"/>
      <c r="E404" s="13"/>
      <c r="F404" s="13"/>
      <c r="G404" s="13"/>
      <c r="H404" s="8"/>
    </row>
    <row r="405" spans="1:8" ht="20.25" hidden="1" x14ac:dyDescent="0.25">
      <c r="A405" s="12"/>
      <c r="B405" s="13"/>
      <c r="C405" s="13"/>
      <c r="D405" s="13"/>
      <c r="E405" s="13"/>
      <c r="F405" s="13"/>
      <c r="G405" s="13"/>
      <c r="H405" s="8"/>
    </row>
    <row r="406" spans="1:8" ht="20.25" x14ac:dyDescent="0.25">
      <c r="A406" s="12"/>
      <c r="B406" s="13"/>
      <c r="C406" s="13"/>
      <c r="D406" s="13"/>
      <c r="E406" s="13"/>
      <c r="F406" s="13"/>
      <c r="G406" s="13"/>
      <c r="H406" s="8"/>
    </row>
    <row r="407" spans="1:8" ht="20.25" x14ac:dyDescent="0.25">
      <c r="A407" s="14"/>
      <c r="B407" s="15"/>
      <c r="C407" s="15"/>
      <c r="D407" s="15"/>
      <c r="E407" s="15"/>
      <c r="F407" s="15"/>
      <c r="G407" s="15"/>
      <c r="H407" s="9"/>
    </row>
    <row r="408" spans="1:8" ht="20.25" x14ac:dyDescent="0.25">
      <c r="A408" s="134" t="s">
        <v>162</v>
      </c>
      <c r="B408" s="134"/>
      <c r="C408" s="134"/>
      <c r="D408" s="134"/>
      <c r="E408" s="134"/>
      <c r="F408" s="134"/>
      <c r="G408" s="134"/>
      <c r="H408" s="134"/>
    </row>
    <row r="409" spans="1:8" ht="20.25" x14ac:dyDescent="0.25">
      <c r="A409" s="10"/>
      <c r="B409" s="11"/>
      <c r="C409" s="11"/>
      <c r="D409" s="11"/>
      <c r="E409" s="11"/>
      <c r="F409" s="11"/>
      <c r="G409" s="11"/>
      <c r="H409" s="7"/>
    </row>
    <row r="410" spans="1:8" ht="20.25" x14ac:dyDescent="0.25">
      <c r="A410" s="12"/>
      <c r="B410" s="13"/>
      <c r="C410" s="13"/>
      <c r="D410" s="13"/>
      <c r="E410" s="13"/>
      <c r="F410" s="13"/>
      <c r="G410" s="13"/>
      <c r="H410" s="8"/>
    </row>
    <row r="411" spans="1:8" ht="20.25" x14ac:dyDescent="0.25">
      <c r="A411" s="12"/>
      <c r="B411" s="13"/>
      <c r="C411" s="13"/>
      <c r="D411" s="13"/>
      <c r="E411" s="13"/>
      <c r="F411" s="13"/>
      <c r="G411" s="13"/>
      <c r="H411" s="8"/>
    </row>
    <row r="412" spans="1:8" ht="20.25" x14ac:dyDescent="0.25">
      <c r="A412" s="12"/>
      <c r="B412" s="13"/>
      <c r="C412" s="13"/>
      <c r="D412" s="13"/>
      <c r="E412" s="13"/>
      <c r="F412" s="13"/>
      <c r="G412" s="13"/>
      <c r="H412" s="8"/>
    </row>
    <row r="413" spans="1:8" ht="20.25" x14ac:dyDescent="0.25">
      <c r="A413" s="12"/>
      <c r="B413" s="13"/>
      <c r="C413" s="13"/>
      <c r="D413" s="13"/>
      <c r="E413" s="13"/>
      <c r="F413" s="13"/>
      <c r="G413" s="13"/>
      <c r="H413" s="8"/>
    </row>
    <row r="414" spans="1:8" ht="20.25" x14ac:dyDescent="0.25">
      <c r="A414" s="12"/>
      <c r="B414" s="13"/>
      <c r="C414" s="13"/>
      <c r="D414" s="13"/>
      <c r="E414" s="13"/>
      <c r="F414" s="13"/>
      <c r="G414" s="13"/>
      <c r="H414" s="8"/>
    </row>
    <row r="415" spans="1:8" ht="20.25" x14ac:dyDescent="0.25">
      <c r="A415" s="12"/>
      <c r="B415" s="13"/>
      <c r="C415" s="13"/>
      <c r="D415" s="13"/>
      <c r="E415" s="13"/>
      <c r="F415" s="13"/>
      <c r="G415" s="13"/>
      <c r="H415" s="8"/>
    </row>
    <row r="416" spans="1:8" ht="20.25" x14ac:dyDescent="0.25">
      <c r="A416" s="12"/>
      <c r="B416" s="13"/>
      <c r="C416" s="13"/>
      <c r="D416" s="13"/>
      <c r="E416" s="13"/>
      <c r="F416" s="13"/>
      <c r="G416" s="13"/>
      <c r="H416" s="8"/>
    </row>
    <row r="417" spans="1:8" ht="20.25" x14ac:dyDescent="0.25">
      <c r="A417" s="12"/>
      <c r="B417" s="13"/>
      <c r="C417" s="13"/>
      <c r="D417" s="13"/>
      <c r="E417" s="13"/>
      <c r="F417" s="13"/>
      <c r="G417" s="13"/>
      <c r="H417" s="8"/>
    </row>
    <row r="418" spans="1:8" ht="20.25" x14ac:dyDescent="0.25">
      <c r="A418" s="12"/>
      <c r="B418" s="13"/>
      <c r="C418" s="13"/>
      <c r="D418" s="13"/>
      <c r="E418" s="13"/>
      <c r="F418" s="13"/>
      <c r="G418" s="13"/>
      <c r="H418" s="8"/>
    </row>
    <row r="419" spans="1:8" ht="20.25" x14ac:dyDescent="0.25">
      <c r="A419" s="12"/>
      <c r="B419" s="13"/>
      <c r="C419" s="13"/>
      <c r="D419" s="13"/>
      <c r="E419" s="13"/>
      <c r="F419" s="13"/>
      <c r="G419" s="13"/>
      <c r="H419" s="8"/>
    </row>
    <row r="420" spans="1:8" ht="20.25" x14ac:dyDescent="0.25">
      <c r="A420" s="12"/>
      <c r="B420" s="13"/>
      <c r="C420" s="13"/>
      <c r="D420" s="13"/>
      <c r="E420" s="13"/>
      <c r="F420" s="13"/>
      <c r="G420" s="13"/>
      <c r="H420" s="8"/>
    </row>
    <row r="421" spans="1:8" ht="20.25" x14ac:dyDescent="0.25">
      <c r="A421" s="12"/>
      <c r="B421" s="13"/>
      <c r="C421" s="13"/>
      <c r="D421" s="13"/>
      <c r="E421" s="13"/>
      <c r="F421" s="13"/>
      <c r="G421" s="13"/>
      <c r="H421" s="8"/>
    </row>
    <row r="422" spans="1:8" ht="20.25" x14ac:dyDescent="0.25">
      <c r="A422" s="12"/>
      <c r="B422" s="13"/>
      <c r="C422" s="13"/>
      <c r="D422" s="13"/>
      <c r="E422" s="13"/>
      <c r="F422" s="13"/>
      <c r="G422" s="13"/>
      <c r="H422" s="8"/>
    </row>
    <row r="423" spans="1:8" ht="20.25" x14ac:dyDescent="0.25">
      <c r="A423" s="12"/>
      <c r="B423" s="13"/>
      <c r="C423" s="13"/>
      <c r="D423" s="13"/>
      <c r="E423" s="13"/>
      <c r="F423" s="13"/>
      <c r="G423" s="13"/>
      <c r="H423" s="8"/>
    </row>
    <row r="424" spans="1:8" ht="20.25" x14ac:dyDescent="0.25">
      <c r="A424" s="12"/>
      <c r="B424" s="13"/>
      <c r="C424" s="13"/>
      <c r="D424" s="13"/>
      <c r="E424" s="13"/>
      <c r="F424" s="13"/>
      <c r="G424" s="13"/>
      <c r="H424" s="8"/>
    </row>
    <row r="425" spans="1:8" ht="20.25" x14ac:dyDescent="0.25">
      <c r="A425" s="12"/>
      <c r="B425" s="13"/>
      <c r="C425" s="13"/>
      <c r="D425" s="13"/>
      <c r="E425" s="13"/>
      <c r="F425" s="13"/>
      <c r="G425" s="13"/>
      <c r="H425" s="8"/>
    </row>
    <row r="426" spans="1:8" ht="20.25" x14ac:dyDescent="0.25">
      <c r="A426" s="12"/>
      <c r="B426" s="13"/>
      <c r="C426" s="13"/>
      <c r="D426" s="13"/>
      <c r="E426" s="13"/>
      <c r="F426" s="13"/>
      <c r="G426" s="13"/>
      <c r="H426" s="8"/>
    </row>
    <row r="427" spans="1:8" ht="20.25" x14ac:dyDescent="0.25">
      <c r="A427" s="12"/>
      <c r="B427" s="13"/>
      <c r="C427" s="13"/>
      <c r="D427" s="13"/>
      <c r="E427" s="13"/>
      <c r="F427" s="13"/>
      <c r="G427" s="13"/>
      <c r="H427" s="8"/>
    </row>
    <row r="428" spans="1:8" ht="20.25" x14ac:dyDescent="0.25">
      <c r="A428" s="12"/>
      <c r="B428" s="13"/>
      <c r="C428" s="13"/>
      <c r="D428" s="13"/>
      <c r="E428" s="13"/>
      <c r="F428" s="13"/>
      <c r="G428" s="13"/>
      <c r="H428" s="8"/>
    </row>
    <row r="429" spans="1:8" ht="20.25" x14ac:dyDescent="0.25">
      <c r="A429" s="12"/>
      <c r="B429" s="13"/>
      <c r="C429" s="13"/>
      <c r="D429" s="13"/>
      <c r="E429" s="13"/>
      <c r="F429" s="13"/>
      <c r="G429" s="13"/>
      <c r="H429" s="8"/>
    </row>
    <row r="430" spans="1:8" ht="20.25" x14ac:dyDescent="0.25">
      <c r="A430" s="12"/>
      <c r="B430" s="13"/>
      <c r="C430" s="13"/>
      <c r="D430" s="13"/>
      <c r="E430" s="13"/>
      <c r="F430" s="13"/>
      <c r="G430" s="13"/>
      <c r="H430" s="8"/>
    </row>
    <row r="431" spans="1:8" ht="20.25" x14ac:dyDescent="0.25">
      <c r="A431" s="12"/>
      <c r="B431" s="13"/>
      <c r="C431" s="13"/>
      <c r="D431" s="13"/>
      <c r="E431" s="13"/>
      <c r="F431" s="13"/>
      <c r="G431" s="13"/>
      <c r="H431" s="8"/>
    </row>
    <row r="432" spans="1:8" ht="20.25" x14ac:dyDescent="0.25">
      <c r="A432" s="12"/>
      <c r="B432" s="13"/>
      <c r="C432" s="13"/>
      <c r="D432" s="13"/>
      <c r="E432" s="13"/>
      <c r="F432" s="13"/>
      <c r="G432" s="13"/>
      <c r="H432" s="8"/>
    </row>
    <row r="433" spans="1:8" ht="20.25" x14ac:dyDescent="0.25">
      <c r="A433" s="12"/>
      <c r="B433" s="13"/>
      <c r="C433" s="13"/>
      <c r="D433" s="13"/>
      <c r="E433" s="13"/>
      <c r="F433" s="13"/>
      <c r="G433" s="13"/>
      <c r="H433" s="8"/>
    </row>
    <row r="434" spans="1:8" ht="20.25" x14ac:dyDescent="0.25">
      <c r="A434" s="12"/>
      <c r="B434" s="13"/>
      <c r="C434" s="13"/>
      <c r="D434" s="13"/>
      <c r="E434" s="13"/>
      <c r="F434" s="13"/>
      <c r="G434" s="13"/>
      <c r="H434" s="8"/>
    </row>
    <row r="435" spans="1:8" ht="20.25" x14ac:dyDescent="0.25">
      <c r="A435" s="12"/>
      <c r="B435" s="13"/>
      <c r="C435" s="13"/>
      <c r="D435" s="13"/>
      <c r="E435" s="13"/>
      <c r="F435" s="13"/>
      <c r="G435" s="13"/>
      <c r="H435" s="8"/>
    </row>
    <row r="436" spans="1:8" ht="20.25" x14ac:dyDescent="0.25">
      <c r="A436" s="12"/>
      <c r="B436" s="13"/>
      <c r="C436" s="13"/>
      <c r="D436" s="13"/>
      <c r="E436" s="13"/>
      <c r="F436" s="13"/>
      <c r="G436" s="13"/>
      <c r="H436" s="8"/>
    </row>
    <row r="437" spans="1:8" ht="20.25" x14ac:dyDescent="0.25">
      <c r="A437" s="12"/>
      <c r="B437" s="13"/>
      <c r="C437" s="13"/>
      <c r="D437" s="13"/>
      <c r="E437" s="13"/>
      <c r="F437" s="13"/>
      <c r="G437" s="13"/>
      <c r="H437" s="8"/>
    </row>
    <row r="438" spans="1:8" ht="20.25" x14ac:dyDescent="0.25">
      <c r="A438" s="12"/>
      <c r="B438" s="13"/>
      <c r="C438" s="13"/>
      <c r="D438" s="13"/>
      <c r="E438" s="13"/>
      <c r="F438" s="13"/>
      <c r="G438" s="13"/>
      <c r="H438" s="8"/>
    </row>
    <row r="439" spans="1:8" ht="20.25" x14ac:dyDescent="0.25">
      <c r="A439" s="12"/>
      <c r="B439" s="13"/>
      <c r="C439" s="13"/>
      <c r="D439" s="13"/>
      <c r="E439" s="13"/>
      <c r="F439" s="13"/>
      <c r="G439" s="13"/>
      <c r="H439" s="8"/>
    </row>
    <row r="440" spans="1:8" ht="20.25" x14ac:dyDescent="0.25">
      <c r="A440" s="12"/>
      <c r="B440" s="13"/>
      <c r="C440" s="13"/>
      <c r="D440" s="13"/>
      <c r="E440" s="13"/>
      <c r="F440" s="13"/>
      <c r="G440" s="13"/>
      <c r="H440" s="8"/>
    </row>
    <row r="441" spans="1:8" ht="20.25" x14ac:dyDescent="0.25">
      <c r="A441" s="12"/>
      <c r="B441" s="13"/>
      <c r="C441" s="13"/>
      <c r="D441" s="13"/>
      <c r="E441" s="13"/>
      <c r="F441" s="13"/>
      <c r="G441" s="13"/>
      <c r="H441" s="8"/>
    </row>
    <row r="442" spans="1:8" ht="20.25" hidden="1" x14ac:dyDescent="0.25">
      <c r="A442" s="12"/>
      <c r="B442" s="13"/>
      <c r="C442" s="13"/>
      <c r="D442" s="13"/>
      <c r="E442" s="13"/>
      <c r="F442" s="13"/>
      <c r="G442" s="13"/>
      <c r="H442" s="8"/>
    </row>
    <row r="443" spans="1:8" ht="20.25" hidden="1" x14ac:dyDescent="0.25">
      <c r="A443" s="12"/>
      <c r="B443" s="13"/>
      <c r="C443" s="13"/>
      <c r="D443" s="13"/>
      <c r="E443" s="13"/>
      <c r="F443" s="13"/>
      <c r="G443" s="13"/>
      <c r="H443" s="8"/>
    </row>
    <row r="444" spans="1:8" ht="20.25" hidden="1" x14ac:dyDescent="0.25">
      <c r="A444" s="12"/>
      <c r="B444" s="13"/>
      <c r="C444" s="13"/>
      <c r="D444" s="13"/>
      <c r="E444" s="13"/>
      <c r="F444" s="13"/>
      <c r="G444" s="13"/>
      <c r="H444" s="8"/>
    </row>
    <row r="445" spans="1:8" ht="20.25" hidden="1" x14ac:dyDescent="0.25">
      <c r="A445" s="12"/>
      <c r="B445" s="13"/>
      <c r="C445" s="13"/>
      <c r="D445" s="13"/>
      <c r="E445" s="13"/>
      <c r="F445" s="13"/>
      <c r="G445" s="13"/>
      <c r="H445" s="8"/>
    </row>
    <row r="446" spans="1:8" ht="20.25" hidden="1" x14ac:dyDescent="0.25">
      <c r="A446" s="12"/>
      <c r="B446" s="13"/>
      <c r="C446" s="13"/>
      <c r="D446" s="13"/>
      <c r="E446" s="13"/>
      <c r="F446" s="13"/>
      <c r="G446" s="13"/>
      <c r="H446" s="8"/>
    </row>
    <row r="447" spans="1:8" ht="20.25" hidden="1" x14ac:dyDescent="0.25">
      <c r="A447" s="12"/>
      <c r="B447" s="13"/>
      <c r="C447" s="13"/>
      <c r="D447" s="13"/>
      <c r="E447" s="13"/>
      <c r="F447" s="13"/>
      <c r="G447" s="13"/>
      <c r="H447" s="8"/>
    </row>
    <row r="448" spans="1:8" ht="20.25" hidden="1" x14ac:dyDescent="0.25">
      <c r="A448" s="12"/>
      <c r="B448" s="13"/>
      <c r="C448" s="13"/>
      <c r="D448" s="13"/>
      <c r="E448" s="13"/>
      <c r="F448" s="13"/>
      <c r="G448" s="13"/>
      <c r="H448" s="8"/>
    </row>
    <row r="449" spans="1:8" ht="20.25" hidden="1" x14ac:dyDescent="0.25">
      <c r="A449" s="12"/>
      <c r="B449" s="13"/>
      <c r="C449" s="13"/>
      <c r="D449" s="13"/>
      <c r="E449" s="13"/>
      <c r="F449" s="13"/>
      <c r="G449" s="13"/>
      <c r="H449" s="8"/>
    </row>
    <row r="450" spans="1:8" ht="20.25" hidden="1" x14ac:dyDescent="0.25">
      <c r="A450" s="12"/>
      <c r="B450" s="13"/>
      <c r="C450" s="13"/>
      <c r="D450" s="13"/>
      <c r="E450" s="13"/>
      <c r="F450" s="13"/>
      <c r="G450" s="13"/>
      <c r="H450" s="8"/>
    </row>
    <row r="451" spans="1:8" ht="20.25" hidden="1" x14ac:dyDescent="0.25">
      <c r="A451" s="12"/>
      <c r="B451" s="13"/>
      <c r="C451" s="13"/>
      <c r="D451" s="13"/>
      <c r="E451" s="13"/>
      <c r="F451" s="13"/>
      <c r="G451" s="13"/>
      <c r="H451" s="8"/>
    </row>
    <row r="452" spans="1:8" ht="20.25" hidden="1" x14ac:dyDescent="0.25">
      <c r="A452" s="12"/>
      <c r="B452" s="13"/>
      <c r="C452" s="13"/>
      <c r="D452" s="13"/>
      <c r="E452" s="13"/>
      <c r="F452" s="13"/>
      <c r="G452" s="13"/>
      <c r="H452" s="8"/>
    </row>
    <row r="453" spans="1:8" ht="20.25" hidden="1" x14ac:dyDescent="0.25">
      <c r="A453" s="12"/>
      <c r="B453" s="13"/>
      <c r="C453" s="13"/>
      <c r="D453" s="13"/>
      <c r="E453" s="13"/>
      <c r="F453" s="13"/>
      <c r="G453" s="13"/>
      <c r="H453" s="8"/>
    </row>
    <row r="454" spans="1:8" ht="20.25" hidden="1" x14ac:dyDescent="0.25">
      <c r="A454" s="12"/>
      <c r="B454" s="13"/>
      <c r="C454" s="13"/>
      <c r="D454" s="13"/>
      <c r="E454" s="13"/>
      <c r="F454" s="13"/>
      <c r="G454" s="13"/>
      <c r="H454" s="8"/>
    </row>
    <row r="455" spans="1:8" ht="20.25" hidden="1" x14ac:dyDescent="0.25">
      <c r="A455" s="12"/>
      <c r="B455" s="13"/>
      <c r="C455" s="13"/>
      <c r="D455" s="13"/>
      <c r="E455" s="13"/>
      <c r="F455" s="13"/>
      <c r="G455" s="13"/>
      <c r="H455" s="8"/>
    </row>
    <row r="456" spans="1:8" ht="20.25" x14ac:dyDescent="0.25">
      <c r="A456" s="12"/>
      <c r="B456" s="13"/>
      <c r="C456" s="13"/>
      <c r="D456" s="13"/>
      <c r="E456" s="13"/>
      <c r="F456" s="13"/>
      <c r="G456" s="13"/>
      <c r="H456" s="8"/>
    </row>
    <row r="457" spans="1:8" ht="20.25" x14ac:dyDescent="0.25">
      <c r="A457" s="14"/>
      <c r="B457" s="15"/>
      <c r="C457" s="15"/>
      <c r="D457" s="15"/>
      <c r="E457" s="15"/>
      <c r="F457" s="15"/>
      <c r="G457" s="15"/>
      <c r="H457" s="9"/>
    </row>
    <row r="458" spans="1:8" ht="20.25" x14ac:dyDescent="0.25">
      <c r="A458" s="135" t="s">
        <v>75</v>
      </c>
      <c r="B458" s="136"/>
      <c r="C458" s="136"/>
      <c r="D458" s="136"/>
      <c r="E458" s="136"/>
      <c r="F458" s="136"/>
      <c r="G458" s="136"/>
      <c r="H458" s="137"/>
    </row>
    <row r="459" spans="1:8" ht="20.25" x14ac:dyDescent="0.25">
      <c r="A459" s="10"/>
      <c r="B459" s="11"/>
      <c r="C459" s="11"/>
      <c r="D459" s="11"/>
      <c r="E459" s="11"/>
      <c r="F459" s="11"/>
      <c r="G459" s="11"/>
      <c r="H459" s="7"/>
    </row>
    <row r="460" spans="1:8" ht="20.25" x14ac:dyDescent="0.25">
      <c r="A460" s="12"/>
      <c r="B460" s="13"/>
      <c r="C460" s="13"/>
      <c r="D460" s="13"/>
      <c r="E460" s="13"/>
      <c r="F460" s="13"/>
      <c r="G460" s="13"/>
      <c r="H460" s="8"/>
    </row>
    <row r="461" spans="1:8" ht="20.25" x14ac:dyDescent="0.25">
      <c r="A461" s="12"/>
      <c r="B461" s="13"/>
      <c r="C461" s="13"/>
      <c r="D461" s="13"/>
      <c r="E461" s="13"/>
      <c r="F461" s="13"/>
      <c r="G461" s="13"/>
      <c r="H461" s="8"/>
    </row>
    <row r="462" spans="1:8" ht="20.25" x14ac:dyDescent="0.25">
      <c r="A462" s="12"/>
      <c r="B462" s="13"/>
      <c r="C462" s="13"/>
      <c r="D462" s="13"/>
      <c r="E462" s="13"/>
      <c r="F462" s="13"/>
      <c r="G462" s="13"/>
      <c r="H462" s="8"/>
    </row>
    <row r="463" spans="1:8" ht="20.25" x14ac:dyDescent="0.25">
      <c r="A463" s="12"/>
      <c r="B463" s="13"/>
      <c r="C463" s="13"/>
      <c r="D463" s="13"/>
      <c r="E463" s="13"/>
      <c r="F463" s="13"/>
      <c r="G463" s="13"/>
      <c r="H463" s="8"/>
    </row>
    <row r="464" spans="1:8" ht="20.25" x14ac:dyDescent="0.25">
      <c r="A464" s="12"/>
      <c r="B464" s="13"/>
      <c r="C464" s="13"/>
      <c r="D464" s="13"/>
      <c r="E464" s="13"/>
      <c r="F464" s="13"/>
      <c r="G464" s="13"/>
      <c r="H464" s="8"/>
    </row>
    <row r="465" spans="1:8" ht="20.25" x14ac:dyDescent="0.25">
      <c r="A465" s="12"/>
      <c r="B465" s="13"/>
      <c r="C465" s="13"/>
      <c r="D465" s="13"/>
      <c r="E465" s="13"/>
      <c r="F465" s="13"/>
      <c r="G465" s="13"/>
      <c r="H465" s="8"/>
    </row>
    <row r="466" spans="1:8" ht="20.25" x14ac:dyDescent="0.25">
      <c r="A466" s="12"/>
      <c r="B466" s="13"/>
      <c r="C466" s="13"/>
      <c r="D466" s="13"/>
      <c r="E466" s="13"/>
      <c r="F466" s="13"/>
      <c r="G466" s="13"/>
      <c r="H466" s="8"/>
    </row>
    <row r="467" spans="1:8" ht="20.25" x14ac:dyDescent="0.25">
      <c r="A467" s="12"/>
      <c r="B467" s="13"/>
      <c r="C467" s="13"/>
      <c r="D467" s="13"/>
      <c r="E467" s="13"/>
      <c r="F467" s="13"/>
      <c r="G467" s="13"/>
      <c r="H467" s="8"/>
    </row>
    <row r="468" spans="1:8" ht="20.25" x14ac:dyDescent="0.25">
      <c r="A468" s="12"/>
      <c r="B468" s="13"/>
      <c r="C468" s="13"/>
      <c r="D468" s="13"/>
      <c r="E468" s="13"/>
      <c r="F468" s="13"/>
      <c r="G468" s="13"/>
      <c r="H468" s="8"/>
    </row>
    <row r="469" spans="1:8" ht="20.25" x14ac:dyDescent="0.25">
      <c r="A469" s="12"/>
      <c r="B469" s="13"/>
      <c r="C469" s="13"/>
      <c r="D469" s="13"/>
      <c r="E469" s="13"/>
      <c r="F469" s="13"/>
      <c r="G469" s="13"/>
      <c r="H469" s="8"/>
    </row>
    <row r="470" spans="1:8" ht="20.25" x14ac:dyDescent="0.25">
      <c r="A470" s="12"/>
      <c r="B470" s="13"/>
      <c r="C470" s="13"/>
      <c r="D470" s="13"/>
      <c r="E470" s="13"/>
      <c r="F470" s="13"/>
      <c r="G470" s="13"/>
      <c r="H470" s="8"/>
    </row>
    <row r="471" spans="1:8" ht="20.25" x14ac:dyDescent="0.25">
      <c r="A471" s="12"/>
      <c r="B471" s="13"/>
      <c r="C471" s="13"/>
      <c r="D471" s="13"/>
      <c r="E471" s="13"/>
      <c r="F471" s="13"/>
      <c r="G471" s="13"/>
      <c r="H471" s="8"/>
    </row>
    <row r="472" spans="1:8" ht="20.25" x14ac:dyDescent="0.25">
      <c r="A472" s="12"/>
      <c r="B472" s="13"/>
      <c r="C472" s="13"/>
      <c r="D472" s="13"/>
      <c r="E472" s="13"/>
      <c r="F472" s="13"/>
      <c r="G472" s="13"/>
      <c r="H472" s="8"/>
    </row>
    <row r="473" spans="1:8" ht="20.25" x14ac:dyDescent="0.25">
      <c r="A473" s="12"/>
      <c r="B473" s="13"/>
      <c r="C473" s="13"/>
      <c r="D473" s="13"/>
      <c r="E473" s="13"/>
      <c r="F473" s="13"/>
      <c r="G473" s="13"/>
      <c r="H473" s="8"/>
    </row>
    <row r="474" spans="1:8" ht="20.25" x14ac:dyDescent="0.25">
      <c r="A474" s="12"/>
      <c r="B474" s="13"/>
      <c r="C474" s="13"/>
      <c r="D474" s="13"/>
      <c r="E474" s="13"/>
      <c r="F474" s="13"/>
      <c r="G474" s="13"/>
      <c r="H474" s="8"/>
    </row>
    <row r="475" spans="1:8" ht="20.25" x14ac:dyDescent="0.25">
      <c r="A475" s="12"/>
      <c r="B475" s="13"/>
      <c r="C475" s="13"/>
      <c r="D475" s="13"/>
      <c r="E475" s="13"/>
      <c r="F475" s="13"/>
      <c r="G475" s="13"/>
      <c r="H475" s="8"/>
    </row>
    <row r="476" spans="1:8" ht="20.25" x14ac:dyDescent="0.25">
      <c r="A476" s="12"/>
      <c r="B476" s="13"/>
      <c r="C476" s="13"/>
      <c r="D476" s="13"/>
      <c r="E476" s="13"/>
      <c r="F476" s="13"/>
      <c r="G476" s="13"/>
      <c r="H476" s="8"/>
    </row>
    <row r="477" spans="1:8" ht="20.25" x14ac:dyDescent="0.25">
      <c r="A477" s="12"/>
      <c r="B477" s="13"/>
      <c r="C477" s="13"/>
      <c r="D477" s="13"/>
      <c r="E477" s="13"/>
      <c r="F477" s="13"/>
      <c r="G477" s="13"/>
      <c r="H477" s="8"/>
    </row>
    <row r="478" spans="1:8" ht="20.25" x14ac:dyDescent="0.25">
      <c r="A478" s="12"/>
      <c r="B478" s="13"/>
      <c r="C478" s="13"/>
      <c r="D478" s="13"/>
      <c r="E478" s="13"/>
      <c r="F478" s="13"/>
      <c r="G478" s="13"/>
      <c r="H478" s="8"/>
    </row>
    <row r="479" spans="1:8" ht="20.25" x14ac:dyDescent="0.25">
      <c r="A479" s="12"/>
      <c r="B479" s="13"/>
      <c r="C479" s="13"/>
      <c r="D479" s="13"/>
      <c r="E479" s="13"/>
      <c r="F479" s="13"/>
      <c r="G479" s="13"/>
      <c r="H479" s="8"/>
    </row>
    <row r="480" spans="1:8" ht="20.25" x14ac:dyDescent="0.25">
      <c r="A480" s="12"/>
      <c r="B480" s="13"/>
      <c r="C480" s="13"/>
      <c r="D480" s="13"/>
      <c r="E480" s="13"/>
      <c r="F480" s="13"/>
      <c r="G480" s="13"/>
      <c r="H480" s="8"/>
    </row>
    <row r="481" spans="1:8" ht="20.25" x14ac:dyDescent="0.25">
      <c r="A481" s="12"/>
      <c r="B481" s="13"/>
      <c r="C481" s="13"/>
      <c r="D481" s="13"/>
      <c r="E481" s="13"/>
      <c r="F481" s="13"/>
      <c r="G481" s="13"/>
      <c r="H481" s="8"/>
    </row>
    <row r="482" spans="1:8" ht="20.25" x14ac:dyDescent="0.25">
      <c r="A482" s="12"/>
      <c r="B482" s="13"/>
      <c r="C482" s="13"/>
      <c r="D482" s="13"/>
      <c r="E482" s="13"/>
      <c r="F482" s="13"/>
      <c r="G482" s="13"/>
      <c r="H482" s="8"/>
    </row>
    <row r="483" spans="1:8" ht="39.75" customHeight="1" x14ac:dyDescent="0.25">
      <c r="A483" s="12"/>
      <c r="B483" s="13"/>
      <c r="C483" s="13"/>
      <c r="D483" s="13"/>
      <c r="E483" s="13"/>
      <c r="F483" s="13"/>
      <c r="G483" s="13"/>
      <c r="H483" s="8"/>
    </row>
    <row r="484" spans="1:8" ht="20.25" x14ac:dyDescent="0.25">
      <c r="A484" s="12"/>
      <c r="B484" s="13"/>
      <c r="C484" s="13"/>
      <c r="D484" s="13"/>
      <c r="E484" s="13"/>
      <c r="F484" s="13"/>
      <c r="G484" s="13"/>
      <c r="H484" s="8"/>
    </row>
    <row r="485" spans="1:8" ht="20.25" x14ac:dyDescent="0.25">
      <c r="A485" s="12"/>
      <c r="B485" s="13"/>
      <c r="C485" s="13"/>
      <c r="D485" s="13"/>
      <c r="E485" s="13"/>
      <c r="F485" s="13"/>
      <c r="G485" s="13"/>
      <c r="H485" s="8"/>
    </row>
    <row r="486" spans="1:8" ht="20.25" x14ac:dyDescent="0.25">
      <c r="A486" s="12"/>
      <c r="B486" s="13"/>
      <c r="C486" s="13"/>
      <c r="D486" s="13"/>
      <c r="E486" s="13"/>
      <c r="F486" s="13"/>
      <c r="G486" s="13"/>
      <c r="H486" s="8"/>
    </row>
    <row r="487" spans="1:8" ht="20.25" x14ac:dyDescent="0.25">
      <c r="A487" s="12"/>
      <c r="B487" s="13"/>
      <c r="C487" s="13"/>
      <c r="D487" s="13"/>
      <c r="E487" s="13"/>
      <c r="F487" s="13"/>
      <c r="G487" s="13"/>
      <c r="H487" s="8"/>
    </row>
    <row r="488" spans="1:8" ht="20.25" x14ac:dyDescent="0.25">
      <c r="A488" s="12"/>
      <c r="B488" s="13"/>
      <c r="C488" s="13"/>
      <c r="D488" s="13"/>
      <c r="E488" s="13"/>
      <c r="F488" s="13"/>
      <c r="G488" s="13"/>
      <c r="H488" s="8"/>
    </row>
    <row r="489" spans="1:8" ht="20.25" x14ac:dyDescent="0.25">
      <c r="A489" s="134" t="s">
        <v>24</v>
      </c>
      <c r="B489" s="134"/>
      <c r="C489" s="134"/>
      <c r="D489" s="134"/>
      <c r="E489" s="134"/>
      <c r="F489" s="134"/>
      <c r="G489" s="134"/>
      <c r="H489" s="134"/>
    </row>
    <row r="490" spans="1:8" ht="20.25" x14ac:dyDescent="0.25">
      <c r="A490" s="101" t="s">
        <v>76</v>
      </c>
      <c r="B490" s="129"/>
      <c r="C490" s="129"/>
      <c r="D490" s="129"/>
      <c r="E490" s="129"/>
      <c r="F490" s="129"/>
      <c r="G490" s="129"/>
      <c r="H490" s="102"/>
    </row>
    <row r="491" spans="1:8" ht="20.25" x14ac:dyDescent="0.25">
      <c r="A491" s="130" t="s">
        <v>77</v>
      </c>
      <c r="B491" s="131"/>
      <c r="C491" s="131"/>
      <c r="D491" s="131"/>
      <c r="E491" s="131"/>
      <c r="F491" s="131"/>
      <c r="G491" s="131"/>
      <c r="H491" s="132"/>
    </row>
    <row r="492" spans="1:8" ht="45" customHeight="1" x14ac:dyDescent="0.25">
      <c r="A492" s="130" t="s">
        <v>78</v>
      </c>
      <c r="B492" s="131"/>
      <c r="C492" s="131"/>
      <c r="D492" s="131"/>
      <c r="E492" s="131"/>
      <c r="F492" s="131"/>
      <c r="G492" s="131"/>
      <c r="H492" s="132"/>
    </row>
    <row r="493" spans="1:8" ht="42.75" customHeight="1" x14ac:dyDescent="0.25">
      <c r="A493" s="130" t="s">
        <v>79</v>
      </c>
      <c r="B493" s="131"/>
      <c r="C493" s="131"/>
      <c r="D493" s="131"/>
      <c r="E493" s="131"/>
      <c r="F493" s="131"/>
      <c r="G493" s="131"/>
      <c r="H493" s="132"/>
    </row>
    <row r="494" spans="1:8" ht="20.25" x14ac:dyDescent="0.25">
      <c r="A494" s="130" t="s">
        <v>80</v>
      </c>
      <c r="B494" s="131"/>
      <c r="C494" s="131"/>
      <c r="D494" s="131"/>
      <c r="E494" s="131"/>
      <c r="F494" s="131"/>
      <c r="G494" s="131"/>
      <c r="H494" s="132"/>
    </row>
    <row r="495" spans="1:8" ht="20.25" x14ac:dyDescent="0.25">
      <c r="A495" s="130" t="s">
        <v>81</v>
      </c>
      <c r="B495" s="131"/>
      <c r="C495" s="131"/>
      <c r="D495" s="131"/>
      <c r="E495" s="131"/>
      <c r="F495" s="131"/>
      <c r="G495" s="131"/>
      <c r="H495" s="132"/>
    </row>
    <row r="496" spans="1:8" ht="45" customHeight="1" x14ac:dyDescent="0.25">
      <c r="A496" s="130" t="s">
        <v>82</v>
      </c>
      <c r="B496" s="131"/>
      <c r="C496" s="131"/>
      <c r="D496" s="131"/>
      <c r="E496" s="131"/>
      <c r="F496" s="131"/>
      <c r="G496" s="131"/>
      <c r="H496" s="132"/>
    </row>
    <row r="497" spans="1:8" ht="45" customHeight="1" x14ac:dyDescent="0.25">
      <c r="A497" s="130" t="s">
        <v>83</v>
      </c>
      <c r="B497" s="131"/>
      <c r="C497" s="131"/>
      <c r="D497" s="131"/>
      <c r="E497" s="131"/>
      <c r="F497" s="131"/>
      <c r="G497" s="131"/>
      <c r="H497" s="132"/>
    </row>
    <row r="498" spans="1:8" ht="20.25" x14ac:dyDescent="0.25">
      <c r="A498" s="103" t="s">
        <v>84</v>
      </c>
      <c r="B498" s="133"/>
      <c r="C498" s="133"/>
      <c r="D498" s="133"/>
      <c r="E498" s="133"/>
      <c r="F498" s="133"/>
      <c r="G498" s="133"/>
      <c r="H498" s="104"/>
    </row>
    <row r="499" spans="1:8" ht="57" customHeight="1" x14ac:dyDescent="0.25">
      <c r="A499" s="140" t="s">
        <v>30</v>
      </c>
      <c r="B499" s="141"/>
      <c r="C499" s="142" t="s">
        <v>406</v>
      </c>
      <c r="D499" s="143"/>
      <c r="E499" s="140" t="s">
        <v>9</v>
      </c>
      <c r="F499" s="141"/>
      <c r="G499" s="127"/>
      <c r="H499" s="127"/>
    </row>
  </sheetData>
  <mergeCells count="566">
    <mergeCell ref="C57:F57"/>
    <mergeCell ref="A62:B62"/>
    <mergeCell ref="C62:F62"/>
    <mergeCell ref="A51:H51"/>
    <mergeCell ref="A56:H56"/>
    <mergeCell ref="A61:H61"/>
    <mergeCell ref="A184:H184"/>
    <mergeCell ref="D164:H164"/>
    <mergeCell ref="A175:H175"/>
    <mergeCell ref="A176:B176"/>
    <mergeCell ref="A177:B177"/>
    <mergeCell ref="A178:B178"/>
    <mergeCell ref="A179:B179"/>
    <mergeCell ref="A180:B180"/>
    <mergeCell ref="A181:B181"/>
    <mergeCell ref="A182:B182"/>
    <mergeCell ref="D182:H182"/>
    <mergeCell ref="A166:H166"/>
    <mergeCell ref="A167:B167"/>
    <mergeCell ref="A168:B168"/>
    <mergeCell ref="A169:B169"/>
    <mergeCell ref="A170:B170"/>
    <mergeCell ref="A161:B161"/>
    <mergeCell ref="A162:B162"/>
    <mergeCell ref="A189:B189"/>
    <mergeCell ref="A190:B190"/>
    <mergeCell ref="A191:B191"/>
    <mergeCell ref="A192:B192"/>
    <mergeCell ref="B357:H357"/>
    <mergeCell ref="A193:H193"/>
    <mergeCell ref="A194:B194"/>
    <mergeCell ref="A195:B195"/>
    <mergeCell ref="A196:B196"/>
    <mergeCell ref="A197:B197"/>
    <mergeCell ref="A198:B198"/>
    <mergeCell ref="A199:B199"/>
    <mergeCell ref="A200:B200"/>
    <mergeCell ref="A201:B201"/>
    <mergeCell ref="D200:H200"/>
    <mergeCell ref="A334:B334"/>
    <mergeCell ref="A335:B335"/>
    <mergeCell ref="A324:B324"/>
    <mergeCell ref="A350:H350"/>
    <mergeCell ref="A202:H202"/>
    <mergeCell ref="A340:B340"/>
    <mergeCell ref="A328:B328"/>
    <mergeCell ref="A330:B330"/>
    <mergeCell ref="A331:B331"/>
    <mergeCell ref="A185:B185"/>
    <mergeCell ref="A186:B186"/>
    <mergeCell ref="A187:B187"/>
    <mergeCell ref="A188:B188"/>
    <mergeCell ref="A183:B183"/>
    <mergeCell ref="A58:B58"/>
    <mergeCell ref="C58:F58"/>
    <mergeCell ref="G133:H133"/>
    <mergeCell ref="G134:H134"/>
    <mergeCell ref="C134:D134"/>
    <mergeCell ref="G136:H136"/>
    <mergeCell ref="A137:B137"/>
    <mergeCell ref="G137:H137"/>
    <mergeCell ref="A139:B139"/>
    <mergeCell ref="G139:H139"/>
    <mergeCell ref="A113:B113"/>
    <mergeCell ref="A114:B114"/>
    <mergeCell ref="A115:B115"/>
    <mergeCell ref="A116:B116"/>
    <mergeCell ref="A117:B117"/>
    <mergeCell ref="A118:B118"/>
    <mergeCell ref="A123:B123"/>
    <mergeCell ref="C123:D123"/>
    <mergeCell ref="C124:D124"/>
    <mergeCell ref="A53:B53"/>
    <mergeCell ref="C53:F53"/>
    <mergeCell ref="A146:H146"/>
    <mergeCell ref="A145:H145"/>
    <mergeCell ref="A147:H147"/>
    <mergeCell ref="A148:H148"/>
    <mergeCell ref="A121:F121"/>
    <mergeCell ref="A142:H142"/>
    <mergeCell ref="E131:F131"/>
    <mergeCell ref="E132:F132"/>
    <mergeCell ref="E133:F133"/>
    <mergeCell ref="E134:F134"/>
    <mergeCell ref="A131:B131"/>
    <mergeCell ref="A132:B132"/>
    <mergeCell ref="A133:B133"/>
    <mergeCell ref="C131:D131"/>
    <mergeCell ref="A134:B134"/>
    <mergeCell ref="C132:D132"/>
    <mergeCell ref="G131:H131"/>
    <mergeCell ref="E139:F139"/>
    <mergeCell ref="A111:B111"/>
    <mergeCell ref="A57:B57"/>
    <mergeCell ref="A112:B112"/>
    <mergeCell ref="G132:H132"/>
    <mergeCell ref="E125:F125"/>
    <mergeCell ref="A127:F127"/>
    <mergeCell ref="A72:B72"/>
    <mergeCell ref="A84:B84"/>
    <mergeCell ref="A89:H89"/>
    <mergeCell ref="A90:C91"/>
    <mergeCell ref="E90:F90"/>
    <mergeCell ref="G121:H121"/>
    <mergeCell ref="G77:H88"/>
    <mergeCell ref="A73:H73"/>
    <mergeCell ref="A76:B76"/>
    <mergeCell ref="A77:B77"/>
    <mergeCell ref="E76:F76"/>
    <mergeCell ref="E74:F74"/>
    <mergeCell ref="E75:F75"/>
    <mergeCell ref="A74:C75"/>
    <mergeCell ref="A83:B83"/>
    <mergeCell ref="E106:F106"/>
    <mergeCell ref="E107:F107"/>
    <mergeCell ref="A105:H105"/>
    <mergeCell ref="A106:C107"/>
    <mergeCell ref="E77:F88"/>
    <mergeCell ref="A108:B108"/>
    <mergeCell ref="C70:F70"/>
    <mergeCell ref="A70:B71"/>
    <mergeCell ref="A140:B140"/>
    <mergeCell ref="G140:H140"/>
    <mergeCell ref="A138:B138"/>
    <mergeCell ref="C138:D138"/>
    <mergeCell ref="E138:F138"/>
    <mergeCell ref="G138:H138"/>
    <mergeCell ref="C139:D139"/>
    <mergeCell ref="E91:F91"/>
    <mergeCell ref="A92:B92"/>
    <mergeCell ref="E92:F92"/>
    <mergeCell ref="A93:B93"/>
    <mergeCell ref="G125:H125"/>
    <mergeCell ref="G127:H127"/>
    <mergeCell ref="G129:H129"/>
    <mergeCell ref="A126:H126"/>
    <mergeCell ref="E123:F123"/>
    <mergeCell ref="A125:B125"/>
    <mergeCell ref="E124:F124"/>
    <mergeCell ref="G124:H124"/>
    <mergeCell ref="E137:F137"/>
    <mergeCell ref="C136:D136"/>
    <mergeCell ref="A81:B81"/>
    <mergeCell ref="C71:F71"/>
    <mergeCell ref="C72:F72"/>
    <mergeCell ref="A31:B31"/>
    <mergeCell ref="A32:B32"/>
    <mergeCell ref="E26:F26"/>
    <mergeCell ref="E27:F27"/>
    <mergeCell ref="E28:F28"/>
    <mergeCell ref="E29:F29"/>
    <mergeCell ref="E30:F30"/>
    <mergeCell ref="E31:F31"/>
    <mergeCell ref="C28:D28"/>
    <mergeCell ref="C29:D29"/>
    <mergeCell ref="C30:D30"/>
    <mergeCell ref="C31:D31"/>
    <mergeCell ref="A28:B28"/>
    <mergeCell ref="A45:B45"/>
    <mergeCell ref="A46:B46"/>
    <mergeCell ref="A47:B47"/>
    <mergeCell ref="D46:F46"/>
    <mergeCell ref="D45:F45"/>
    <mergeCell ref="D47:F47"/>
    <mergeCell ref="A48:B48"/>
    <mergeCell ref="A29:B29"/>
    <mergeCell ref="A30:B30"/>
    <mergeCell ref="C137:D137"/>
    <mergeCell ref="C141:D141"/>
    <mergeCell ref="A157:H157"/>
    <mergeCell ref="C153:H154"/>
    <mergeCell ref="C155:H156"/>
    <mergeCell ref="A141:B141"/>
    <mergeCell ref="G141:H141"/>
    <mergeCell ref="E108:F108"/>
    <mergeCell ref="A109:B109"/>
    <mergeCell ref="E109:F120"/>
    <mergeCell ref="G109:H120"/>
    <mergeCell ref="A110:B110"/>
    <mergeCell ref="A119:B119"/>
    <mergeCell ref="A120:B120"/>
    <mergeCell ref="A135:H135"/>
    <mergeCell ref="A136:B136"/>
    <mergeCell ref="E136:F136"/>
    <mergeCell ref="A122:H122"/>
    <mergeCell ref="G123:H123"/>
    <mergeCell ref="A128:F128"/>
    <mergeCell ref="A129:F129"/>
    <mergeCell ref="C133:D133"/>
    <mergeCell ref="A124:B124"/>
    <mergeCell ref="C125:D125"/>
    <mergeCell ref="A326:B326"/>
    <mergeCell ref="A332:H332"/>
    <mergeCell ref="A333:B333"/>
    <mergeCell ref="A325:B325"/>
    <mergeCell ref="A323:H323"/>
    <mergeCell ref="A336:B336"/>
    <mergeCell ref="A329:B329"/>
    <mergeCell ref="A327:B327"/>
    <mergeCell ref="E140:F140"/>
    <mergeCell ref="A144:H144"/>
    <mergeCell ref="A171:B171"/>
    <mergeCell ref="A208:B208"/>
    <mergeCell ref="A209:B209"/>
    <mergeCell ref="D209:H209"/>
    <mergeCell ref="A224:B224"/>
    <mergeCell ref="A225:B225"/>
    <mergeCell ref="A226:B226"/>
    <mergeCell ref="A227:B227"/>
    <mergeCell ref="A228:B228"/>
    <mergeCell ref="A210:B210"/>
    <mergeCell ref="D210:H210"/>
    <mergeCell ref="D207:H208"/>
    <mergeCell ref="A211:H211"/>
    <mergeCell ref="A212:B212"/>
    <mergeCell ref="A1:H1"/>
    <mergeCell ref="A361:C361"/>
    <mergeCell ref="G27:H27"/>
    <mergeCell ref="G28:H28"/>
    <mergeCell ref="A37:H37"/>
    <mergeCell ref="A44:H44"/>
    <mergeCell ref="A49:H49"/>
    <mergeCell ref="A130:H130"/>
    <mergeCell ref="G128:H128"/>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499:H499"/>
    <mergeCell ref="A360:H360"/>
    <mergeCell ref="D362:H362"/>
    <mergeCell ref="A490:H490"/>
    <mergeCell ref="A496:H496"/>
    <mergeCell ref="A497:H497"/>
    <mergeCell ref="A498:H498"/>
    <mergeCell ref="A491:H491"/>
    <mergeCell ref="A492:H492"/>
    <mergeCell ref="A493:H493"/>
    <mergeCell ref="A494:H494"/>
    <mergeCell ref="A362:C362"/>
    <mergeCell ref="A489:H489"/>
    <mergeCell ref="A495:H495"/>
    <mergeCell ref="A458:H458"/>
    <mergeCell ref="D361:H361"/>
    <mergeCell ref="A363:C363"/>
    <mergeCell ref="D363:H363"/>
    <mergeCell ref="A408:H408"/>
    <mergeCell ref="E499:F499"/>
    <mergeCell ref="A499:B499"/>
    <mergeCell ref="C499:D499"/>
    <mergeCell ref="G14:H14"/>
    <mergeCell ref="G16:H16"/>
    <mergeCell ref="G17:H17"/>
    <mergeCell ref="G15:H15"/>
    <mergeCell ref="G18:H18"/>
    <mergeCell ref="G19:H19"/>
    <mergeCell ref="G46:H46"/>
    <mergeCell ref="G31:H31"/>
    <mergeCell ref="G22:H22"/>
    <mergeCell ref="G36:H36"/>
    <mergeCell ref="G35:H35"/>
    <mergeCell ref="C32:H32"/>
    <mergeCell ref="C18:D18"/>
    <mergeCell ref="C19:D19"/>
    <mergeCell ref="C20:D20"/>
    <mergeCell ref="C21:D21"/>
    <mergeCell ref="C22:D22"/>
    <mergeCell ref="C24:H24"/>
    <mergeCell ref="C23:H23"/>
    <mergeCell ref="E14:F14"/>
    <mergeCell ref="E15:F15"/>
    <mergeCell ref="E16:F16"/>
    <mergeCell ref="E17:F17"/>
    <mergeCell ref="E18:F18"/>
    <mergeCell ref="B359:H359"/>
    <mergeCell ref="B352:H352"/>
    <mergeCell ref="B351:H351"/>
    <mergeCell ref="B355:H355"/>
    <mergeCell ref="B354:H354"/>
    <mergeCell ref="B353:H353"/>
    <mergeCell ref="B356:H356"/>
    <mergeCell ref="A337:B337"/>
    <mergeCell ref="A338:B338"/>
    <mergeCell ref="A339:B339"/>
    <mergeCell ref="A348:B348"/>
    <mergeCell ref="A349:B349"/>
    <mergeCell ref="A345:B345"/>
    <mergeCell ref="A346:B346"/>
    <mergeCell ref="A347:B347"/>
    <mergeCell ref="A341:H341"/>
    <mergeCell ref="A342:B342"/>
    <mergeCell ref="A343:B343"/>
    <mergeCell ref="A344:B344"/>
    <mergeCell ref="B358:H358"/>
    <mergeCell ref="E3:F3"/>
    <mergeCell ref="E4:F4"/>
    <mergeCell ref="E93:F104"/>
    <mergeCell ref="G93:H104"/>
    <mergeCell ref="A94:B94"/>
    <mergeCell ref="A95:B95"/>
    <mergeCell ref="A96:B96"/>
    <mergeCell ref="A97:B97"/>
    <mergeCell ref="A98:B98"/>
    <mergeCell ref="A99:B99"/>
    <mergeCell ref="A100:B100"/>
    <mergeCell ref="A101:B101"/>
    <mergeCell ref="A102:B102"/>
    <mergeCell ref="A103:B103"/>
    <mergeCell ref="A104:B104"/>
    <mergeCell ref="A78:B78"/>
    <mergeCell ref="C27:D27"/>
    <mergeCell ref="A85:B85"/>
    <mergeCell ref="A86:B86"/>
    <mergeCell ref="A87:B87"/>
    <mergeCell ref="A88:B88"/>
    <mergeCell ref="A79:B79"/>
    <mergeCell ref="A80:B80"/>
    <mergeCell ref="A82:B8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50:B50"/>
    <mergeCell ref="A63:B63"/>
    <mergeCell ref="A68:B68"/>
    <mergeCell ref="A69:B69"/>
    <mergeCell ref="A52:B52"/>
    <mergeCell ref="C50:H50"/>
    <mergeCell ref="C52:F52"/>
    <mergeCell ref="C63:F63"/>
    <mergeCell ref="C64:F64"/>
    <mergeCell ref="A64:B65"/>
    <mergeCell ref="C65:H65"/>
    <mergeCell ref="A59:B60"/>
    <mergeCell ref="C59:F59"/>
    <mergeCell ref="C60:H60"/>
    <mergeCell ref="A54:B55"/>
    <mergeCell ref="C54:F54"/>
    <mergeCell ref="C55:H55"/>
    <mergeCell ref="A66:B67"/>
    <mergeCell ref="C66:F66"/>
    <mergeCell ref="C67:H67"/>
    <mergeCell ref="C68:F68"/>
    <mergeCell ref="C69:F69"/>
    <mergeCell ref="D48:F48"/>
    <mergeCell ref="A203:B203"/>
    <mergeCell ref="A204:B204"/>
    <mergeCell ref="A205:B205"/>
    <mergeCell ref="A206:B206"/>
    <mergeCell ref="A207:B207"/>
    <mergeCell ref="E141:F141"/>
    <mergeCell ref="C140:D140"/>
    <mergeCell ref="A172:B172"/>
    <mergeCell ref="A173:B173"/>
    <mergeCell ref="A174:B174"/>
    <mergeCell ref="A149:B149"/>
    <mergeCell ref="A150:B150"/>
    <mergeCell ref="A151:B151"/>
    <mergeCell ref="A152:B152"/>
    <mergeCell ref="A153:B153"/>
    <mergeCell ref="A154:B154"/>
    <mergeCell ref="A155:B155"/>
    <mergeCell ref="A156:B156"/>
    <mergeCell ref="A159:B159"/>
    <mergeCell ref="A160:B160"/>
    <mergeCell ref="A163:B163"/>
    <mergeCell ref="A164:B164"/>
    <mergeCell ref="A165:B165"/>
    <mergeCell ref="A158:B158"/>
    <mergeCell ref="A213:B213"/>
    <mergeCell ref="A214:B214"/>
    <mergeCell ref="A215:B215"/>
    <mergeCell ref="A216:B216"/>
    <mergeCell ref="A217:B217"/>
    <mergeCell ref="A218:B218"/>
    <mergeCell ref="A219:B219"/>
    <mergeCell ref="D213:H213"/>
    <mergeCell ref="D214:H214"/>
    <mergeCell ref="A220:H220"/>
    <mergeCell ref="A221:B221"/>
    <mergeCell ref="A222:B222"/>
    <mergeCell ref="A223:B223"/>
    <mergeCell ref="A229:H229"/>
    <mergeCell ref="A314:H314"/>
    <mergeCell ref="A315:B315"/>
    <mergeCell ref="A316:B316"/>
    <mergeCell ref="A317:B317"/>
    <mergeCell ref="D282:H282"/>
    <mergeCell ref="A283:H283"/>
    <mergeCell ref="A284:B284"/>
    <mergeCell ref="A285:B285"/>
    <mergeCell ref="A293:B293"/>
    <mergeCell ref="A294:B294"/>
    <mergeCell ref="A295:B295"/>
    <mergeCell ref="A296:B296"/>
    <mergeCell ref="A297:H297"/>
    <mergeCell ref="A298:H298"/>
    <mergeCell ref="A299:H299"/>
    <mergeCell ref="A300:H300"/>
    <mergeCell ref="A302:H302"/>
    <mergeCell ref="A301:H301"/>
    <mergeCell ref="A313:H313"/>
    <mergeCell ref="A318:B318"/>
    <mergeCell ref="A319:B319"/>
    <mergeCell ref="A271:B271"/>
    <mergeCell ref="A272:B272"/>
    <mergeCell ref="A273:B273"/>
    <mergeCell ref="A274:B274"/>
    <mergeCell ref="A275:B275"/>
    <mergeCell ref="A276:H276"/>
    <mergeCell ref="A277:B277"/>
    <mergeCell ref="A278:B278"/>
    <mergeCell ref="A279:B279"/>
    <mergeCell ref="A286:B286"/>
    <mergeCell ref="A287:B287"/>
    <mergeCell ref="A288:B288"/>
    <mergeCell ref="A289:B289"/>
    <mergeCell ref="D285:H285"/>
    <mergeCell ref="A290:H290"/>
    <mergeCell ref="A291:B291"/>
    <mergeCell ref="A292:B292"/>
    <mergeCell ref="A280:B280"/>
    <mergeCell ref="A281:B281"/>
    <mergeCell ref="A282:B282"/>
    <mergeCell ref="D280:H280"/>
    <mergeCell ref="D281:H281"/>
    <mergeCell ref="A320:B320"/>
    <mergeCell ref="A321:B321"/>
    <mergeCell ref="D247:H247"/>
    <mergeCell ref="A248:H248"/>
    <mergeCell ref="A249:B249"/>
    <mergeCell ref="A250:B250"/>
    <mergeCell ref="A251:B251"/>
    <mergeCell ref="A252:B252"/>
    <mergeCell ref="A253:B253"/>
    <mergeCell ref="A254:B254"/>
    <mergeCell ref="A255:H255"/>
    <mergeCell ref="A256:B256"/>
    <mergeCell ref="A257:B257"/>
    <mergeCell ref="A258:B258"/>
    <mergeCell ref="A259:B259"/>
    <mergeCell ref="A260:B260"/>
    <mergeCell ref="A261:B261"/>
    <mergeCell ref="A264:B264"/>
    <mergeCell ref="A265:B265"/>
    <mergeCell ref="A266:B266"/>
    <mergeCell ref="A267:B267"/>
    <mergeCell ref="A268:B268"/>
    <mergeCell ref="A269:H269"/>
    <mergeCell ref="A270:B270"/>
    <mergeCell ref="A322:B322"/>
    <mergeCell ref="A231:H231"/>
    <mergeCell ref="A230:H230"/>
    <mergeCell ref="A232:H232"/>
    <mergeCell ref="A233:H233"/>
    <mergeCell ref="A234:H234"/>
    <mergeCell ref="A235:B235"/>
    <mergeCell ref="A236:B236"/>
    <mergeCell ref="A237:B237"/>
    <mergeCell ref="A238:B238"/>
    <mergeCell ref="A239:B239"/>
    <mergeCell ref="A240:B240"/>
    <mergeCell ref="A242:B242"/>
    <mergeCell ref="D238:H238"/>
    <mergeCell ref="D239:H239"/>
    <mergeCell ref="D240:H240"/>
    <mergeCell ref="A241:H241"/>
    <mergeCell ref="A243:B243"/>
    <mergeCell ref="A244:B244"/>
    <mergeCell ref="A245:B245"/>
    <mergeCell ref="A246:B246"/>
    <mergeCell ref="A247:B247"/>
    <mergeCell ref="A262:H262"/>
    <mergeCell ref="A263:B263"/>
    <mergeCell ref="A312:H312"/>
    <mergeCell ref="A303:H303"/>
    <mergeCell ref="A304:B304"/>
    <mergeCell ref="A305:B305"/>
    <mergeCell ref="A306:H306"/>
    <mergeCell ref="A307:B307"/>
    <mergeCell ref="A308:B308"/>
    <mergeCell ref="A309:H309"/>
    <mergeCell ref="A310:H310"/>
    <mergeCell ref="A311:B311"/>
  </mergeCells>
  <dataValidations count="7">
    <dataValidation type="list" allowBlank="1" showInputMessage="1" showErrorMessage="1" sqref="G6:H6">
      <formula1>"Mr. Suraj Khare, 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125">
      <formula1>"300000,350000,400000,500000,600000,700000,800000,900000,1000000,1200000,1400000,1500000,1600000"</formula1>
    </dataValidation>
    <dataValidation type="list" allowBlank="1" showInputMessage="1" showErrorMessage="1" sqref="F143">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G35:H35 C50:H50">
      <formula1>"Yes,No"</formula1>
    </dataValidation>
    <dataValidation type="list" allowBlank="1" showInputMessage="1" showErrorMessage="1" sqref="C143">
      <formula1>"Sale /         Rehab /           PAP,Sale / Mhada,Sale / Landowner"</formula1>
    </dataValidation>
  </dataValidations>
  <hyperlinks>
    <hyperlink ref="I24" r:id="rId1"/>
    <hyperlink ref="C23" r:id="rId2"/>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4" manualBreakCount="4">
    <brk id="88" max="16383" man="1"/>
    <brk id="359" max="16383" man="1"/>
    <brk id="407" max="16383" man="1"/>
    <brk id="457"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13" zoomScale="70" zoomScaleNormal="70" workbookViewId="0">
      <selection activeCell="H24" sqref="H24"/>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34" t="s">
        <v>67</v>
      </c>
      <c r="B3" s="134"/>
      <c r="C3" s="134"/>
      <c r="D3" s="134"/>
      <c r="E3" s="134"/>
      <c r="F3" s="134"/>
      <c r="G3" s="134"/>
      <c r="H3" s="134"/>
      <c r="I3" s="134"/>
    </row>
    <row r="4" spans="1:11" s="1" customFormat="1" ht="20.25" customHeight="1" x14ac:dyDescent="0.3">
      <c r="A4" s="177">
        <v>1</v>
      </c>
      <c r="B4" s="177"/>
      <c r="C4" s="177"/>
      <c r="D4" s="178" t="s">
        <v>4</v>
      </c>
      <c r="E4" s="30" t="s">
        <v>116</v>
      </c>
      <c r="F4" s="165" t="s">
        <v>103</v>
      </c>
      <c r="G4" s="165"/>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77"/>
      <c r="B5" s="177"/>
      <c r="C5" s="177"/>
      <c r="D5" s="178"/>
      <c r="E5" s="30">
        <v>3</v>
      </c>
      <c r="F5" s="165">
        <v>1</v>
      </c>
      <c r="G5" s="165"/>
      <c r="H5" s="30">
        <v>0</v>
      </c>
      <c r="I5" s="30">
        <f ca="1">--TRIM(RIGHT(SUBSTITUTE(LEFT(A4,_xlfn.AGGREGATE(16,6,FIND({0,1,2,3,4,5,6,7,8,9},A4,ROW(INDIRECT("1:"&amp;LEN(A4)))),1))," ",REPT(" ",LEN(A4))),LEN(A4)))</f>
        <v>1</v>
      </c>
      <c r="J5" s="17" t="s">
        <v>122</v>
      </c>
      <c r="K5" s="18"/>
    </row>
    <row r="6" spans="1:11" s="1" customFormat="1" ht="20.25" customHeight="1" x14ac:dyDescent="0.3">
      <c r="A6" s="159" t="s">
        <v>120</v>
      </c>
      <c r="B6" s="159"/>
      <c r="C6" s="159" t="s">
        <v>133</v>
      </c>
      <c r="D6" s="159"/>
      <c r="E6" s="28" t="s">
        <v>134</v>
      </c>
      <c r="F6" s="159" t="s">
        <v>121</v>
      </c>
      <c r="G6" s="159"/>
      <c r="H6" s="29" t="s">
        <v>119</v>
      </c>
      <c r="I6" s="29"/>
      <c r="J6" s="20" t="s">
        <v>135</v>
      </c>
      <c r="K6" s="19">
        <f ca="1">I5*25%</f>
        <v>0.25</v>
      </c>
    </row>
    <row r="7" spans="1:11" s="1" customFormat="1" ht="20.25" customHeight="1" x14ac:dyDescent="0.3">
      <c r="A7" s="120" t="s">
        <v>136</v>
      </c>
      <c r="B7" s="120"/>
      <c r="C7" s="165">
        <f ca="1">K8</f>
        <v>1</v>
      </c>
      <c r="D7" s="165"/>
      <c r="E7" s="5">
        <f ca="1">((100/I5)*C7)/100</f>
        <v>1</v>
      </c>
      <c r="F7" s="120">
        <f ca="1">(((C7/I5*5)+(C8/I5*20)+(25/(F5+H5+I5)*C9)+(5/(I5)*C10)+(2.5/(I5)*C11)+(2.5/(I5)*C12)+(5/I5*C13)+(10/I5*C14)+(2.5/I5*C15)+(2.5/I5*C16)+(10/I5*C17)+(10/I5*C18))/100)</f>
        <v>0.25</v>
      </c>
      <c r="G7" s="120"/>
      <c r="H7" s="120" t="str">
        <f ca="1">J4</f>
        <v>Excavation work Completed. Plinth work completed</v>
      </c>
      <c r="I7" s="120"/>
      <c r="J7" s="20" t="s">
        <v>123</v>
      </c>
      <c r="K7" s="24">
        <f ca="1">I5*50%</f>
        <v>0.5</v>
      </c>
    </row>
    <row r="8" spans="1:11" s="1" customFormat="1" ht="20.25" x14ac:dyDescent="0.3">
      <c r="A8" s="120" t="s">
        <v>104</v>
      </c>
      <c r="B8" s="120"/>
      <c r="C8" s="179">
        <f ca="1">K16</f>
        <v>1</v>
      </c>
      <c r="D8" s="165"/>
      <c r="E8" s="5">
        <f ca="1">((100/I5)*C8)/100</f>
        <v>1</v>
      </c>
      <c r="F8" s="120"/>
      <c r="G8" s="120"/>
      <c r="H8" s="120"/>
      <c r="I8" s="120"/>
      <c r="J8" s="20" t="s">
        <v>124</v>
      </c>
      <c r="K8" s="24">
        <f ca="1">I5</f>
        <v>1</v>
      </c>
    </row>
    <row r="9" spans="1:11" s="1" customFormat="1" ht="21" customHeight="1" x14ac:dyDescent="0.35">
      <c r="A9" s="120" t="s">
        <v>137</v>
      </c>
      <c r="B9" s="120"/>
      <c r="C9" s="165">
        <v>0</v>
      </c>
      <c r="D9" s="165"/>
      <c r="E9" s="5">
        <f ca="1">((100/(F5+H5+I5))*C9)/100</f>
        <v>0</v>
      </c>
      <c r="F9" s="120"/>
      <c r="G9" s="120"/>
      <c r="H9" s="120"/>
      <c r="I9" s="120"/>
      <c r="J9" s="20" t="s">
        <v>125</v>
      </c>
      <c r="K9" s="25">
        <f ca="1">(IF(E5&gt;1,(I5/(E5+2)),I5*0.2))</f>
        <v>0.2</v>
      </c>
    </row>
    <row r="10" spans="1:11" s="1" customFormat="1" ht="21" customHeight="1" x14ac:dyDescent="0.35">
      <c r="A10" s="120" t="s">
        <v>138</v>
      </c>
      <c r="B10" s="120"/>
      <c r="C10" s="165">
        <v>0</v>
      </c>
      <c r="D10" s="165"/>
      <c r="E10" s="5">
        <f ca="1">((100/I5)*C10)/100</f>
        <v>0</v>
      </c>
      <c r="F10" s="120"/>
      <c r="G10" s="120"/>
      <c r="H10" s="120"/>
      <c r="I10" s="120"/>
      <c r="J10" s="20" t="s">
        <v>126</v>
      </c>
      <c r="K10" s="25">
        <f ca="1">(IF(E5&gt;1,(I5/(E5+2)+K9),I5*0.2+K9))</f>
        <v>0.4</v>
      </c>
    </row>
    <row r="11" spans="1:11" s="1" customFormat="1" ht="21" customHeight="1" x14ac:dyDescent="0.35">
      <c r="A11" s="121" t="s">
        <v>139</v>
      </c>
      <c r="B11" s="122"/>
      <c r="C11" s="165">
        <v>0</v>
      </c>
      <c r="D11" s="165"/>
      <c r="E11" s="5">
        <f ca="1">((100/I5)*C11)/100</f>
        <v>0</v>
      </c>
      <c r="F11" s="120"/>
      <c r="G11" s="120"/>
      <c r="H11" s="120"/>
      <c r="I11" s="120"/>
      <c r="J11" s="20" t="s">
        <v>140</v>
      </c>
      <c r="K11" s="25">
        <f ca="1">(IF(E5&gt;1,(I5/(E5+2)+K10),0))</f>
        <v>0.60000000000000009</v>
      </c>
    </row>
    <row r="12" spans="1:11" s="1" customFormat="1" ht="21" customHeight="1" x14ac:dyDescent="0.35">
      <c r="A12" s="121" t="s">
        <v>171</v>
      </c>
      <c r="B12" s="122"/>
      <c r="C12" s="165">
        <v>0</v>
      </c>
      <c r="D12" s="165"/>
      <c r="E12" s="5">
        <f ca="1">((100/I5)*C12)/100</f>
        <v>0</v>
      </c>
      <c r="F12" s="120"/>
      <c r="G12" s="120"/>
      <c r="H12" s="120"/>
      <c r="I12" s="120"/>
      <c r="J12" s="20" t="s">
        <v>141</v>
      </c>
      <c r="K12" s="25">
        <f ca="1">(IF(E5&gt;2,(I5/(E5+2)+K11),0))</f>
        <v>0.8</v>
      </c>
    </row>
    <row r="13" spans="1:11" s="1" customFormat="1" ht="57.75" customHeight="1" x14ac:dyDescent="0.35">
      <c r="A13" s="121" t="s">
        <v>168</v>
      </c>
      <c r="B13" s="122"/>
      <c r="C13" s="165">
        <v>0</v>
      </c>
      <c r="D13" s="165"/>
      <c r="E13" s="5">
        <f ca="1">((100/(I5))*C13)/100</f>
        <v>0</v>
      </c>
      <c r="F13" s="120"/>
      <c r="G13" s="120"/>
      <c r="H13" s="120"/>
      <c r="I13" s="120"/>
      <c r="J13" s="20" t="s">
        <v>143</v>
      </c>
      <c r="K13" s="26">
        <f>(IF(E5&gt;3,(I5/(E5+2)+K12),0))</f>
        <v>0</v>
      </c>
    </row>
    <row r="14" spans="1:11" s="1" customFormat="1" ht="21" x14ac:dyDescent="0.35">
      <c r="A14" s="120" t="s">
        <v>142</v>
      </c>
      <c r="B14" s="120"/>
      <c r="C14" s="165">
        <v>0</v>
      </c>
      <c r="D14" s="165"/>
      <c r="E14" s="5">
        <f ca="1">((100/(I5))*C14)/100</f>
        <v>0</v>
      </c>
      <c r="F14" s="120"/>
      <c r="G14" s="120"/>
      <c r="H14" s="120"/>
      <c r="I14" s="120"/>
      <c r="J14" s="20" t="s">
        <v>144</v>
      </c>
      <c r="K14" s="25">
        <f>(IF(E5&gt;4,(I5/(E5+2)+K13),0))</f>
        <v>0</v>
      </c>
    </row>
    <row r="15" spans="1:11" s="1" customFormat="1" ht="21" customHeight="1" x14ac:dyDescent="0.35">
      <c r="A15" s="120" t="s">
        <v>170</v>
      </c>
      <c r="B15" s="120"/>
      <c r="C15" s="165">
        <v>0</v>
      </c>
      <c r="D15" s="165"/>
      <c r="E15" s="5">
        <f ca="1">((100/I5)*C15)/100</f>
        <v>0</v>
      </c>
      <c r="F15" s="120"/>
      <c r="G15" s="120"/>
      <c r="H15" s="120"/>
      <c r="I15" s="120"/>
      <c r="J15" s="20" t="s">
        <v>127</v>
      </c>
      <c r="K15" s="25">
        <f>(IF(E5=1,(I5/(E5+3)+K10),IF(E5=0,(I5*0.3+K10),IF(E5&gt;1,0))))</f>
        <v>0</v>
      </c>
    </row>
    <row r="16" spans="1:11" s="1" customFormat="1" ht="21.75" thickBot="1" x14ac:dyDescent="0.4">
      <c r="A16" s="120" t="s">
        <v>169</v>
      </c>
      <c r="B16" s="120"/>
      <c r="C16" s="165">
        <v>0</v>
      </c>
      <c r="D16" s="165"/>
      <c r="E16" s="5">
        <f ca="1">((100/I5)*C16)/100</f>
        <v>0</v>
      </c>
      <c r="F16" s="120"/>
      <c r="G16" s="120"/>
      <c r="H16" s="120"/>
      <c r="I16" s="120"/>
      <c r="J16" s="22" t="s">
        <v>128</v>
      </c>
      <c r="K16" s="27">
        <f ca="1">(IF(E5&gt;1.5,(I5/(E5+2)+K10+MAX(0,K11-K10)+MAX(0,K12-K11)+MAX(0,K13-K12)+MAX(0,K14-K13)+MAX(0,K15-K14)),IF(E5=1,(I5/(E5+3)+K15),IF(E5=0,I5*0.3+K15))))</f>
        <v>1</v>
      </c>
    </row>
    <row r="17" spans="1:9" s="1" customFormat="1" ht="20.25" x14ac:dyDescent="0.25">
      <c r="A17" s="120" t="s">
        <v>145</v>
      </c>
      <c r="B17" s="120"/>
      <c r="C17" s="165">
        <v>0</v>
      </c>
      <c r="D17" s="165"/>
      <c r="E17" s="5">
        <f ca="1">((100/(I5))*C17)/100</f>
        <v>0</v>
      </c>
      <c r="F17" s="120"/>
      <c r="G17" s="120"/>
      <c r="H17" s="120"/>
      <c r="I17" s="120"/>
    </row>
    <row r="18" spans="1:9" s="1" customFormat="1" ht="20.25" x14ac:dyDescent="0.25">
      <c r="A18" s="120" t="s">
        <v>146</v>
      </c>
      <c r="B18" s="120"/>
      <c r="C18" s="165">
        <v>0</v>
      </c>
      <c r="D18" s="165"/>
      <c r="E18" s="5">
        <f ca="1">((100/(I5))*C18)/100</f>
        <v>0</v>
      </c>
      <c r="F18" s="120"/>
      <c r="G18" s="120"/>
      <c r="H18" s="120"/>
      <c r="I18" s="120"/>
    </row>
    <row r="23" spans="1:9" x14ac:dyDescent="0.25">
      <c r="B23" s="180" t="s">
        <v>172</v>
      </c>
      <c r="C23" s="180"/>
      <c r="D23" s="180"/>
      <c r="E23" s="180"/>
      <c r="F23" s="180"/>
      <c r="G23" s="180"/>
    </row>
    <row r="24" spans="1:9" ht="14.45" customHeight="1" x14ac:dyDescent="0.25">
      <c r="B24" s="183" t="s">
        <v>173</v>
      </c>
      <c r="C24" s="183" t="s">
        <v>174</v>
      </c>
      <c r="D24" s="186" t="s">
        <v>175</v>
      </c>
      <c r="E24" s="187" t="s">
        <v>176</v>
      </c>
      <c r="F24" s="184" t="s">
        <v>177</v>
      </c>
      <c r="G24" s="183" t="s">
        <v>178</v>
      </c>
    </row>
    <row r="25" spans="1:9" x14ac:dyDescent="0.25">
      <c r="B25" s="183"/>
      <c r="C25" s="183"/>
      <c r="D25" s="186"/>
      <c r="E25" s="187"/>
      <c r="F25" s="184"/>
      <c r="G25" s="183"/>
    </row>
    <row r="26" spans="1:9" x14ac:dyDescent="0.25">
      <c r="B26" s="38" t="s">
        <v>179</v>
      </c>
      <c r="C26" s="39">
        <v>10</v>
      </c>
      <c r="D26" s="39">
        <v>1</v>
      </c>
      <c r="E26" s="40"/>
      <c r="F26" s="41">
        <f>((E26/D26)*0.05)*100</f>
        <v>0</v>
      </c>
      <c r="G26" s="41">
        <f t="shared" ref="G26:G37" si="0">((E26/D26)*(C26/100))*100</f>
        <v>0</v>
      </c>
    </row>
    <row r="27" spans="1:9" x14ac:dyDescent="0.25">
      <c r="B27" s="38" t="s">
        <v>180</v>
      </c>
      <c r="C27" s="40">
        <v>10</v>
      </c>
      <c r="D27" s="40">
        <v>1</v>
      </c>
      <c r="E27" s="40"/>
      <c r="F27" s="41">
        <f>((E27/D27)*0.05)*100</f>
        <v>0</v>
      </c>
      <c r="G27" s="41">
        <f t="shared" si="0"/>
        <v>0</v>
      </c>
    </row>
    <row r="28" spans="1:9" x14ac:dyDescent="0.25">
      <c r="B28" s="38" t="s">
        <v>181</v>
      </c>
      <c r="C28" s="40">
        <v>15</v>
      </c>
      <c r="D28" s="40">
        <v>1</v>
      </c>
      <c r="E28" s="40"/>
      <c r="F28" s="41">
        <f>((E28/D28)*0.15)*100</f>
        <v>0</v>
      </c>
      <c r="G28" s="41">
        <f t="shared" si="0"/>
        <v>0</v>
      </c>
    </row>
    <row r="29" spans="1:9" x14ac:dyDescent="0.25">
      <c r="B29" s="42" t="s">
        <v>182</v>
      </c>
      <c r="C29" s="40">
        <v>25</v>
      </c>
      <c r="D29" s="40">
        <v>40</v>
      </c>
      <c r="E29" s="40"/>
      <c r="F29" s="41">
        <f>((E29/D29)*0.25)*100</f>
        <v>0</v>
      </c>
      <c r="G29" s="41">
        <f t="shared" si="0"/>
        <v>0</v>
      </c>
    </row>
    <row r="30" spans="1:9" x14ac:dyDescent="0.25">
      <c r="B30" s="42" t="s">
        <v>183</v>
      </c>
      <c r="C30" s="40">
        <v>5</v>
      </c>
      <c r="D30" s="40">
        <v>39</v>
      </c>
      <c r="E30" s="40"/>
      <c r="F30" s="41">
        <f>((E30/D30)*0.05)*100</f>
        <v>0</v>
      </c>
      <c r="G30" s="41">
        <f t="shared" si="0"/>
        <v>0</v>
      </c>
    </row>
    <row r="31" spans="1:9" ht="30" x14ac:dyDescent="0.25">
      <c r="B31" s="42" t="s">
        <v>184</v>
      </c>
      <c r="C31" s="40">
        <v>2.5</v>
      </c>
      <c r="D31" s="40">
        <v>39</v>
      </c>
      <c r="E31" s="40"/>
      <c r="F31" s="41">
        <f>((E31/D31)*0.025)*100</f>
        <v>0</v>
      </c>
      <c r="G31" s="41">
        <f t="shared" si="0"/>
        <v>0</v>
      </c>
    </row>
    <row r="32" spans="1:9" ht="30" x14ac:dyDescent="0.25">
      <c r="B32" s="42" t="s">
        <v>185</v>
      </c>
      <c r="C32" s="40">
        <v>2.5</v>
      </c>
      <c r="D32" s="40">
        <v>39</v>
      </c>
      <c r="E32" s="40"/>
      <c r="F32" s="41">
        <f>((E32/D32)*0.025)*100</f>
        <v>0</v>
      </c>
      <c r="G32" s="41">
        <f t="shared" si="0"/>
        <v>0</v>
      </c>
    </row>
    <row r="33" spans="1:7" ht="45" x14ac:dyDescent="0.25">
      <c r="B33" s="43" t="s">
        <v>186</v>
      </c>
      <c r="C33" s="40">
        <v>5</v>
      </c>
      <c r="D33" s="40">
        <v>39</v>
      </c>
      <c r="E33" s="40"/>
      <c r="F33" s="41">
        <f>((E33/D33)*0.05)*100</f>
        <v>0</v>
      </c>
      <c r="G33" s="41">
        <f t="shared" si="0"/>
        <v>0</v>
      </c>
    </row>
    <row r="34" spans="1:7" ht="30" x14ac:dyDescent="0.25">
      <c r="B34" s="43" t="s">
        <v>187</v>
      </c>
      <c r="C34" s="40">
        <v>5</v>
      </c>
      <c r="D34" s="40">
        <v>39</v>
      </c>
      <c r="E34" s="40"/>
      <c r="F34" s="41">
        <f>((E34/D34)*0.1)*100</f>
        <v>0</v>
      </c>
      <c r="G34" s="41">
        <f t="shared" si="0"/>
        <v>0</v>
      </c>
    </row>
    <row r="35" spans="1:7" ht="30" x14ac:dyDescent="0.25">
      <c r="B35" s="43" t="s">
        <v>188</v>
      </c>
      <c r="C35" s="40">
        <v>5</v>
      </c>
      <c r="D35" s="40">
        <v>39</v>
      </c>
      <c r="E35" s="40"/>
      <c r="F35" s="41">
        <f>((E35/D35)*0.05)*100</f>
        <v>0</v>
      </c>
      <c r="G35" s="41">
        <f t="shared" si="0"/>
        <v>0</v>
      </c>
    </row>
    <row r="36" spans="1:7" ht="60" x14ac:dyDescent="0.25">
      <c r="B36" s="43" t="s">
        <v>189</v>
      </c>
      <c r="C36" s="40">
        <v>10</v>
      </c>
      <c r="D36" s="40">
        <v>39</v>
      </c>
      <c r="E36" s="40"/>
      <c r="F36" s="41">
        <f>((E36/D36)*0.1)*100</f>
        <v>0</v>
      </c>
      <c r="G36" s="41">
        <f t="shared" si="0"/>
        <v>0</v>
      </c>
    </row>
    <row r="37" spans="1:7" ht="45" x14ac:dyDescent="0.25">
      <c r="B37" s="43" t="s">
        <v>190</v>
      </c>
      <c r="C37" s="40">
        <v>5</v>
      </c>
      <c r="D37" s="40">
        <v>39</v>
      </c>
      <c r="E37" s="40"/>
      <c r="F37" s="41">
        <f>((E37/D37)*0.1)*100</f>
        <v>0</v>
      </c>
      <c r="G37" s="41">
        <f t="shared" si="0"/>
        <v>0</v>
      </c>
    </row>
    <row r="38" spans="1:7" ht="15.75" x14ac:dyDescent="0.25">
      <c r="B38" s="44" t="s">
        <v>191</v>
      </c>
      <c r="C38" s="45">
        <f>SUM(C26:C37)</f>
        <v>100</v>
      </c>
      <c r="D38" s="44"/>
      <c r="E38" s="44"/>
      <c r="F38" s="45">
        <f>SUM(F26:F37)</f>
        <v>0</v>
      </c>
      <c r="G38" s="45">
        <f>SUM(G26:G37)</f>
        <v>0</v>
      </c>
    </row>
    <row r="39" spans="1:7" x14ac:dyDescent="0.25">
      <c r="B39" s="184" t="s">
        <v>192</v>
      </c>
      <c r="C39" s="184"/>
      <c r="D39" s="184"/>
      <c r="E39" s="184"/>
      <c r="F39" s="184"/>
      <c r="G39" s="184"/>
    </row>
    <row r="40" spans="1:7" x14ac:dyDescent="0.25">
      <c r="B40" s="185" t="s">
        <v>193</v>
      </c>
      <c r="C40" s="185"/>
      <c r="D40" s="185"/>
      <c r="E40" s="185" t="s">
        <v>194</v>
      </c>
      <c r="F40" s="185"/>
      <c r="G40" s="185"/>
    </row>
    <row r="41" spans="1:7" x14ac:dyDescent="0.25">
      <c r="B41" s="181" t="s">
        <v>195</v>
      </c>
      <c r="C41" s="181"/>
      <c r="D41" s="181"/>
      <c r="E41" s="181" t="s">
        <v>196</v>
      </c>
      <c r="F41" s="181"/>
      <c r="G41" s="181"/>
    </row>
    <row r="42" spans="1:7" x14ac:dyDescent="0.25">
      <c r="B42" s="181" t="s">
        <v>197</v>
      </c>
      <c r="C42" s="181"/>
      <c r="D42" s="181"/>
      <c r="E42" s="181" t="s">
        <v>198</v>
      </c>
      <c r="F42" s="181"/>
      <c r="G42" s="181"/>
    </row>
    <row r="43" spans="1:7" x14ac:dyDescent="0.25">
      <c r="B43" s="182" t="s">
        <v>199</v>
      </c>
      <c r="C43" s="182"/>
      <c r="D43" s="182"/>
      <c r="E43" s="182" t="s">
        <v>200</v>
      </c>
      <c r="F43" s="182"/>
      <c r="G43" s="182"/>
    </row>
    <row r="45" spans="1:7" ht="15.75" thickBot="1" x14ac:dyDescent="0.3"/>
    <row r="46" spans="1:7" ht="17.25" thickTop="1" thickBot="1" x14ac:dyDescent="0.3">
      <c r="A46" s="46" t="s">
        <v>201</v>
      </c>
      <c r="B46" s="46" t="s">
        <v>173</v>
      </c>
      <c r="C46" s="47" t="s">
        <v>202</v>
      </c>
      <c r="D46" s="47" t="s">
        <v>203</v>
      </c>
      <c r="E46" s="47" t="s">
        <v>204</v>
      </c>
    </row>
    <row r="47" spans="1:7" ht="31.5" thickTop="1" thickBot="1" x14ac:dyDescent="0.3">
      <c r="A47" s="48">
        <v>1</v>
      </c>
      <c r="B47" s="49" t="s">
        <v>205</v>
      </c>
      <c r="C47" s="50">
        <v>0</v>
      </c>
      <c r="D47" s="51">
        <v>0.1</v>
      </c>
      <c r="E47" s="50">
        <v>0.1</v>
      </c>
    </row>
    <row r="48" spans="1:7" ht="31.5" thickTop="1" thickBot="1" x14ac:dyDescent="0.3">
      <c r="A48" s="48">
        <v>2</v>
      </c>
      <c r="B48" s="49" t="s">
        <v>206</v>
      </c>
      <c r="C48" s="50" t="s">
        <v>207</v>
      </c>
      <c r="D48" s="51" t="s">
        <v>208</v>
      </c>
      <c r="E48" s="50">
        <v>0.3</v>
      </c>
    </row>
    <row r="49" spans="1:5" ht="61.5" thickTop="1" thickBot="1" x14ac:dyDescent="0.3">
      <c r="A49" s="48">
        <v>3</v>
      </c>
      <c r="B49" s="49" t="s">
        <v>209</v>
      </c>
      <c r="C49" s="50" t="s">
        <v>210</v>
      </c>
      <c r="D49" s="51" t="s">
        <v>211</v>
      </c>
      <c r="E49" s="50">
        <v>0.45</v>
      </c>
    </row>
    <row r="50" spans="1:5" ht="76.5" thickTop="1" thickBot="1" x14ac:dyDescent="0.3">
      <c r="A50" s="48">
        <v>4</v>
      </c>
      <c r="B50" s="49" t="s">
        <v>212</v>
      </c>
      <c r="C50" s="50" t="s">
        <v>213</v>
      </c>
      <c r="D50" s="51" t="s">
        <v>214</v>
      </c>
      <c r="E50" s="50">
        <v>0.7</v>
      </c>
    </row>
    <row r="51" spans="1:5" ht="76.5" thickTop="1" thickBot="1" x14ac:dyDescent="0.3">
      <c r="A51" s="48">
        <v>5</v>
      </c>
      <c r="B51" s="49" t="s">
        <v>215</v>
      </c>
      <c r="C51" s="50" t="s">
        <v>216</v>
      </c>
      <c r="D51" s="51" t="s">
        <v>217</v>
      </c>
      <c r="E51" s="50">
        <v>0.75</v>
      </c>
    </row>
    <row r="52" spans="1:5" ht="76.5" thickTop="1" thickBot="1" x14ac:dyDescent="0.3">
      <c r="A52" s="48">
        <v>6</v>
      </c>
      <c r="B52" s="49" t="s">
        <v>218</v>
      </c>
      <c r="C52" s="50" t="s">
        <v>219</v>
      </c>
      <c r="D52" s="51" t="s">
        <v>220</v>
      </c>
      <c r="E52" s="50">
        <v>0.8</v>
      </c>
    </row>
    <row r="53" spans="1:5" ht="121.5" thickTop="1" thickBot="1" x14ac:dyDescent="0.3">
      <c r="A53" s="48">
        <v>7</v>
      </c>
      <c r="B53" s="49" t="s">
        <v>221</v>
      </c>
      <c r="C53" s="50" t="s">
        <v>222</v>
      </c>
      <c r="D53" s="51" t="s">
        <v>223</v>
      </c>
      <c r="E53" s="50">
        <v>0.85</v>
      </c>
    </row>
    <row r="54" spans="1:5" ht="211.5" thickTop="1" thickBot="1" x14ac:dyDescent="0.3">
      <c r="A54" s="48">
        <v>8</v>
      </c>
      <c r="B54" s="49" t="s">
        <v>224</v>
      </c>
      <c r="C54" s="50" t="s">
        <v>225</v>
      </c>
      <c r="D54" s="51" t="s">
        <v>226</v>
      </c>
      <c r="E54" s="50">
        <v>0.95</v>
      </c>
    </row>
    <row r="55" spans="1:5" ht="91.5" thickTop="1" thickBot="1" x14ac:dyDescent="0.3">
      <c r="A55" s="48">
        <v>9</v>
      </c>
      <c r="B55" s="49" t="s">
        <v>227</v>
      </c>
      <c r="C55" s="50" t="s">
        <v>228</v>
      </c>
      <c r="D55" s="51" t="s">
        <v>229</v>
      </c>
      <c r="E55" s="50">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7" sqref="C37"/>
    </sheetView>
  </sheetViews>
  <sheetFormatPr defaultRowHeight="15" x14ac:dyDescent="0.25"/>
  <cols>
    <col min="2" max="2" width="3" bestFit="1" customWidth="1"/>
    <col min="3" max="3" width="155.28515625" customWidth="1"/>
  </cols>
  <sheetData>
    <row r="2" spans="2:3" ht="30" x14ac:dyDescent="0.25">
      <c r="B2" s="40">
        <v>1</v>
      </c>
      <c r="C2" s="57" t="s">
        <v>247</v>
      </c>
    </row>
    <row r="3" spans="2:3" x14ac:dyDescent="0.25">
      <c r="B3" s="40">
        <v>2</v>
      </c>
      <c r="C3" s="58" t="s">
        <v>248</v>
      </c>
    </row>
    <row r="4" spans="2:3" x14ac:dyDescent="0.25">
      <c r="B4" s="40">
        <v>3</v>
      </c>
      <c r="C4" s="40" t="s">
        <v>249</v>
      </c>
    </row>
    <row r="5" spans="2:3" x14ac:dyDescent="0.25">
      <c r="B5" s="40">
        <v>4</v>
      </c>
      <c r="C5" s="58" t="s">
        <v>250</v>
      </c>
    </row>
    <row r="6" spans="2:3" x14ac:dyDescent="0.25">
      <c r="B6" s="40">
        <v>5</v>
      </c>
      <c r="C6" s="40" t="s">
        <v>251</v>
      </c>
    </row>
    <row r="7" spans="2:3" ht="30" x14ac:dyDescent="0.25">
      <c r="B7" s="40">
        <v>6</v>
      </c>
      <c r="C7" s="58" t="s">
        <v>252</v>
      </c>
    </row>
    <row r="8" spans="2:3" ht="75" x14ac:dyDescent="0.25">
      <c r="B8" s="40">
        <v>7</v>
      </c>
      <c r="C8" s="58" t="s">
        <v>253</v>
      </c>
    </row>
    <row r="9" spans="2:3" x14ac:dyDescent="0.25">
      <c r="B9" s="40">
        <v>8</v>
      </c>
      <c r="C9" s="40" t="s">
        <v>254</v>
      </c>
    </row>
    <row r="10" spans="2:3" x14ac:dyDescent="0.25">
      <c r="B10" s="40">
        <v>9</v>
      </c>
      <c r="C10" s="40" t="s">
        <v>255</v>
      </c>
    </row>
    <row r="11" spans="2:3" x14ac:dyDescent="0.25">
      <c r="B11" s="40">
        <v>10</v>
      </c>
      <c r="C11" s="40" t="s">
        <v>256</v>
      </c>
    </row>
    <row r="12" spans="2:3" x14ac:dyDescent="0.25">
      <c r="B12" s="40">
        <v>11</v>
      </c>
      <c r="C12" s="40" t="s">
        <v>257</v>
      </c>
    </row>
    <row r="13" spans="2:3" x14ac:dyDescent="0.25">
      <c r="B13" s="40">
        <v>12</v>
      </c>
      <c r="C13" s="40" t="s">
        <v>258</v>
      </c>
    </row>
    <row r="14" spans="2:3" x14ac:dyDescent="0.25">
      <c r="B14" s="40">
        <v>13</v>
      </c>
      <c r="C14" s="40" t="s">
        <v>259</v>
      </c>
    </row>
    <row r="15" spans="2:3" x14ac:dyDescent="0.25">
      <c r="B15" s="40">
        <v>14</v>
      </c>
      <c r="C15" s="40" t="s">
        <v>249</v>
      </c>
    </row>
    <row r="16" spans="2:3" x14ac:dyDescent="0.25">
      <c r="B16" s="40">
        <v>15</v>
      </c>
      <c r="C16" s="40" t="s">
        <v>243</v>
      </c>
    </row>
    <row r="17" spans="2:3" x14ac:dyDescent="0.25">
      <c r="B17" s="59">
        <v>16</v>
      </c>
      <c r="C17" s="60" t="s">
        <v>260</v>
      </c>
    </row>
    <row r="18" spans="2:3" x14ac:dyDescent="0.25">
      <c r="B18" s="61">
        <v>17</v>
      </c>
      <c r="C18" s="60" t="s">
        <v>261</v>
      </c>
    </row>
    <row r="19" spans="2:3" x14ac:dyDescent="0.25">
      <c r="B19" s="62">
        <v>18</v>
      </c>
      <c r="C19" s="40" t="s">
        <v>262</v>
      </c>
    </row>
    <row r="20" spans="2:3" x14ac:dyDescent="0.25">
      <c r="B20" s="61">
        <v>19</v>
      </c>
      <c r="C20" s="40" t="s">
        <v>263</v>
      </c>
    </row>
    <row r="21" spans="2:3" x14ac:dyDescent="0.25">
      <c r="B21" s="40">
        <v>20</v>
      </c>
      <c r="C21" s="40" t="s">
        <v>264</v>
      </c>
    </row>
    <row r="22" spans="2:3" x14ac:dyDescent="0.25">
      <c r="B22" s="61">
        <v>21</v>
      </c>
      <c r="C22" s="40" t="s">
        <v>262</v>
      </c>
    </row>
    <row r="23" spans="2:3" s="64" customFormat="1" ht="30" x14ac:dyDescent="0.25">
      <c r="B23" s="63">
        <v>22</v>
      </c>
      <c r="C23" s="57" t="s">
        <v>265</v>
      </c>
    </row>
    <row r="24" spans="2:3" s="64" customFormat="1" ht="30" x14ac:dyDescent="0.25">
      <c r="B24" s="65">
        <v>23</v>
      </c>
      <c r="C24" s="57" t="s">
        <v>266</v>
      </c>
    </row>
    <row r="25" spans="2:3" x14ac:dyDescent="0.25">
      <c r="B25" s="40">
        <v>24</v>
      </c>
      <c r="C25" s="40" t="s">
        <v>267</v>
      </c>
    </row>
    <row r="26" spans="2:3" x14ac:dyDescent="0.25">
      <c r="B26" s="61">
        <v>25</v>
      </c>
      <c r="C26" s="40" t="s">
        <v>268</v>
      </c>
    </row>
    <row r="27" spans="2:3" x14ac:dyDescent="0.25">
      <c r="B27" s="65">
        <v>26</v>
      </c>
      <c r="C27" s="40" t="s">
        <v>269</v>
      </c>
    </row>
    <row r="28" spans="2:3" x14ac:dyDescent="0.25">
      <c r="B28" s="61">
        <v>27</v>
      </c>
      <c r="C28" s="40" t="s">
        <v>270</v>
      </c>
    </row>
    <row r="29" spans="2:3" ht="60" x14ac:dyDescent="0.25">
      <c r="B29" s="66">
        <v>28</v>
      </c>
      <c r="C29" s="58" t="s">
        <v>271</v>
      </c>
    </row>
    <row r="30" spans="2:3" x14ac:dyDescent="0.25">
      <c r="B30" s="65">
        <v>29</v>
      </c>
      <c r="C30" s="40" t="s">
        <v>272</v>
      </c>
    </row>
    <row r="31" spans="2:3" ht="30" x14ac:dyDescent="0.25">
      <c r="B31" s="65">
        <v>30</v>
      </c>
      <c r="C31" s="58" t="s">
        <v>300</v>
      </c>
    </row>
    <row r="32" spans="2:3" x14ac:dyDescent="0.25">
      <c r="B32" s="65">
        <v>31</v>
      </c>
      <c r="C32" s="40" t="s">
        <v>301</v>
      </c>
    </row>
    <row r="33" spans="2:3" x14ac:dyDescent="0.25">
      <c r="B33" s="65">
        <v>32</v>
      </c>
      <c r="C33" s="40" t="s">
        <v>302</v>
      </c>
    </row>
    <row r="34" spans="2:3" ht="30" x14ac:dyDescent="0.25">
      <c r="B34" s="65">
        <v>33</v>
      </c>
      <c r="C34" s="60" t="s">
        <v>303</v>
      </c>
    </row>
    <row r="35" spans="2:3" x14ac:dyDescent="0.25">
      <c r="B35" s="65">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7"/>
    <col min="2" max="2" width="12.28515625" style="67" customWidth="1"/>
    <col min="3" max="16384" width="9.140625" style="67"/>
  </cols>
  <sheetData>
    <row r="2" spans="1:12" x14ac:dyDescent="0.25">
      <c r="B2" s="68" t="s">
        <v>273</v>
      </c>
      <c r="C2" s="188"/>
      <c r="D2" s="188"/>
    </row>
    <row r="3" spans="1:12" x14ac:dyDescent="0.25">
      <c r="D3" s="69"/>
      <c r="E3" s="69"/>
      <c r="F3" s="69"/>
      <c r="G3" s="69"/>
      <c r="H3" s="69"/>
      <c r="I3" s="69"/>
    </row>
    <row r="4" spans="1:12" x14ac:dyDescent="0.25">
      <c r="A4" s="68" t="s">
        <v>274</v>
      </c>
      <c r="B4" s="56" t="s">
        <v>275</v>
      </c>
      <c r="C4" s="189" t="s">
        <v>276</v>
      </c>
      <c r="D4" s="189"/>
      <c r="E4" s="189"/>
      <c r="F4" s="56"/>
      <c r="G4" s="190" t="s">
        <v>277</v>
      </c>
      <c r="H4" s="190"/>
      <c r="I4" s="190"/>
      <c r="J4" s="191" t="s">
        <v>278</v>
      </c>
      <c r="K4" s="191"/>
      <c r="L4" s="191"/>
    </row>
    <row r="5" spans="1:12" x14ac:dyDescent="0.25">
      <c r="A5" s="68"/>
      <c r="B5" s="56"/>
      <c r="C5" s="56" t="s">
        <v>279</v>
      </c>
      <c r="D5" s="56" t="s">
        <v>280</v>
      </c>
      <c r="E5" s="56" t="s">
        <v>281</v>
      </c>
      <c r="F5" s="56"/>
      <c r="G5" s="56" t="s">
        <v>279</v>
      </c>
      <c r="H5" s="56" t="s">
        <v>280</v>
      </c>
      <c r="I5" s="56" t="s">
        <v>281</v>
      </c>
      <c r="J5" s="56" t="s">
        <v>279</v>
      </c>
      <c r="K5" s="56" t="s">
        <v>280</v>
      </c>
      <c r="L5" s="56" t="s">
        <v>281</v>
      </c>
    </row>
    <row r="6" spans="1:12" x14ac:dyDescent="0.25">
      <c r="B6" s="55" t="s">
        <v>282</v>
      </c>
      <c r="C6" s="55"/>
      <c r="D6" s="55"/>
      <c r="E6" s="55">
        <f>C6*D6</f>
        <v>0</v>
      </c>
      <c r="F6" s="55" t="s">
        <v>283</v>
      </c>
      <c r="G6" s="55"/>
      <c r="H6" s="55"/>
      <c r="I6" s="55">
        <f>G6*H6</f>
        <v>0</v>
      </c>
      <c r="J6" s="55"/>
      <c r="K6" s="55"/>
      <c r="L6" s="55">
        <f>J6*K6</f>
        <v>0</v>
      </c>
    </row>
    <row r="7" spans="1:12" x14ac:dyDescent="0.25">
      <c r="B7" s="55"/>
      <c r="C7" s="55"/>
      <c r="D7" s="55"/>
      <c r="E7" s="55">
        <f t="shared" ref="E7:E41" si="0">C7*D7</f>
        <v>0</v>
      </c>
      <c r="F7" s="55" t="s">
        <v>283</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284</v>
      </c>
      <c r="G9" s="55"/>
      <c r="H9" s="55"/>
      <c r="I9" s="55">
        <f t="shared" si="1"/>
        <v>0</v>
      </c>
      <c r="J9" s="55"/>
      <c r="K9" s="55"/>
      <c r="L9" s="55">
        <f t="shared" si="2"/>
        <v>0</v>
      </c>
    </row>
    <row r="10" spans="1:12" x14ac:dyDescent="0.25">
      <c r="B10" s="55" t="s">
        <v>285</v>
      </c>
      <c r="C10" s="55"/>
      <c r="D10" s="55"/>
      <c r="E10" s="55">
        <f t="shared" si="0"/>
        <v>0</v>
      </c>
      <c r="F10" s="55" t="s">
        <v>284</v>
      </c>
      <c r="G10" s="55"/>
      <c r="H10" s="55"/>
      <c r="I10" s="55">
        <f t="shared" si="1"/>
        <v>0</v>
      </c>
      <c r="J10" s="55"/>
      <c r="K10" s="55"/>
      <c r="L10" s="55">
        <f t="shared" si="2"/>
        <v>0</v>
      </c>
    </row>
    <row r="11" spans="1:12" x14ac:dyDescent="0.25">
      <c r="B11" s="55"/>
      <c r="C11" s="55"/>
      <c r="D11" s="55"/>
      <c r="E11" s="55">
        <f t="shared" si="0"/>
        <v>0</v>
      </c>
      <c r="F11" s="55" t="s">
        <v>286</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287</v>
      </c>
      <c r="C14" s="55"/>
      <c r="D14" s="55"/>
      <c r="E14" s="55">
        <f t="shared" si="0"/>
        <v>0</v>
      </c>
      <c r="F14" s="55" t="s">
        <v>284</v>
      </c>
      <c r="G14" s="55"/>
      <c r="H14" s="55"/>
      <c r="I14" s="55">
        <f t="shared" si="1"/>
        <v>0</v>
      </c>
      <c r="J14" s="55"/>
      <c r="K14" s="55"/>
      <c r="L14" s="55">
        <f t="shared" si="2"/>
        <v>0</v>
      </c>
    </row>
    <row r="15" spans="1:12" x14ac:dyDescent="0.25">
      <c r="B15" s="55"/>
      <c r="C15" s="55"/>
      <c r="D15" s="55"/>
      <c r="E15" s="55">
        <f t="shared" si="0"/>
        <v>0</v>
      </c>
      <c r="F15" s="55" t="s">
        <v>286</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288</v>
      </c>
      <c r="C18" s="55"/>
      <c r="D18" s="55"/>
      <c r="E18" s="55">
        <f t="shared" si="0"/>
        <v>0</v>
      </c>
      <c r="F18" s="55" t="s">
        <v>284</v>
      </c>
      <c r="G18" s="55"/>
      <c r="H18" s="55"/>
      <c r="I18" s="55">
        <f t="shared" si="1"/>
        <v>0</v>
      </c>
      <c r="J18" s="55"/>
      <c r="K18" s="55"/>
      <c r="L18" s="55">
        <f t="shared" si="2"/>
        <v>0</v>
      </c>
    </row>
    <row r="19" spans="2:12" x14ac:dyDescent="0.25">
      <c r="B19" s="55"/>
      <c r="C19" s="55"/>
      <c r="D19" s="55"/>
      <c r="E19" s="55">
        <f t="shared" si="0"/>
        <v>0</v>
      </c>
      <c r="F19" s="55" t="s">
        <v>286</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289</v>
      </c>
      <c r="C21" s="55"/>
      <c r="D21" s="55"/>
      <c r="E21" s="55">
        <f t="shared" si="0"/>
        <v>0</v>
      </c>
      <c r="F21" s="55" t="s">
        <v>284</v>
      </c>
      <c r="G21" s="55"/>
      <c r="H21" s="55"/>
      <c r="I21" s="55">
        <f t="shared" si="1"/>
        <v>0</v>
      </c>
      <c r="J21" s="55"/>
      <c r="K21" s="55"/>
      <c r="L21" s="55">
        <f t="shared" si="2"/>
        <v>0</v>
      </c>
    </row>
    <row r="22" spans="2:12" x14ac:dyDescent="0.25">
      <c r="B22" s="55"/>
      <c r="C22" s="55"/>
      <c r="D22" s="55"/>
      <c r="E22" s="55">
        <f t="shared" si="0"/>
        <v>0</v>
      </c>
      <c r="F22" s="55" t="s">
        <v>286</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290</v>
      </c>
      <c r="C24" s="55"/>
      <c r="D24" s="55"/>
      <c r="E24" s="55">
        <f t="shared" si="0"/>
        <v>0</v>
      </c>
      <c r="F24" s="55" t="s">
        <v>291</v>
      </c>
      <c r="G24" s="55"/>
      <c r="H24" s="55"/>
      <c r="I24" s="55">
        <f t="shared" si="1"/>
        <v>0</v>
      </c>
      <c r="J24" s="55"/>
      <c r="K24" s="55"/>
      <c r="L24" s="55">
        <f t="shared" si="2"/>
        <v>0</v>
      </c>
    </row>
    <row r="25" spans="2:12" x14ac:dyDescent="0.25">
      <c r="B25" s="55"/>
      <c r="C25" s="55"/>
      <c r="D25" s="55"/>
      <c r="E25" s="55">
        <f t="shared" si="0"/>
        <v>0</v>
      </c>
      <c r="F25" s="55" t="s">
        <v>291</v>
      </c>
      <c r="G25" s="55"/>
      <c r="H25" s="55"/>
      <c r="I25" s="55">
        <f t="shared" si="1"/>
        <v>0</v>
      </c>
      <c r="J25" s="55"/>
      <c r="K25" s="55"/>
      <c r="L25" s="55">
        <f t="shared" si="2"/>
        <v>0</v>
      </c>
    </row>
    <row r="26" spans="2:12" x14ac:dyDescent="0.25">
      <c r="B26" s="55"/>
      <c r="C26" s="55"/>
      <c r="D26" s="55"/>
      <c r="E26" s="55">
        <f t="shared" si="0"/>
        <v>0</v>
      </c>
      <c r="F26" s="55" t="s">
        <v>291</v>
      </c>
      <c r="G26" s="55"/>
      <c r="H26" s="55"/>
      <c r="I26" s="55">
        <f t="shared" si="1"/>
        <v>0</v>
      </c>
      <c r="J26" s="55"/>
      <c r="K26" s="55"/>
      <c r="L26" s="55">
        <f t="shared" si="2"/>
        <v>0</v>
      </c>
    </row>
    <row r="27" spans="2:12" x14ac:dyDescent="0.25">
      <c r="B27" s="55"/>
      <c r="C27" s="55"/>
      <c r="D27" s="55"/>
      <c r="E27" s="55">
        <f t="shared" si="0"/>
        <v>0</v>
      </c>
      <c r="F27" s="55" t="s">
        <v>291</v>
      </c>
      <c r="G27" s="55"/>
      <c r="H27" s="55"/>
      <c r="I27" s="55">
        <f t="shared" si="1"/>
        <v>0</v>
      </c>
      <c r="J27" s="55"/>
      <c r="K27" s="55"/>
      <c r="L27" s="55">
        <f t="shared" si="2"/>
        <v>0</v>
      </c>
    </row>
    <row r="28" spans="2:12" x14ac:dyDescent="0.25">
      <c r="B28" s="55" t="s">
        <v>292</v>
      </c>
      <c r="C28" s="55"/>
      <c r="D28" s="55"/>
      <c r="E28" s="55">
        <f t="shared" si="0"/>
        <v>0</v>
      </c>
      <c r="F28" s="55" t="s">
        <v>291</v>
      </c>
      <c r="G28" s="55"/>
      <c r="H28" s="55"/>
      <c r="I28" s="55">
        <f t="shared" si="1"/>
        <v>0</v>
      </c>
      <c r="J28" s="55"/>
      <c r="K28" s="55"/>
      <c r="L28" s="55">
        <f t="shared" si="2"/>
        <v>0</v>
      </c>
    </row>
    <row r="29" spans="2:12" x14ac:dyDescent="0.25">
      <c r="B29" s="55" t="s">
        <v>293</v>
      </c>
      <c r="C29" s="55"/>
      <c r="D29" s="55"/>
      <c r="E29" s="55">
        <f t="shared" si="0"/>
        <v>0</v>
      </c>
      <c r="F29" s="55" t="s">
        <v>291</v>
      </c>
      <c r="G29" s="55"/>
      <c r="H29" s="55"/>
      <c r="I29" s="55">
        <f t="shared" si="1"/>
        <v>0</v>
      </c>
      <c r="J29" s="55"/>
      <c r="K29" s="55"/>
      <c r="L29" s="55">
        <f t="shared" si="2"/>
        <v>0</v>
      </c>
    </row>
    <row r="30" spans="2:12" x14ac:dyDescent="0.25">
      <c r="B30" s="55" t="s">
        <v>294</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295</v>
      </c>
      <c r="C33" s="55"/>
      <c r="D33" s="55"/>
      <c r="E33" s="55">
        <f t="shared" si="0"/>
        <v>0</v>
      </c>
      <c r="F33" s="55"/>
      <c r="G33" s="55"/>
      <c r="H33" s="55"/>
      <c r="I33" s="55">
        <f t="shared" si="1"/>
        <v>0</v>
      </c>
      <c r="J33" s="55"/>
      <c r="K33" s="55"/>
      <c r="L33" s="55">
        <f t="shared" si="2"/>
        <v>0</v>
      </c>
    </row>
    <row r="34" spans="2:12" x14ac:dyDescent="0.25">
      <c r="B34" s="55" t="s">
        <v>296</v>
      </c>
      <c r="C34" s="55"/>
      <c r="D34" s="55"/>
      <c r="E34" s="55">
        <f t="shared" si="0"/>
        <v>0</v>
      </c>
      <c r="F34" s="55"/>
      <c r="G34" s="55"/>
      <c r="H34" s="55"/>
      <c r="I34" s="55">
        <f t="shared" si="1"/>
        <v>0</v>
      </c>
      <c r="J34" s="55"/>
      <c r="K34" s="55"/>
      <c r="L34" s="55">
        <f t="shared" si="2"/>
        <v>0</v>
      </c>
    </row>
    <row r="35" spans="2:12" x14ac:dyDescent="0.25">
      <c r="B35" s="55" t="s">
        <v>297</v>
      </c>
      <c r="C35" s="55"/>
      <c r="D35" s="55"/>
      <c r="E35" s="55">
        <f t="shared" si="0"/>
        <v>0</v>
      </c>
      <c r="F35" s="55"/>
      <c r="G35" s="55"/>
      <c r="H35" s="55"/>
      <c r="I35" s="55">
        <f t="shared" si="1"/>
        <v>0</v>
      </c>
      <c r="J35" s="55"/>
      <c r="K35" s="55"/>
      <c r="L35" s="55">
        <f t="shared" si="2"/>
        <v>0</v>
      </c>
    </row>
    <row r="36" spans="2:12" x14ac:dyDescent="0.25">
      <c r="B36" s="55" t="s">
        <v>298</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299</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156</v>
      </c>
      <c r="C42" s="55"/>
      <c r="D42" s="55">
        <f>E42*10.764</f>
        <v>0</v>
      </c>
      <c r="E42" s="70">
        <f>SUM(E6:E41)</f>
        <v>0</v>
      </c>
      <c r="F42" s="55"/>
      <c r="G42" s="55"/>
      <c r="H42" s="55">
        <f>I42*10.764</f>
        <v>0</v>
      </c>
      <c r="I42" s="71">
        <f>SUM(I6:I41)</f>
        <v>0</v>
      </c>
      <c r="J42" s="55"/>
      <c r="K42" s="55">
        <f>L42*10.764</f>
        <v>0</v>
      </c>
      <c r="L42" s="72">
        <f>SUM(L6:L41)</f>
        <v>0</v>
      </c>
    </row>
    <row r="44" spans="2:12" x14ac:dyDescent="0.25">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2025-05-03T05:45:47Z</cp:lastPrinted>
  <dcterms:created xsi:type="dcterms:W3CDTF">2010-11-23T11:42:48Z</dcterms:created>
  <dcterms:modified xsi:type="dcterms:W3CDTF">2025-07-07T10:52:39Z</dcterms:modified>
</cp:coreProperties>
</file>