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Construction table" sheetId="4" r:id="rId2"/>
    <sheet name="Remarks" sheetId="5" r:id="rId3"/>
    <sheet name="Area Calculation" sheetId="6" r:id="rId4"/>
  </sheets>
  <definedNames>
    <definedName name="_xlnm.Print_Area" localSheetId="0">Report!$A$1:$H$396</definedName>
  </definedNames>
  <calcPr calcId="152511"/>
</workbook>
</file>

<file path=xl/calcChain.xml><?xml version="1.0" encoding="utf-8"?>
<calcChain xmlns="http://schemas.openxmlformats.org/spreadsheetml/2006/main">
  <c r="J74" i="3" l="1"/>
  <c r="J73" i="3"/>
  <c r="J72" i="3"/>
  <c r="J71" i="3"/>
  <c r="C18" i="3" l="1"/>
  <c r="I21" i="3" l="1"/>
  <c r="D260" i="3"/>
  <c r="D258" i="3"/>
  <c r="E168" i="3"/>
  <c r="I186" i="3"/>
  <c r="A149" i="3"/>
  <c r="A150" i="3" s="1"/>
  <c r="A151" i="3" s="1"/>
  <c r="A152" i="3" s="1"/>
  <c r="A153" i="3" s="1"/>
  <c r="A154" i="3" s="1"/>
  <c r="A155" i="3" s="1"/>
  <c r="A156" i="3" s="1"/>
  <c r="A159" i="3"/>
  <c r="A160" i="3" s="1"/>
  <c r="A161" i="3" s="1"/>
  <c r="A162" i="3" s="1"/>
  <c r="A163" i="3" s="1"/>
  <c r="A164" i="3" s="1"/>
  <c r="A165" i="3" s="1"/>
  <c r="A166" i="3" s="1"/>
  <c r="A169" i="3"/>
  <c r="A170" i="3" s="1"/>
  <c r="A171" i="3" s="1"/>
  <c r="A172" i="3" s="1"/>
  <c r="A173" i="3" s="1"/>
  <c r="A174" i="3" s="1"/>
  <c r="A175" i="3" s="1"/>
  <c r="A176" i="3" s="1"/>
  <c r="F206" i="3"/>
  <c r="E206" i="3"/>
  <c r="H206" i="3" s="1"/>
  <c r="E205" i="3"/>
  <c r="H205" i="3" s="1"/>
  <c r="F204" i="3"/>
  <c r="H204" i="3" s="1"/>
  <c r="E204" i="3"/>
  <c r="F201" i="3"/>
  <c r="E201" i="3"/>
  <c r="A202" i="3"/>
  <c r="A203" i="3" s="1"/>
  <c r="A204" i="3" s="1"/>
  <c r="A205" i="3" s="1"/>
  <c r="A206" i="3" s="1"/>
  <c r="F199" i="3"/>
  <c r="E199" i="3"/>
  <c r="E198" i="3"/>
  <c r="H198" i="3" s="1"/>
  <c r="F196" i="3"/>
  <c r="E196" i="3"/>
  <c r="H196" i="3" s="1"/>
  <c r="F195" i="3"/>
  <c r="H195" i="3" s="1"/>
  <c r="E195" i="3"/>
  <c r="F194" i="3"/>
  <c r="E194" i="3"/>
  <c r="A195" i="3"/>
  <c r="A196" i="3" s="1"/>
  <c r="A197" i="3" s="1"/>
  <c r="A198" i="3" s="1"/>
  <c r="A199" i="3" s="1"/>
  <c r="H208" i="3"/>
  <c r="A209" i="3"/>
  <c r="A210" i="3" s="1"/>
  <c r="A211" i="3" s="1"/>
  <c r="A212" i="3" s="1"/>
  <c r="A213" i="3" s="1"/>
  <c r="A214" i="3" s="1"/>
  <c r="A215" i="3" s="1"/>
  <c r="A216" i="3" s="1"/>
  <c r="H209" i="3"/>
  <c r="H210" i="3"/>
  <c r="H211" i="3"/>
  <c r="H212" i="3"/>
  <c r="H213" i="3"/>
  <c r="E191" i="3"/>
  <c r="F190" i="3"/>
  <c r="E190" i="3"/>
  <c r="H190" i="3" s="1"/>
  <c r="F192" i="3"/>
  <c r="E192" i="3"/>
  <c r="F189" i="3"/>
  <c r="E189" i="3"/>
  <c r="F188" i="3"/>
  <c r="E188" i="3"/>
  <c r="F181" i="3"/>
  <c r="E181" i="3"/>
  <c r="H181" i="3" s="1"/>
  <c r="F187" i="3"/>
  <c r="E187" i="3"/>
  <c r="A188" i="3"/>
  <c r="A189" i="3" s="1"/>
  <c r="A190" i="3" s="1"/>
  <c r="A191" i="3" s="1"/>
  <c r="A192" i="3" s="1"/>
  <c r="F185" i="3"/>
  <c r="E185" i="3"/>
  <c r="F182" i="3"/>
  <c r="E182" i="3"/>
  <c r="F180" i="3"/>
  <c r="E180" i="3"/>
  <c r="I185" i="3"/>
  <c r="J185" i="3"/>
  <c r="A181" i="3"/>
  <c r="A182" i="3" s="1"/>
  <c r="A183" i="3" s="1"/>
  <c r="A184" i="3" s="1"/>
  <c r="A185" i="3" s="1"/>
  <c r="E176" i="3"/>
  <c r="H176" i="3" s="1"/>
  <c r="E175" i="3"/>
  <c r="E174" i="3"/>
  <c r="E173" i="3"/>
  <c r="E172" i="3"/>
  <c r="E171" i="3"/>
  <c r="E170" i="3"/>
  <c r="E169" i="3"/>
  <c r="H216" i="3"/>
  <c r="H215" i="3"/>
  <c r="H214" i="3"/>
  <c r="E158" i="3"/>
  <c r="H158" i="3" s="1"/>
  <c r="E166" i="3"/>
  <c r="E165" i="3"/>
  <c r="H165" i="3" s="1"/>
  <c r="E164" i="3"/>
  <c r="H164" i="3" s="1"/>
  <c r="E163" i="3"/>
  <c r="H163" i="3" s="1"/>
  <c r="E162" i="3"/>
  <c r="E161" i="3"/>
  <c r="H161" i="3" s="1"/>
  <c r="E160" i="3"/>
  <c r="H160" i="3" s="1"/>
  <c r="E159" i="3"/>
  <c r="H159" i="3" s="1"/>
  <c r="H166" i="3"/>
  <c r="H162" i="3"/>
  <c r="E156" i="3"/>
  <c r="H156" i="3" s="1"/>
  <c r="E155" i="3"/>
  <c r="H155" i="3" s="1"/>
  <c r="E154" i="3"/>
  <c r="H154" i="3" s="1"/>
  <c r="E153" i="3"/>
  <c r="H153" i="3" s="1"/>
  <c r="E152" i="3"/>
  <c r="H152" i="3" s="1"/>
  <c r="E151" i="3"/>
  <c r="H151" i="3" s="1"/>
  <c r="E150" i="3"/>
  <c r="H150" i="3" s="1"/>
  <c r="E149" i="3"/>
  <c r="H149" i="3" s="1"/>
  <c r="E148" i="3"/>
  <c r="H148" i="3" s="1"/>
  <c r="E146" i="3"/>
  <c r="H146" i="3" s="1"/>
  <c r="E145" i="3"/>
  <c r="H145" i="3" s="1"/>
  <c r="E144" i="3"/>
  <c r="H144" i="3" s="1"/>
  <c r="E143" i="3"/>
  <c r="E142" i="3"/>
  <c r="E141" i="3"/>
  <c r="H141" i="3" s="1"/>
  <c r="E140" i="3"/>
  <c r="H140" i="3" s="1"/>
  <c r="E139" i="3"/>
  <c r="E138" i="3"/>
  <c r="A139" i="3"/>
  <c r="A140" i="3" s="1"/>
  <c r="A141" i="3" s="1"/>
  <c r="A142" i="3" s="1"/>
  <c r="A143" i="3" s="1"/>
  <c r="A144" i="3" s="1"/>
  <c r="A145" i="3" s="1"/>
  <c r="A146" i="3" s="1"/>
  <c r="H143" i="3"/>
  <c r="H142" i="3"/>
  <c r="H139" i="3"/>
  <c r="H138" i="3"/>
  <c r="G118" i="3"/>
  <c r="G117" i="3"/>
  <c r="J196" i="3" l="1"/>
  <c r="I190" i="3"/>
  <c r="H189" i="3"/>
  <c r="H199" i="3"/>
  <c r="J199" i="3" s="1"/>
  <c r="H192" i="3"/>
  <c r="H185" i="3"/>
  <c r="H194" i="3"/>
  <c r="H201" i="3"/>
  <c r="G122" i="3"/>
  <c r="E128" i="3"/>
  <c r="E122" i="3"/>
  <c r="E124" i="3"/>
  <c r="H182" i="3"/>
  <c r="H191" i="3"/>
  <c r="G128" i="3" s="1"/>
  <c r="E123" i="3"/>
  <c r="H180" i="3"/>
  <c r="E127" i="3"/>
  <c r="H187" i="3"/>
  <c r="H188" i="3"/>
  <c r="H168" i="3"/>
  <c r="E130" i="3" l="1"/>
  <c r="G127" i="3"/>
  <c r="G130" i="3" s="1"/>
  <c r="E131"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I42" i="6" l="1"/>
  <c r="H42" i="6" s="1"/>
  <c r="E42" i="6"/>
  <c r="L42" i="6"/>
  <c r="K42" i="6" s="1"/>
  <c r="D42" i="6"/>
  <c r="D44" i="6" l="1"/>
  <c r="E44" i="6"/>
  <c r="C26" i="3"/>
  <c r="H243" i="3"/>
  <c r="H242" i="3"/>
  <c r="H241" i="3"/>
  <c r="H240" i="3"/>
  <c r="H239" i="3"/>
  <c r="H238" i="3"/>
  <c r="H237" i="3"/>
  <c r="H236" i="3"/>
  <c r="H234" i="3"/>
  <c r="H233" i="3"/>
  <c r="H232" i="3"/>
  <c r="H231" i="3"/>
  <c r="H230" i="3"/>
  <c r="H229" i="3"/>
  <c r="H228" i="3"/>
  <c r="H227" i="3"/>
  <c r="H225" i="3"/>
  <c r="H224" i="3"/>
  <c r="H223" i="3"/>
  <c r="H222" i="3"/>
  <c r="H221" i="3"/>
  <c r="H220" i="3"/>
  <c r="H219" i="3"/>
  <c r="H218" i="3"/>
  <c r="H169" i="3"/>
  <c r="H170" i="3"/>
  <c r="H171" i="3"/>
  <c r="H172" i="3"/>
  <c r="H173" i="3"/>
  <c r="H174" i="3"/>
  <c r="H175" i="3"/>
  <c r="G123" i="3" l="1"/>
  <c r="G124" i="3" s="1"/>
  <c r="G131" i="3" s="1"/>
  <c r="A96" i="3"/>
  <c r="D97" i="3" s="1"/>
  <c r="J106" i="3" s="1"/>
  <c r="A80" i="3"/>
  <c r="D81" i="3" s="1"/>
  <c r="A64" i="3"/>
  <c r="H81" i="3"/>
  <c r="J105"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J90" i="3"/>
  <c r="J89" i="3"/>
  <c r="K12" i="4" l="1"/>
  <c r="K16" i="4" s="1"/>
  <c r="C8" i="4" s="1"/>
  <c r="E8" i="4" s="1"/>
  <c r="E7" i="4"/>
  <c r="F7" i="4" l="1"/>
  <c r="J4" i="4" s="1"/>
  <c r="H7" i="4" s="1"/>
  <c r="G4" i="3" l="1"/>
  <c r="D259" i="3" l="1"/>
  <c r="G119" i="3"/>
  <c r="H65" i="3"/>
  <c r="D77" i="3" l="1"/>
  <c r="D69" i="3"/>
  <c r="D71" i="3"/>
  <c r="D76" i="3"/>
  <c r="D74" i="3"/>
  <c r="D72" i="3"/>
  <c r="D78" i="3"/>
  <c r="D75" i="3"/>
  <c r="D73" i="3"/>
  <c r="D70" i="3"/>
  <c r="J67" i="3"/>
  <c r="J66" i="3"/>
  <c r="J69" i="3"/>
  <c r="J68" i="3"/>
  <c r="C67" i="3" s="1"/>
  <c r="J70" i="3" l="1"/>
  <c r="D67" i="3"/>
  <c r="D94" i="3"/>
  <c r="D86" i="3"/>
  <c r="D89" i="3"/>
  <c r="J83" i="3"/>
  <c r="D93" i="3"/>
  <c r="D87" i="3"/>
  <c r="J82" i="3"/>
  <c r="D92" i="3"/>
  <c r="J85" i="3"/>
  <c r="J86" i="3" s="1"/>
  <c r="D91" i="3"/>
  <c r="D85" i="3"/>
  <c r="J84" i="3"/>
  <c r="C83" i="3" s="1"/>
  <c r="D90" i="3"/>
  <c r="D88" i="3"/>
  <c r="J75" i="3" l="1"/>
  <c r="J76" i="3" s="1"/>
  <c r="C68" i="3"/>
  <c r="D68" i="3" s="1"/>
  <c r="D83" i="3"/>
  <c r="J87" i="3"/>
  <c r="J91" i="3"/>
  <c r="J88" i="3"/>
  <c r="H97" i="3"/>
  <c r="J92" i="3" l="1"/>
  <c r="C84" i="3" s="1"/>
  <c r="D110" i="3"/>
  <c r="D109" i="3"/>
  <c r="D103" i="3"/>
  <c r="J100" i="3"/>
  <c r="C99" i="3" s="1"/>
  <c r="D105" i="3"/>
  <c r="D104" i="3"/>
  <c r="J98" i="3"/>
  <c r="D108" i="3"/>
  <c r="D102" i="3"/>
  <c r="J101" i="3"/>
  <c r="J102" i="3" s="1"/>
  <c r="J103" i="3" s="1"/>
  <c r="J104" i="3" s="1"/>
  <c r="D107" i="3"/>
  <c r="D101" i="3"/>
  <c r="J99" i="3"/>
  <c r="D106" i="3"/>
  <c r="D84" i="3" l="1"/>
  <c r="E83" i="3"/>
  <c r="I80" i="3" s="1"/>
  <c r="G83" i="3" s="1"/>
  <c r="J107" i="3"/>
  <c r="J108" i="3" s="1"/>
  <c r="C100" i="3" s="1"/>
  <c r="D100" i="3" s="1"/>
  <c r="D99" i="3"/>
  <c r="U218" i="3"/>
  <c r="V227" i="3"/>
  <c r="U236" i="3"/>
  <c r="U227" i="3"/>
  <c r="V218" i="3"/>
  <c r="V236" i="3"/>
  <c r="E99" i="3" l="1"/>
  <c r="I96" i="3" s="1"/>
  <c r="G99" i="3" s="1"/>
  <c r="E67" i="3"/>
  <c r="I64" i="3" s="1"/>
  <c r="T236" i="3"/>
  <c r="U237" i="3"/>
  <c r="V237" i="3"/>
  <c r="V238" i="3" s="1"/>
  <c r="V239" i="3" s="1"/>
  <c r="V240" i="3" s="1"/>
  <c r="V241" i="3" s="1"/>
  <c r="V242" i="3" s="1"/>
  <c r="V243" i="3" s="1"/>
  <c r="T227" i="3"/>
  <c r="U228" i="3"/>
  <c r="V228" i="3"/>
  <c r="V229" i="3" s="1"/>
  <c r="V230" i="3" s="1"/>
  <c r="V231" i="3" s="1"/>
  <c r="V232" i="3" s="1"/>
  <c r="V233" i="3" s="1"/>
  <c r="V234" i="3" s="1"/>
  <c r="V219" i="3"/>
  <c r="V220" i="3" s="1"/>
  <c r="V221" i="3" s="1"/>
  <c r="V222" i="3" s="1"/>
  <c r="V223" i="3" s="1"/>
  <c r="V224" i="3" s="1"/>
  <c r="V225" i="3" s="1"/>
  <c r="U219" i="3"/>
  <c r="T218" i="3"/>
  <c r="G111" i="3" l="1"/>
  <c r="G67" i="3"/>
  <c r="A236" i="3"/>
  <c r="A227" i="3"/>
  <c r="A218" i="3"/>
  <c r="T237" i="3"/>
  <c r="A237" i="3" s="1"/>
  <c r="U238" i="3"/>
  <c r="T238" i="3" s="1"/>
  <c r="T228" i="3"/>
  <c r="A228" i="3" s="1"/>
  <c r="U229" i="3"/>
  <c r="T229" i="3" s="1"/>
  <c r="U220" i="3"/>
  <c r="T219" i="3"/>
  <c r="A219" i="3" s="1"/>
  <c r="A238" i="3" l="1"/>
  <c r="A229" i="3"/>
  <c r="U239" i="3"/>
  <c r="T239" i="3" s="1"/>
  <c r="U230" i="3"/>
  <c r="T230" i="3" s="1"/>
  <c r="U221" i="3"/>
  <c r="T220" i="3"/>
  <c r="A220" i="3" s="1"/>
  <c r="A239" i="3" l="1"/>
  <c r="A230" i="3"/>
  <c r="U240" i="3"/>
  <c r="T240" i="3" s="1"/>
  <c r="U231" i="3"/>
  <c r="T231" i="3" s="1"/>
  <c r="U222" i="3"/>
  <c r="T221" i="3"/>
  <c r="A221" i="3" s="1"/>
  <c r="A240" i="3" l="1"/>
  <c r="A231" i="3"/>
  <c r="U241" i="3"/>
  <c r="T241" i="3" s="1"/>
  <c r="U232" i="3"/>
  <c r="T232" i="3" s="1"/>
  <c r="U223" i="3"/>
  <c r="T222" i="3"/>
  <c r="A222" i="3" s="1"/>
  <c r="A241" i="3" l="1"/>
  <c r="A232" i="3"/>
  <c r="U242" i="3"/>
  <c r="T242" i="3" s="1"/>
  <c r="U233" i="3"/>
  <c r="T233" i="3" s="1"/>
  <c r="U224" i="3"/>
  <c r="T223" i="3"/>
  <c r="A223" i="3" s="1"/>
  <c r="A242" i="3" l="1"/>
  <c r="A233" i="3"/>
  <c r="U243" i="3"/>
  <c r="T243" i="3" s="1"/>
  <c r="U234" i="3"/>
  <c r="T234" i="3" s="1"/>
  <c r="U225" i="3"/>
  <c r="T224" i="3"/>
  <c r="A224" i="3" s="1"/>
  <c r="A243" i="3" l="1"/>
  <c r="A234" i="3"/>
  <c r="T225" i="3"/>
  <c r="A225"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7"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<sst xmlns="http://schemas.openxmlformats.org/spreadsheetml/2006/main" count="720" uniqueCount="384">
  <si>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</si>
  <si>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</si>
  <si>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</si>
  <si>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</si>
  <si>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</si>
  <si>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</si>
  <si>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</si>
  <si>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</si>
  <si>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</si>
  <si>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</si>
  <si>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</si>
  <si>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</si>
  <si>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</si>
  <si>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</si>
  <si>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</si>
  <si>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</si>
  <si>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</si>
  <si>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</si>
  <si>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</si>
  <si>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</si>
  <si>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</si>
  <si>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</si>
  <si>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</si>
  <si>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</si>
  <si>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</si>
  <si>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</si>
  <si>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</si>
  <si>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</si>
  <si>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</si>
  <si>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</si>
  <si>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</si>
  <si>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</si>
  <si>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</si>
  <si>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</si>
  <si>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</si>
  <si>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</si>
  <si>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</si>
  <si>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</si>
  <si>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</si>
  <si>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</si>
  <si>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</si>
  <si>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</si>
  <si>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</si>
  <si>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</si>
  <si>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</si>
  <si>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</si>
  <si>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</si>
  <si>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</si>
  <si>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</si>
  <si>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</si>
  <si>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</si>
  <si>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</si>
  <si>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</si>
  <si>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</si>
  <si>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</si>
  <si>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</si>
  <si>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</si>
  <si>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</si>
  <si>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</si>
  <si>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</si>
  <si>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</si>
  <si>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</si>
  <si>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</si>
  <si>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</si>
  <si>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</si>
  <si>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</si>
  <si>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</si>
  <si>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</si>
  <si>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</si>
  <si>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</si>
  <si>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</si>
  <si>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</si>
  <si>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</si>
  <si>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</si>
  <si>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</si>
  <si>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</si>
  <si>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</si>
  <si>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</si>
  <si>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</si>
  <si>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</si>
  <si>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</si>
  <si>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</si>
  <si>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</si>
  <si>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</si>
  <si>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</si>
  <si>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</si>
  <si>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</si>
  <si>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</si>
  <si>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</si>
  <si>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</si>
  <si>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</si>
  <si>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</si>
  <si>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</si>
  <si>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</si>
  <si>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</si>
  <si>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</si>
  <si>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</si>
  <si>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</si>
  <si>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</si>
  <si>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</si>
  <si>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</si>
  <si>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</si>
  <si>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</si>
  <si>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</si>
  <si>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</si>
  <si>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</si>
  <si>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</si>
  <si>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</si>
  <si>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</si>
  <si>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</si>
  <si>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</si>
  <si>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</si>
  <si>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</si>
  <si>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</si>
  <si>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</si>
  <si>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</si>
  <si>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</si>
  <si>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</si>
  <si>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</si>
  <si>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</si>
  <si>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</si>
  <si>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</si>
  <si>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</si>
  <si>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</si>
  <si>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</si>
  <si>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</si>
  <si>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</si>
  <si>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</si>
  <si>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</si>
  <si>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</si>
  <si>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</si>
  <si>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</si>
  <si>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</si>
  <si>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</si>
  <si>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</si>
  <si>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</si>
  <si>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</si>
  <si>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</si>
  <si>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</si>
  <si>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</si>
  <si>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</si>
  <si>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</si>
  <si>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</si>
  <si>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</si>
  <si>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</si>
  <si>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</si>
  <si>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</si>
  <si>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</si>
  <si>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</si>
  <si>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</si>
  <si>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</si>
  <si>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</si>
  <si>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</si>
  <si>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</si>
  <si>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</si>
  <si>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</si>
  <si>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</si>
  <si>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</si>
  <si>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</si>
  <si>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</si>
  <si>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</si>
  <si>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</si>
  <si>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</si>
  <si>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</si>
  <si>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</si>
  <si>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</si>
  <si>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</si>
  <si>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</si>
  <si>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</si>
  <si>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</si>
  <si>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</si>
  <si>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</si>
  <si>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</si>
  <si>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</si>
  <si>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</si>
  <si>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</si>
  <si>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</si>
  <si>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</si>
  <si>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</si>
  <si>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</si>
  <si>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</si>
  <si>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</si>
  <si>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</si>
  <si>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</si>
  <si>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</si>
  <si>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</si>
  <si>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</si>
  <si>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</si>
  <si>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</si>
  <si>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</si>
  <si>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</si>
  <si>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</si>
  <si>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</si>
  <si>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</si>
  <si>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</si>
  <si>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</si>
  <si>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</si>
  <si>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</si>
  <si>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</si>
  <si>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</si>
  <si>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</si>
  <si>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</si>
  <si>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</si>
  <si>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</si>
  <si>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</si>
  <si>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</si>
  <si>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</si>
  <si>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</si>
  <si>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</si>
  <si>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</si>
  <si>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</si>
  <si>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</si>
  <si>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</si>
  <si>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</si>
  <si>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</si>
  <si>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</si>
  <si>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</si>
  <si>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</si>
  <si>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</si>
  <si>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</si>
  <si>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</si>
  <si>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</si>
  <si>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</si>
  <si>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</si>
  <si>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</si>
  <si>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</si>
  <si>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</si>
  <si>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</si>
  <si>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</si>
  <si>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</si>
  <si>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</si>
  <si>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</si>
  <si>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</si>
  <si>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</si>
  <si>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</si>
  <si>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</si>
  <si>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</si>
  <si>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</si>
  <si>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</si>
  <si>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</si>
  <si>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CC Details
Valid Up to: </t>
  </si>
  <si>
    <t>Valid Upto 
Date</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</si>
  <si>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</si>
  <si>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</si>
  <si>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</si>
  <si>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</si>
  <si>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</si>
  <si>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</si>
  <si>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</si>
  <si>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</si>
  <si>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</si>
  <si>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</si>
  <si>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</si>
  <si>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</si>
  <si>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</si>
  <si>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</si>
  <si>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</si>
  <si>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</si>
  <si>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</si>
  <si>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</si>
  <si>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</si>
  <si>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</si>
  <si>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</si>
  <si>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</si>
  <si>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</si>
  <si>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</si>
  <si>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</si>
  <si>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</si>
  <si>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</si>
  <si>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</si>
  <si>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</si>
  <si>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</si>
  <si>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</si>
  <si>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</si>
  <si>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</si>
  <si>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</si>
  <si>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</si>
  <si>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</si>
  <si>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</si>
  <si>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</si>
  <si>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</si>
  <si>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</si>
  <si>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</si>
  <si>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</si>
  <si>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</si>
  <si>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</si>
  <si>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</si>
  <si>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</si>
  <si>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</si>
  <si>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</si>
  <si>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</si>
  <si>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</si>
  <si>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</si>
  <si>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</si>
  <si>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</si>
  <si>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</si>
  <si>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</si>
  <si>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</si>
  <si>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</si>
  <si>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</si>
  <si>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</si>
  <si>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</si>
  <si>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</si>
  <si>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</si>
  <si>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Raheja Antares Tower A </t>
  </si>
  <si>
    <t>K Raheja Corp Real Estate Private Limited</t>
  </si>
  <si>
    <t>Raheja Tower, Plot no C, Raheja, 30, G Block Rd, opposite Small Industries Development Bank of India, Bandra Kurla Complex, Bandra East, Mumbai, Maharashtra 400051</t>
  </si>
  <si>
    <t>Brihanmumbai Municipal Corporation</t>
  </si>
  <si>
    <t>P51800077483</t>
  </si>
  <si>
    <t>Upper</t>
  </si>
  <si>
    <t>Concrete</t>
  </si>
  <si>
    <t>Other Plot</t>
  </si>
  <si>
    <t>30.50M Wide LBS Road</t>
  </si>
  <si>
    <t>Other Plot/47.50M Wide JVL Road</t>
  </si>
  <si>
    <t>19.126127,72.926390</t>
  </si>
  <si>
    <t>Jogeshwari - Vikhroli Link Road</t>
  </si>
  <si>
    <t>LBS Marg</t>
  </si>
  <si>
    <t>Road</t>
  </si>
  <si>
    <t>Tower A</t>
  </si>
  <si>
    <t>Basement + LG + UG + 1st to 28th Floor</t>
  </si>
  <si>
    <t>P-18798/2023/(112A/1)/S Ward/HARIYALI-W/337/1/New</t>
  </si>
  <si>
    <t>P-18798/2023/(112A/1)/S Ward/HARIYALI-W/CC/1/New</t>
  </si>
  <si>
    <t xml:space="preserve">C.C. up to basement top for Tower A &amp; Tower B for Phase-I as per approved IOD Plans dated 29.04.2024.
</t>
  </si>
  <si>
    <t>Fire NOC Details</t>
  </si>
  <si>
    <t>Basement Floor For Pump Room &amp; Parking</t>
  </si>
  <si>
    <t>Lower Ground Floor For Parking</t>
  </si>
  <si>
    <t>Upper Ground Floor For Commercial, Entrance Lobby &amp; Parking</t>
  </si>
  <si>
    <t>Flat No./ Shop No.
(Approved
Plan)</t>
  </si>
  <si>
    <t>Flat No./Shop No.
(Sale Plan)</t>
  </si>
  <si>
    <t>Shop</t>
  </si>
  <si>
    <t>1st Floor For Commercial</t>
  </si>
  <si>
    <t>Office</t>
  </si>
  <si>
    <t>2nd Floor For Commercial &amp; Society Office</t>
  </si>
  <si>
    <t>3rd Floor</t>
  </si>
  <si>
    <t>4th Floor ( Service Floor)</t>
  </si>
  <si>
    <t>6th, 13th &amp; 20th Floor (Part Refuge Area)</t>
  </si>
  <si>
    <t>3BHK</t>
  </si>
  <si>
    <t>Refuge Area</t>
  </si>
  <si>
    <t>2BHK</t>
  </si>
  <si>
    <t>Deck Area + Utility Area</t>
  </si>
  <si>
    <t>7th to 12th, 14th to 19th &amp; 21st to 26th Floor</t>
  </si>
  <si>
    <t>27th Floor (Part Refuge Area)</t>
  </si>
  <si>
    <t>28th Floor (Part Terrace Area)</t>
  </si>
  <si>
    <t>Terrace Area</t>
  </si>
  <si>
    <t xml:space="preserve">We considered Gross carpet area = Net carpet + Deck Area + Utility Area.
</t>
  </si>
  <si>
    <t>RERA Carpet area</t>
  </si>
  <si>
    <t>5th Floor For Amenity</t>
  </si>
  <si>
    <t>Shops</t>
  </si>
  <si>
    <t>Flats</t>
  </si>
  <si>
    <t>https://maps.app.goo.gl/FnkM99MXnCvwgrkQ9</t>
  </si>
  <si>
    <t>Kendriya Vidyalaya Bhandup</t>
  </si>
  <si>
    <t>Art Corner, Badminton Court, Gym, Jogging Track, Kids Play Area, Mini Theatre, Outdoor Café, Squash Court, Star Gazing Deck, Organic Farming Garden, Cricket Net, Sit-out Area</t>
  </si>
  <si>
    <t>0.85KM from Kendriya Vidyalaya Bhandup</t>
  </si>
  <si>
    <t>1. 0.55KM from Reliance Digital .
2. 1.4KM from Dmart.</t>
  </si>
  <si>
    <t>2.2KM from Dr.L H Hiranandani Hospital</t>
  </si>
  <si>
    <t>0.3 KM from Gandhi Nagar Bus Stop</t>
  </si>
  <si>
    <t>We have taken Approved Plan from MCGM Site.</t>
  </si>
  <si>
    <t>0.85KM from Kanjurmarg Railway Station
2.1KM from Vikhroli Railway Station</t>
  </si>
  <si>
    <t>CC, RERA certificate, Fire NOC</t>
  </si>
  <si>
    <t>Mumbai - RO Thane</t>
  </si>
  <si>
    <t>Proposed Residential &amp; Commercial Building , CTS No.112A/1, 112A/2 &amp; 112A/3, Haryali-W, S Ward, Mumbai</t>
  </si>
  <si>
    <t xml:space="preserve">Raheja Antares Tower A, CTS No.112A/1, 112A/2 &amp; 112A/3, near Kendriya Vidyalaya Bhandup, Jogeshwari - Vikhroli Link Road, Bhandup West, Hariyali, Kanjurmarg West, Kurla, Mumbai - 400078. </t>
  </si>
  <si>
    <t>15M</t>
  </si>
  <si>
    <t>Raheja Antares- Tower A, 112A/1, 112A/2, 112A/3, Hariyali, Kurla, Kanjurmarg West, Bhandup West, Mumbai Suburban, Maharashtra 400078</t>
  </si>
  <si>
    <t>Check for Railway NOC &amp; Metro NOC</t>
  </si>
  <si>
    <t>Railway track</t>
  </si>
  <si>
    <t>Industrial to Residential area conversion Letter Details</t>
  </si>
  <si>
    <t>Dy.Ch.E./B.P./3488/E.S</t>
  </si>
  <si>
    <t xml:space="preserve">Multipurpose Room
</t>
  </si>
  <si>
    <t>As per RERA Site Flats = 109, Multipurpose Room = 20 &amp; Shop = 16, Office = 17</t>
  </si>
  <si>
    <t>Flats = 109, Multipurpose Room = 20,
Shop = 25 &amp; Office = 11</t>
  </si>
  <si>
    <t>25000 to 26000</t>
  </si>
  <si>
    <t>Basement + LG + UG + 1st to 33rd Floor</t>
  </si>
  <si>
    <t>Mr. Prathamesh 9987387049</t>
  </si>
  <si>
    <t>Nainesh Tambe</t>
  </si>
  <si>
    <t>Construction work is in process at the time of visit (Labour found).</t>
  </si>
  <si>
    <t>07/07/2025 at 12:42PM</t>
  </si>
  <si>
    <t>Mr. Suraj Khare</t>
  </si>
  <si>
    <t>P-18798/2023/(112A/1)/S Ward/HARIYALI-W/CC/ 1/Amend</t>
  </si>
  <si>
    <t xml:space="preserve">Tower A </t>
  </si>
  <si>
    <t>We have updated CC from MCGM Site on 07/07/2025.</t>
  </si>
  <si>
    <t xml:space="preserve">Re- endorsement of C.C. upto basement top as per amended plans approval dated 11/02/2025. (CC Valid upto 25.06.2025) SWM NOC and Janta Insurance Policy shall be renewed time to time.
</t>
  </si>
  <si>
    <t xml:space="preserve">P-18798/2023/(112A/1)/S Ward/Hariyali-W-CFO/1/New
Tower-'A' single basement (-6.25mtrs.) for pump rooms, U.G. tanks, two tier stack/surface car &amp; 02 wheeler parking + lower ground floor (-2.40mtrs.) partly for 02 wheeler parking &amp; partly as podium for parking + ground floor (0.00mtr) partly for shops &amp; partly as podium for parking + 1st to 3rd floors . 5th podium + 6th to 33rd upper residential floors with a total height of 114.30 mtrs. </t>
  </si>
  <si>
    <t>Please provide Approved plans dtd.11/02/2025.</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</si>
</sst>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b/>
      <sz val="12"/>
      <color indexed="8"/>
      <name val="Times New Roman"/>
      <family val="1"/>
    </font>
    <font>
      <b/>
      <sz val="14"/>
      <color indexed="8"/>
      <name val="Times New Roman"/>
      <family val="1"/>
    </font>
    <font>
      <u/>
      <sz val="11"/>
      <color theme="10"/>
      <name val="Calibri"/>
      <family val="2"/>
    </font>
    <font>
      <u/>
      <sz val="16"/>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27" fillId="0" borderId="0" applyNumberFormat="0" applyFill="0" applyBorder="0" applyAlignment="0" applyProtection="0"/>
  </cellStyleXfs>
  <cellXfs count="219">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 fontId="6" fillId="4" borderId="2" xfId="1" applyNumberFormat="1" applyFont="1" applyFill="1" applyBorder="1" applyAlignment="1">
      <alignment horizontal="center" vertical="top" wrapText="1"/>
    </xf>
    <xf numFmtId="0" fontId="2" fillId="0" borderId="1" xfId="0" applyFont="1" applyBorder="1" applyAlignment="1">
      <alignment horizontal="center"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1" fontId="25" fillId="0" borderId="1" xfId="1" applyNumberFormat="1" applyFont="1" applyBorder="1" applyAlignment="1">
      <alignment horizontal="center" vertical="center" wrapText="1"/>
    </xf>
    <xf numFmtId="1" fontId="26" fillId="0" borderId="1" xfId="1" applyNumberFormat="1" applyFont="1" applyBorder="1" applyAlignment="1">
      <alignment horizontal="center" vertical="top" wrapText="1"/>
    </xf>
    <xf numFmtId="1" fontId="3" fillId="0" borderId="0" xfId="0" applyNumberFormat="1" applyFont="1" applyAlignment="1">
      <alignment vertical="top"/>
    </xf>
    <xf numFmtId="0" fontId="3" fillId="0" borderId="0" xfId="0" applyFont="1" applyAlignment="1">
      <alignment horizontal="left" vertical="top"/>
    </xf>
    <xf numFmtId="0" fontId="6" fillId="4" borderId="1" xfId="1" applyNumberFormat="1" applyFont="1" applyFill="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4" fontId="3" fillId="0" borderId="0" xfId="0" applyNumberFormat="1" applyFont="1" applyAlignment="1">
      <alignment vertical="top"/>
    </xf>
    <xf numFmtId="0" fontId="4" fillId="4" borderId="1" xfId="0" applyFont="1" applyFill="1" applyBorder="1" applyAlignment="1">
      <alignment horizontal="center" vertical="top" wrapText="1"/>
    </xf>
    <xf numFmtId="0" fontId="2" fillId="0" borderId="1" xfId="0" applyFont="1" applyBorder="1" applyAlignment="1">
      <alignment horizontal="center" vertical="top" wrapText="1"/>
    </xf>
    <xf numFmtId="14" fontId="4" fillId="4" borderId="1" xfId="0" applyNumberFormat="1" applyFont="1" applyFill="1" applyBorder="1" applyAlignment="1">
      <alignment horizontal="center"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6" fillId="4" borderId="7" xfId="1" applyNumberFormat="1" applyFont="1" applyFill="1" applyBorder="1" applyAlignment="1">
      <alignment horizontal="center" vertical="center" wrapText="1"/>
    </xf>
    <xf numFmtId="0" fontId="6" fillId="4" borderId="4" xfId="1" applyNumberFormat="1" applyFont="1" applyFill="1" applyBorder="1" applyAlignment="1">
      <alignment horizontal="center" vertical="center" wrapText="1"/>
    </xf>
    <xf numFmtId="0" fontId="6" fillId="4" borderId="9" xfId="1" applyNumberFormat="1" applyFont="1" applyFill="1" applyBorder="1" applyAlignment="1">
      <alignment horizontal="center" vertical="center" wrapText="1"/>
    </xf>
    <xf numFmtId="0" fontId="6" fillId="4" borderId="12" xfId="1" applyNumberFormat="1" applyFont="1" applyFill="1" applyBorder="1" applyAlignment="1">
      <alignment horizontal="center" vertical="center" wrapText="1"/>
    </xf>
    <xf numFmtId="0" fontId="6" fillId="4" borderId="8" xfId="1" applyNumberFormat="1" applyFont="1" applyFill="1" applyBorder="1" applyAlignment="1">
      <alignment horizontal="center" vertical="center" wrapText="1"/>
    </xf>
    <xf numFmtId="0" fontId="6" fillId="4" borderId="13" xfId="1" applyNumberFormat="1" applyFont="1" applyFill="1" applyBorder="1" applyAlignment="1">
      <alignment horizontal="center" vertical="center" wrapText="1"/>
    </xf>
    <xf numFmtId="1" fontId="6" fillId="4" borderId="6" xfId="1" applyNumberFormat="1" applyFont="1" applyFill="1" applyBorder="1" applyAlignment="1">
      <alignment horizontal="center" vertical="top" wrapText="1"/>
    </xf>
    <xf numFmtId="1" fontId="6" fillId="4" borderId="20"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0" borderId="1" xfId="0" applyFont="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0" fontId="4" fillId="0" borderId="1" xfId="0" applyFont="1" applyBorder="1" applyAlignment="1">
      <alignment horizontal="center" vertical="top" wrapText="1"/>
    </xf>
    <xf numFmtId="0" fontId="2" fillId="2" borderId="1" xfId="0" applyFont="1" applyFill="1" applyBorder="1" applyAlignment="1">
      <alignment horizontal="center" vertical="top" wrapText="1"/>
    </xf>
    <xf numFmtId="0" fontId="4" fillId="0" borderId="1" xfId="0" applyFont="1" applyBorder="1" applyAlignment="1">
      <alignment horizontal="center" vertical="center"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3" fillId="4" borderId="1" xfId="0" applyFont="1" applyFill="1" applyBorder="1" applyAlignment="1">
      <alignment horizontal="center" vertical="top" wrapText="1"/>
    </xf>
    <xf numFmtId="0" fontId="3" fillId="4" borderId="1" xfId="0" applyFont="1" applyFill="1" applyBorder="1" applyAlignment="1">
      <alignment horizontal="left" vertical="top" wrapText="1"/>
    </xf>
    <xf numFmtId="0" fontId="28" fillId="4" borderId="1" xfId="2"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xf>
    <xf numFmtId="0" fontId="2" fillId="4" borderId="1" xfId="0" applyFont="1" applyFill="1" applyBorder="1" applyAlignment="1">
      <alignment horizontal="left" vertical="top" wrapText="1"/>
    </xf>
    <xf numFmtId="0" fontId="9" fillId="4" borderId="2"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1" fontId="3" fillId="4" borderId="2" xfId="1" applyNumberFormat="1" applyFont="1" applyFill="1" applyBorder="1" applyAlignment="1">
      <alignment horizontal="center" vertical="center" wrapText="1"/>
    </xf>
    <xf numFmtId="1" fontId="3" fillId="4" borderId="5" xfId="1" applyNumberFormat="1"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1" fontId="4" fillId="4" borderId="1"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4" fontId="4" fillId="4" borderId="2" xfId="0" applyNumberFormat="1"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1" fontId="3" fillId="4" borderId="1" xfId="1" applyNumberFormat="1" applyFont="1" applyFill="1" applyBorder="1" applyAlignment="1">
      <alignment horizontal="center" vertical="center" wrapText="1"/>
    </xf>
    <xf numFmtId="0" fontId="4" fillId="4" borderId="1" xfId="0" applyFont="1" applyFill="1" applyBorder="1" applyAlignment="1">
      <alignment horizontal="left" vertical="top"/>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8</xdr:col>
      <xdr:colOff>278466</xdr:colOff>
      <xdr:row>111</xdr:row>
      <xdr:rowOff>122704</xdr:rowOff>
    </xdr:from>
    <xdr:to>
      <xdr:col>14</xdr:col>
      <xdr:colOff>139049</xdr:colOff>
      <xdr:row>118</xdr:row>
      <xdr:rowOff>55254</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651066" y="31955254"/>
          <a:ext cx="5791937" cy="2475726"/>
        </a:xfrm>
        <a:prstGeom prst="rect">
          <a:avLst/>
        </a:prstGeom>
        <a:ln>
          <a:solidFill>
            <a:schemeClr val="tx1"/>
          </a:solidFill>
        </a:ln>
      </xdr:spPr>
    </xdr:pic>
    <xdr:clientData/>
  </xdr:twoCellAnchor>
  <xdr:twoCellAnchor editAs="oneCell">
    <xdr:from>
      <xdr:col>8</xdr:col>
      <xdr:colOff>291353</xdr:colOff>
      <xdr:row>20</xdr:row>
      <xdr:rowOff>761999</xdr:rowOff>
    </xdr:from>
    <xdr:to>
      <xdr:col>15</xdr:col>
      <xdr:colOff>246683</xdr:colOff>
      <xdr:row>27</xdr:row>
      <xdr:rowOff>324162</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9704294" y="11093823"/>
          <a:ext cx="6457143" cy="3266667"/>
        </a:xfrm>
        <a:prstGeom prst="rect">
          <a:avLst/>
        </a:prstGeom>
        <a:ln>
          <a:solidFill>
            <a:schemeClr val="tx1"/>
          </a:solidFill>
        </a:ln>
      </xdr:spPr>
    </xdr:pic>
    <xdr:clientData/>
  </xdr:twoCellAnchor>
  <xdr:twoCellAnchor>
    <xdr:from>
      <xdr:col>0</xdr:col>
      <xdr:colOff>693963</xdr:colOff>
      <xdr:row>306</xdr:row>
      <xdr:rowOff>-1</xdr:rowOff>
    </xdr:from>
    <xdr:to>
      <xdr:col>7</xdr:col>
      <xdr:colOff>422463</xdr:colOff>
      <xdr:row>328</xdr:row>
      <xdr:rowOff>72214</xdr:rowOff>
    </xdr:to>
    <xdr:grpSp>
      <xdr:nvGrpSpPr>
        <xdr:cNvPr id="12" name="Group 11">
          <a:extLst>
            <a:ext uri="{FF2B5EF4-FFF2-40B4-BE49-F238E27FC236}">
              <a16:creationId xmlns:a16="http://schemas.microsoft.com/office/drawing/2014/main" xmlns="" id="{00000000-0008-0000-0000-00000C000000}"/>
            </a:ext>
          </a:extLst>
        </xdr:cNvPr>
        <xdr:cNvGrpSpPr/>
      </xdr:nvGrpSpPr>
      <xdr:grpSpPr>
        <a:xfrm>
          <a:off x="693963" y="73546606"/>
          <a:ext cx="7920000" cy="5760001"/>
          <a:chOff x="647489" y="537029"/>
          <a:chExt cx="4905375" cy="3552825"/>
        </a:xfrm>
      </xdr:grpSpPr>
      <xdr:grpSp>
        <xdr:nvGrpSpPr>
          <xdr:cNvPr id="13" name="Group 12">
            <a:extLst>
              <a:ext uri="{FF2B5EF4-FFF2-40B4-BE49-F238E27FC236}">
                <a16:creationId xmlns:a16="http://schemas.microsoft.com/office/drawing/2014/main" xmlns="" id="{00000000-0008-0000-0000-00000D000000}"/>
              </a:ext>
            </a:extLst>
          </xdr:cNvPr>
          <xdr:cNvGrpSpPr/>
        </xdr:nvGrpSpPr>
        <xdr:grpSpPr>
          <a:xfrm>
            <a:off x="647489" y="537029"/>
            <a:ext cx="4905375" cy="3552825"/>
            <a:chOff x="647489" y="537029"/>
            <a:chExt cx="4905375" cy="3552825"/>
          </a:xfrm>
        </xdr:grpSpPr>
        <xdr:pic>
          <xdr:nvPicPr>
            <xdr:cNvPr id="16" name="Picture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3"/>
            <a:stretch>
              <a:fillRect/>
            </a:stretch>
          </xdr:blipFill>
          <xdr:spPr>
            <a:xfrm>
              <a:off x="647489" y="537029"/>
              <a:ext cx="4905375" cy="3552825"/>
            </a:xfrm>
            <a:prstGeom prst="rect">
              <a:avLst/>
            </a:prstGeom>
            <a:ln>
              <a:solidFill>
                <a:schemeClr val="tx1"/>
              </a:solidFill>
            </a:ln>
          </xdr:spPr>
        </xdr:pic>
        <xdr:sp macro="" textlink="">
          <xdr:nvSpPr>
            <xdr:cNvPr id="17" name="Rectangle 16">
              <a:extLst>
                <a:ext uri="{FF2B5EF4-FFF2-40B4-BE49-F238E27FC236}">
                  <a16:creationId xmlns:a16="http://schemas.microsoft.com/office/drawing/2014/main" xmlns="" id="{00000000-0008-0000-0000-000011000000}"/>
                </a:ext>
              </a:extLst>
            </xdr:cNvPr>
            <xdr:cNvSpPr/>
          </xdr:nvSpPr>
          <xdr:spPr>
            <a:xfrm rot="732762">
              <a:off x="984250" y="1361310"/>
              <a:ext cx="914400" cy="914400"/>
            </a:xfrm>
            <a:prstGeom prst="rect">
              <a:avLst/>
            </a:prstGeom>
            <a:noFill/>
            <a:ln w="28575">
              <a:solidFill>
                <a:srgbClr val="0ADCE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8" name="TextBox 23">
              <a:extLst>
                <a:ext uri="{FF2B5EF4-FFF2-40B4-BE49-F238E27FC236}">
                  <a16:creationId xmlns:a16="http://schemas.microsoft.com/office/drawing/2014/main" xmlns="" id="{00000000-0008-0000-0000-000012000000}"/>
                </a:ext>
              </a:extLst>
            </xdr:cNvPr>
            <xdr:cNvSpPr txBox="1"/>
          </xdr:nvSpPr>
          <xdr:spPr>
            <a:xfrm rot="864867">
              <a:off x="821811" y="2263993"/>
              <a:ext cx="96077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0ADCE6"/>
                  </a:solidFill>
                </a:rPr>
                <a:t>Tower A</a:t>
              </a:r>
              <a:endParaRPr lang="en-IN" b="1">
                <a:solidFill>
                  <a:srgbClr val="0ADCE6"/>
                </a:solidFill>
              </a:endParaRPr>
            </a:p>
          </xdr:txBody>
        </xdr:sp>
        <xdr:sp macro="" textlink="">
          <xdr:nvSpPr>
            <xdr:cNvPr id="19" name="Rectangle 18">
              <a:extLst>
                <a:ext uri="{FF2B5EF4-FFF2-40B4-BE49-F238E27FC236}">
                  <a16:creationId xmlns:a16="http://schemas.microsoft.com/office/drawing/2014/main" xmlns="" id="{00000000-0008-0000-0000-000013000000}"/>
                </a:ext>
              </a:extLst>
            </xdr:cNvPr>
            <xdr:cNvSpPr/>
          </xdr:nvSpPr>
          <xdr:spPr>
            <a:xfrm rot="920917">
              <a:off x="3426984" y="1995838"/>
              <a:ext cx="979472" cy="90564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0" name="TextBox 25">
              <a:extLst>
                <a:ext uri="{FF2B5EF4-FFF2-40B4-BE49-F238E27FC236}">
                  <a16:creationId xmlns:a16="http://schemas.microsoft.com/office/drawing/2014/main" xmlns="" id="{00000000-0008-0000-0000-000014000000}"/>
                </a:ext>
              </a:extLst>
            </xdr:cNvPr>
            <xdr:cNvSpPr txBox="1"/>
          </xdr:nvSpPr>
          <xdr:spPr>
            <a:xfrm>
              <a:off x="3441141" y="2168742"/>
              <a:ext cx="95115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Tower B</a:t>
              </a:r>
              <a:endParaRPr lang="en-IN" b="1">
                <a:solidFill>
                  <a:srgbClr val="FFFF00"/>
                </a:solidFill>
              </a:endParaRPr>
            </a:p>
          </xdr:txBody>
        </xdr:sp>
        <xdr:sp macro="" textlink="">
          <xdr:nvSpPr>
            <xdr:cNvPr id="21" name="TextBox 27">
              <a:extLst>
                <a:ext uri="{FF2B5EF4-FFF2-40B4-BE49-F238E27FC236}">
                  <a16:creationId xmlns:a16="http://schemas.microsoft.com/office/drawing/2014/main" xmlns="" id="{00000000-0008-0000-0000-000015000000}"/>
                </a:ext>
              </a:extLst>
            </xdr:cNvPr>
            <xdr:cNvSpPr txBox="1"/>
          </xdr:nvSpPr>
          <xdr:spPr>
            <a:xfrm>
              <a:off x="647489" y="537029"/>
              <a:ext cx="1631665" cy="369332"/>
            </a:xfrm>
            <a:prstGeom prst="rect">
              <a:avLst/>
            </a:prstGeom>
            <a:solidFill>
              <a:schemeClr val="bg1">
                <a:lumMod val="9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Raheja Antares</a:t>
              </a:r>
              <a:endParaRPr lang="en-IN" b="1"/>
            </a:p>
          </xdr:txBody>
        </xdr:sp>
      </xdr:grpSp>
      <xdr:sp macro="" textlink="">
        <xdr:nvSpPr>
          <xdr:cNvPr id="14" name="Right Arrow 13">
            <a:extLst>
              <a:ext uri="{FF2B5EF4-FFF2-40B4-BE49-F238E27FC236}">
                <a16:creationId xmlns:a16="http://schemas.microsoft.com/office/drawing/2014/main" xmlns="" id="{00000000-0008-0000-0000-00000E000000}"/>
              </a:ext>
            </a:extLst>
          </xdr:cNvPr>
          <xdr:cNvSpPr/>
        </xdr:nvSpPr>
        <xdr:spPr>
          <a:xfrm rot="16767648">
            <a:off x="1463321" y="3057029"/>
            <a:ext cx="350114" cy="33736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5" name="TextBox 31">
            <a:extLst>
              <a:ext uri="{FF2B5EF4-FFF2-40B4-BE49-F238E27FC236}">
                <a16:creationId xmlns:a16="http://schemas.microsoft.com/office/drawing/2014/main" xmlns="" id="{00000000-0008-0000-0000-00000F000000}"/>
              </a:ext>
            </a:extLst>
          </xdr:cNvPr>
          <xdr:cNvSpPr txBox="1"/>
        </xdr:nvSpPr>
        <xdr:spPr>
          <a:xfrm>
            <a:off x="1441450" y="3383778"/>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grpSp>
    <xdr:clientData/>
  </xdr:twoCellAnchor>
  <xdr:twoCellAnchor editAs="oneCell">
    <xdr:from>
      <xdr:col>1</xdr:col>
      <xdr:colOff>1064985</xdr:colOff>
      <xdr:row>355</xdr:row>
      <xdr:rowOff>176893</xdr:rowOff>
    </xdr:from>
    <xdr:to>
      <xdr:col>5</xdr:col>
      <xdr:colOff>792846</xdr:colOff>
      <xdr:row>366</xdr:row>
      <xdr:rowOff>213000</xdr:rowOff>
    </xdr:to>
    <xdr:pic>
      <xdr:nvPicPr>
        <xdr:cNvPr id="22" name="Picture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235199" y="83765572"/>
          <a:ext cx="4408718" cy="2880000"/>
        </a:xfrm>
        <a:prstGeom prst="rect">
          <a:avLst/>
        </a:prstGeom>
        <a:ln>
          <a:solidFill>
            <a:schemeClr val="tx1"/>
          </a:solidFill>
        </a:ln>
      </xdr:spPr>
    </xdr:pic>
    <xdr:clientData/>
  </xdr:twoCellAnchor>
  <xdr:twoCellAnchor>
    <xdr:from>
      <xdr:col>1</xdr:col>
      <xdr:colOff>81644</xdr:colOff>
      <xdr:row>367</xdr:row>
      <xdr:rowOff>169939</xdr:rowOff>
    </xdr:from>
    <xdr:to>
      <xdr:col>6</xdr:col>
      <xdr:colOff>710572</xdr:colOff>
      <xdr:row>384</xdr:row>
      <xdr:rowOff>94832</xdr:rowOff>
    </xdr:to>
    <xdr:grpSp>
      <xdr:nvGrpSpPr>
        <xdr:cNvPr id="23" name="Group 22">
          <a:extLst>
            <a:ext uri="{FF2B5EF4-FFF2-40B4-BE49-F238E27FC236}">
              <a16:creationId xmlns:a16="http://schemas.microsoft.com/office/drawing/2014/main" xmlns="" id="{00000000-0008-0000-0000-000017000000}"/>
            </a:ext>
          </a:extLst>
        </xdr:cNvPr>
        <xdr:cNvGrpSpPr/>
      </xdr:nvGrpSpPr>
      <xdr:grpSpPr>
        <a:xfrm>
          <a:off x="1251858" y="89487225"/>
          <a:ext cx="6480000" cy="4320000"/>
          <a:chOff x="768350" y="4466590"/>
          <a:chExt cx="5580000" cy="4054801"/>
        </a:xfrm>
      </xdr:grpSpPr>
      <xdr:pic>
        <xdr:nvPicPr>
          <xdr:cNvPr id="24" name="Picture 23">
            <a:extLst>
              <a:ext uri="{FF2B5EF4-FFF2-40B4-BE49-F238E27FC236}">
                <a16:creationId xmlns:a16="http://schemas.microsoft.com/office/drawing/2014/main" xmlns="" id="{00000000-0008-0000-0000-000018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768350" y="4466590"/>
            <a:ext cx="5580000" cy="4054801"/>
          </a:xfrm>
          <a:prstGeom prst="rect">
            <a:avLst/>
          </a:prstGeom>
          <a:ln>
            <a:solidFill>
              <a:schemeClr val="tx1"/>
            </a:solidFill>
          </a:ln>
        </xdr:spPr>
      </xdr:pic>
      <xdr:sp macro="" textlink="">
        <xdr:nvSpPr>
          <xdr:cNvPr id="25" name="Freeform 24">
            <a:extLst>
              <a:ext uri="{FF2B5EF4-FFF2-40B4-BE49-F238E27FC236}">
                <a16:creationId xmlns:a16="http://schemas.microsoft.com/office/drawing/2014/main" xmlns="" id="{00000000-0008-0000-0000-000019000000}"/>
              </a:ext>
            </a:extLst>
          </xdr:cNvPr>
          <xdr:cNvSpPr/>
        </xdr:nvSpPr>
        <xdr:spPr>
          <a:xfrm>
            <a:off x="2928938" y="6076950"/>
            <a:ext cx="1400175" cy="804863"/>
          </a:xfrm>
          <a:custGeom>
            <a:avLst/>
            <a:gdLst>
              <a:gd name="connsiteX0" fmla="*/ 19050 w 1400175"/>
              <a:gd name="connsiteY0" fmla="*/ 0 h 804863"/>
              <a:gd name="connsiteX1" fmla="*/ 0 w 1400175"/>
              <a:gd name="connsiteY1" fmla="*/ 400050 h 804863"/>
              <a:gd name="connsiteX2" fmla="*/ 971550 w 1400175"/>
              <a:gd name="connsiteY2" fmla="*/ 528638 h 804863"/>
              <a:gd name="connsiteX3" fmla="*/ 976312 w 1400175"/>
              <a:gd name="connsiteY3" fmla="*/ 790575 h 804863"/>
              <a:gd name="connsiteX4" fmla="*/ 1352550 w 1400175"/>
              <a:gd name="connsiteY4" fmla="*/ 804863 h 804863"/>
              <a:gd name="connsiteX5" fmla="*/ 1400175 w 1400175"/>
              <a:gd name="connsiteY5" fmla="*/ 295275 h 804863"/>
              <a:gd name="connsiteX6" fmla="*/ 666750 w 1400175"/>
              <a:gd name="connsiteY6" fmla="*/ 195263 h 804863"/>
              <a:gd name="connsiteX7" fmla="*/ 19050 w 1400175"/>
              <a:gd name="connsiteY7" fmla="*/ 0 h 8048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00175" h="804863">
                <a:moveTo>
                  <a:pt x="19050" y="0"/>
                </a:moveTo>
                <a:lnTo>
                  <a:pt x="0" y="400050"/>
                </a:lnTo>
                <a:lnTo>
                  <a:pt x="971550" y="528638"/>
                </a:lnTo>
                <a:cubicBezTo>
                  <a:pt x="973137" y="615950"/>
                  <a:pt x="974725" y="703263"/>
                  <a:pt x="976312" y="790575"/>
                </a:cubicBezTo>
                <a:lnTo>
                  <a:pt x="1352550" y="804863"/>
                </a:lnTo>
                <a:lnTo>
                  <a:pt x="1400175" y="295275"/>
                </a:lnTo>
                <a:lnTo>
                  <a:pt x="666750" y="195263"/>
                </a:lnTo>
                <a:lnTo>
                  <a:pt x="19050" y="0"/>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10</xdr:col>
      <xdr:colOff>402774</xdr:colOff>
      <xdr:row>186</xdr:row>
      <xdr:rowOff>208190</xdr:rowOff>
    </xdr:from>
    <xdr:to>
      <xdr:col>31</xdr:col>
      <xdr:colOff>156586</xdr:colOff>
      <xdr:row>201</xdr:row>
      <xdr:rowOff>99066</xdr:rowOff>
    </xdr:to>
    <xdr:pic>
      <xdr:nvPicPr>
        <xdr:cNvPr id="26" name="Picture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832899" y="52662365"/>
          <a:ext cx="11076316" cy="4296868"/>
        </a:xfrm>
        <a:prstGeom prst="rect">
          <a:avLst/>
        </a:prstGeom>
        <a:ln>
          <a:solidFill>
            <a:schemeClr val="tx1"/>
          </a:solidFill>
        </a:ln>
      </xdr:spPr>
    </xdr:pic>
    <xdr:clientData/>
  </xdr:twoCellAnchor>
  <xdr:twoCellAnchor editAs="oneCell">
    <xdr:from>
      <xdr:col>8</xdr:col>
      <xdr:colOff>503464</xdr:colOff>
      <xdr:row>8</xdr:row>
      <xdr:rowOff>95250</xdr:rowOff>
    </xdr:from>
    <xdr:to>
      <xdr:col>16</xdr:col>
      <xdr:colOff>113451</xdr:colOff>
      <xdr:row>10</xdr:row>
      <xdr:rowOff>95107</xdr:rowOff>
    </xdr:to>
    <xdr:pic>
      <xdr:nvPicPr>
        <xdr:cNvPr id="27" name="Picture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7"/>
        <a:stretch>
          <a:fillRect/>
        </a:stretch>
      </xdr:blipFill>
      <xdr:spPr>
        <a:xfrm>
          <a:off x="9865178" y="4299857"/>
          <a:ext cx="6780952" cy="1142857"/>
        </a:xfrm>
        <a:prstGeom prst="rect">
          <a:avLst/>
        </a:prstGeom>
        <a:ln>
          <a:solidFill>
            <a:schemeClr val="tx1"/>
          </a:solidFill>
        </a:ln>
      </xdr:spPr>
    </xdr:pic>
    <xdr:clientData/>
  </xdr:twoCellAnchor>
  <xdr:twoCellAnchor>
    <xdr:from>
      <xdr:col>4</xdr:col>
      <xdr:colOff>694764</xdr:colOff>
      <xdr:row>368</xdr:row>
      <xdr:rowOff>107673</xdr:rowOff>
    </xdr:from>
    <xdr:to>
      <xdr:col>4</xdr:col>
      <xdr:colOff>1109869</xdr:colOff>
      <xdr:row>384</xdr:row>
      <xdr:rowOff>33617</xdr:rowOff>
    </xdr:to>
    <xdr:sp macro="" textlink="">
      <xdr:nvSpPr>
        <xdr:cNvPr id="29" name="Freeform 28">
          <a:extLst>
            <a:ext uri="{FF2B5EF4-FFF2-40B4-BE49-F238E27FC236}">
              <a16:creationId xmlns:a16="http://schemas.microsoft.com/office/drawing/2014/main" xmlns="" id="{00000000-0008-0000-0000-00001D000000}"/>
            </a:ext>
          </a:extLst>
        </xdr:cNvPr>
        <xdr:cNvSpPr/>
      </xdr:nvSpPr>
      <xdr:spPr>
        <a:xfrm>
          <a:off x="5375621" y="90078102"/>
          <a:ext cx="415105" cy="4062515"/>
        </a:xfrm>
        <a:custGeom>
          <a:avLst/>
          <a:gdLst>
            <a:gd name="connsiteX0" fmla="*/ 196454 w 196454"/>
            <a:gd name="connsiteY0" fmla="*/ 0 h 2476500"/>
            <a:gd name="connsiteX1" fmla="*/ 12523 w 196454"/>
            <a:gd name="connsiteY1" fmla="*/ 2108638 h 2476500"/>
            <a:gd name="connsiteX2" fmla="*/ 5954 w 196454"/>
            <a:gd name="connsiteY2" fmla="*/ 2476500 h 2476500"/>
          </a:gdLst>
          <a:ahLst/>
          <a:cxnLst>
            <a:cxn ang="0">
              <a:pos x="connsiteX0" y="connsiteY0"/>
            </a:cxn>
            <a:cxn ang="0">
              <a:pos x="connsiteX1" y="connsiteY1"/>
            </a:cxn>
            <a:cxn ang="0">
              <a:pos x="connsiteX2" y="connsiteY2"/>
            </a:cxn>
          </a:cxnLst>
          <a:rect l="l" t="t" r="r" b="b"/>
          <a:pathLst>
            <a:path w="196454" h="2476500">
              <a:moveTo>
                <a:pt x="196454" y="0"/>
              </a:moveTo>
              <a:cubicBezTo>
                <a:pt x="120363" y="847944"/>
                <a:pt x="44273" y="1695888"/>
                <a:pt x="12523" y="2108638"/>
              </a:cubicBezTo>
              <a:cubicBezTo>
                <a:pt x="-19227" y="2521388"/>
                <a:pt x="21282" y="2425043"/>
                <a:pt x="5954" y="2476500"/>
              </a:cubicBezTo>
            </a:path>
          </a:pathLst>
        </a:custGeom>
        <a:noFill/>
        <a:ln>
          <a:solidFill>
            <a:srgbClr val="FF0000"/>
          </a:solidFill>
          <a:prstDash val="lg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3</xdr:col>
      <xdr:colOff>180975</xdr:colOff>
      <xdr:row>369</xdr:row>
      <xdr:rowOff>38100</xdr:rowOff>
    </xdr:from>
    <xdr:to>
      <xdr:col>3</xdr:col>
      <xdr:colOff>238125</xdr:colOff>
      <xdr:row>378</xdr:row>
      <xdr:rowOff>123825</xdr:rowOff>
    </xdr:to>
    <xdr:cxnSp macro="">
      <xdr:nvCxnSpPr>
        <xdr:cNvPr id="32" name="Straight Connector 31">
          <a:extLst>
            <a:ext uri="{FF2B5EF4-FFF2-40B4-BE49-F238E27FC236}">
              <a16:creationId xmlns:a16="http://schemas.microsoft.com/office/drawing/2014/main" xmlns="" id="{00000000-0008-0000-0000-000020000000}"/>
            </a:ext>
          </a:extLst>
        </xdr:cNvPr>
        <xdr:cNvCxnSpPr/>
      </xdr:nvCxnSpPr>
      <xdr:spPr>
        <a:xfrm flipH="1">
          <a:off x="3695700" y="87925275"/>
          <a:ext cx="57150" cy="2400300"/>
        </a:xfrm>
        <a:prstGeom prst="line">
          <a:avLst/>
        </a:prstGeom>
        <a:ln w="38100">
          <a:solidFill>
            <a:srgbClr val="00B0F0"/>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1061733</xdr:colOff>
      <xdr:row>370</xdr:row>
      <xdr:rowOff>184182</xdr:rowOff>
    </xdr:from>
    <xdr:to>
      <xdr:col>5</xdr:col>
      <xdr:colOff>192916</xdr:colOff>
      <xdr:row>374</xdr:row>
      <xdr:rowOff>177652</xdr:rowOff>
    </xdr:to>
    <xdr:sp macro="" textlink="">
      <xdr:nvSpPr>
        <xdr:cNvPr id="35" name="TextBox 34">
          <a:extLst>
            <a:ext uri="{FF2B5EF4-FFF2-40B4-BE49-F238E27FC236}">
              <a16:creationId xmlns:a16="http://schemas.microsoft.com/office/drawing/2014/main" xmlns="" id="{00000000-0008-0000-0000-000023000000}"/>
            </a:ext>
          </a:extLst>
        </xdr:cNvPr>
        <xdr:cNvSpPr txBox="1"/>
      </xdr:nvSpPr>
      <xdr:spPr>
        <a:xfrm rot="16549765">
          <a:off x="5388327" y="88688238"/>
          <a:ext cx="1022170" cy="30275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rgbClr val="FF0000"/>
              </a:solidFill>
            </a:rPr>
            <a:t>Railway Line</a:t>
          </a:r>
        </a:p>
      </xdr:txBody>
    </xdr:sp>
    <xdr:clientData/>
  </xdr:twoCellAnchor>
  <xdr:twoCellAnchor>
    <xdr:from>
      <xdr:col>2</xdr:col>
      <xdr:colOff>968919</xdr:colOff>
      <xdr:row>370</xdr:row>
      <xdr:rowOff>237241</xdr:rowOff>
    </xdr:from>
    <xdr:to>
      <xdr:col>3</xdr:col>
      <xdr:colOff>111669</xdr:colOff>
      <xdr:row>374</xdr:row>
      <xdr:rowOff>75365</xdr:rowOff>
    </xdr:to>
    <xdr:sp macro="" textlink="">
      <xdr:nvSpPr>
        <xdr:cNvPr id="36" name="TextBox 35">
          <a:extLst>
            <a:ext uri="{FF2B5EF4-FFF2-40B4-BE49-F238E27FC236}">
              <a16:creationId xmlns:a16="http://schemas.microsoft.com/office/drawing/2014/main" xmlns="" id="{00000000-0008-0000-0000-000024000000}"/>
            </a:ext>
          </a:extLst>
        </xdr:cNvPr>
        <xdr:cNvSpPr txBox="1"/>
      </xdr:nvSpPr>
      <xdr:spPr>
        <a:xfrm rot="15931422">
          <a:off x="3035820" y="88657840"/>
          <a:ext cx="866824" cy="3143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rgbClr val="00B0F0"/>
              </a:solidFill>
            </a:rPr>
            <a:t>Metro Line</a:t>
          </a:r>
        </a:p>
      </xdr:txBody>
    </xdr:sp>
    <xdr:clientData/>
  </xdr:twoCellAnchor>
  <xdr:twoCellAnchor editAs="oneCell">
    <xdr:from>
      <xdr:col>1</xdr:col>
      <xdr:colOff>530678</xdr:colOff>
      <xdr:row>328</xdr:row>
      <xdr:rowOff>163285</xdr:rowOff>
    </xdr:from>
    <xdr:to>
      <xdr:col>6</xdr:col>
      <xdr:colOff>365352</xdr:colOff>
      <xdr:row>350</xdr:row>
      <xdr:rowOff>235499</xdr:rowOff>
    </xdr:to>
    <xdr:pic>
      <xdr:nvPicPr>
        <xdr:cNvPr id="28" name="Picture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8"/>
        <a:stretch>
          <a:fillRect/>
        </a:stretch>
      </xdr:blipFill>
      <xdr:spPr>
        <a:xfrm>
          <a:off x="1700892" y="79792285"/>
          <a:ext cx="5685746" cy="5760000"/>
        </a:xfrm>
        <a:prstGeom prst="rect">
          <a:avLst/>
        </a:prstGeom>
        <a:ln>
          <a:solidFill>
            <a:schemeClr val="tx1"/>
          </a:solidFill>
        </a:ln>
      </xdr:spPr>
    </xdr:pic>
    <xdr:clientData/>
  </xdr:twoCellAnchor>
  <xdr:twoCellAnchor>
    <xdr:from>
      <xdr:col>11</xdr:col>
      <xdr:colOff>246528</xdr:colOff>
      <xdr:row>260</xdr:row>
      <xdr:rowOff>235322</xdr:rowOff>
    </xdr:from>
    <xdr:to>
      <xdr:col>28</xdr:col>
      <xdr:colOff>43802</xdr:colOff>
      <xdr:row>292</xdr:row>
      <xdr:rowOff>179293</xdr:rowOff>
    </xdr:to>
    <xdr:grpSp>
      <xdr:nvGrpSpPr>
        <xdr:cNvPr id="33" name="Group 32">
          <a:extLst>
            <a:ext uri="{FF2B5EF4-FFF2-40B4-BE49-F238E27FC236}">
              <a16:creationId xmlns:a16="http://schemas.microsoft.com/office/drawing/2014/main" xmlns="" id="{9C4B4C2D-AC5B-467D-8CD6-2858BE78232D}"/>
            </a:ext>
          </a:extLst>
        </xdr:cNvPr>
        <xdr:cNvGrpSpPr/>
      </xdr:nvGrpSpPr>
      <xdr:grpSpPr>
        <a:xfrm>
          <a:off x="13282171" y="64474643"/>
          <a:ext cx="8723560" cy="8217114"/>
          <a:chOff x="506316" y="304123"/>
          <a:chExt cx="6004924" cy="6721101"/>
        </a:xfrm>
      </xdr:grpSpPr>
      <xdr:grpSp>
        <xdr:nvGrpSpPr>
          <xdr:cNvPr id="34" name="Group 33">
            <a:extLst>
              <a:ext uri="{FF2B5EF4-FFF2-40B4-BE49-F238E27FC236}">
                <a16:creationId xmlns:a16="http://schemas.microsoft.com/office/drawing/2014/main" xmlns="" id="{378BAF05-4091-4CB3-B732-9D2B00E1A542}"/>
              </a:ext>
            </a:extLst>
          </xdr:cNvPr>
          <xdr:cNvGrpSpPr/>
        </xdr:nvGrpSpPr>
        <xdr:grpSpPr>
          <a:xfrm>
            <a:off x="506316" y="304123"/>
            <a:ext cx="6004924" cy="6721101"/>
            <a:chOff x="506316" y="304123"/>
            <a:chExt cx="6004924" cy="6721101"/>
          </a:xfrm>
        </xdr:grpSpPr>
        <xdr:pic>
          <xdr:nvPicPr>
            <xdr:cNvPr id="38" name="Picture 37">
              <a:extLst>
                <a:ext uri="{FF2B5EF4-FFF2-40B4-BE49-F238E27FC236}">
                  <a16:creationId xmlns:a16="http://schemas.microsoft.com/office/drawing/2014/main" xmlns="" id="{48D8CDFB-4627-4890-A8E8-A76E776F76B7}"/>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506316" y="4505224"/>
              <a:ext cx="1895272" cy="2520000"/>
            </a:xfrm>
            <a:prstGeom prst="rect">
              <a:avLst/>
            </a:prstGeom>
            <a:ln>
              <a:solidFill>
                <a:schemeClr val="tx1"/>
              </a:solidFill>
            </a:ln>
          </xdr:spPr>
        </xdr:pic>
        <xdr:pic>
          <xdr:nvPicPr>
            <xdr:cNvPr id="39" name="Picture 38">
              <a:extLst>
                <a:ext uri="{FF2B5EF4-FFF2-40B4-BE49-F238E27FC236}">
                  <a16:creationId xmlns:a16="http://schemas.microsoft.com/office/drawing/2014/main" xmlns="" id="{7690CB3D-E6A0-4F16-A8CB-22F8FD610A4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729000" y="304123"/>
              <a:ext cx="5400000" cy="4070654"/>
            </a:xfrm>
            <a:prstGeom prst="rect">
              <a:avLst/>
            </a:prstGeom>
            <a:ln>
              <a:solidFill>
                <a:schemeClr val="tx1"/>
              </a:solidFill>
            </a:ln>
          </xdr:spPr>
        </xdr:pic>
        <xdr:pic>
          <xdr:nvPicPr>
            <xdr:cNvPr id="45" name="Picture 44">
              <a:extLst>
                <a:ext uri="{FF2B5EF4-FFF2-40B4-BE49-F238E27FC236}">
                  <a16:creationId xmlns:a16="http://schemas.microsoft.com/office/drawing/2014/main" xmlns="" id="{AFD40A06-6123-4A1C-8712-FEE6F90B43D8}"/>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561142" y="4505224"/>
              <a:ext cx="1895272" cy="2520000"/>
            </a:xfrm>
            <a:prstGeom prst="rect">
              <a:avLst/>
            </a:prstGeom>
            <a:ln>
              <a:solidFill>
                <a:schemeClr val="tx1"/>
              </a:solidFill>
            </a:ln>
          </xdr:spPr>
        </xdr:pic>
        <xdr:pic>
          <xdr:nvPicPr>
            <xdr:cNvPr id="46" name="Picture 45">
              <a:extLst>
                <a:ext uri="{FF2B5EF4-FFF2-40B4-BE49-F238E27FC236}">
                  <a16:creationId xmlns:a16="http://schemas.microsoft.com/office/drawing/2014/main" xmlns="" id="{151640EA-EF1D-43D4-939F-FB6A7B8E4591}"/>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615968" y="4505224"/>
              <a:ext cx="1895272" cy="2520000"/>
            </a:xfrm>
            <a:prstGeom prst="rect">
              <a:avLst/>
            </a:prstGeom>
            <a:ln>
              <a:solidFill>
                <a:schemeClr val="tx1"/>
              </a:solidFill>
            </a:ln>
          </xdr:spPr>
        </xdr:pic>
      </xdr:grpSp>
      <xdr:sp macro="" textlink="">
        <xdr:nvSpPr>
          <xdr:cNvPr id="37" name="TextBox 21">
            <a:extLst>
              <a:ext uri="{FF2B5EF4-FFF2-40B4-BE49-F238E27FC236}">
                <a16:creationId xmlns:a16="http://schemas.microsoft.com/office/drawing/2014/main" xmlns="" id="{11DE8F88-0BE8-461D-BE2A-76391B6DB417}"/>
              </a:ext>
            </a:extLst>
          </xdr:cNvPr>
          <xdr:cNvSpPr txBox="1"/>
        </xdr:nvSpPr>
        <xdr:spPr>
          <a:xfrm>
            <a:off x="2322619" y="1326777"/>
            <a:ext cx="1221040"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A</a:t>
            </a:r>
            <a:endParaRPr lang="en-IN" sz="2400" b="1">
              <a:solidFill>
                <a:srgbClr val="FF0000"/>
              </a:solidFill>
            </a:endParaRPr>
          </a:p>
        </xdr:txBody>
      </xdr:sp>
    </xdr:grpSp>
    <xdr:clientData/>
  </xdr:twoCellAnchor>
  <xdr:twoCellAnchor>
    <xdr:from>
      <xdr:col>0</xdr:col>
      <xdr:colOff>800101</xdr:colOff>
      <xdr:row>260</xdr:row>
      <xdr:rowOff>142006</xdr:rowOff>
    </xdr:from>
    <xdr:to>
      <xdr:col>7</xdr:col>
      <xdr:colOff>432955</xdr:colOff>
      <xdr:row>293</xdr:row>
      <xdr:rowOff>48713</xdr:rowOff>
    </xdr:to>
    <xdr:grpSp>
      <xdr:nvGrpSpPr>
        <xdr:cNvPr id="4" name="Group 3"/>
        <xdr:cNvGrpSpPr/>
      </xdr:nvGrpSpPr>
      <xdr:grpSpPr>
        <a:xfrm>
          <a:off x="800101" y="64381327"/>
          <a:ext cx="7824354" cy="8438386"/>
          <a:chOff x="800101" y="65899144"/>
          <a:chExt cx="7876309" cy="8479076"/>
        </a:xfrm>
      </xdr:grpSpPr>
      <xdr:pic>
        <xdr:nvPicPr>
          <xdr:cNvPr id="47" name="Picture 46" descr="https://vsjcllp.vsjadon.com/upload/insp-239266-1525.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6098836" y="71150381"/>
            <a:ext cx="2419817" cy="321744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9" name="Picture 48" descr="https://vsjcllp.vsjadon.com/upload/insp-239266-849.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1017682" y="71160773"/>
            <a:ext cx="2419817" cy="321744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39266-851.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804064" y="65902607"/>
            <a:ext cx="3872346" cy="51487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39266-883.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800101" y="65899144"/>
            <a:ext cx="3872346" cy="51487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2" name="Picture 51" descr="https://vsjcllp.vsjadon.com/upload/insp-239266-931.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3553064" y="71150382"/>
            <a:ext cx="2419817" cy="321744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8</xdr:col>
      <xdr:colOff>655864</xdr:colOff>
      <xdr:row>46</xdr:row>
      <xdr:rowOff>35379</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0" y="5293179"/>
          <a:ext cx="1301115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FnkM99MXnCvwgrkQ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96"/>
  <sheetViews>
    <sheetView tabSelected="1" view="pageBreakPreview" topLeftCell="A206" zoomScale="70" zoomScaleNormal="85" zoomScaleSheetLayoutView="70" zoomScalePageLayoutView="70" workbookViewId="0">
      <selection activeCell="L259" sqref="L259"/>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1" width="9.140625" style="1"/>
    <col min="12" max="12" width="15.7109375" style="1" bestFit="1" customWidth="1"/>
    <col min="13" max="19" width="9.140625" style="1"/>
    <col min="20" max="22" width="0" style="1" hidden="1" customWidth="1"/>
    <col min="23" max="25" width="9.140625" style="1"/>
    <col min="26" max="26" width="7.85546875" style="1" customWidth="1"/>
    <col min="27" max="16384" width="9.140625" style="1"/>
  </cols>
  <sheetData>
    <row r="1" spans="1:12" ht="20.25" x14ac:dyDescent="0.25">
      <c r="A1" s="190" t="s">
        <v>38</v>
      </c>
      <c r="B1" s="191"/>
      <c r="C1" s="191"/>
      <c r="D1" s="191"/>
      <c r="E1" s="191"/>
      <c r="F1" s="191"/>
      <c r="G1" s="191"/>
      <c r="H1" s="192"/>
    </row>
    <row r="2" spans="1:12" ht="42" customHeight="1" x14ac:dyDescent="0.25">
      <c r="A2" s="136" t="s">
        <v>10</v>
      </c>
      <c r="B2" s="136"/>
      <c r="C2" s="105" t="s">
        <v>86</v>
      </c>
      <c r="D2" s="105"/>
      <c r="E2" s="136" t="s">
        <v>12</v>
      </c>
      <c r="F2" s="136"/>
      <c r="G2" s="157">
        <v>45840</v>
      </c>
      <c r="H2" s="105"/>
      <c r="J2" s="161"/>
      <c r="K2" s="162"/>
    </row>
    <row r="3" spans="1:12" ht="42.75" customHeight="1" x14ac:dyDescent="0.25">
      <c r="A3" s="136" t="s">
        <v>39</v>
      </c>
      <c r="B3" s="136"/>
      <c r="C3" s="159" t="s">
        <v>304</v>
      </c>
      <c r="D3" s="159"/>
      <c r="E3" s="136" t="s">
        <v>158</v>
      </c>
      <c r="F3" s="136"/>
      <c r="G3" s="157" t="s">
        <v>376</v>
      </c>
      <c r="H3" s="105"/>
      <c r="I3" s="101"/>
    </row>
    <row r="4" spans="1:12" ht="43.5" customHeight="1" x14ac:dyDescent="0.25">
      <c r="A4" s="136" t="s">
        <v>36</v>
      </c>
      <c r="B4" s="136"/>
      <c r="C4" s="105" t="s">
        <v>147</v>
      </c>
      <c r="D4" s="105"/>
      <c r="E4" s="136" t="s">
        <v>33</v>
      </c>
      <c r="F4" s="136"/>
      <c r="G4" s="105" t="str">
        <f ca="1">TEXT(TODAY(),"DD/MM/YYYY")</f>
        <v>07/07/2025</v>
      </c>
      <c r="H4" s="105"/>
      <c r="I4" s="105" t="s">
        <v>373</v>
      </c>
      <c r="J4" s="105"/>
      <c r="L4" s="101"/>
    </row>
    <row r="5" spans="1:12" ht="20.25" x14ac:dyDescent="0.25">
      <c r="A5" s="158" t="s">
        <v>40</v>
      </c>
      <c r="B5" s="158"/>
      <c r="C5" s="158"/>
      <c r="D5" s="158"/>
      <c r="E5" s="158"/>
      <c r="F5" s="158"/>
      <c r="G5" s="158"/>
      <c r="H5" s="158"/>
    </row>
    <row r="6" spans="1:12" ht="43.5" customHeight="1" x14ac:dyDescent="0.25">
      <c r="A6" s="136" t="s">
        <v>29</v>
      </c>
      <c r="B6" s="136"/>
      <c r="C6" s="105" t="s">
        <v>359</v>
      </c>
      <c r="D6" s="105"/>
      <c r="E6" s="136" t="s">
        <v>35</v>
      </c>
      <c r="F6" s="136"/>
      <c r="G6" s="155" t="s">
        <v>377</v>
      </c>
      <c r="H6" s="155"/>
    </row>
    <row r="7" spans="1:12" ht="49.5" customHeight="1" x14ac:dyDescent="0.25">
      <c r="A7" s="136" t="s">
        <v>42</v>
      </c>
      <c r="B7" s="136"/>
      <c r="C7" s="105" t="s">
        <v>305</v>
      </c>
      <c r="D7" s="105"/>
      <c r="E7" s="136" t="s">
        <v>43</v>
      </c>
      <c r="F7" s="136"/>
      <c r="G7" s="105" t="s">
        <v>305</v>
      </c>
      <c r="H7" s="105"/>
    </row>
    <row r="8" spans="1:12" ht="42.75" customHeight="1" x14ac:dyDescent="0.25">
      <c r="A8" s="136" t="s">
        <v>44</v>
      </c>
      <c r="B8" s="136"/>
      <c r="C8" s="105" t="s">
        <v>306</v>
      </c>
      <c r="D8" s="105"/>
      <c r="E8" s="105"/>
      <c r="F8" s="105"/>
      <c r="G8" s="105"/>
      <c r="H8" s="105"/>
    </row>
    <row r="9" spans="1:12" ht="45" customHeight="1" x14ac:dyDescent="0.25">
      <c r="A9" s="149" t="s">
        <v>149</v>
      </c>
      <c r="B9" s="46" t="s">
        <v>41</v>
      </c>
      <c r="C9" s="105" t="s">
        <v>363</v>
      </c>
      <c r="D9" s="105"/>
      <c r="E9" s="105"/>
      <c r="F9" s="105"/>
      <c r="G9" s="105"/>
      <c r="H9" s="105"/>
    </row>
    <row r="10" spans="1:12" ht="45" customHeight="1" x14ac:dyDescent="0.25">
      <c r="A10" s="149"/>
      <c r="B10" s="46" t="s">
        <v>11</v>
      </c>
      <c r="C10" s="105" t="s">
        <v>360</v>
      </c>
      <c r="D10" s="105"/>
      <c r="E10" s="105"/>
      <c r="F10" s="105"/>
      <c r="G10" s="105"/>
      <c r="H10" s="105"/>
    </row>
    <row r="11" spans="1:12" ht="65.25" customHeight="1" x14ac:dyDescent="0.25">
      <c r="A11" s="149"/>
      <c r="B11" s="46" t="s">
        <v>5</v>
      </c>
      <c r="C11" s="106" t="s">
        <v>361</v>
      </c>
      <c r="D11" s="107"/>
      <c r="E11" s="107"/>
      <c r="F11" s="107"/>
      <c r="G11" s="107"/>
      <c r="H11" s="108"/>
    </row>
    <row r="12" spans="1:12" ht="20.25" x14ac:dyDescent="0.25">
      <c r="A12" s="136" t="s">
        <v>34</v>
      </c>
      <c r="B12" s="136"/>
      <c r="C12" s="105" t="s">
        <v>358</v>
      </c>
      <c r="D12" s="105"/>
      <c r="E12" s="105"/>
      <c r="F12" s="105"/>
      <c r="G12" s="105"/>
      <c r="H12" s="105"/>
    </row>
    <row r="13" spans="1:12" ht="20.100000000000001" customHeight="1" x14ac:dyDescent="0.25">
      <c r="A13" s="158" t="s">
        <v>45</v>
      </c>
      <c r="B13" s="158"/>
      <c r="C13" s="158"/>
      <c r="D13" s="158"/>
      <c r="E13" s="158"/>
      <c r="F13" s="158"/>
      <c r="G13" s="158"/>
      <c r="H13" s="158"/>
    </row>
    <row r="14" spans="1:12" ht="41.25" customHeight="1" x14ac:dyDescent="0.25">
      <c r="A14" s="136" t="s">
        <v>27</v>
      </c>
      <c r="B14" s="136" t="s">
        <v>4</v>
      </c>
      <c r="C14" s="105" t="s">
        <v>87</v>
      </c>
      <c r="D14" s="105"/>
      <c r="E14" s="136" t="s">
        <v>46</v>
      </c>
      <c r="F14" s="136" t="s">
        <v>4</v>
      </c>
      <c r="G14" s="105" t="s">
        <v>307</v>
      </c>
      <c r="H14" s="105"/>
    </row>
    <row r="15" spans="1:12" ht="41.25" customHeight="1" x14ac:dyDescent="0.25">
      <c r="A15" s="136" t="s">
        <v>47</v>
      </c>
      <c r="B15" s="136" t="s">
        <v>4</v>
      </c>
      <c r="C15" s="105" t="s">
        <v>308</v>
      </c>
      <c r="D15" s="105"/>
      <c r="E15" s="136" t="s">
        <v>48</v>
      </c>
      <c r="F15" s="136" t="s">
        <v>4</v>
      </c>
      <c r="G15" s="157">
        <v>47452</v>
      </c>
      <c r="H15" s="105"/>
    </row>
    <row r="16" spans="1:12" ht="41.25" customHeight="1" x14ac:dyDescent="0.25">
      <c r="A16" s="136" t="s">
        <v>49</v>
      </c>
      <c r="B16" s="136" t="s">
        <v>4</v>
      </c>
      <c r="C16" s="157">
        <v>45520</v>
      </c>
      <c r="D16" s="105"/>
      <c r="E16" s="136" t="s">
        <v>50</v>
      </c>
      <c r="F16" s="136" t="s">
        <v>4</v>
      </c>
      <c r="G16" s="178">
        <v>45520</v>
      </c>
      <c r="H16" s="105"/>
    </row>
    <row r="17" spans="1:9" ht="41.25" customHeight="1" x14ac:dyDescent="0.25">
      <c r="A17" s="136" t="s">
        <v>51</v>
      </c>
      <c r="B17" s="136" t="s">
        <v>4</v>
      </c>
      <c r="C17" s="157">
        <v>47452</v>
      </c>
      <c r="D17" s="105"/>
      <c r="E17" s="136" t="s">
        <v>52</v>
      </c>
      <c r="F17" s="136" t="s">
        <v>4</v>
      </c>
      <c r="G17" s="157">
        <v>47452</v>
      </c>
      <c r="H17" s="105"/>
    </row>
    <row r="18" spans="1:9" ht="41.25" customHeight="1" x14ac:dyDescent="0.25">
      <c r="A18" s="136" t="s">
        <v>53</v>
      </c>
      <c r="B18" s="136" t="s">
        <v>4</v>
      </c>
      <c r="C18" s="105"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05"/>
      <c r="E18" s="136" t="s">
        <v>94</v>
      </c>
      <c r="F18" s="136" t="s">
        <v>4</v>
      </c>
      <c r="G18" s="105">
        <v>15817.48</v>
      </c>
      <c r="H18" s="105"/>
    </row>
    <row r="19" spans="1:9" ht="38.25" customHeight="1" x14ac:dyDescent="0.25">
      <c r="A19" s="136" t="s">
        <v>54</v>
      </c>
      <c r="B19" s="136" t="s">
        <v>4</v>
      </c>
      <c r="C19" s="105">
        <v>1</v>
      </c>
      <c r="D19" s="105"/>
      <c r="E19" s="136" t="s">
        <v>239</v>
      </c>
      <c r="F19" s="136" t="s">
        <v>4</v>
      </c>
      <c r="G19" s="105">
        <v>12490.16</v>
      </c>
      <c r="H19" s="105"/>
    </row>
    <row r="20" spans="1:9" ht="41.25" customHeight="1" x14ac:dyDescent="0.25">
      <c r="A20" s="136" t="s">
        <v>92</v>
      </c>
      <c r="B20" s="136" t="s">
        <v>4</v>
      </c>
      <c r="C20" s="105">
        <v>34273.53</v>
      </c>
      <c r="D20" s="105"/>
      <c r="E20" s="136" t="s">
        <v>93</v>
      </c>
      <c r="F20" s="136" t="s">
        <v>4</v>
      </c>
      <c r="G20" s="105">
        <v>34259.440000000002</v>
      </c>
      <c r="H20" s="105"/>
    </row>
    <row r="21" spans="1:9" ht="81.75" customHeight="1" x14ac:dyDescent="0.25">
      <c r="A21" s="136" t="s">
        <v>56</v>
      </c>
      <c r="B21" s="136" t="s">
        <v>4</v>
      </c>
      <c r="C21" s="105" t="s">
        <v>370</v>
      </c>
      <c r="D21" s="105"/>
      <c r="E21" s="136" t="s">
        <v>55</v>
      </c>
      <c r="F21" s="136" t="s">
        <v>4</v>
      </c>
      <c r="G21" s="105" t="s">
        <v>369</v>
      </c>
      <c r="H21" s="105"/>
      <c r="I21" s="1">
        <f>82+17+2+5+2+1</f>
        <v>109</v>
      </c>
    </row>
    <row r="22" spans="1:9" ht="41.25" customHeight="1" x14ac:dyDescent="0.25">
      <c r="A22" s="136" t="s">
        <v>162</v>
      </c>
      <c r="B22" s="136" t="s">
        <v>4</v>
      </c>
      <c r="C22" s="105" t="s">
        <v>314</v>
      </c>
      <c r="D22" s="105"/>
      <c r="E22" s="136" t="s">
        <v>163</v>
      </c>
      <c r="F22" s="136" t="s">
        <v>4</v>
      </c>
      <c r="G22" s="105" t="s">
        <v>350</v>
      </c>
      <c r="H22" s="105"/>
    </row>
    <row r="23" spans="1:9" ht="20.25" x14ac:dyDescent="0.25">
      <c r="A23" s="136" t="s">
        <v>160</v>
      </c>
      <c r="B23" s="136" t="s">
        <v>4</v>
      </c>
      <c r="C23" s="156" t="s">
        <v>349</v>
      </c>
      <c r="D23" s="105"/>
      <c r="E23" s="105"/>
      <c r="F23" s="105"/>
      <c r="G23" s="105"/>
      <c r="H23" s="105"/>
    </row>
    <row r="24" spans="1:9" ht="42.75" customHeight="1" x14ac:dyDescent="0.25">
      <c r="A24" s="136" t="s">
        <v>25</v>
      </c>
      <c r="B24" s="136" t="s">
        <v>4</v>
      </c>
      <c r="C24" s="105" t="s">
        <v>351</v>
      </c>
      <c r="D24" s="105"/>
      <c r="E24" s="105"/>
      <c r="F24" s="105"/>
      <c r="G24" s="105"/>
      <c r="H24" s="105"/>
    </row>
    <row r="25" spans="1:9" ht="24" customHeight="1" x14ac:dyDescent="0.25">
      <c r="A25" s="158" t="s">
        <v>20</v>
      </c>
      <c r="B25" s="158"/>
      <c r="C25" s="158"/>
      <c r="D25" s="158"/>
      <c r="E25" s="158"/>
      <c r="F25" s="158"/>
      <c r="G25" s="158"/>
      <c r="H25" s="158"/>
    </row>
    <row r="26" spans="1:9" ht="40.5" customHeight="1" x14ac:dyDescent="0.25">
      <c r="A26" s="136" t="s">
        <v>26</v>
      </c>
      <c r="B26" s="136" t="s">
        <v>4</v>
      </c>
      <c r="C26" s="105" t="str">
        <f>IF(AND(G26="Upper"),"Developed","Developing")</f>
        <v>Developed</v>
      </c>
      <c r="D26" s="105"/>
      <c r="E26" s="136" t="s">
        <v>13</v>
      </c>
      <c r="F26" s="136" t="s">
        <v>4</v>
      </c>
      <c r="G26" s="155" t="s">
        <v>309</v>
      </c>
      <c r="H26" s="155"/>
    </row>
    <row r="27" spans="1:9" ht="42" customHeight="1" x14ac:dyDescent="0.25">
      <c r="A27" s="136" t="s">
        <v>14</v>
      </c>
      <c r="B27" s="136" t="s">
        <v>4</v>
      </c>
      <c r="C27" s="155" t="s">
        <v>310</v>
      </c>
      <c r="D27" s="155"/>
      <c r="E27" s="136" t="s">
        <v>150</v>
      </c>
      <c r="F27" s="136" t="s">
        <v>4</v>
      </c>
      <c r="G27" s="105" t="s">
        <v>362</v>
      </c>
      <c r="H27" s="105"/>
    </row>
    <row r="28" spans="1:9" ht="43.5" customHeight="1" x14ac:dyDescent="0.25">
      <c r="A28" s="136" t="s">
        <v>23</v>
      </c>
      <c r="B28" s="136" t="s">
        <v>4</v>
      </c>
      <c r="C28" s="105" t="s">
        <v>96</v>
      </c>
      <c r="D28" s="105"/>
      <c r="E28" s="136" t="s">
        <v>16</v>
      </c>
      <c r="F28" s="136" t="s">
        <v>4</v>
      </c>
      <c r="G28" s="155" t="s">
        <v>355</v>
      </c>
      <c r="H28" s="155"/>
    </row>
    <row r="29" spans="1:9" ht="43.5" customHeight="1" x14ac:dyDescent="0.25">
      <c r="A29" s="136" t="s">
        <v>105</v>
      </c>
      <c r="B29" s="136" t="s">
        <v>4</v>
      </c>
      <c r="C29" s="155" t="s">
        <v>352</v>
      </c>
      <c r="D29" s="155"/>
      <c r="E29" s="136" t="s">
        <v>106</v>
      </c>
      <c r="F29" s="136" t="s">
        <v>4</v>
      </c>
      <c r="G29" s="155" t="s">
        <v>354</v>
      </c>
      <c r="H29" s="155"/>
    </row>
    <row r="30" spans="1:9" ht="84" customHeight="1" x14ac:dyDescent="0.25">
      <c r="A30" s="136" t="s">
        <v>17</v>
      </c>
      <c r="B30" s="136" t="s">
        <v>4</v>
      </c>
      <c r="C30" s="155" t="s">
        <v>353</v>
      </c>
      <c r="D30" s="155"/>
      <c r="E30" s="136" t="s">
        <v>15</v>
      </c>
      <c r="F30" s="136" t="s">
        <v>4</v>
      </c>
      <c r="G30" s="155" t="s">
        <v>357</v>
      </c>
      <c r="H30" s="155"/>
    </row>
    <row r="31" spans="1:9" ht="20.25" x14ac:dyDescent="0.25">
      <c r="A31" s="136" t="s">
        <v>111</v>
      </c>
      <c r="B31" s="136" t="s">
        <v>4</v>
      </c>
      <c r="C31" s="105" t="s">
        <v>112</v>
      </c>
      <c r="D31" s="105"/>
      <c r="E31" s="136" t="s">
        <v>113</v>
      </c>
      <c r="F31" s="136" t="s">
        <v>4</v>
      </c>
      <c r="G31" s="105" t="s">
        <v>112</v>
      </c>
      <c r="H31" s="105"/>
    </row>
    <row r="32" spans="1:9" ht="21.75" customHeight="1" x14ac:dyDescent="0.25">
      <c r="A32" s="136" t="s">
        <v>114</v>
      </c>
      <c r="B32" s="136" t="s">
        <v>4</v>
      </c>
      <c r="C32" s="105" t="s">
        <v>112</v>
      </c>
      <c r="D32" s="105"/>
      <c r="E32" s="105"/>
      <c r="F32" s="105"/>
      <c r="G32" s="105"/>
      <c r="H32" s="105"/>
    </row>
    <row r="33" spans="1:15" ht="20.25" x14ac:dyDescent="0.25">
      <c r="A33" s="148" t="s">
        <v>37</v>
      </c>
      <c r="B33" s="148"/>
      <c r="C33" s="148"/>
      <c r="D33" s="148"/>
      <c r="E33" s="148"/>
      <c r="F33" s="148"/>
      <c r="G33" s="148"/>
      <c r="H33" s="148"/>
    </row>
    <row r="34" spans="1:15" ht="43.5" customHeight="1" x14ac:dyDescent="0.25">
      <c r="A34" s="136" t="s">
        <v>18</v>
      </c>
      <c r="B34" s="136"/>
      <c r="C34" s="105" t="s">
        <v>97</v>
      </c>
      <c r="D34" s="105"/>
      <c r="E34" s="136" t="s">
        <v>19</v>
      </c>
      <c r="F34" s="136" t="s">
        <v>4</v>
      </c>
      <c r="G34" s="105" t="s">
        <v>98</v>
      </c>
      <c r="H34" s="105"/>
    </row>
    <row r="35" spans="1:15" ht="43.5" customHeight="1" x14ac:dyDescent="0.25">
      <c r="A35" s="136" t="s">
        <v>22</v>
      </c>
      <c r="B35" s="136"/>
      <c r="C35" s="105" t="s">
        <v>98</v>
      </c>
      <c r="D35" s="105"/>
      <c r="E35" s="136" t="s">
        <v>32</v>
      </c>
      <c r="F35" s="136" t="s">
        <v>4</v>
      </c>
      <c r="G35" s="105" t="s">
        <v>98</v>
      </c>
      <c r="H35" s="105"/>
    </row>
    <row r="36" spans="1:15" ht="20.25" x14ac:dyDescent="0.25">
      <c r="A36" s="136" t="s">
        <v>31</v>
      </c>
      <c r="B36" s="136"/>
      <c r="C36" s="105" t="s">
        <v>99</v>
      </c>
      <c r="D36" s="105"/>
      <c r="E36" s="136" t="s">
        <v>21</v>
      </c>
      <c r="F36" s="136" t="s">
        <v>4</v>
      </c>
      <c r="G36" s="105" t="s">
        <v>100</v>
      </c>
      <c r="H36" s="105"/>
    </row>
    <row r="37" spans="1:15" ht="20.25" x14ac:dyDescent="0.25">
      <c r="A37" s="158" t="s">
        <v>0</v>
      </c>
      <c r="B37" s="158"/>
      <c r="C37" s="158"/>
      <c r="D37" s="158"/>
      <c r="E37" s="158"/>
      <c r="F37" s="158"/>
      <c r="G37" s="158"/>
      <c r="H37" s="158"/>
    </row>
    <row r="38" spans="1:15" ht="20.25" x14ac:dyDescent="0.25">
      <c r="A38" s="153" t="s">
        <v>0</v>
      </c>
      <c r="B38" s="153"/>
      <c r="C38" s="153" t="s">
        <v>227</v>
      </c>
      <c r="D38" s="153"/>
      <c r="E38" s="153"/>
      <c r="F38" s="153" t="s">
        <v>7</v>
      </c>
      <c r="G38" s="153"/>
      <c r="H38" s="153"/>
      <c r="J38" s="151" t="s">
        <v>1</v>
      </c>
      <c r="K38" s="152"/>
      <c r="L38" s="47" t="s">
        <v>6</v>
      </c>
      <c r="M38" s="151" t="s">
        <v>2</v>
      </c>
      <c r="N38" s="152"/>
      <c r="O38" s="47" t="s">
        <v>3</v>
      </c>
    </row>
    <row r="39" spans="1:15" ht="20.25" x14ac:dyDescent="0.25">
      <c r="A39" s="149" t="s">
        <v>2</v>
      </c>
      <c r="B39" s="149"/>
      <c r="C39" s="150" t="s">
        <v>311</v>
      </c>
      <c r="D39" s="150"/>
      <c r="E39" s="150"/>
      <c r="F39" s="154" t="s">
        <v>317</v>
      </c>
      <c r="G39" s="154"/>
      <c r="H39" s="154"/>
    </row>
    <row r="40" spans="1:15" ht="20.25" x14ac:dyDescent="0.25">
      <c r="A40" s="149" t="s">
        <v>3</v>
      </c>
      <c r="B40" s="149"/>
      <c r="C40" s="150" t="s">
        <v>312</v>
      </c>
      <c r="D40" s="150"/>
      <c r="E40" s="150"/>
      <c r="F40" s="150" t="s">
        <v>316</v>
      </c>
      <c r="G40" s="150"/>
      <c r="H40" s="150"/>
    </row>
    <row r="41" spans="1:15" ht="20.25" x14ac:dyDescent="0.25">
      <c r="A41" s="149" t="s">
        <v>1</v>
      </c>
      <c r="B41" s="149"/>
      <c r="C41" s="150" t="s">
        <v>365</v>
      </c>
      <c r="D41" s="150"/>
      <c r="E41" s="150"/>
      <c r="F41" s="150" t="s">
        <v>365</v>
      </c>
      <c r="G41" s="150"/>
      <c r="H41" s="150"/>
    </row>
    <row r="42" spans="1:15" ht="20.25" x14ac:dyDescent="0.25">
      <c r="A42" s="149" t="s">
        <v>6</v>
      </c>
      <c r="B42" s="149"/>
      <c r="C42" s="150" t="s">
        <v>313</v>
      </c>
      <c r="D42" s="150"/>
      <c r="E42" s="150"/>
      <c r="F42" s="150" t="s">
        <v>315</v>
      </c>
      <c r="G42" s="150"/>
      <c r="H42" s="150"/>
    </row>
    <row r="43" spans="1:15" ht="43.5" customHeight="1" x14ac:dyDescent="0.25">
      <c r="A43" s="136" t="s">
        <v>228</v>
      </c>
      <c r="B43" s="136"/>
      <c r="C43" s="105" t="s">
        <v>96</v>
      </c>
      <c r="D43" s="105"/>
      <c r="E43" s="105"/>
      <c r="F43" s="105"/>
      <c r="G43" s="105"/>
      <c r="H43" s="105"/>
    </row>
    <row r="44" spans="1:15" ht="20.25" x14ac:dyDescent="0.25">
      <c r="A44" s="158" t="s">
        <v>57</v>
      </c>
      <c r="B44" s="158"/>
      <c r="C44" s="158"/>
      <c r="D44" s="158"/>
      <c r="E44" s="158"/>
      <c r="F44" s="158"/>
      <c r="G44" s="158"/>
      <c r="H44" s="158"/>
    </row>
    <row r="45" spans="1:15" ht="21" customHeight="1" x14ac:dyDescent="0.25">
      <c r="A45" s="153" t="s">
        <v>58</v>
      </c>
      <c r="B45" s="153"/>
      <c r="C45" s="47" t="s">
        <v>59</v>
      </c>
      <c r="D45" s="153" t="s">
        <v>148</v>
      </c>
      <c r="E45" s="153"/>
      <c r="F45" s="153"/>
      <c r="G45" s="153" t="s">
        <v>60</v>
      </c>
      <c r="H45" s="153"/>
    </row>
    <row r="46" spans="1:15" ht="41.25" customHeight="1" x14ac:dyDescent="0.25">
      <c r="A46" s="147" t="s">
        <v>379</v>
      </c>
      <c r="B46" s="147"/>
      <c r="C46" s="45" t="s">
        <v>88</v>
      </c>
      <c r="D46" s="155" t="s">
        <v>372</v>
      </c>
      <c r="E46" s="155"/>
      <c r="F46" s="155"/>
      <c r="G46" s="105" t="s">
        <v>319</v>
      </c>
      <c r="H46" s="105"/>
    </row>
    <row r="47" spans="1:15" ht="20.25" hidden="1" x14ac:dyDescent="0.25">
      <c r="A47" s="147" t="s">
        <v>301</v>
      </c>
      <c r="B47" s="147"/>
      <c r="C47" s="45" t="s">
        <v>88</v>
      </c>
      <c r="D47" s="105"/>
      <c r="E47" s="105"/>
      <c r="F47" s="105"/>
      <c r="G47" s="105"/>
      <c r="H47" s="105"/>
    </row>
    <row r="48" spans="1:15" ht="20.25" hidden="1" x14ac:dyDescent="0.25">
      <c r="A48" s="147" t="s">
        <v>302</v>
      </c>
      <c r="B48" s="147"/>
      <c r="C48" s="45" t="s">
        <v>88</v>
      </c>
      <c r="D48" s="105"/>
      <c r="E48" s="105"/>
      <c r="F48" s="105"/>
      <c r="G48" s="105"/>
      <c r="H48" s="105"/>
    </row>
    <row r="49" spans="1:10" ht="20.25" hidden="1" x14ac:dyDescent="0.25">
      <c r="A49" s="147" t="s">
        <v>303</v>
      </c>
      <c r="B49" s="147"/>
      <c r="C49" s="45" t="s">
        <v>88</v>
      </c>
      <c r="D49" s="105"/>
      <c r="E49" s="105"/>
      <c r="F49" s="105"/>
      <c r="G49" s="105"/>
      <c r="H49" s="105"/>
    </row>
    <row r="50" spans="1:10" ht="20.25" x14ac:dyDescent="0.25">
      <c r="A50" s="158" t="s">
        <v>61</v>
      </c>
      <c r="B50" s="158"/>
      <c r="C50" s="158"/>
      <c r="D50" s="158"/>
      <c r="E50" s="158"/>
      <c r="F50" s="158"/>
      <c r="G50" s="158"/>
      <c r="H50" s="158"/>
    </row>
    <row r="51" spans="1:10" ht="42.75" customHeight="1" x14ac:dyDescent="0.25">
      <c r="A51" s="136" t="s">
        <v>62</v>
      </c>
      <c r="B51" s="136" t="s">
        <v>4</v>
      </c>
      <c r="C51" s="105" t="s">
        <v>96</v>
      </c>
      <c r="D51" s="105"/>
      <c r="E51" s="105"/>
      <c r="F51" s="105"/>
      <c r="G51" s="105"/>
      <c r="H51" s="105"/>
    </row>
    <row r="52" spans="1:10" ht="44.25" customHeight="1" x14ac:dyDescent="0.25">
      <c r="A52" s="136" t="s">
        <v>63</v>
      </c>
      <c r="B52" s="136" t="s">
        <v>4</v>
      </c>
      <c r="C52" s="105" t="s">
        <v>320</v>
      </c>
      <c r="D52" s="105"/>
      <c r="E52" s="105"/>
      <c r="F52" s="105"/>
      <c r="G52" s="62" t="s">
        <v>229</v>
      </c>
      <c r="H52" s="104">
        <v>45411</v>
      </c>
    </row>
    <row r="53" spans="1:10" ht="44.25" customHeight="1" x14ac:dyDescent="0.25">
      <c r="A53" s="136" t="s">
        <v>64</v>
      </c>
      <c r="B53" s="136" t="s">
        <v>4</v>
      </c>
      <c r="C53" s="105" t="s">
        <v>320</v>
      </c>
      <c r="D53" s="105"/>
      <c r="E53" s="105"/>
      <c r="F53" s="105"/>
      <c r="G53" s="62" t="s">
        <v>229</v>
      </c>
      <c r="H53" s="104">
        <v>45411</v>
      </c>
    </row>
    <row r="54" spans="1:10" ht="44.25" customHeight="1" x14ac:dyDescent="0.25">
      <c r="A54" s="136" t="s">
        <v>240</v>
      </c>
      <c r="B54" s="136"/>
      <c r="C54" s="105" t="s">
        <v>321</v>
      </c>
      <c r="D54" s="105"/>
      <c r="E54" s="105"/>
      <c r="F54" s="105"/>
      <c r="G54" s="62" t="s">
        <v>229</v>
      </c>
      <c r="H54" s="104">
        <v>45464</v>
      </c>
    </row>
    <row r="55" spans="1:10" ht="40.5" x14ac:dyDescent="0.25">
      <c r="A55" s="136"/>
      <c r="B55" s="136"/>
      <c r="C55" s="105" t="s">
        <v>322</v>
      </c>
      <c r="D55" s="105"/>
      <c r="E55" s="105"/>
      <c r="F55" s="105"/>
      <c r="G55" s="62" t="s">
        <v>241</v>
      </c>
      <c r="H55" s="104">
        <v>45828</v>
      </c>
    </row>
    <row r="56" spans="1:10" ht="44.25" customHeight="1" x14ac:dyDescent="0.25">
      <c r="A56" s="136" t="s">
        <v>240</v>
      </c>
      <c r="B56" s="136"/>
      <c r="C56" s="105" t="s">
        <v>378</v>
      </c>
      <c r="D56" s="105"/>
      <c r="E56" s="105"/>
      <c r="F56" s="105"/>
      <c r="G56" s="62" t="s">
        <v>229</v>
      </c>
      <c r="H56" s="104">
        <v>45763</v>
      </c>
    </row>
    <row r="57" spans="1:10" ht="83.25" customHeight="1" x14ac:dyDescent="0.25">
      <c r="A57" s="136"/>
      <c r="B57" s="136"/>
      <c r="C57" s="105" t="s">
        <v>381</v>
      </c>
      <c r="D57" s="105"/>
      <c r="E57" s="105"/>
      <c r="F57" s="105"/>
      <c r="G57" s="62" t="s">
        <v>241</v>
      </c>
      <c r="H57" s="104">
        <v>46127</v>
      </c>
    </row>
    <row r="58" spans="1:10" ht="46.5" hidden="1" customHeight="1" x14ac:dyDescent="0.25">
      <c r="A58" s="136" t="s">
        <v>65</v>
      </c>
      <c r="B58" s="136" t="s">
        <v>4</v>
      </c>
      <c r="C58" s="105"/>
      <c r="D58" s="105"/>
      <c r="E58" s="105"/>
      <c r="F58" s="105"/>
      <c r="G58" s="62" t="s">
        <v>230</v>
      </c>
      <c r="H58" s="102"/>
    </row>
    <row r="59" spans="1:10" ht="45" hidden="1" customHeight="1" x14ac:dyDescent="0.25">
      <c r="A59" s="136" t="s">
        <v>67</v>
      </c>
      <c r="B59" s="136" t="s">
        <v>4</v>
      </c>
      <c r="C59" s="105"/>
      <c r="D59" s="105"/>
      <c r="E59" s="105"/>
      <c r="F59" s="105"/>
      <c r="G59" s="62" t="s">
        <v>230</v>
      </c>
      <c r="H59" s="102"/>
    </row>
    <row r="60" spans="1:10" ht="60.75" hidden="1" x14ac:dyDescent="0.25">
      <c r="A60" s="136" t="s">
        <v>66</v>
      </c>
      <c r="B60" s="136" t="s">
        <v>4</v>
      </c>
      <c r="C60" s="105"/>
      <c r="D60" s="105"/>
      <c r="E60" s="105"/>
      <c r="F60" s="105"/>
      <c r="G60" s="62" t="s">
        <v>230</v>
      </c>
      <c r="H60" s="102"/>
    </row>
    <row r="61" spans="1:10" ht="169.5" customHeight="1" x14ac:dyDescent="0.25">
      <c r="A61" s="136" t="s">
        <v>323</v>
      </c>
      <c r="B61" s="136" t="s">
        <v>4</v>
      </c>
      <c r="C61" s="105" t="s">
        <v>382</v>
      </c>
      <c r="D61" s="105"/>
      <c r="E61" s="105"/>
      <c r="F61" s="105"/>
      <c r="G61" s="62" t="s">
        <v>230</v>
      </c>
      <c r="H61" s="104">
        <v>45246</v>
      </c>
    </row>
    <row r="62" spans="1:10" ht="45" customHeight="1" x14ac:dyDescent="0.25">
      <c r="A62" s="136" t="s">
        <v>366</v>
      </c>
      <c r="B62" s="136" t="s">
        <v>4</v>
      </c>
      <c r="C62" s="105" t="s">
        <v>367</v>
      </c>
      <c r="D62" s="105"/>
      <c r="E62" s="105"/>
      <c r="F62" s="105"/>
      <c r="G62" s="62" t="s">
        <v>230</v>
      </c>
      <c r="H62" s="104">
        <v>45131</v>
      </c>
    </row>
    <row r="63" spans="1:10" ht="21" thickBot="1" x14ac:dyDescent="0.3">
      <c r="A63" s="158" t="s">
        <v>68</v>
      </c>
      <c r="B63" s="158"/>
      <c r="C63" s="158"/>
      <c r="D63" s="158"/>
      <c r="E63" s="158"/>
      <c r="F63" s="158"/>
      <c r="G63" s="158"/>
      <c r="H63" s="158"/>
    </row>
    <row r="64" spans="1:10" ht="20.25" customHeight="1" x14ac:dyDescent="0.3">
      <c r="A64" s="146" t="str">
        <f>CONCATENATE((IF(OR(A46="",A46="NA"),"",A46)),"= ",(IF(OR(D46="",D46="NA"),"",D46)),".")</f>
        <v>Tower A = Basement + LG + UG + 1st to 33rd Floor.</v>
      </c>
      <c r="B64" s="146"/>
      <c r="C64" s="146"/>
      <c r="D64" s="29" t="s">
        <v>115</v>
      </c>
      <c r="E64" s="196" t="s">
        <v>102</v>
      </c>
      <c r="F64" s="196"/>
      <c r="G64" s="29" t="s">
        <v>116</v>
      </c>
      <c r="H64" s="29" t="s">
        <v>117</v>
      </c>
      <c r="I64" s="15" t="str">
        <f ca="1">(IF(E67&gt;99%,"All work completed. Please provide OC.",IF(E67&gt;89.8%,"Plinth, RCC, Brick, Plaster, Flooring, Wooden, Plumbing, Electrification, etc., work Completed. Finishing work is in process.",IF(E67&lt;94%,(IF(C67=0,"Work not yet Started.",IF(D67=25%,"Piling work in process",IF(D67=50%,"Excavation work in process",IF(D67=100%,"Excavation work Completed. ","0")))&amp;(IF(C68=0%,"",IF(C68=J69,"Footing work is process",IF(C68=J70,"Footing work Completed",IF(C68=J71,"1st Basement Completed",IF(C68=J72,"1st &amp; 2nd Basement Completed",IF(C68=J73,"1st to 3rd Basement Completed",IF(C68=J74,"1st to 4th Basement Completed",IF(C68=J75,"Plinth work is process",IF(C68=J76,"Plinth work completed","0")))))))))))&amp;(IF(C69=(E65+G65+H65),", RCC Slab",IF(C69&gt;0,", RCC upto "&amp;C69&amp;" Slab",""))&amp;(IF(C70=H65,", Brickwork",IF(C70&gt;0,", Brickwork upto "&amp;C70&amp;" Floor",""))&amp;(IF(C71=H65,", Internal Plaster",IF(C71&gt;0,", Internal Plaster upto "&amp;C71&amp;" Floor",""))&amp;(IF(C72=H65,", External Plaster",IF(C72&gt;0,", External Plaster upto "&amp;C72&amp;" Floor",""))&amp;(IF(C73=H65,", External Plumbing, Elevation and Waterproofing",IF(C73&gt;0,", External Plumbing, Elevation and Waterproofing upto "&amp;C73&amp;" Floor",""))&amp;(IF(C74=H65,", Flooring &amp; Fitting",IF(C74&gt;0,", Flooring &amp; Fitting upto "&amp;C74&amp;" Floor",""))&amp;(IF(C75=H65,", Wooden Work",IF(C75&gt;0,", Wooden Work upto "&amp;C75&amp;" Floor",""))&amp;(IF(C76=H65,", Electrical &amp; Sanitary fittings",IF(C76&gt;0,", Electrical &amp; Sanitary fittings upto "&amp;C76&amp;" Floor",""))&amp;(IF(C77&gt;0,", Finishing upto "&amp;C77&amp;" Floor","")&amp;(IF(C69&gt;0.5," Completed",""))))))))))))))))</f>
        <v>Excavation work Completed. Footing work Completed</v>
      </c>
      <c r="J64" s="17"/>
    </row>
    <row r="65" spans="1:10" ht="20.25" x14ac:dyDescent="0.3">
      <c r="A65" s="146"/>
      <c r="B65" s="146"/>
      <c r="C65" s="146"/>
      <c r="D65" s="92">
        <v>1</v>
      </c>
      <c r="E65" s="196">
        <v>2</v>
      </c>
      <c r="F65" s="196"/>
      <c r="G65" s="92">
        <v>0</v>
      </c>
      <c r="H65" s="92">
        <f ca="1">--TRIM(RIGHT(SUBSTITUTE(LEFT(A64,_xlfn.AGGREGATE(16,6,FIND({0,1,2,3,4,5,6,7,8,9},A64,ROW(INDIRECT("1:"&amp;LEN(A64)))),1))," ",REPT(" ",LEN(A64))),LEN(A64)))</f>
        <v>33</v>
      </c>
      <c r="I65" s="16" t="s">
        <v>121</v>
      </c>
      <c r="J65" s="17"/>
    </row>
    <row r="66" spans="1:10" ht="20.25" customHeight="1" x14ac:dyDescent="0.3">
      <c r="A66" s="197" t="s">
        <v>119</v>
      </c>
      <c r="B66" s="197"/>
      <c r="C66" s="44" t="s">
        <v>132</v>
      </c>
      <c r="D66" s="27" t="s">
        <v>133</v>
      </c>
      <c r="E66" s="197" t="s">
        <v>120</v>
      </c>
      <c r="F66" s="197"/>
      <c r="G66" s="28" t="s">
        <v>118</v>
      </c>
      <c r="H66" s="28"/>
      <c r="I66" s="19" t="s">
        <v>134</v>
      </c>
      <c r="J66" s="18">
        <f ca="1">H65*25%</f>
        <v>8.25</v>
      </c>
    </row>
    <row r="67" spans="1:10" ht="20.25" customHeight="1" x14ac:dyDescent="0.3">
      <c r="A67" s="137" t="s">
        <v>135</v>
      </c>
      <c r="B67" s="137"/>
      <c r="C67" s="99">
        <f ca="1">J68</f>
        <v>33</v>
      </c>
      <c r="D67" s="100">
        <f ca="1">((100/H65)*C67)/100</f>
        <v>1</v>
      </c>
      <c r="E67" s="138">
        <f ca="1">(((C67/H65*10)+(C68/H65*15)+(25/(E65+G65+H65)*C69)+(5/(H65)*C70)+(2.5/(H65)*C71)+(2.5/(H65)*C72)+(5/H65*C73)+(10/H65*C74)+(2.5/H65*C75)+(2.5/H65*C76)+(10/H65*C77)+(10/H65*C78))/100)</f>
        <v>0.17499999999999999</v>
      </c>
      <c r="F67" s="139"/>
      <c r="G67" s="137" t="str">
        <f ca="1">I64</f>
        <v>Excavation work Completed. Footing work Completed</v>
      </c>
      <c r="H67" s="137"/>
      <c r="I67" s="19" t="s">
        <v>122</v>
      </c>
      <c r="J67" s="23">
        <f ca="1">H65*50%</f>
        <v>16.5</v>
      </c>
    </row>
    <row r="68" spans="1:10" ht="20.25" x14ac:dyDescent="0.3">
      <c r="A68" s="137" t="s">
        <v>103</v>
      </c>
      <c r="B68" s="137"/>
      <c r="C68" s="39">
        <f ca="1">J70</f>
        <v>16.5</v>
      </c>
      <c r="D68" s="100">
        <f ca="1">((100/H65)*C68)/100</f>
        <v>0.5</v>
      </c>
      <c r="E68" s="140"/>
      <c r="F68" s="141"/>
      <c r="G68" s="137"/>
      <c r="H68" s="137"/>
      <c r="I68" s="19" t="s">
        <v>123</v>
      </c>
      <c r="J68" s="23">
        <f ca="1">H65</f>
        <v>33</v>
      </c>
    </row>
    <row r="69" spans="1:10" ht="21" customHeight="1" x14ac:dyDescent="0.35">
      <c r="A69" s="137" t="s">
        <v>136</v>
      </c>
      <c r="B69" s="137"/>
      <c r="C69" s="37">
        <v>0</v>
      </c>
      <c r="D69" s="100">
        <f ca="1">((100/(E65+G65+H65))*C69)/100</f>
        <v>0</v>
      </c>
      <c r="E69" s="140"/>
      <c r="F69" s="141"/>
      <c r="G69" s="137"/>
      <c r="H69" s="137"/>
      <c r="I69" s="19" t="s">
        <v>124</v>
      </c>
      <c r="J69" s="24">
        <f ca="1">(IF(D65&gt;1,(H65/(D65+2)),H65/4))</f>
        <v>8.25</v>
      </c>
    </row>
    <row r="70" spans="1:10" ht="21" customHeight="1" x14ac:dyDescent="0.35">
      <c r="A70" s="137" t="s">
        <v>137</v>
      </c>
      <c r="B70" s="137"/>
      <c r="C70" s="37">
        <v>0</v>
      </c>
      <c r="D70" s="100">
        <f ca="1">((100/H65)*C70)/100</f>
        <v>0</v>
      </c>
      <c r="E70" s="140"/>
      <c r="F70" s="141"/>
      <c r="G70" s="137"/>
      <c r="H70" s="137"/>
      <c r="I70" s="19" t="s">
        <v>125</v>
      </c>
      <c r="J70" s="24">
        <f ca="1">(IF(D65&gt;1,(H65/(D65+2)+J69),H65/4+J69))</f>
        <v>16.5</v>
      </c>
    </row>
    <row r="71" spans="1:10" ht="21" customHeight="1" x14ac:dyDescent="0.35">
      <c r="A71" s="144" t="s">
        <v>138</v>
      </c>
      <c r="B71" s="145"/>
      <c r="C71" s="37">
        <v>0</v>
      </c>
      <c r="D71" s="100">
        <f ca="1">((100/H65)*C71)/100</f>
        <v>0</v>
      </c>
      <c r="E71" s="140"/>
      <c r="F71" s="141"/>
      <c r="G71" s="137"/>
      <c r="H71" s="137"/>
      <c r="I71" s="19" t="s">
        <v>139</v>
      </c>
      <c r="J71" s="24">
        <f>(IF(D65&gt;1,(H65/(D65+2)+J70),0))</f>
        <v>0</v>
      </c>
    </row>
    <row r="72" spans="1:10" ht="21" customHeight="1" x14ac:dyDescent="0.35">
      <c r="A72" s="144" t="s">
        <v>168</v>
      </c>
      <c r="B72" s="145"/>
      <c r="C72" s="37">
        <v>0</v>
      </c>
      <c r="D72" s="100">
        <f ca="1">((100/H65)*C72)/100</f>
        <v>0</v>
      </c>
      <c r="E72" s="140"/>
      <c r="F72" s="141"/>
      <c r="G72" s="137"/>
      <c r="H72" s="137"/>
      <c r="I72" s="19" t="s">
        <v>140</v>
      </c>
      <c r="J72" s="24">
        <f>(IF(D65&gt;2,(H65/(D65+2)+J71),0))</f>
        <v>0</v>
      </c>
    </row>
    <row r="73" spans="1:10" ht="48" customHeight="1" x14ac:dyDescent="0.35">
      <c r="A73" s="144" t="s">
        <v>165</v>
      </c>
      <c r="B73" s="145"/>
      <c r="C73" s="37">
        <v>0</v>
      </c>
      <c r="D73" s="100">
        <f ca="1">((100/(H65))*C73)/100</f>
        <v>0</v>
      </c>
      <c r="E73" s="140"/>
      <c r="F73" s="141"/>
      <c r="G73" s="137"/>
      <c r="H73" s="137"/>
      <c r="I73" s="19" t="s">
        <v>142</v>
      </c>
      <c r="J73" s="25">
        <f>(IF(D65&gt;3,(H65/(D65+2)+J72),0))</f>
        <v>0</v>
      </c>
    </row>
    <row r="74" spans="1:10" ht="21" x14ac:dyDescent="0.35">
      <c r="A74" s="137" t="s">
        <v>141</v>
      </c>
      <c r="B74" s="137"/>
      <c r="C74" s="37">
        <v>0</v>
      </c>
      <c r="D74" s="100">
        <f ca="1">((100/(H65))*C74)/100</f>
        <v>0</v>
      </c>
      <c r="E74" s="140"/>
      <c r="F74" s="141"/>
      <c r="G74" s="137"/>
      <c r="H74" s="137"/>
      <c r="I74" s="19" t="s">
        <v>143</v>
      </c>
      <c r="J74" s="24">
        <f>(IF(D65&gt;4,(H65/(D65+2)+J73),0))</f>
        <v>0</v>
      </c>
    </row>
    <row r="75" spans="1:10" ht="21" customHeight="1" x14ac:dyDescent="0.35">
      <c r="A75" s="137" t="s">
        <v>167</v>
      </c>
      <c r="B75" s="137"/>
      <c r="C75" s="37">
        <v>0</v>
      </c>
      <c r="D75" s="100">
        <f ca="1">((100/H65)*C75)/100</f>
        <v>0</v>
      </c>
      <c r="E75" s="140"/>
      <c r="F75" s="141"/>
      <c r="G75" s="137"/>
      <c r="H75" s="137"/>
      <c r="I75" s="19" t="s">
        <v>126</v>
      </c>
      <c r="J75" s="24">
        <f ca="1">(IF(D65=1,(H65/(D65+3)+J70),IF(D65=0,(H65/4+J70),IF(D65&gt;1,0))))</f>
        <v>24.75</v>
      </c>
    </row>
    <row r="76" spans="1:10" ht="21.75" thickBot="1" x14ac:dyDescent="0.4">
      <c r="A76" s="137" t="s">
        <v>166</v>
      </c>
      <c r="B76" s="137"/>
      <c r="C76" s="37">
        <v>0</v>
      </c>
      <c r="D76" s="100">
        <f ca="1">((100/H65)*C76)/100</f>
        <v>0</v>
      </c>
      <c r="E76" s="140"/>
      <c r="F76" s="141"/>
      <c r="G76" s="137"/>
      <c r="H76" s="137"/>
      <c r="I76" s="21" t="s">
        <v>127</v>
      </c>
      <c r="J76" s="26">
        <f ca="1">(IF(D65&gt;1.5,(H65/(D65+2)+J69+MAX(0,J70-J69)+MAX(0,J71-J70)+MAX(0,J72-J71)+MAX(0,J73-J72)+MAX(0,J74-J73)),IF(D65=1,(H65/(D65+3)+J75),IF(D65=0,H65/4+J75))))</f>
        <v>33</v>
      </c>
    </row>
    <row r="77" spans="1:10" ht="20.25" x14ac:dyDescent="0.25">
      <c r="A77" s="137" t="s">
        <v>144</v>
      </c>
      <c r="B77" s="137"/>
      <c r="C77" s="37">
        <v>0</v>
      </c>
      <c r="D77" s="100">
        <f ca="1">((100/(H65))*C77)/100</f>
        <v>0</v>
      </c>
      <c r="E77" s="140"/>
      <c r="F77" s="141"/>
      <c r="G77" s="137"/>
      <c r="H77" s="137"/>
    </row>
    <row r="78" spans="1:10" ht="20.25" x14ac:dyDescent="0.25">
      <c r="A78" s="137" t="s">
        <v>145</v>
      </c>
      <c r="B78" s="137"/>
      <c r="C78" s="37">
        <v>0</v>
      </c>
      <c r="D78" s="100">
        <f ca="1">((100/(H65))*C78)/100</f>
        <v>0</v>
      </c>
      <c r="E78" s="142"/>
      <c r="F78" s="143"/>
      <c r="G78" s="137"/>
      <c r="H78" s="137"/>
    </row>
    <row r="79" spans="1:10" ht="21" hidden="1" thickBot="1" x14ac:dyDescent="0.3">
      <c r="A79" s="158" t="s">
        <v>68</v>
      </c>
      <c r="B79" s="158"/>
      <c r="C79" s="158"/>
      <c r="D79" s="158"/>
      <c r="E79" s="158"/>
      <c r="F79" s="158"/>
      <c r="G79" s="158"/>
      <c r="H79" s="158"/>
    </row>
    <row r="80" spans="1:10" ht="20.25" hidden="1" customHeight="1" x14ac:dyDescent="0.3">
      <c r="A80" s="146" t="str">
        <f>CONCATENATE((IF(OR(A47="",A47="NA"),"",A47)),"= ",(IF(OR(D47="",D47="NA"),"",D47)),".")</f>
        <v>Tower 2 = .</v>
      </c>
      <c r="B80" s="146"/>
      <c r="C80" s="146"/>
      <c r="D80" s="31" t="s">
        <v>115</v>
      </c>
      <c r="E80" s="196" t="s">
        <v>102</v>
      </c>
      <c r="F80" s="196"/>
      <c r="G80" s="31" t="s">
        <v>116</v>
      </c>
      <c r="H80" s="31" t="s">
        <v>117</v>
      </c>
      <c r="I80" s="15" t="str">
        <f ca="1">(IF(E83&gt;99%,"All work completed. Please provide OC.",IF(E83&gt;89.8%,"Plinth, RCC, Brick, Plaster, Flooring, Wooden, Plumbing, Electrification, etc., work Completed. Finishing work is in process.",IF(E83&lt;94%,(IF(C83=0,"Work not yet Started.",IF(D83=25%,"Piling work in process",IF(D83=50%,"Excavation work in process",IF(D83=100%,"Excavation work Completed. ","0")))&amp;(IF(C84=0%,"",IF(C84=J85,"Footing work is process",IF(C84=J86,"Footing work Completed",IF(C84=J87,"1st Basement Completed",IF(C84=J88,"1st &amp; 2nd Basement Completed",IF(C84=J89,"1st to 3rd Basement Completed",IF(C84=J90,"1st to 4th Basement Completed",IF(C84=J91,"Plinth work is process",IF(C84=J92,"Plinth work completed","0")))))))))))&amp;(IF(C85=(E81+G81+H81),", RCC Slab",IF(C85&gt;0,", RCC upto "&amp;C85&amp;" Slab",""))&amp;(IF(C86=H81,", Brickwork",IF(C86&gt;0,", Brickwork upto "&amp;C86&amp;" Floor",""))&amp;(IF(C87=H81,", Internal Plaster",IF(C87&gt;0,", Internal Plaster upto "&amp;C87&amp;" Floor",""))&amp;(IF(C88=H81,", External Plaster",IF(C88&gt;0,", External Plaster upto "&amp;C88&amp;" Floor",""))&amp;(IF(C89=H81,", External Plumbing, Elevation and Waterproofing",IF(C89&gt;0,", External Plumbing, Elevation and Waterproofing upto "&amp;C89&amp;" Floor",""))&amp;(IF(C90=H81,", Flooring &amp; Fitting",IF(C90&gt;0,", Flooring &amp; Fitting upto "&amp;C90&amp;" Floor",""))&amp;(IF(C91=H81,", Wooden Work",IF(C91&gt;0,", Wooden Work upto "&amp;C91&amp;" Floor",""))&amp;(IF(C92=H81,", Electrical &amp; Sanitary fittings",IF(C92&gt;0,", Electrical &amp; Sanitary fittings upto "&amp;C92&amp;" Floor",""))&amp;(IF(C93&gt;0,", Finishing upto "&amp;C93&amp;" Floor","")&amp;(IF(C85&gt;0.5," Completed",""))))))))))))))))</f>
        <v>Excavation work Completed. Plinth work completed</v>
      </c>
      <c r="J80" s="17"/>
    </row>
    <row r="81" spans="1:10" ht="20.25" hidden="1" x14ac:dyDescent="0.3">
      <c r="A81" s="146"/>
      <c r="B81" s="146"/>
      <c r="C81" s="146"/>
      <c r="D81" s="63">
        <f>IF(AND(ISNUMBER(SEARCH("1B",A80))),1,IF(AND(ISNUMBER(SEARCH("2B",A80))),2,IF(AND(ISNUMBER(SEARCH("3B",A80))),3,IF(AND(ISNUMBER(SEARCH("4B",A80))),4,IF(ISNUMBER(SEARCH("5B",A80)),5,0)))))</f>
        <v>0</v>
      </c>
      <c r="E81" s="196">
        <v>1</v>
      </c>
      <c r="F81" s="196"/>
      <c r="G81" s="63">
        <v>0</v>
      </c>
      <c r="H81" s="31">
        <f ca="1">--TRIM(RIGHT(SUBSTITUTE(LEFT(A80,_xlfn.AGGREGATE(16,6,FIND({0,1,2,3,4,5,6,7,8,9},A80,ROW(INDIRECT("1:"&amp;LEN(A80)))),1))," ",REPT(" ",LEN(A80))),LEN(A80)))</f>
        <v>2</v>
      </c>
      <c r="I81" s="16" t="s">
        <v>121</v>
      </c>
      <c r="J81" s="17"/>
    </row>
    <row r="82" spans="1:10" ht="20.25" hidden="1" customHeight="1" x14ac:dyDescent="0.3">
      <c r="A82" s="197" t="s">
        <v>119</v>
      </c>
      <c r="B82" s="197"/>
      <c r="C82" s="44" t="s">
        <v>132</v>
      </c>
      <c r="D82" s="32" t="s">
        <v>133</v>
      </c>
      <c r="E82" s="197" t="s">
        <v>120</v>
      </c>
      <c r="F82" s="197"/>
      <c r="G82" s="28" t="s">
        <v>118</v>
      </c>
      <c r="H82" s="28"/>
      <c r="I82" s="19" t="s">
        <v>134</v>
      </c>
      <c r="J82" s="18">
        <f ca="1">H81*25%</f>
        <v>0.5</v>
      </c>
    </row>
    <row r="83" spans="1:10" ht="20.25" hidden="1" customHeight="1" x14ac:dyDescent="0.3">
      <c r="A83" s="137" t="s">
        <v>135</v>
      </c>
      <c r="B83" s="137"/>
      <c r="C83" s="37">
        <f ca="1">J84</f>
        <v>2</v>
      </c>
      <c r="D83" s="33">
        <f ca="1">((100/H81)*C83)/100</f>
        <v>1</v>
      </c>
      <c r="E83" s="138">
        <f ca="1">(((C83/H81*10)+(C84/H81*15)+(25/(E81+G81+H81)*C85)+(5/(H81)*C86)+(2.5/(H81)*C87)+(2.5/(H81)*C88)+(5/H81*C89)+(10/H81*C90)+(2.5/H81*C91)+(2.5/H81*C92)+(10/H81*C93)+(10/H81*C94))/100)</f>
        <v>0.25</v>
      </c>
      <c r="F83" s="139"/>
      <c r="G83" s="137" t="str">
        <f ca="1">I80</f>
        <v>Excavation work Completed. Plinth work completed</v>
      </c>
      <c r="H83" s="137"/>
      <c r="I83" s="19" t="s">
        <v>122</v>
      </c>
      <c r="J83" s="23">
        <f ca="1">H81*50%</f>
        <v>1</v>
      </c>
    </row>
    <row r="84" spans="1:10" ht="20.25" hidden="1" x14ac:dyDescent="0.3">
      <c r="A84" s="137" t="s">
        <v>103</v>
      </c>
      <c r="B84" s="137"/>
      <c r="C84" s="39">
        <f ca="1">J92</f>
        <v>2</v>
      </c>
      <c r="D84" s="33">
        <f ca="1">((100/H81)*C84)/100</f>
        <v>1</v>
      </c>
      <c r="E84" s="140"/>
      <c r="F84" s="141"/>
      <c r="G84" s="137"/>
      <c r="H84" s="137"/>
      <c r="I84" s="19" t="s">
        <v>123</v>
      </c>
      <c r="J84" s="23">
        <f ca="1">H81</f>
        <v>2</v>
      </c>
    </row>
    <row r="85" spans="1:10" ht="21" hidden="1" customHeight="1" x14ac:dyDescent="0.35">
      <c r="A85" s="137" t="s">
        <v>136</v>
      </c>
      <c r="B85" s="137"/>
      <c r="C85" s="37">
        <v>0</v>
      </c>
      <c r="D85" s="33">
        <f ca="1">((100/(E81+G81+H81))*C85)/100</f>
        <v>0</v>
      </c>
      <c r="E85" s="140"/>
      <c r="F85" s="141"/>
      <c r="G85" s="137"/>
      <c r="H85" s="137"/>
      <c r="I85" s="19" t="s">
        <v>124</v>
      </c>
      <c r="J85" s="24">
        <f ca="1">(IF(D81&gt;1,(H81/(D81+2)),H81*0.2))</f>
        <v>0.4</v>
      </c>
    </row>
    <row r="86" spans="1:10" ht="21" hidden="1" customHeight="1" x14ac:dyDescent="0.35">
      <c r="A86" s="137" t="s">
        <v>137</v>
      </c>
      <c r="B86" s="137"/>
      <c r="C86" s="37">
        <v>0</v>
      </c>
      <c r="D86" s="33">
        <f ca="1">((100/H81)*C86)/100</f>
        <v>0</v>
      </c>
      <c r="E86" s="140"/>
      <c r="F86" s="141"/>
      <c r="G86" s="137"/>
      <c r="H86" s="137"/>
      <c r="I86" s="19" t="s">
        <v>125</v>
      </c>
      <c r="J86" s="24">
        <f ca="1">(IF(D81&gt;1,(H81/(D81+2)+J85),H81*0.2+J85))</f>
        <v>0.8</v>
      </c>
    </row>
    <row r="87" spans="1:10" ht="21" hidden="1" customHeight="1" x14ac:dyDescent="0.35">
      <c r="A87" s="144" t="s">
        <v>138</v>
      </c>
      <c r="B87" s="145"/>
      <c r="C87" s="37">
        <v>0</v>
      </c>
      <c r="D87" s="33">
        <f ca="1">((100/H81)*C87)/100</f>
        <v>0</v>
      </c>
      <c r="E87" s="140"/>
      <c r="F87" s="141"/>
      <c r="G87" s="137"/>
      <c r="H87" s="137"/>
      <c r="I87" s="19" t="s">
        <v>139</v>
      </c>
      <c r="J87" s="24">
        <f>(IF(D81&gt;1,(H81/(D81+2)+J86),0))</f>
        <v>0</v>
      </c>
    </row>
    <row r="88" spans="1:10" ht="21" hidden="1" customHeight="1" x14ac:dyDescent="0.35">
      <c r="A88" s="144" t="s">
        <v>168</v>
      </c>
      <c r="B88" s="145"/>
      <c r="C88" s="37">
        <v>0</v>
      </c>
      <c r="D88" s="33">
        <f ca="1">((100/H81)*C88)/100</f>
        <v>0</v>
      </c>
      <c r="E88" s="140"/>
      <c r="F88" s="141"/>
      <c r="G88" s="137"/>
      <c r="H88" s="137"/>
      <c r="I88" s="19" t="s">
        <v>140</v>
      </c>
      <c r="J88" s="24">
        <f>(IF(D81&gt;2,(H81/(D81+2)+J87),0))</f>
        <v>0</v>
      </c>
    </row>
    <row r="89" spans="1:10" ht="57.75" hidden="1" customHeight="1" x14ac:dyDescent="0.35">
      <c r="A89" s="144" t="s">
        <v>165</v>
      </c>
      <c r="B89" s="145"/>
      <c r="C89" s="37">
        <v>0</v>
      </c>
      <c r="D89" s="33">
        <f ca="1">((100/(H81))*C89)/100</f>
        <v>0</v>
      </c>
      <c r="E89" s="140"/>
      <c r="F89" s="141"/>
      <c r="G89" s="137"/>
      <c r="H89" s="137"/>
      <c r="I89" s="19" t="s">
        <v>142</v>
      </c>
      <c r="J89" s="25">
        <f>(IF(D81&gt;3,(H81/(D81+2)+J88),0))</f>
        <v>0</v>
      </c>
    </row>
    <row r="90" spans="1:10" ht="21" hidden="1" x14ac:dyDescent="0.35">
      <c r="A90" s="137" t="s">
        <v>141</v>
      </c>
      <c r="B90" s="137"/>
      <c r="C90" s="37">
        <v>0</v>
      </c>
      <c r="D90" s="33">
        <f ca="1">((100/(H81))*C90)/100</f>
        <v>0</v>
      </c>
      <c r="E90" s="140"/>
      <c r="F90" s="141"/>
      <c r="G90" s="137"/>
      <c r="H90" s="137"/>
      <c r="I90" s="19" t="s">
        <v>143</v>
      </c>
      <c r="J90" s="24">
        <f>(IF(D81&gt;4,(H81/(D81+2)+J89),0))</f>
        <v>0</v>
      </c>
    </row>
    <row r="91" spans="1:10" ht="21" hidden="1" customHeight="1" x14ac:dyDescent="0.35">
      <c r="A91" s="137" t="s">
        <v>167</v>
      </c>
      <c r="B91" s="137"/>
      <c r="C91" s="37">
        <v>0</v>
      </c>
      <c r="D91" s="33">
        <f ca="1">((100/H81)*C91)/100</f>
        <v>0</v>
      </c>
      <c r="E91" s="140"/>
      <c r="F91" s="141"/>
      <c r="G91" s="137"/>
      <c r="H91" s="137"/>
      <c r="I91" s="19" t="s">
        <v>126</v>
      </c>
      <c r="J91" s="24">
        <f ca="1">(IF(D81=1,(H81/(D81+3)+J86),IF(D81=0,(H81*0.3+J86),IF(D81&gt;1,0))))</f>
        <v>1.4</v>
      </c>
    </row>
    <row r="92" spans="1:10" ht="21.75" hidden="1" thickBot="1" x14ac:dyDescent="0.4">
      <c r="A92" s="137" t="s">
        <v>166</v>
      </c>
      <c r="B92" s="137"/>
      <c r="C92" s="37">
        <v>0</v>
      </c>
      <c r="D92" s="33">
        <f ca="1">((100/H81)*C92)/100</f>
        <v>0</v>
      </c>
      <c r="E92" s="140"/>
      <c r="F92" s="141"/>
      <c r="G92" s="137"/>
      <c r="H92" s="137"/>
      <c r="I92" s="21" t="s">
        <v>127</v>
      </c>
      <c r="J92" s="26">
        <f ca="1">(IF(D81&gt;1.5,(H81/(D81+2)+J86+MAX(0,J87-J86)+MAX(0,J88-J87)+MAX(0,J89-J88)+MAX(0,J90-J89)+MAX(0,J91-J90)),IF(D81=1,(H81/(D81+3)+J91),IF(D81=0,H81*0.3+J91))))</f>
        <v>2</v>
      </c>
    </row>
    <row r="93" spans="1:10" ht="20.25" hidden="1" x14ac:dyDescent="0.25">
      <c r="A93" s="137" t="s">
        <v>144</v>
      </c>
      <c r="B93" s="137"/>
      <c r="C93" s="37">
        <v>0</v>
      </c>
      <c r="D93" s="33">
        <f ca="1">((100/(H81))*C93)/100</f>
        <v>0</v>
      </c>
      <c r="E93" s="140"/>
      <c r="F93" s="141"/>
      <c r="G93" s="137"/>
      <c r="H93" s="137"/>
    </row>
    <row r="94" spans="1:10" ht="20.25" hidden="1" x14ac:dyDescent="0.25">
      <c r="A94" s="137" t="s">
        <v>145</v>
      </c>
      <c r="B94" s="137"/>
      <c r="C94" s="37">
        <v>0</v>
      </c>
      <c r="D94" s="33">
        <f ca="1">((100/(H81))*C94)/100</f>
        <v>0</v>
      </c>
      <c r="E94" s="142"/>
      <c r="F94" s="143"/>
      <c r="G94" s="137"/>
      <c r="H94" s="137"/>
    </row>
    <row r="95" spans="1:10" ht="21" hidden="1" thickBot="1" x14ac:dyDescent="0.3">
      <c r="A95" s="158" t="s">
        <v>68</v>
      </c>
      <c r="B95" s="158"/>
      <c r="C95" s="158"/>
      <c r="D95" s="158"/>
      <c r="E95" s="158"/>
      <c r="F95" s="158"/>
      <c r="G95" s="158"/>
      <c r="H95" s="158"/>
    </row>
    <row r="96" spans="1:10" ht="20.25" hidden="1" customHeight="1" x14ac:dyDescent="0.3">
      <c r="A96" s="146" t="str">
        <f>CONCATENATE((IF(OR(A48="",A48="NA"),"",A48)),"= ",(IF(OR(D48="",D48="NA"),"",D48)),".")</f>
        <v>Tower 3 = .</v>
      </c>
      <c r="B96" s="146"/>
      <c r="C96" s="146"/>
      <c r="D96" s="37" t="s">
        <v>115</v>
      </c>
      <c r="E96" s="196" t="s">
        <v>102</v>
      </c>
      <c r="F96" s="196"/>
      <c r="G96" s="37" t="s">
        <v>116</v>
      </c>
      <c r="H96" s="37" t="s">
        <v>117</v>
      </c>
      <c r="I96" s="15" t="str">
        <f ca="1">(IF(E99&gt;99%,"All work completed. Please provide OC.",IF(E99&gt;89.8%,"Plinth, RCC, Brick, Plaster, Flooring, Wooden, Plumbing, Electrification, etc., work Completed. Finishing work is in process.",IF(E99&lt;94%,(IF(C99=0,"Work not yet Started.",IF(D99=25%,"Piling work in process",IF(D99=50%,"Excavation work in process",IF(D99=100%,"Excavation work Completed. ","0")))&amp;(IF(C100=0%,"",IF(C100=J101,"Footing work is process",IF(C100=J102,"Footing work Completed",IF(C100=J103,"1st Basement Completed",IF(C100=J104,"1st &amp; 2nd Basement Completed",IF(C100=J105,"1st to 3rd Basement Completed",IF(C100=J106,"1st to 4th Basement Completed",IF(C100=J107,"Plinth work is process",IF(C100=J108,"Plinth work completed","0")))))))))))&amp;(IF(C101=(E97+G97+H97),", RCC Slab",IF(C101&gt;0,", RCC upto "&amp;C101&amp;" Slab",""))&amp;(IF(C102=H97,", Brickwork",IF(C102&gt;0,", Brickwork upto "&amp;C102&amp;" Floor",""))&amp;(IF(C103=H97,", Internal Plaster",IF(C103&gt;0,", Internal Plaster upto "&amp;C103&amp;" Floor",""))&amp;(IF(C104=H97,", External Plaster",IF(C104&gt;0,", External Plaster upto "&amp;C104&amp;" Floor",""))&amp;(IF(C105=H97,", External Plumbing, Elevation and Waterproofing",IF(C105&gt;0,", External Plumbing, Elevation and Waterproofing upto "&amp;C105&amp;" Floor",""))&amp;(IF(C106=H97,", Flooring &amp; Fitting",IF(C106&gt;0,", Flooring &amp; Fitting upto "&amp;C106&amp;" Floor",""))&amp;(IF(C107=H97,", Wooden Work",IF(C107&gt;0,", Wooden Work upto "&amp;C107&amp;" Floor",""))&amp;(IF(C108=H97,", Electrical &amp; Sanitary fittings",IF(C108&gt;0,", Electrical &amp; Sanitary fittings upto "&amp;C108&amp;" Floor",""))&amp;(IF(C109&gt;0,", Finishing upto "&amp;C109&amp;" Floor","")&amp;(IF(C101&gt;0.5," Completed",""))))))))))))))))</f>
        <v>Excavation work Completed. Plinth work completed</v>
      </c>
      <c r="J96" s="17"/>
    </row>
    <row r="97" spans="1:11" ht="20.25" hidden="1" x14ac:dyDescent="0.3">
      <c r="A97" s="146"/>
      <c r="B97" s="146"/>
      <c r="C97" s="146"/>
      <c r="D97" s="63">
        <f>IF(AND(ISNUMBER(SEARCH("1B",A96))),1,IF(AND(ISNUMBER(SEARCH("2B",A96))),2,IF(AND(ISNUMBER(SEARCH("3B",A96))),3,IF(AND(ISNUMBER(SEARCH("4B",A96))),4,IF(ISNUMBER(SEARCH("5B",A96)),5,0)))))</f>
        <v>0</v>
      </c>
      <c r="E97" s="196">
        <v>1</v>
      </c>
      <c r="F97" s="196"/>
      <c r="G97" s="63">
        <v>0</v>
      </c>
      <c r="H97" s="37">
        <f ca="1">--TRIM(RIGHT(SUBSTITUTE(LEFT(A96,_xlfn.AGGREGATE(16,6,FIND({0,1,2,3,4,5,6,7,8,9},A96,ROW(INDIRECT("1:"&amp;LEN(A96)))),1))," ",REPT(" ",LEN(A96))),LEN(A96)))</f>
        <v>3</v>
      </c>
      <c r="I97" s="16" t="s">
        <v>121</v>
      </c>
      <c r="J97" s="17"/>
    </row>
    <row r="98" spans="1:11" ht="20.25" hidden="1" customHeight="1" x14ac:dyDescent="0.3">
      <c r="A98" s="197" t="s">
        <v>119</v>
      </c>
      <c r="B98" s="197"/>
      <c r="C98" s="44" t="s">
        <v>132</v>
      </c>
      <c r="D98" s="44" t="s">
        <v>133</v>
      </c>
      <c r="E98" s="197" t="s">
        <v>120</v>
      </c>
      <c r="F98" s="197"/>
      <c r="G98" s="28" t="s">
        <v>118</v>
      </c>
      <c r="H98" s="28"/>
      <c r="I98" s="19" t="s">
        <v>134</v>
      </c>
      <c r="J98" s="18">
        <f ca="1">H97*25%</f>
        <v>0.75</v>
      </c>
    </row>
    <row r="99" spans="1:11" ht="20.25" hidden="1" customHeight="1" x14ac:dyDescent="0.3">
      <c r="A99" s="137" t="s">
        <v>135</v>
      </c>
      <c r="B99" s="137"/>
      <c r="C99" s="37">
        <f ca="1">J100</f>
        <v>3</v>
      </c>
      <c r="D99" s="38">
        <f ca="1">((100/H97)*C99)/100</f>
        <v>1</v>
      </c>
      <c r="E99" s="138">
        <f ca="1">(((C99/H97*10)+(C100/H97*15)+(25/(E97+G97+H97)*C101)+(5/(H97)*C102)+(2.5/(H97)*C103)+(2.5/(H97)*C104)+(5/H97*C105)+(10/H97*C106)+(2.5/H97*C107)+(2.5/H97*C108)+(10/H97*C109)+(10/H97*C110))/100)</f>
        <v>0.25</v>
      </c>
      <c r="F99" s="139"/>
      <c r="G99" s="137" t="str">
        <f ca="1">I96</f>
        <v>Excavation work Completed. Plinth work completed</v>
      </c>
      <c r="H99" s="137"/>
      <c r="I99" s="19" t="s">
        <v>122</v>
      </c>
      <c r="J99" s="23">
        <f ca="1">H97*50%</f>
        <v>1.5</v>
      </c>
    </row>
    <row r="100" spans="1:11" ht="20.25" hidden="1" x14ac:dyDescent="0.3">
      <c r="A100" s="137" t="s">
        <v>103</v>
      </c>
      <c r="B100" s="137"/>
      <c r="C100" s="39">
        <f ca="1">J108</f>
        <v>3</v>
      </c>
      <c r="D100" s="38">
        <f ca="1">((100/H97)*C100)/100</f>
        <v>1</v>
      </c>
      <c r="E100" s="140"/>
      <c r="F100" s="141"/>
      <c r="G100" s="137"/>
      <c r="H100" s="137"/>
      <c r="I100" s="19" t="s">
        <v>123</v>
      </c>
      <c r="J100" s="23">
        <f ca="1">H97</f>
        <v>3</v>
      </c>
    </row>
    <row r="101" spans="1:11" ht="21" hidden="1" customHeight="1" x14ac:dyDescent="0.35">
      <c r="A101" s="137" t="s">
        <v>136</v>
      </c>
      <c r="B101" s="137"/>
      <c r="C101" s="37">
        <v>0</v>
      </c>
      <c r="D101" s="38">
        <f ca="1">((100/(E97+G97+H97))*C101)/100</f>
        <v>0</v>
      </c>
      <c r="E101" s="140"/>
      <c r="F101" s="141"/>
      <c r="G101" s="137"/>
      <c r="H101" s="137"/>
      <c r="I101" s="19" t="s">
        <v>124</v>
      </c>
      <c r="J101" s="24">
        <f ca="1">(IF(D97&gt;1,(H97/(D97+2)),H97*0.2))</f>
        <v>0.60000000000000009</v>
      </c>
    </row>
    <row r="102" spans="1:11" ht="21" hidden="1" customHeight="1" x14ac:dyDescent="0.35">
      <c r="A102" s="137" t="s">
        <v>137</v>
      </c>
      <c r="B102" s="137"/>
      <c r="C102" s="37">
        <v>0</v>
      </c>
      <c r="D102" s="38">
        <f ca="1">((100/H97)*C102)/100</f>
        <v>0</v>
      </c>
      <c r="E102" s="140"/>
      <c r="F102" s="141"/>
      <c r="G102" s="137"/>
      <c r="H102" s="137"/>
      <c r="I102" s="19" t="s">
        <v>125</v>
      </c>
      <c r="J102" s="24">
        <f ca="1">(IF(D97&gt;1,(H97/(D97+2)+J101),H97*0.2+J101))</f>
        <v>1.2000000000000002</v>
      </c>
    </row>
    <row r="103" spans="1:11" ht="21" hidden="1" customHeight="1" x14ac:dyDescent="0.35">
      <c r="A103" s="144" t="s">
        <v>138</v>
      </c>
      <c r="B103" s="145"/>
      <c r="C103" s="37">
        <v>0</v>
      </c>
      <c r="D103" s="38">
        <f ca="1">((100/H97)*C103)/100</f>
        <v>0</v>
      </c>
      <c r="E103" s="140"/>
      <c r="F103" s="141"/>
      <c r="G103" s="137"/>
      <c r="H103" s="137"/>
      <c r="I103" s="19" t="s">
        <v>139</v>
      </c>
      <c r="J103" s="24">
        <f>(IF(D97&gt;1,(H97/(D97+2)+J102),0))</f>
        <v>0</v>
      </c>
    </row>
    <row r="104" spans="1:11" ht="21" hidden="1" customHeight="1" x14ac:dyDescent="0.35">
      <c r="A104" s="144" t="s">
        <v>168</v>
      </c>
      <c r="B104" s="145"/>
      <c r="C104" s="37">
        <v>0</v>
      </c>
      <c r="D104" s="38">
        <f ca="1">((100/H97)*C104)/100</f>
        <v>0</v>
      </c>
      <c r="E104" s="140"/>
      <c r="F104" s="141"/>
      <c r="G104" s="137"/>
      <c r="H104" s="137"/>
      <c r="I104" s="19" t="s">
        <v>140</v>
      </c>
      <c r="J104" s="24">
        <f>(IF(D97&gt;2,(H97/(D97+2)+J103),0))</f>
        <v>0</v>
      </c>
    </row>
    <row r="105" spans="1:11" ht="57.75" hidden="1" customHeight="1" x14ac:dyDescent="0.35">
      <c r="A105" s="144" t="s">
        <v>165</v>
      </c>
      <c r="B105" s="145"/>
      <c r="C105" s="37">
        <v>0</v>
      </c>
      <c r="D105" s="38">
        <f ca="1">((100/(H97))*C105)/100</f>
        <v>0</v>
      </c>
      <c r="E105" s="140"/>
      <c r="F105" s="141"/>
      <c r="G105" s="137"/>
      <c r="H105" s="137"/>
      <c r="I105" s="19" t="s">
        <v>142</v>
      </c>
      <c r="J105" s="25">
        <f>(IF(D97&gt;3,(H97/(D97+2)+J104),0))</f>
        <v>0</v>
      </c>
    </row>
    <row r="106" spans="1:11" ht="21" hidden="1" x14ac:dyDescent="0.35">
      <c r="A106" s="137" t="s">
        <v>141</v>
      </c>
      <c r="B106" s="137"/>
      <c r="C106" s="37">
        <v>0</v>
      </c>
      <c r="D106" s="38">
        <f ca="1">((100/(H97))*C106)/100</f>
        <v>0</v>
      </c>
      <c r="E106" s="140"/>
      <c r="F106" s="141"/>
      <c r="G106" s="137"/>
      <c r="H106" s="137"/>
      <c r="I106" s="19" t="s">
        <v>143</v>
      </c>
      <c r="J106" s="24">
        <f>(IF(D97&gt;4,(H97/(D97+2)+J105),0))</f>
        <v>0</v>
      </c>
    </row>
    <row r="107" spans="1:11" ht="21" hidden="1" customHeight="1" x14ac:dyDescent="0.35">
      <c r="A107" s="137" t="s">
        <v>167</v>
      </c>
      <c r="B107" s="137"/>
      <c r="C107" s="37">
        <v>0</v>
      </c>
      <c r="D107" s="38">
        <f ca="1">((100/H97)*C107)/100</f>
        <v>0</v>
      </c>
      <c r="E107" s="140"/>
      <c r="F107" s="141"/>
      <c r="G107" s="137"/>
      <c r="H107" s="137"/>
      <c r="I107" s="19" t="s">
        <v>126</v>
      </c>
      <c r="J107" s="24">
        <f ca="1">(IF(D97=1,(H97/(D97+3)+J102),IF(D97=0,(H97*0.3+J102),IF(D97&gt;1,0))))</f>
        <v>2.1</v>
      </c>
    </row>
    <row r="108" spans="1:11" ht="21.75" hidden="1" thickBot="1" x14ac:dyDescent="0.4">
      <c r="A108" s="137" t="s">
        <v>166</v>
      </c>
      <c r="B108" s="137"/>
      <c r="C108" s="37">
        <v>0</v>
      </c>
      <c r="D108" s="38">
        <f ca="1">((100/H97)*C108)/100</f>
        <v>0</v>
      </c>
      <c r="E108" s="140"/>
      <c r="F108" s="141"/>
      <c r="G108" s="137"/>
      <c r="H108" s="137"/>
      <c r="I108" s="21" t="s">
        <v>127</v>
      </c>
      <c r="J108" s="26">
        <f ca="1">(IF(D97&gt;1.5,(H97/(D97+2)+J102+MAX(0,J103-J102)+MAX(0,J104-J103)+MAX(0,J105-J104)+MAX(0,J106-J105)+MAX(0,J107-J106)),IF(D97=1,(H97/(D97+3)+J107),IF(D97=0,H97*0.3+J107))))</f>
        <v>3</v>
      </c>
    </row>
    <row r="109" spans="1:11" ht="20.25" hidden="1" x14ac:dyDescent="0.25">
      <c r="A109" s="137" t="s">
        <v>144</v>
      </c>
      <c r="B109" s="137"/>
      <c r="C109" s="37">
        <v>0</v>
      </c>
      <c r="D109" s="38">
        <f ca="1">((100/(H97))*C109)/100</f>
        <v>0</v>
      </c>
      <c r="E109" s="140"/>
      <c r="F109" s="141"/>
      <c r="G109" s="137"/>
      <c r="H109" s="137"/>
    </row>
    <row r="110" spans="1:11" ht="20.25" hidden="1" x14ac:dyDescent="0.25">
      <c r="A110" s="137" t="s">
        <v>145</v>
      </c>
      <c r="B110" s="137"/>
      <c r="C110" s="37">
        <v>0</v>
      </c>
      <c r="D110" s="38">
        <f ca="1">((100/(H97))*C110)/100</f>
        <v>0</v>
      </c>
      <c r="E110" s="142"/>
      <c r="F110" s="143"/>
      <c r="G110" s="137"/>
      <c r="H110" s="137"/>
    </row>
    <row r="111" spans="1:11" ht="36.75" customHeight="1" x14ac:dyDescent="0.3">
      <c r="A111" s="200" t="s">
        <v>128</v>
      </c>
      <c r="B111" s="201"/>
      <c r="C111" s="201"/>
      <c r="D111" s="201"/>
      <c r="E111" s="201"/>
      <c r="F111" s="201"/>
      <c r="G111" s="198">
        <f ca="1">AVERAGE(E67)</f>
        <v>0.17499999999999999</v>
      </c>
      <c r="H111" s="199"/>
      <c r="I111" s="19"/>
      <c r="J111" s="20"/>
      <c r="K111" s="20"/>
    </row>
    <row r="112" spans="1:11" ht="20.25" x14ac:dyDescent="0.25">
      <c r="A112" s="190" t="s">
        <v>72</v>
      </c>
      <c r="B112" s="191"/>
      <c r="C112" s="191"/>
      <c r="D112" s="191"/>
      <c r="E112" s="191"/>
      <c r="F112" s="191"/>
      <c r="G112" s="191"/>
      <c r="H112" s="192"/>
    </row>
    <row r="113" spans="1:150 16226:16383" ht="54.75" customHeight="1" x14ac:dyDescent="0.25">
      <c r="A113" s="131" t="s">
        <v>73</v>
      </c>
      <c r="B113" s="133"/>
      <c r="C113" s="167" t="s">
        <v>107</v>
      </c>
      <c r="D113" s="168"/>
      <c r="E113" s="131" t="s">
        <v>146</v>
      </c>
      <c r="F113" s="133" t="s">
        <v>4</v>
      </c>
      <c r="G113" s="195" t="s">
        <v>159</v>
      </c>
      <c r="H113" s="195"/>
    </row>
    <row r="114" spans="1:150 16226:16383" ht="44.25" customHeight="1" x14ac:dyDescent="0.25">
      <c r="A114" s="131" t="s">
        <v>156</v>
      </c>
      <c r="B114" s="133"/>
      <c r="C114" s="167" t="s">
        <v>371</v>
      </c>
      <c r="D114" s="168"/>
      <c r="E114" s="131" t="s">
        <v>157</v>
      </c>
      <c r="F114" s="133" t="s">
        <v>4</v>
      </c>
      <c r="G114" s="105" t="s">
        <v>147</v>
      </c>
      <c r="H114" s="105"/>
    </row>
    <row r="115" spans="1:150 16226:16383" ht="20.25" x14ac:dyDescent="0.25">
      <c r="A115" s="131" t="s">
        <v>74</v>
      </c>
      <c r="B115" s="133"/>
      <c r="C115" s="106">
        <v>900000</v>
      </c>
      <c r="D115" s="108"/>
      <c r="E115" s="131" t="s">
        <v>101</v>
      </c>
      <c r="F115" s="133" t="s">
        <v>4</v>
      </c>
      <c r="G115" s="167" t="s">
        <v>108</v>
      </c>
      <c r="H115" s="168"/>
    </row>
    <row r="116" spans="1:150 16226:16383" ht="20.25" x14ac:dyDescent="0.25">
      <c r="A116" s="190" t="s">
        <v>71</v>
      </c>
      <c r="B116" s="191"/>
      <c r="C116" s="191"/>
      <c r="D116" s="191"/>
      <c r="E116" s="191"/>
      <c r="F116" s="191"/>
      <c r="G116" s="191"/>
      <c r="H116" s="192"/>
    </row>
    <row r="117" spans="1:150 16226:16383" ht="20.25" customHeight="1" x14ac:dyDescent="0.25">
      <c r="A117" s="131" t="s">
        <v>8</v>
      </c>
      <c r="B117" s="132"/>
      <c r="C117" s="132"/>
      <c r="D117" s="132"/>
      <c r="E117" s="132"/>
      <c r="F117" s="133"/>
      <c r="G117" s="163">
        <f>84640/10.764</f>
        <v>7863.2478632478633</v>
      </c>
      <c r="H117" s="164"/>
    </row>
    <row r="118" spans="1:150 16226:16383" ht="20.25" customHeight="1" x14ac:dyDescent="0.25">
      <c r="A118" s="131" t="s">
        <v>28</v>
      </c>
      <c r="B118" s="132"/>
      <c r="C118" s="132"/>
      <c r="D118" s="132"/>
      <c r="E118" s="132"/>
      <c r="F118" s="133" t="s">
        <v>4</v>
      </c>
      <c r="G118" s="169">
        <f>161200/10.764</f>
        <v>14975.845410628021</v>
      </c>
      <c r="H118" s="169"/>
    </row>
    <row r="119" spans="1:150 16226:16383" ht="20.25" customHeight="1" x14ac:dyDescent="0.25">
      <c r="A119" s="131" t="s">
        <v>109</v>
      </c>
      <c r="B119" s="132"/>
      <c r="C119" s="132"/>
      <c r="D119" s="132"/>
      <c r="E119" s="132"/>
      <c r="F119" s="133" t="s">
        <v>4</v>
      </c>
      <c r="G119" s="169">
        <f>G117*0.8</f>
        <v>6290.598290598291</v>
      </c>
      <c r="H119" s="169"/>
    </row>
    <row r="120" spans="1:150 16226:16383" ht="20.25" x14ac:dyDescent="0.25">
      <c r="A120" s="170" t="s">
        <v>242</v>
      </c>
      <c r="B120" s="171"/>
      <c r="C120" s="171"/>
      <c r="D120" s="171"/>
      <c r="E120" s="171"/>
      <c r="F120" s="171"/>
      <c r="G120" s="171"/>
      <c r="H120" s="172"/>
    </row>
    <row r="121" spans="1:150 16226:16383" s="3" customFormat="1" ht="20.25" x14ac:dyDescent="0.25">
      <c r="A121" s="134" t="s">
        <v>153</v>
      </c>
      <c r="B121" s="135"/>
      <c r="C121" s="134" t="s">
        <v>154</v>
      </c>
      <c r="D121" s="135"/>
      <c r="E121" s="134" t="s">
        <v>152</v>
      </c>
      <c r="F121" s="135"/>
      <c r="G121" s="134" t="s">
        <v>164</v>
      </c>
      <c r="H121" s="135"/>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x14ac:dyDescent="0.25">
      <c r="A122" s="117" t="s">
        <v>318</v>
      </c>
      <c r="B122" s="88" t="s">
        <v>347</v>
      </c>
      <c r="C122" s="119" t="s">
        <v>88</v>
      </c>
      <c r="D122" s="120"/>
      <c r="E122" s="119">
        <f>COUNT(E138:E146)+COUNT(E148:E155)+COUNT(E158:E165)</f>
        <v>25</v>
      </c>
      <c r="F122" s="120"/>
      <c r="G122" s="119">
        <f>SUM(H138:H146)+SUM(G148:G155)+SUM(G158:G165)</f>
        <v>8703.6046344000006</v>
      </c>
      <c r="H122" s="120"/>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x14ac:dyDescent="0.25">
      <c r="A123" s="118"/>
      <c r="B123" s="88" t="s">
        <v>331</v>
      </c>
      <c r="C123" s="119" t="s">
        <v>88</v>
      </c>
      <c r="D123" s="120"/>
      <c r="E123" s="119">
        <f>COUNT(E156)+COUNT(E166)+COUNT(E168:E176)</f>
        <v>11</v>
      </c>
      <c r="F123" s="120"/>
      <c r="G123" s="119">
        <f>SUM(H156)+SUM(H166)+SUM(H168:H176)</f>
        <v>9290.4966648000009</v>
      </c>
      <c r="H123" s="120"/>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x14ac:dyDescent="0.25">
      <c r="A124" s="134" t="s">
        <v>155</v>
      </c>
      <c r="B124" s="135"/>
      <c r="C124" s="134" t="s">
        <v>95</v>
      </c>
      <c r="D124" s="135"/>
      <c r="E124" s="134">
        <f>SUM(E122:F123)</f>
        <v>36</v>
      </c>
      <c r="F124" s="135"/>
      <c r="G124" s="134">
        <f>SUM(G122:H123)</f>
        <v>17994.101299200003</v>
      </c>
      <c r="H124" s="135"/>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ht="20.25" x14ac:dyDescent="0.25">
      <c r="A125" s="170" t="s">
        <v>231</v>
      </c>
      <c r="B125" s="171"/>
      <c r="C125" s="171"/>
      <c r="D125" s="171"/>
      <c r="E125" s="171"/>
      <c r="F125" s="171"/>
      <c r="G125" s="171"/>
      <c r="H125" s="172"/>
    </row>
    <row r="126" spans="1:150 16226:16383" s="3" customFormat="1" ht="20.25" x14ac:dyDescent="0.25">
      <c r="A126" s="134" t="s">
        <v>153</v>
      </c>
      <c r="B126" s="135"/>
      <c r="C126" s="134" t="s">
        <v>154</v>
      </c>
      <c r="D126" s="135"/>
      <c r="E126" s="134" t="s">
        <v>152</v>
      </c>
      <c r="F126" s="135"/>
      <c r="G126" s="134" t="s">
        <v>164</v>
      </c>
      <c r="H126" s="135"/>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x14ac:dyDescent="0.25">
      <c r="A127" s="117" t="s">
        <v>318</v>
      </c>
      <c r="B127" s="88" t="s">
        <v>348</v>
      </c>
      <c r="C127" s="119" t="s">
        <v>88</v>
      </c>
      <c r="D127" s="120"/>
      <c r="E127" s="119">
        <f>COUNT(E180:E182,E185)*3+COUNT(E187:E190,E192)*18+COUNT(E194:E196,E199)+COUNT(E201,E204,E206)</f>
        <v>109</v>
      </c>
      <c r="F127" s="120"/>
      <c r="G127" s="119">
        <f>SUM(H180:H182,H185)*3+SUM(H187:H190,H192)*18+SUM(H194:H196,H199)+SUM(H201,H204,H206)</f>
        <v>140382.58104000002</v>
      </c>
      <c r="H127" s="120"/>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41.25" customHeight="1" x14ac:dyDescent="0.25">
      <c r="A128" s="118"/>
      <c r="B128" s="88" t="s">
        <v>368</v>
      </c>
      <c r="C128" s="119" t="s">
        <v>88</v>
      </c>
      <c r="D128" s="120"/>
      <c r="E128" s="119">
        <f>COUNT(E191)*18+COUNT(E198)+COUNT(E205)</f>
        <v>20</v>
      </c>
      <c r="F128" s="120"/>
      <c r="G128" s="119">
        <f>SUM(H191)*18+SUM(H198)+SUM(H205)</f>
        <v>4301.2943999999998</v>
      </c>
      <c r="H128" s="120"/>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hidden="1" x14ac:dyDescent="0.25">
      <c r="A129" s="119"/>
      <c r="B129" s="120"/>
      <c r="C129" s="119"/>
      <c r="D129" s="120"/>
      <c r="E129" s="119"/>
      <c r="F129" s="120"/>
      <c r="G129" s="119"/>
      <c r="H129" s="120"/>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x14ac:dyDescent="0.25">
      <c r="A130" s="134" t="s">
        <v>155</v>
      </c>
      <c r="B130" s="135"/>
      <c r="C130" s="134" t="s">
        <v>95</v>
      </c>
      <c r="D130" s="135"/>
      <c r="E130" s="134">
        <f>E127+E128</f>
        <v>129</v>
      </c>
      <c r="F130" s="135"/>
      <c r="G130" s="134">
        <f>G127+G128</f>
        <v>144683.87544000003</v>
      </c>
      <c r="H130" s="135"/>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134" t="s">
        <v>243</v>
      </c>
      <c r="B131" s="135"/>
      <c r="C131" s="134" t="s">
        <v>95</v>
      </c>
      <c r="D131" s="135"/>
      <c r="E131" s="134">
        <f>E124+E130</f>
        <v>165</v>
      </c>
      <c r="F131" s="135"/>
      <c r="G131" s="134">
        <f>G124+G130</f>
        <v>162677.97673920004</v>
      </c>
      <c r="H131" s="135"/>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ht="20.25" x14ac:dyDescent="0.25">
      <c r="A132" s="202" t="s">
        <v>151</v>
      </c>
      <c r="B132" s="203"/>
      <c r="C132" s="203"/>
      <c r="D132" s="203"/>
      <c r="E132" s="203"/>
      <c r="F132" s="203"/>
      <c r="G132" s="203"/>
      <c r="H132" s="172"/>
    </row>
    <row r="133" spans="1:150 16226:16383" ht="66" customHeight="1" x14ac:dyDescent="0.25">
      <c r="A133" s="94" t="s">
        <v>327</v>
      </c>
      <c r="B133" s="95" t="s">
        <v>328</v>
      </c>
      <c r="C133" s="42" t="s">
        <v>232</v>
      </c>
      <c r="D133" s="30" t="s">
        <v>89</v>
      </c>
      <c r="E133" s="43" t="s">
        <v>345</v>
      </c>
      <c r="F133" s="42" t="s">
        <v>339</v>
      </c>
      <c r="G133" s="30" t="s">
        <v>91</v>
      </c>
      <c r="H133" s="30" t="s">
        <v>90</v>
      </c>
      <c r="J133" s="91">
        <v>10.763999999999999</v>
      </c>
    </row>
    <row r="134" spans="1:150 16226:16383" s="3" customFormat="1" ht="20.25" x14ac:dyDescent="0.25">
      <c r="A134" s="127" t="s">
        <v>318</v>
      </c>
      <c r="B134" s="128"/>
      <c r="C134" s="128"/>
      <c r="D134" s="128"/>
      <c r="E134" s="128"/>
      <c r="F134" s="128"/>
      <c r="G134" s="128"/>
      <c r="H134" s="12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127" t="s">
        <v>324</v>
      </c>
      <c r="B135" s="128"/>
      <c r="C135" s="128"/>
      <c r="D135" s="128"/>
      <c r="E135" s="128"/>
      <c r="F135" s="128"/>
      <c r="G135" s="128"/>
      <c r="H135" s="12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127" t="s">
        <v>325</v>
      </c>
      <c r="B136" s="128"/>
      <c r="C136" s="128"/>
      <c r="D136" s="128"/>
      <c r="E136" s="128"/>
      <c r="F136" s="128"/>
      <c r="G136" s="128"/>
      <c r="H136" s="12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27" t="s">
        <v>326</v>
      </c>
      <c r="B137" s="128"/>
      <c r="C137" s="128"/>
      <c r="D137" s="128"/>
      <c r="E137" s="128"/>
      <c r="F137" s="128"/>
      <c r="G137" s="128"/>
      <c r="H137" s="12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109">
        <v>1</v>
      </c>
      <c r="B138" s="110"/>
      <c r="C138" s="64" t="s">
        <v>88</v>
      </c>
      <c r="D138" s="64" t="s">
        <v>329</v>
      </c>
      <c r="E138" s="91">
        <f>((3.2*3.57+4.87*2.28+3.23*2.56+1.52*1.52+1.5*1.86))*10.764</f>
        <v>386.39315519999997</v>
      </c>
      <c r="F138" s="90">
        <v>0</v>
      </c>
      <c r="G138" s="90">
        <v>0</v>
      </c>
      <c r="H138" s="90">
        <f>E138+F138+(IF(G138&lt;101,G138,IF(G138&lt;201,G138/2,IF(G138&lt;=301,G138/3,G138/4))))</f>
        <v>386.39315519999997</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109">
        <f>A138+1</f>
        <v>2</v>
      </c>
      <c r="B139" s="110"/>
      <c r="C139" s="64" t="s">
        <v>88</v>
      </c>
      <c r="D139" s="64" t="s">
        <v>329</v>
      </c>
      <c r="E139" s="91">
        <f>(4.48*3.28+6.15*2.59+4.5*2.56+2.68*5.46+1.89*2.85+1.52*1.52+1.5*1.86)*10.764</f>
        <v>724.0146264</v>
      </c>
      <c r="F139" s="90">
        <v>0</v>
      </c>
      <c r="G139" s="90">
        <v>0</v>
      </c>
      <c r="H139" s="90">
        <f t="shared" ref="H139:H145" si="0">E139+F139+(IF(G139&lt;101,G139,IF(G139&lt;201,G139/2,IF(G139&lt;=301,G139/3,G139/4))))</f>
        <v>724.0146264</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109">
        <f t="shared" ref="A140:A146" si="1">A139+1</f>
        <v>3</v>
      </c>
      <c r="B140" s="110"/>
      <c r="C140" s="64" t="s">
        <v>88</v>
      </c>
      <c r="D140" s="64" t="s">
        <v>329</v>
      </c>
      <c r="E140" s="91">
        <f>(5.4*7.44+3.4*9.09+1.85*1.4)*10.764</f>
        <v>793.00540799999987</v>
      </c>
      <c r="F140" s="90">
        <v>0</v>
      </c>
      <c r="G140" s="90">
        <v>0</v>
      </c>
      <c r="H140" s="90">
        <f t="shared" si="0"/>
        <v>793.00540799999987</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109">
        <f t="shared" si="1"/>
        <v>4</v>
      </c>
      <c r="B141" s="110"/>
      <c r="C141" s="64" t="s">
        <v>88</v>
      </c>
      <c r="D141" s="64" t="s">
        <v>329</v>
      </c>
      <c r="E141" s="91">
        <f>(5.55*3.29+7.34*6.03+12.54*1.49+1.65*4.87+4.83*9.21+1.64*1.52)*10.764</f>
        <v>1466.2387116</v>
      </c>
      <c r="F141" s="90">
        <v>0</v>
      </c>
      <c r="G141" s="90">
        <v>0</v>
      </c>
      <c r="H141" s="90">
        <f t="shared" si="0"/>
        <v>1466.2387116</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109">
        <f t="shared" si="1"/>
        <v>5</v>
      </c>
      <c r="B142" s="110"/>
      <c r="C142" s="64" t="s">
        <v>88</v>
      </c>
      <c r="D142" s="64" t="s">
        <v>329</v>
      </c>
      <c r="E142" s="91">
        <f>(9.99*6.83+2.55*5.06+2.34*5.03+1.85*1.63)*10.764</f>
        <v>1032.4871856000002</v>
      </c>
      <c r="F142" s="90">
        <v>0</v>
      </c>
      <c r="G142" s="90">
        <v>0</v>
      </c>
      <c r="H142" s="90">
        <f t="shared" si="0"/>
        <v>1032.4871856000002</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109">
        <f t="shared" si="1"/>
        <v>6</v>
      </c>
      <c r="B143" s="110"/>
      <c r="C143" s="64" t="s">
        <v>88</v>
      </c>
      <c r="D143" s="64" t="s">
        <v>329</v>
      </c>
      <c r="E143" s="91">
        <f>(3.88*4.93+7.55*6.76+2.55*5.08+(1.68+1.85)*1.52)*10.764</f>
        <v>952.46330399999988</v>
      </c>
      <c r="F143" s="90">
        <v>0</v>
      </c>
      <c r="G143" s="90">
        <v>0</v>
      </c>
      <c r="H143" s="90">
        <f t="shared" si="0"/>
        <v>952.46330399999988</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109">
        <f t="shared" si="1"/>
        <v>7</v>
      </c>
      <c r="B144" s="110"/>
      <c r="C144" s="64" t="s">
        <v>88</v>
      </c>
      <c r="D144" s="64" t="s">
        <v>329</v>
      </c>
      <c r="E144" s="91">
        <f>(2.07*3.05+6.77*3.91+6.3*1.68+1.65*3.36+1.52*(1.52+1.5))*10.764</f>
        <v>575.90198639999994</v>
      </c>
      <c r="F144" s="90">
        <v>0</v>
      </c>
      <c r="G144" s="90">
        <v>0</v>
      </c>
      <c r="H144" s="90">
        <f t="shared" si="0"/>
        <v>575.90198639999994</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109">
        <f t="shared" si="1"/>
        <v>8</v>
      </c>
      <c r="B145" s="110"/>
      <c r="C145" s="64" t="s">
        <v>88</v>
      </c>
      <c r="D145" s="64" t="s">
        <v>329</v>
      </c>
      <c r="E145" s="91">
        <f>(3.89*4.86+3.46*2.48+6.01*7.34+3.45*7.47+4.23*6.08+1.53*0.86+3.46*2.48+1.85*2.41+1.68*1.96+1.45*1.71+1.83*1.52)*10.764</f>
        <v>1571.5278539999997</v>
      </c>
      <c r="F145" s="90">
        <v>0</v>
      </c>
      <c r="G145" s="90">
        <v>0</v>
      </c>
      <c r="H145" s="90">
        <f t="shared" si="0"/>
        <v>1571.5278539999997</v>
      </c>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109">
        <f t="shared" si="1"/>
        <v>9</v>
      </c>
      <c r="B146" s="110"/>
      <c r="C146" s="64" t="s">
        <v>88</v>
      </c>
      <c r="D146" s="64" t="s">
        <v>329</v>
      </c>
      <c r="E146" s="91">
        <f>(10.88*10.26)*10.764</f>
        <v>1201.5724032000001</v>
      </c>
      <c r="F146" s="90">
        <v>0</v>
      </c>
      <c r="G146" s="90">
        <v>0</v>
      </c>
      <c r="H146" s="90">
        <f t="shared" ref="H146" si="2">E146+F146+(IF(G146&lt;101,G146,IF(G146&lt;201,G146/2,IF(G146&lt;=301,G146/3,G146/4))))</f>
        <v>1201.5724032000001</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127" t="s">
        <v>330</v>
      </c>
      <c r="B147" s="128"/>
      <c r="C147" s="128"/>
      <c r="D147" s="128"/>
      <c r="E147" s="128"/>
      <c r="F147" s="128"/>
      <c r="G147" s="128"/>
      <c r="H147" s="12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194">
        <v>1</v>
      </c>
      <c r="B148" s="194"/>
      <c r="C148" s="64" t="s">
        <v>88</v>
      </c>
      <c r="D148" s="64" t="s">
        <v>329</v>
      </c>
      <c r="E148" s="91">
        <f>(3.23*2.56+4.88*2.59+3.2*3.57+1.52*1.52+1.5*1.86)*10.764</f>
        <v>402.92235360000001</v>
      </c>
      <c r="F148" s="90">
        <v>0</v>
      </c>
      <c r="G148" s="90">
        <v>0</v>
      </c>
      <c r="H148" s="90">
        <f>E148+F148+(IF(G148&lt;101,G148,IF(G148&lt;201,G148/2,IF(G148&lt;=301,G148/3,G148/4))))</f>
        <v>402.92235360000001</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165">
        <f>A148+1</f>
        <v>2</v>
      </c>
      <c r="B149" s="166"/>
      <c r="C149" s="64" t="s">
        <v>88</v>
      </c>
      <c r="D149" s="64" t="s">
        <v>329</v>
      </c>
      <c r="E149" s="91">
        <f>(2.68*3.45+4.5*2.56+6.15*2.59+4.48*3.28+1.52*1.52+1.5*1.86)*10.764</f>
        <v>608.05082519999996</v>
      </c>
      <c r="F149" s="90">
        <v>0</v>
      </c>
      <c r="G149" s="90">
        <v>0</v>
      </c>
      <c r="H149" s="90">
        <f t="shared" ref="H149:H155" si="3">E149+F149+(IF(G149&lt;101,G149,IF(G149&lt;201,G149/2,IF(G149&lt;=301,G149/3,G149/4))))</f>
        <v>608.05082519999996</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165">
        <f t="shared" ref="A150:A156" si="4">A149+1</f>
        <v>3</v>
      </c>
      <c r="B150" s="166"/>
      <c r="C150" s="64" t="s">
        <v>88</v>
      </c>
      <c r="D150" s="64" t="s">
        <v>329</v>
      </c>
      <c r="E150" s="91">
        <f>(3.15*2.85+3.25*1.38+5.4*7.44+1.8*1.02+1.65*1.52+1.85*1.4)*10.764</f>
        <v>652.00238999999999</v>
      </c>
      <c r="F150" s="90">
        <v>0</v>
      </c>
      <c r="G150" s="90">
        <v>0</v>
      </c>
      <c r="H150" s="90">
        <f t="shared" si="3"/>
        <v>652.00238999999999</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165">
        <f t="shared" si="4"/>
        <v>4</v>
      </c>
      <c r="B151" s="166"/>
      <c r="C151" s="64" t="s">
        <v>88</v>
      </c>
      <c r="D151" s="64" t="s">
        <v>329</v>
      </c>
      <c r="E151" s="91">
        <f>(12.54*1.49+1.65*4.87+7.34*6.04+5.55*3.29+4.83*9.21+1.52*(1.6+1.64))*10.764</f>
        <v>1493.2068372000001</v>
      </c>
      <c r="F151" s="90">
        <v>0</v>
      </c>
      <c r="G151" s="90">
        <v>0</v>
      </c>
      <c r="H151" s="90">
        <f t="shared" si="3"/>
        <v>1493.2068372000001</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165">
        <f t="shared" si="4"/>
        <v>5</v>
      </c>
      <c r="B152" s="166"/>
      <c r="C152" s="64" t="s">
        <v>88</v>
      </c>
      <c r="D152" s="64" t="s">
        <v>329</v>
      </c>
      <c r="E152" s="91">
        <f>(2.55*5.06+7.99*6.83+2.34*5.03+1.85*1.63+1.6*1.52)*10.764</f>
        <v>911.62899360000006</v>
      </c>
      <c r="F152" s="90">
        <v>0</v>
      </c>
      <c r="G152" s="90">
        <v>0</v>
      </c>
      <c r="H152" s="90">
        <f t="shared" si="3"/>
        <v>911.62899360000006</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165">
        <f t="shared" si="4"/>
        <v>6</v>
      </c>
      <c r="B153" s="166"/>
      <c r="C153" s="64" t="s">
        <v>88</v>
      </c>
      <c r="D153" s="64" t="s">
        <v>329</v>
      </c>
      <c r="E153" s="91">
        <f>(2.55*4.8+5.55*6.76+3.88*4.93+1.52*(1.68+1.85))*10.764</f>
        <v>799.24852799999985</v>
      </c>
      <c r="F153" s="90">
        <v>0</v>
      </c>
      <c r="G153" s="90">
        <v>0</v>
      </c>
      <c r="H153" s="90">
        <f t="shared" si="3"/>
        <v>799.24852799999985</v>
      </c>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165">
        <f t="shared" si="4"/>
        <v>7</v>
      </c>
      <c r="B154" s="166"/>
      <c r="C154" s="64" t="s">
        <v>88</v>
      </c>
      <c r="D154" s="64" t="s">
        <v>329</v>
      </c>
      <c r="E154" s="91">
        <f>(1.65*3.36+6.3*1.68+6.77*3.91+2.06*3.05+1.52*(1.52+1.5))*10.764</f>
        <v>575.57368440000005</v>
      </c>
      <c r="F154" s="90">
        <v>0</v>
      </c>
      <c r="G154" s="90">
        <v>0</v>
      </c>
      <c r="H154" s="90">
        <f t="shared" si="3"/>
        <v>575.57368440000005</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165">
        <f t="shared" si="4"/>
        <v>8</v>
      </c>
      <c r="B155" s="166"/>
      <c r="C155" s="64" t="s">
        <v>88</v>
      </c>
      <c r="D155" s="64" t="s">
        <v>329</v>
      </c>
      <c r="E155" s="91">
        <f>(1.85*2.412+3.45*7.47+4.23*6.08+6.01*7.34+3.89*4.86+3.46*2.48+1.54*0.86+1.96*1.68+1.45*1.71+1.83*1.52)*10.764</f>
        <v>1479.2965199999999</v>
      </c>
      <c r="F155" s="90">
        <v>0</v>
      </c>
      <c r="G155" s="90">
        <v>0</v>
      </c>
      <c r="H155" s="90">
        <f t="shared" si="3"/>
        <v>1479.2965199999999</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165">
        <f t="shared" si="4"/>
        <v>9</v>
      </c>
      <c r="B156" s="166"/>
      <c r="C156" s="64" t="s">
        <v>88</v>
      </c>
      <c r="D156" s="64" t="s">
        <v>331</v>
      </c>
      <c r="E156" s="91">
        <f>(6.2*2.25+10.88*5.33)*10.764</f>
        <v>774.36646560000008</v>
      </c>
      <c r="F156" s="90">
        <v>0</v>
      </c>
      <c r="G156" s="90">
        <v>0</v>
      </c>
      <c r="H156" s="90">
        <f t="shared" ref="H156" si="5">E156+F156+(IF(G156&lt;101,G156,IF(G156&lt;201,G156/2,IF(G156&lt;=301,G156/3,G156/4))))</f>
        <v>774.36646560000008</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x14ac:dyDescent="0.25">
      <c r="A157" s="127" t="s">
        <v>332</v>
      </c>
      <c r="B157" s="128"/>
      <c r="C157" s="128"/>
      <c r="D157" s="128"/>
      <c r="E157" s="128"/>
      <c r="F157" s="128"/>
      <c r="G157" s="128"/>
      <c r="H157" s="12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x14ac:dyDescent="0.25">
      <c r="A158" s="130">
        <v>1</v>
      </c>
      <c r="B158" s="130"/>
      <c r="C158" s="64" t="s">
        <v>88</v>
      </c>
      <c r="D158" s="64" t="s">
        <v>329</v>
      </c>
      <c r="E158" s="91">
        <f>(4.88*2.15+4.87*2.28+3.2*3.57+1.52*1.52+1.5*1.86)*10.764</f>
        <v>410.32367999999997</v>
      </c>
      <c r="F158" s="90">
        <v>0</v>
      </c>
      <c r="G158" s="90">
        <v>0</v>
      </c>
      <c r="H158" s="90">
        <f>E158+F158+(IF(G158&lt;101,G158,IF(G158&lt;201,G158/2,IF(G158&lt;=301,G158/3,G158/4))))</f>
        <v>410.32367999999997</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x14ac:dyDescent="0.25">
      <c r="A159" s="109">
        <f>A158+1</f>
        <v>2</v>
      </c>
      <c r="B159" s="110"/>
      <c r="C159" s="64" t="s">
        <v>88</v>
      </c>
      <c r="D159" s="64" t="s">
        <v>329</v>
      </c>
      <c r="E159" s="91">
        <f>(2.68*3.45+4.5*2.56+6.15*2.59+4.48*3.28+1.52*1.52+1.5*1.86)*10.764</f>
        <v>608.05082519999996</v>
      </c>
      <c r="F159" s="90">
        <v>0</v>
      </c>
      <c r="G159" s="90">
        <v>0</v>
      </c>
      <c r="H159" s="90">
        <f t="shared" ref="H159:H166" si="6">E159+F159+(IF(G159&lt;101,G159,IF(G159&lt;201,G159/2,IF(G159&lt;=301,G159/3,G159/4))))</f>
        <v>608.05082519999996</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x14ac:dyDescent="0.25">
      <c r="A160" s="109">
        <f t="shared" ref="A160:A166" si="7">A159+1</f>
        <v>3</v>
      </c>
      <c r="B160" s="110"/>
      <c r="C160" s="64" t="s">
        <v>88</v>
      </c>
      <c r="D160" s="64" t="s">
        <v>329</v>
      </c>
      <c r="E160" s="91">
        <f>(3.15*2.85+3.25*1.38+5.4*7.44+1.8*1.02+1.65*1.52+1.85*1.4)*10.764</f>
        <v>652.00238999999999</v>
      </c>
      <c r="F160" s="90">
        <v>0</v>
      </c>
      <c r="G160" s="90">
        <v>0</v>
      </c>
      <c r="H160" s="90">
        <f t="shared" si="6"/>
        <v>652.00238999999999</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109">
        <f t="shared" si="7"/>
        <v>4</v>
      </c>
      <c r="B161" s="110"/>
      <c r="C161" s="64" t="s">
        <v>88</v>
      </c>
      <c r="D161" s="64" t="s">
        <v>329</v>
      </c>
      <c r="E161" s="91">
        <f>(12.54*1.49+1.65*4.87+7.34*6.04+5.55*3.29+4.83*9.21+1.52*(1.6+1.64))*10.764</f>
        <v>1493.2068372000001</v>
      </c>
      <c r="F161" s="90">
        <v>0</v>
      </c>
      <c r="G161" s="90">
        <v>0</v>
      </c>
      <c r="H161" s="90">
        <f t="shared" si="6"/>
        <v>1493.2068372000001</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109">
        <f t="shared" si="7"/>
        <v>5</v>
      </c>
      <c r="B162" s="110"/>
      <c r="C162" s="64" t="s">
        <v>88</v>
      </c>
      <c r="D162" s="64" t="s">
        <v>329</v>
      </c>
      <c r="E162" s="91">
        <f>(2.55*5.06+7.99*6.83+2.34*5.03+1.85*1.63+1.6*1.52)*10.764</f>
        <v>911.62899360000006</v>
      </c>
      <c r="F162" s="90">
        <v>0</v>
      </c>
      <c r="G162" s="90">
        <v>0</v>
      </c>
      <c r="H162" s="90">
        <f t="shared" si="6"/>
        <v>911.62899360000006</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109">
        <f t="shared" si="7"/>
        <v>6</v>
      </c>
      <c r="B163" s="110"/>
      <c r="C163" s="64" t="s">
        <v>88</v>
      </c>
      <c r="D163" s="64" t="s">
        <v>329</v>
      </c>
      <c r="E163" s="91">
        <f>(2.55*4.8+5.55*6.76+3.88*4.93+1.52*(1.68+1.85))*10.764</f>
        <v>799.24852799999985</v>
      </c>
      <c r="F163" s="90">
        <v>0</v>
      </c>
      <c r="G163" s="90">
        <v>0</v>
      </c>
      <c r="H163" s="90">
        <f t="shared" si="6"/>
        <v>799.24852799999985</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109">
        <f t="shared" si="7"/>
        <v>7</v>
      </c>
      <c r="B164" s="110"/>
      <c r="C164" s="64" t="s">
        <v>88</v>
      </c>
      <c r="D164" s="64" t="s">
        <v>329</v>
      </c>
      <c r="E164" s="91">
        <f>(1.65*3.36+6.3*1.68+6.77*3.91+2.06*3.05+1.52*(1.52+1.5))*10.764</f>
        <v>575.57368440000005</v>
      </c>
      <c r="F164" s="90">
        <v>0</v>
      </c>
      <c r="G164" s="90">
        <v>0</v>
      </c>
      <c r="H164" s="90">
        <f t="shared" si="6"/>
        <v>575.57368440000005</v>
      </c>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109">
        <f t="shared" si="7"/>
        <v>8</v>
      </c>
      <c r="B165" s="110"/>
      <c r="C165" s="64" t="s">
        <v>88</v>
      </c>
      <c r="D165" s="64" t="s">
        <v>329</v>
      </c>
      <c r="E165" s="91">
        <f>(1.85*2.412+3.45*7.47+4.23*6.08+6.01*7.34+3.89*4.86+3.46*2.48+1.54*0.86+1.96*1.68+1.45*1.71+1.83*1.52)*10.764</f>
        <v>1479.2965199999999</v>
      </c>
      <c r="F165" s="90">
        <v>0</v>
      </c>
      <c r="G165" s="90">
        <v>0</v>
      </c>
      <c r="H165" s="90">
        <f t="shared" si="6"/>
        <v>1479.2965199999999</v>
      </c>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109">
        <f t="shared" si="7"/>
        <v>9</v>
      </c>
      <c r="B166" s="110"/>
      <c r="C166" s="64" t="s">
        <v>88</v>
      </c>
      <c r="D166" s="64" t="s">
        <v>331</v>
      </c>
      <c r="E166" s="91">
        <f>(6.2*2.25+10.88*5.33)*10.764</f>
        <v>774.36646560000008</v>
      </c>
      <c r="F166" s="90">
        <v>0</v>
      </c>
      <c r="G166" s="90">
        <v>0</v>
      </c>
      <c r="H166" s="90">
        <f t="shared" si="6"/>
        <v>774.36646560000008</v>
      </c>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x14ac:dyDescent="0.25">
      <c r="A167" s="127" t="s">
        <v>333</v>
      </c>
      <c r="B167" s="128"/>
      <c r="C167" s="128"/>
      <c r="D167" s="128"/>
      <c r="E167" s="128"/>
      <c r="F167" s="128"/>
      <c r="G167" s="128"/>
      <c r="H167" s="12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x14ac:dyDescent="0.25">
      <c r="A168" s="130">
        <v>1</v>
      </c>
      <c r="B168" s="130"/>
      <c r="C168" s="64" t="s">
        <v>88</v>
      </c>
      <c r="D168" s="64" t="s">
        <v>331</v>
      </c>
      <c r="E168" s="91">
        <f>(4.88*5.15+3.2*3.57+1.52*1.52+1.5*1.86)*10.764</f>
        <v>448.38948959999993</v>
      </c>
      <c r="F168" s="40">
        <v>0</v>
      </c>
      <c r="G168" s="40">
        <v>0</v>
      </c>
      <c r="H168" s="5">
        <f>E168+F168+(IF(G168&lt;101,G168,IF(G168&lt;201,G168/2,IF(G168&lt;=301,G168/3,G168/4))))</f>
        <v>448.38948959999993</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x14ac:dyDescent="0.25">
      <c r="A169" s="109">
        <f>A168+1</f>
        <v>2</v>
      </c>
      <c r="B169" s="110"/>
      <c r="C169" s="64" t="s">
        <v>88</v>
      </c>
      <c r="D169" s="64" t="s">
        <v>331</v>
      </c>
      <c r="E169" s="91">
        <f>(2.68*3.45+4.5*2.56+6.15*2.59+4.48*3.28+1.52*1.52+1.5*1.86)*10.764</f>
        <v>608.05082519999996</v>
      </c>
      <c r="F169" s="90">
        <v>0</v>
      </c>
      <c r="G169" s="90">
        <v>0</v>
      </c>
      <c r="H169" s="40">
        <f t="shared" ref="H169:H175" si="8">E169+F169+(IF(G169&lt;101,G169,IF(G169&lt;201,G169/2,IF(G169&lt;=301,G169/3,G169/4))))</f>
        <v>608.05082519999996</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x14ac:dyDescent="0.25">
      <c r="A170" s="109">
        <f t="shared" ref="A170:A176" si="9">A169+1</f>
        <v>3</v>
      </c>
      <c r="B170" s="110"/>
      <c r="C170" s="64" t="s">
        <v>88</v>
      </c>
      <c r="D170" s="64" t="s">
        <v>331</v>
      </c>
      <c r="E170" s="91">
        <f>(3.15*2.85+3.25*1.38+5.4*7.44+1.8*1.02+1.65*1.52+1.85*1.4)*10.764</f>
        <v>652.00238999999999</v>
      </c>
      <c r="F170" s="90">
        <v>0</v>
      </c>
      <c r="G170" s="90">
        <v>0</v>
      </c>
      <c r="H170" s="40">
        <f t="shared" si="8"/>
        <v>652.00238999999999</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109">
        <f t="shared" si="9"/>
        <v>4</v>
      </c>
      <c r="B171" s="110"/>
      <c r="C171" s="64" t="s">
        <v>88</v>
      </c>
      <c r="D171" s="64" t="s">
        <v>331</v>
      </c>
      <c r="E171" s="91">
        <f>(12.54*1.49+1.65*4.87+7.34*6.04+5.55*3.29+4.83*9.21+1.52*(1.6+1.64))*10.764</f>
        <v>1493.2068372000001</v>
      </c>
      <c r="F171" s="90">
        <v>0</v>
      </c>
      <c r="G171" s="90">
        <v>0</v>
      </c>
      <c r="H171" s="40">
        <f t="shared" si="8"/>
        <v>1493.2068372000001</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109">
        <f t="shared" si="9"/>
        <v>5</v>
      </c>
      <c r="B172" s="110"/>
      <c r="C172" s="64" t="s">
        <v>88</v>
      </c>
      <c r="D172" s="64" t="s">
        <v>331</v>
      </c>
      <c r="E172" s="91">
        <f>(2.55*5.06+7.99*6.83+2.34*5.03+1.85*1.63+1.6*1.52)*10.764</f>
        <v>911.62899360000006</v>
      </c>
      <c r="F172" s="90">
        <v>0</v>
      </c>
      <c r="G172" s="90">
        <v>0</v>
      </c>
      <c r="H172" s="40">
        <f t="shared" si="8"/>
        <v>911.62899360000006</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109">
        <f t="shared" si="9"/>
        <v>6</v>
      </c>
      <c r="B173" s="110"/>
      <c r="C173" s="64" t="s">
        <v>88</v>
      </c>
      <c r="D173" s="64" t="s">
        <v>331</v>
      </c>
      <c r="E173" s="91">
        <f>(2.55*4.8+5.55*6.76+3.88*4.93+1.52*(1.68+1.85))*10.764</f>
        <v>799.24852799999985</v>
      </c>
      <c r="F173" s="90">
        <v>0</v>
      </c>
      <c r="G173" s="90">
        <v>0</v>
      </c>
      <c r="H173" s="40">
        <f t="shared" si="8"/>
        <v>799.24852799999985</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109">
        <f t="shared" si="9"/>
        <v>7</v>
      </c>
      <c r="B174" s="110"/>
      <c r="C174" s="64" t="s">
        <v>88</v>
      </c>
      <c r="D174" s="64" t="s">
        <v>331</v>
      </c>
      <c r="E174" s="91">
        <f>(1.65*3.36+6.3*1.68+6.77*3.91+2.06*3.05+1.52*(1.52+1.5))*10.764</f>
        <v>575.57368440000005</v>
      </c>
      <c r="F174" s="90">
        <v>0</v>
      </c>
      <c r="G174" s="90">
        <v>0</v>
      </c>
      <c r="H174" s="40">
        <f t="shared" si="8"/>
        <v>575.57368440000005</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25">
      <c r="A175" s="109">
        <f t="shared" si="9"/>
        <v>8</v>
      </c>
      <c r="B175" s="110"/>
      <c r="C175" s="64" t="s">
        <v>88</v>
      </c>
      <c r="D175" s="64" t="s">
        <v>331</v>
      </c>
      <c r="E175" s="91">
        <f>(1.85*2.412+3.45*7.47+4.23*6.08+6.01*7.34+3.89*4.86+3.46*2.48+1.54*0.86+1.96*1.68+1.45*1.71+1.83*1.52)*10.764</f>
        <v>1479.2965199999999</v>
      </c>
      <c r="F175" s="90">
        <v>0</v>
      </c>
      <c r="G175" s="90">
        <v>0</v>
      </c>
      <c r="H175" s="40">
        <f t="shared" si="8"/>
        <v>1479.2965199999999</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109">
        <f t="shared" si="9"/>
        <v>9</v>
      </c>
      <c r="B176" s="110"/>
      <c r="C176" s="64" t="s">
        <v>88</v>
      </c>
      <c r="D176" s="64" t="s">
        <v>331</v>
      </c>
      <c r="E176" s="91">
        <f>(6.2*2.25+10.88*5.33)*10.764</f>
        <v>774.36646560000008</v>
      </c>
      <c r="F176" s="90">
        <v>0</v>
      </c>
      <c r="G176" s="90">
        <v>0</v>
      </c>
      <c r="H176" s="90">
        <f t="shared" ref="H176" si="10">E176+F176+(IF(G176&lt;101,G176,IF(G176&lt;201,G176/2,IF(G176&lt;=301,G176/3,G176/4))))</f>
        <v>774.36646560000008</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x14ac:dyDescent="0.25">
      <c r="A177" s="127" t="s">
        <v>334</v>
      </c>
      <c r="B177" s="128"/>
      <c r="C177" s="128"/>
      <c r="D177" s="128"/>
      <c r="E177" s="128"/>
      <c r="F177" s="128"/>
      <c r="G177" s="128"/>
      <c r="H177" s="12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x14ac:dyDescent="0.25">
      <c r="A178" s="127" t="s">
        <v>346</v>
      </c>
      <c r="B178" s="128"/>
      <c r="C178" s="128"/>
      <c r="D178" s="128"/>
      <c r="E178" s="128"/>
      <c r="F178" s="128"/>
      <c r="G178" s="128"/>
      <c r="H178" s="12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x14ac:dyDescent="0.25">
      <c r="A179" s="127" t="s">
        <v>335</v>
      </c>
      <c r="B179" s="128"/>
      <c r="C179" s="128"/>
      <c r="D179" s="128"/>
      <c r="E179" s="128"/>
      <c r="F179" s="128"/>
      <c r="G179" s="128"/>
      <c r="H179" s="129"/>
      <c r="I179" s="97">
        <v>3</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x14ac:dyDescent="0.25">
      <c r="A180" s="130">
        <v>1</v>
      </c>
      <c r="B180" s="130"/>
      <c r="C180" s="64" t="s">
        <v>88</v>
      </c>
      <c r="D180" s="64" t="s">
        <v>336</v>
      </c>
      <c r="E180" s="91">
        <f>(97.17)*10.764</f>
        <v>1045.93788</v>
      </c>
      <c r="F180" s="91">
        <f>(6.32)*10.764</f>
        <v>68.028480000000002</v>
      </c>
      <c r="G180" s="90">
        <v>0</v>
      </c>
      <c r="H180" s="90">
        <f>E180+F180+(IF(G180&lt;101,G180,IF(G180&lt;201,G180/2,IF(G180&lt;=301,G180/3,G180/4))))</f>
        <v>1113.9663599999999</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x14ac:dyDescent="0.25">
      <c r="A181" s="109">
        <f>A180+1</f>
        <v>2</v>
      </c>
      <c r="B181" s="110"/>
      <c r="C181" s="64" t="s">
        <v>88</v>
      </c>
      <c r="D181" s="64" t="s">
        <v>336</v>
      </c>
      <c r="E181" s="91">
        <f>(97.17)*10.764</f>
        <v>1045.93788</v>
      </c>
      <c r="F181" s="91">
        <f>(6.32)*10.764</f>
        <v>68.028480000000002</v>
      </c>
      <c r="G181" s="90">
        <v>0</v>
      </c>
      <c r="H181" s="90">
        <f t="shared" ref="H181:H185" si="11">E181+F181+(IF(G181&lt;101,G181,IF(G181&lt;201,G181/2,IF(G181&lt;=301,G181/3,G181/4))))</f>
        <v>1113.9663599999999</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x14ac:dyDescent="0.25">
      <c r="A182" s="109">
        <f t="shared" ref="A182:A185" si="12">A181+1</f>
        <v>3</v>
      </c>
      <c r="B182" s="110"/>
      <c r="C182" s="64" t="s">
        <v>88</v>
      </c>
      <c r="D182" s="64" t="s">
        <v>336</v>
      </c>
      <c r="E182" s="91">
        <f>(135.75)*10.764</f>
        <v>1461.213</v>
      </c>
      <c r="F182" s="91">
        <f>(9.53)*10.764</f>
        <v>102.58091999999999</v>
      </c>
      <c r="G182" s="90">
        <v>0</v>
      </c>
      <c r="H182" s="90">
        <f t="shared" si="11"/>
        <v>1563.7939200000001</v>
      </c>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109">
        <f t="shared" si="12"/>
        <v>4</v>
      </c>
      <c r="B183" s="110"/>
      <c r="C183" s="111" t="s">
        <v>337</v>
      </c>
      <c r="D183" s="112"/>
      <c r="E183" s="112"/>
      <c r="F183" s="112"/>
      <c r="G183" s="112"/>
      <c r="H183" s="113"/>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109">
        <f t="shared" si="12"/>
        <v>5</v>
      </c>
      <c r="B184" s="110"/>
      <c r="C184" s="114"/>
      <c r="D184" s="115"/>
      <c r="E184" s="115"/>
      <c r="F184" s="115"/>
      <c r="G184" s="115"/>
      <c r="H184" s="116"/>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25">
      <c r="A185" s="109">
        <f t="shared" si="12"/>
        <v>6</v>
      </c>
      <c r="B185" s="110"/>
      <c r="C185" s="64" t="s">
        <v>88</v>
      </c>
      <c r="D185" s="64" t="s">
        <v>338</v>
      </c>
      <c r="E185" s="91">
        <f>(97.16)*10.764</f>
        <v>1045.83024</v>
      </c>
      <c r="F185" s="91">
        <f>(7.99)*10.764</f>
        <v>86.004359999999991</v>
      </c>
      <c r="G185" s="90">
        <v>0</v>
      </c>
      <c r="H185" s="90">
        <f t="shared" si="11"/>
        <v>1131.8345999999999</v>
      </c>
      <c r="I185" s="96">
        <f>3.65*6.69+2.45*3.35+3.2*3.79+3.35*4.94+2.14*2.09+1.52*1.24+1.52*2.45+1.01*1.05+2.3*1.05+4.17*3.24+0.52*1.5+1.38*2.85</f>
        <v>93.083700000000022</v>
      </c>
      <c r="J185" s="96">
        <f>3.62*1.38+2.22*1.38</f>
        <v>8.0592000000000006</v>
      </c>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x14ac:dyDescent="0.25">
      <c r="A186" s="127" t="s">
        <v>340</v>
      </c>
      <c r="B186" s="128"/>
      <c r="C186" s="128"/>
      <c r="D186" s="128"/>
      <c r="E186" s="128"/>
      <c r="F186" s="128"/>
      <c r="G186" s="128"/>
      <c r="H186" s="129"/>
      <c r="I186" s="97">
        <f>6+6+6</f>
        <v>18</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x14ac:dyDescent="0.25">
      <c r="A187" s="130">
        <v>1</v>
      </c>
      <c r="B187" s="130"/>
      <c r="C187" s="64" t="s">
        <v>88</v>
      </c>
      <c r="D187" s="64" t="s">
        <v>336</v>
      </c>
      <c r="E187" s="91">
        <f>(97.17)*10.764</f>
        <v>1045.93788</v>
      </c>
      <c r="F187" s="91">
        <f>(6.32)*10.764</f>
        <v>68.028480000000002</v>
      </c>
      <c r="G187" s="90">
        <v>0</v>
      </c>
      <c r="H187" s="90">
        <f>E187+F187+(IF(G187&lt;101,G187,IF(G187&lt;201,G187/2,IF(G187&lt;=301,G187/3,G187/4))))</f>
        <v>1113.9663599999999</v>
      </c>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x14ac:dyDescent="0.25">
      <c r="A188" s="109">
        <f>A187+1</f>
        <v>2</v>
      </c>
      <c r="B188" s="110"/>
      <c r="C188" s="64" t="s">
        <v>88</v>
      </c>
      <c r="D188" s="64" t="s">
        <v>336</v>
      </c>
      <c r="E188" s="91">
        <f>(97.17)*10.764</f>
        <v>1045.93788</v>
      </c>
      <c r="F188" s="91">
        <f>(6.32)*10.764</f>
        <v>68.028480000000002</v>
      </c>
      <c r="G188" s="90">
        <v>0</v>
      </c>
      <c r="H188" s="90">
        <f t="shared" ref="H188:H192" si="13">E188+F188+(IF(G188&lt;101,G188,IF(G188&lt;201,G188/2,IF(G188&lt;=301,G188/3,G188/4))))</f>
        <v>1113.9663599999999</v>
      </c>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x14ac:dyDescent="0.25">
      <c r="A189" s="109">
        <f t="shared" ref="A189:A192" si="14">A188+1</f>
        <v>3</v>
      </c>
      <c r="B189" s="110"/>
      <c r="C189" s="64" t="s">
        <v>88</v>
      </c>
      <c r="D189" s="64" t="s">
        <v>336</v>
      </c>
      <c r="E189" s="91">
        <f>(135.75)*10.764</f>
        <v>1461.213</v>
      </c>
      <c r="F189" s="91">
        <f>(9.53)*10.764</f>
        <v>102.58091999999999</v>
      </c>
      <c r="G189" s="90">
        <v>0</v>
      </c>
      <c r="H189" s="90">
        <f t="shared" si="13"/>
        <v>1563.7939200000001</v>
      </c>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25">
      <c r="A190" s="109">
        <f t="shared" si="14"/>
        <v>4</v>
      </c>
      <c r="B190" s="110"/>
      <c r="C190" s="64" t="s">
        <v>88</v>
      </c>
      <c r="D190" s="64" t="s">
        <v>336</v>
      </c>
      <c r="E190" s="91">
        <f>(135.7)*10.764</f>
        <v>1460.6747999999998</v>
      </c>
      <c r="F190" s="91">
        <f>(10.1)*10.764</f>
        <v>108.71639999999999</v>
      </c>
      <c r="G190" s="90">
        <v>0</v>
      </c>
      <c r="H190" s="90">
        <f t="shared" si="13"/>
        <v>1569.3911999999998</v>
      </c>
      <c r="I190" s="1">
        <f>H190/10.764</f>
        <v>145.79999999999998</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39.75" customHeight="1" x14ac:dyDescent="0.25">
      <c r="A191" s="109">
        <f t="shared" si="14"/>
        <v>5</v>
      </c>
      <c r="B191" s="110"/>
      <c r="C191" s="64" t="s">
        <v>88</v>
      </c>
      <c r="D191" s="98" t="s">
        <v>368</v>
      </c>
      <c r="E191" s="91">
        <f>(19.98)*10.764</f>
        <v>215.06471999999999</v>
      </c>
      <c r="F191" s="91">
        <v>0</v>
      </c>
      <c r="G191" s="90">
        <v>0</v>
      </c>
      <c r="H191" s="90">
        <f t="shared" si="13"/>
        <v>215.06471999999999</v>
      </c>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109">
        <f t="shared" si="14"/>
        <v>6</v>
      </c>
      <c r="B192" s="110"/>
      <c r="C192" s="64" t="s">
        <v>88</v>
      </c>
      <c r="D192" s="64" t="s">
        <v>338</v>
      </c>
      <c r="E192" s="91">
        <f>(97.16)*10.764</f>
        <v>1045.83024</v>
      </c>
      <c r="F192" s="91">
        <f>(7.99)*10.764</f>
        <v>86.004359999999991</v>
      </c>
      <c r="G192" s="90">
        <v>0</v>
      </c>
      <c r="H192" s="90">
        <f t="shared" si="13"/>
        <v>1131.8345999999999</v>
      </c>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124" t="s">
        <v>341</v>
      </c>
      <c r="B193" s="125"/>
      <c r="C193" s="125"/>
      <c r="D193" s="125"/>
      <c r="E193" s="125"/>
      <c r="F193" s="125"/>
      <c r="G193" s="125"/>
      <c r="H193" s="126"/>
      <c r="I193" s="97">
        <v>1</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x14ac:dyDescent="0.25">
      <c r="A194" s="109">
        <v>1</v>
      </c>
      <c r="B194" s="110"/>
      <c r="C194" s="64" t="s">
        <v>88</v>
      </c>
      <c r="D194" s="64" t="s">
        <v>336</v>
      </c>
      <c r="E194" s="91">
        <f>(97.17)*10.764</f>
        <v>1045.93788</v>
      </c>
      <c r="F194" s="91">
        <f>(6.32)*10.764</f>
        <v>68.028480000000002</v>
      </c>
      <c r="G194" s="90">
        <v>0</v>
      </c>
      <c r="H194" s="90">
        <f>E194+F194+(IF(G194&lt;101,G194,IF(G194&lt;201,G194/2,IF(G194&lt;=301,G194/3,G194/4))))</f>
        <v>1113.9663599999999</v>
      </c>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x14ac:dyDescent="0.25">
      <c r="A195" s="109">
        <f>A194+1</f>
        <v>2</v>
      </c>
      <c r="B195" s="110"/>
      <c r="C195" s="64" t="s">
        <v>88</v>
      </c>
      <c r="D195" s="64" t="s">
        <v>336</v>
      </c>
      <c r="E195" s="91">
        <f>(97.17)*10.764</f>
        <v>1045.93788</v>
      </c>
      <c r="F195" s="91">
        <f>(6.32)*10.764</f>
        <v>68.028480000000002</v>
      </c>
      <c r="G195" s="90">
        <v>0</v>
      </c>
      <c r="H195" s="90">
        <f t="shared" ref="H195:H199" si="15">E195+F195+(IF(G195&lt;101,G195,IF(G195&lt;201,G195/2,IF(G195&lt;=301,G195/3,G195/4))))</f>
        <v>1113.9663599999999</v>
      </c>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x14ac:dyDescent="0.25">
      <c r="A196" s="109">
        <f t="shared" ref="A196:A199" si="16">A195+1</f>
        <v>3</v>
      </c>
      <c r="B196" s="110"/>
      <c r="C196" s="64" t="s">
        <v>88</v>
      </c>
      <c r="D196" s="64" t="s">
        <v>336</v>
      </c>
      <c r="E196" s="91">
        <f>(135.75)*10.764</f>
        <v>1461.213</v>
      </c>
      <c r="F196" s="91">
        <f>(9.53)*10.764</f>
        <v>102.58091999999999</v>
      </c>
      <c r="G196" s="90">
        <v>0</v>
      </c>
      <c r="H196" s="90">
        <f t="shared" si="15"/>
        <v>1563.7939200000001</v>
      </c>
      <c r="I196" s="1"/>
      <c r="J196" s="1">
        <f>37919418/H190</f>
        <v>24161.864804645269</v>
      </c>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109">
        <f t="shared" si="16"/>
        <v>4</v>
      </c>
      <c r="B197" s="110"/>
      <c r="C197" s="121" t="s">
        <v>337</v>
      </c>
      <c r="D197" s="122"/>
      <c r="E197" s="122"/>
      <c r="F197" s="122"/>
      <c r="G197" s="122"/>
      <c r="H197" s="12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44.25" customHeight="1" x14ac:dyDescent="0.25">
      <c r="A198" s="109">
        <f t="shared" si="16"/>
        <v>5</v>
      </c>
      <c r="B198" s="110"/>
      <c r="C198" s="64" t="s">
        <v>88</v>
      </c>
      <c r="D198" s="98" t="s">
        <v>368</v>
      </c>
      <c r="E198" s="91">
        <f>(19.98)*10.764</f>
        <v>215.06471999999999</v>
      </c>
      <c r="F198" s="91">
        <v>0</v>
      </c>
      <c r="G198" s="90">
        <v>0</v>
      </c>
      <c r="H198" s="90">
        <f t="shared" si="15"/>
        <v>215.06471999999999</v>
      </c>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25">
      <c r="A199" s="109">
        <f t="shared" si="16"/>
        <v>6</v>
      </c>
      <c r="B199" s="110"/>
      <c r="C199" s="64" t="s">
        <v>88</v>
      </c>
      <c r="D199" s="64" t="s">
        <v>338</v>
      </c>
      <c r="E199" s="91">
        <f>(97.16)*10.764</f>
        <v>1045.83024</v>
      </c>
      <c r="F199" s="91">
        <f>(7.99)*10.764</f>
        <v>86.004359999999991</v>
      </c>
      <c r="G199" s="90">
        <v>0</v>
      </c>
      <c r="H199" s="90">
        <f t="shared" si="15"/>
        <v>1131.8345999999999</v>
      </c>
      <c r="I199" s="1"/>
      <c r="J199" s="1">
        <f>333000000/H199</f>
        <v>294212.59961482009</v>
      </c>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25">
      <c r="A200" s="124" t="s">
        <v>342</v>
      </c>
      <c r="B200" s="125"/>
      <c r="C200" s="125"/>
      <c r="D200" s="125"/>
      <c r="E200" s="125"/>
      <c r="F200" s="125"/>
      <c r="G200" s="125"/>
      <c r="H200" s="126"/>
      <c r="I200" s="97">
        <v>1</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x14ac:dyDescent="0.25">
      <c r="A201" s="109">
        <v>1</v>
      </c>
      <c r="B201" s="110"/>
      <c r="C201" s="64" t="s">
        <v>88</v>
      </c>
      <c r="D201" s="64" t="s">
        <v>336</v>
      </c>
      <c r="E201" s="91">
        <f>(97.17)*10.764</f>
        <v>1045.93788</v>
      </c>
      <c r="F201" s="91">
        <f>(6.32)*10.764</f>
        <v>68.028480000000002</v>
      </c>
      <c r="G201" s="90">
        <v>0</v>
      </c>
      <c r="H201" s="90">
        <f>E201+F201+(IF(G201&lt;101,G201,IF(G201&lt;201,G201/2,IF(G201&lt;=301,G201/3,G201/4))))</f>
        <v>1113.9663599999999</v>
      </c>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x14ac:dyDescent="0.25">
      <c r="A202" s="109">
        <f>A201+1</f>
        <v>2</v>
      </c>
      <c r="B202" s="110"/>
      <c r="C202" s="111" t="s">
        <v>343</v>
      </c>
      <c r="D202" s="112"/>
      <c r="E202" s="112"/>
      <c r="F202" s="112"/>
      <c r="G202" s="112"/>
      <c r="H202" s="113"/>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x14ac:dyDescent="0.25">
      <c r="A203" s="109">
        <f t="shared" ref="A203:A206" si="17">A202+1</f>
        <v>3</v>
      </c>
      <c r="B203" s="110"/>
      <c r="C203" s="114"/>
      <c r="D203" s="115"/>
      <c r="E203" s="115"/>
      <c r="F203" s="115"/>
      <c r="G203" s="115"/>
      <c r="H203" s="116"/>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25">
      <c r="A204" s="109">
        <f t="shared" si="17"/>
        <v>4</v>
      </c>
      <c r="B204" s="110"/>
      <c r="C204" s="64" t="s">
        <v>88</v>
      </c>
      <c r="D204" s="64" t="s">
        <v>336</v>
      </c>
      <c r="E204" s="91">
        <f>(135.7)*10.764</f>
        <v>1460.6747999999998</v>
      </c>
      <c r="F204" s="91">
        <f>(10.1)*10.764</f>
        <v>108.71639999999999</v>
      </c>
      <c r="G204" s="90">
        <v>0</v>
      </c>
      <c r="H204" s="90">
        <f t="shared" ref="H204:H206" si="18">E204+F204+(IF(G204&lt;101,G204,IF(G204&lt;201,G204/2,IF(G204&lt;=301,G204/3,G204/4))))</f>
        <v>1569.3911999999998</v>
      </c>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41.25" customHeight="1" x14ac:dyDescent="0.25">
      <c r="A205" s="109">
        <f t="shared" si="17"/>
        <v>5</v>
      </c>
      <c r="B205" s="110"/>
      <c r="C205" s="64" t="s">
        <v>88</v>
      </c>
      <c r="D205" s="98" t="s">
        <v>368</v>
      </c>
      <c r="E205" s="91">
        <f>(19.98)*10.764</f>
        <v>215.06471999999999</v>
      </c>
      <c r="F205" s="91">
        <v>0</v>
      </c>
      <c r="G205" s="90">
        <v>0</v>
      </c>
      <c r="H205" s="90">
        <f t="shared" si="18"/>
        <v>215.06471999999999</v>
      </c>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25">
      <c r="A206" s="109">
        <f t="shared" si="17"/>
        <v>6</v>
      </c>
      <c r="B206" s="110"/>
      <c r="C206" s="64" t="s">
        <v>88</v>
      </c>
      <c r="D206" s="64" t="s">
        <v>338</v>
      </c>
      <c r="E206" s="91">
        <f>(97.16)*10.764</f>
        <v>1045.83024</v>
      </c>
      <c r="F206" s="91">
        <f>(7.99)*10.764</f>
        <v>86.004359999999991</v>
      </c>
      <c r="G206" s="90">
        <v>0</v>
      </c>
      <c r="H206" s="90">
        <f t="shared" si="18"/>
        <v>1131.8345999999999</v>
      </c>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hidden="1" customHeight="1" x14ac:dyDescent="0.25">
      <c r="A207" s="124" t="s">
        <v>340</v>
      </c>
      <c r="B207" s="125"/>
      <c r="C207" s="125"/>
      <c r="D207" s="125"/>
      <c r="E207" s="125"/>
      <c r="F207" s="125"/>
      <c r="G207" s="125"/>
      <c r="H207" s="126"/>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hidden="1" x14ac:dyDescent="0.25">
      <c r="A208" s="109">
        <v>1</v>
      </c>
      <c r="B208" s="110"/>
      <c r="C208" s="64"/>
      <c r="D208" s="64"/>
      <c r="E208" s="91">
        <v>0</v>
      </c>
      <c r="F208" s="90">
        <v>0</v>
      </c>
      <c r="G208" s="90">
        <v>0</v>
      </c>
      <c r="H208" s="90">
        <f>E208+F208+(IF(G208&lt;101,G208,IF(G208&lt;201,G208/2,IF(G208&lt;=301,G208/3,G208/4))))</f>
        <v>0</v>
      </c>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hidden="1" x14ac:dyDescent="0.25">
      <c r="A209" s="109">
        <f>A208+1</f>
        <v>2</v>
      </c>
      <c r="B209" s="110"/>
      <c r="C209" s="64"/>
      <c r="D209" s="64"/>
      <c r="E209" s="91"/>
      <c r="F209" s="90"/>
      <c r="G209" s="90"/>
      <c r="H209" s="90">
        <f t="shared" ref="H209:H216" si="19">E209+F209+(IF(G209&lt;101,G209,IF(G209&lt;201,G209/2,IF(G209&lt;=301,G209/3,G209/4))))</f>
        <v>0</v>
      </c>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hidden="1" x14ac:dyDescent="0.25">
      <c r="A210" s="109">
        <f t="shared" ref="A210:A216" si="20">A209+1</f>
        <v>3</v>
      </c>
      <c r="B210" s="110"/>
      <c r="C210" s="64"/>
      <c r="D210" s="64"/>
      <c r="E210" s="91"/>
      <c r="F210" s="90"/>
      <c r="G210" s="90"/>
      <c r="H210" s="90">
        <f t="shared" si="19"/>
        <v>0</v>
      </c>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hidden="1" customHeight="1" x14ac:dyDescent="0.25">
      <c r="A211" s="109">
        <f t="shared" si="20"/>
        <v>4</v>
      </c>
      <c r="B211" s="110"/>
      <c r="C211" s="64"/>
      <c r="D211" s="64"/>
      <c r="E211" s="91"/>
      <c r="F211" s="90"/>
      <c r="G211" s="90"/>
      <c r="H211" s="90">
        <f t="shared" si="19"/>
        <v>0</v>
      </c>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hidden="1" customHeight="1" x14ac:dyDescent="0.25">
      <c r="A212" s="109">
        <f t="shared" si="20"/>
        <v>5</v>
      </c>
      <c r="B212" s="110"/>
      <c r="C212" s="64"/>
      <c r="D212" s="64"/>
      <c r="E212" s="91"/>
      <c r="F212" s="90"/>
      <c r="G212" s="90"/>
      <c r="H212" s="90">
        <f t="shared" si="19"/>
        <v>0</v>
      </c>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hidden="1" customHeight="1" x14ac:dyDescent="0.25">
      <c r="A213" s="109">
        <f t="shared" si="20"/>
        <v>6</v>
      </c>
      <c r="B213" s="110"/>
      <c r="C213" s="64"/>
      <c r="D213" s="64"/>
      <c r="E213" s="91"/>
      <c r="F213" s="90"/>
      <c r="G213" s="90"/>
      <c r="H213" s="90">
        <f t="shared" si="19"/>
        <v>0</v>
      </c>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hidden="1" customHeight="1" x14ac:dyDescent="0.25">
      <c r="A214" s="109">
        <f t="shared" si="20"/>
        <v>7</v>
      </c>
      <c r="B214" s="110"/>
      <c r="C214" s="64"/>
      <c r="D214" s="64"/>
      <c r="E214" s="91"/>
      <c r="F214" s="90"/>
      <c r="G214" s="90"/>
      <c r="H214" s="90">
        <f t="shared" si="19"/>
        <v>0</v>
      </c>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hidden="1" customHeight="1" x14ac:dyDescent="0.25">
      <c r="A215" s="109">
        <f t="shared" si="20"/>
        <v>8</v>
      </c>
      <c r="B215" s="110"/>
      <c r="C215" s="64"/>
      <c r="D215" s="64"/>
      <c r="E215" s="91"/>
      <c r="F215" s="90"/>
      <c r="G215" s="90"/>
      <c r="H215" s="90">
        <f t="shared" si="19"/>
        <v>0</v>
      </c>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hidden="1" customHeight="1" x14ac:dyDescent="0.25">
      <c r="A216" s="109">
        <f t="shared" si="20"/>
        <v>9</v>
      </c>
      <c r="B216" s="110"/>
      <c r="C216" s="64"/>
      <c r="D216" s="64"/>
      <c r="E216" s="91"/>
      <c r="F216" s="90"/>
      <c r="G216" s="90"/>
      <c r="H216" s="90">
        <f t="shared" si="19"/>
        <v>0</v>
      </c>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hidden="1" x14ac:dyDescent="0.25">
      <c r="A217" s="124" t="s">
        <v>129</v>
      </c>
      <c r="B217" s="125"/>
      <c r="C217" s="125"/>
      <c r="D217" s="125"/>
      <c r="E217" s="125"/>
      <c r="F217" s="125"/>
      <c r="G217" s="125"/>
      <c r="H217" s="126"/>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hidden="1" customHeight="1" x14ac:dyDescent="0.25">
      <c r="A218" s="130" t="str">
        <f ca="1">T218</f>
        <v>201,..,901</v>
      </c>
      <c r="B218" s="130"/>
      <c r="C218" s="64"/>
      <c r="D218" s="64"/>
      <c r="E218" s="41">
        <v>0</v>
      </c>
      <c r="F218" s="40">
        <v>0</v>
      </c>
      <c r="G218" s="40">
        <v>0</v>
      </c>
      <c r="H218" s="40">
        <f>E218+F218+(IF(G218&lt;101,G218,IF(G218&lt;201,G218/2,IF(G218&lt;=301,G218/3,G218/4))))</f>
        <v>0</v>
      </c>
      <c r="I218" s="1"/>
      <c r="J218" s="1"/>
      <c r="K218" s="1"/>
      <c r="L218" s="1"/>
      <c r="M218" s="1"/>
      <c r="N218" s="1"/>
      <c r="O218" s="1"/>
      <c r="P218" s="1"/>
      <c r="Q218" s="1"/>
      <c r="R218" s="1"/>
      <c r="S218" s="1"/>
      <c r="T218" s="22" t="str">
        <f t="shared" ref="T218:T225" ca="1" si="21">U218&amp;""&amp;",..,"&amp;""&amp;V218</f>
        <v>201,..,901</v>
      </c>
      <c r="U218" s="22">
        <f ca="1">(SUMPRODUCT(MID(0&amp;(LEFT(A217,SUM(LEN(A217)-LEN(SUBSTITUTE(A217,{"0","1","2","3"},""))))), LARGE(INDEX(ISNUMBER(--MID((LEFT(A217,SUM(LEN(A217)-LEN(SUBSTITUTE(A217,{"0","1","2","3"},""))))), ROW(INDIRECT("1:"&amp;LEN((LEFT(A217,SUM(LEN(A217)-LEN(SUBSTITUTE(A217,{"0","1","2","3"},"")))))))), 1)) * ROW(INDIRECT("1:"&amp;LEN((LEFT(A217,SUM(LEN(A217)-LEN(SUBSTITUTE(A217,{"0","1","2","3"},"")))))))), 0), ROW(INDIRECT("1:"&amp;LEN((LEFT(A217,SUM(LEN(A217)-LEN(SUBSTITUTE(A217,{"0","1","2","3"},"")))))))))+1, 1) * 10^ROW(INDIRECT("1:"&amp;LEN((LEFT(A217,SUM(LEN(A217)-LEN(SUBSTITUTE(A217,{"0","1","2","3"},""))))))))/10))*100+1</f>
        <v>201</v>
      </c>
      <c r="V218" s="22">
        <f ca="1">(SUMPRODUCT(MID(0&amp;(--TRIM(RIGHT(SUBSTITUTE(LEFT(A217,_xlfn.AGGREGATE(16,6,FIND({0,1,2,3,4,5,6,7,8,9},A217,ROW(INDIRECT("1:"&amp;LEN(A217)))),1))," ",REPT(" ",LEN(A217))),LEN(A217)))), LARGE(INDEX(ISNUMBER(--MID((--TRIM(RIGHT(SUBSTITUTE(LEFT(A217,_xlfn.AGGREGATE(16,6,FIND({0,1,2,3,4,5,6,7,8,9},A217,ROW(INDIRECT("1:"&amp;LEN(A217)))),1))," ",REPT(" ",LEN(A217))),LEN(A217)))), ROW(INDIRECT("1:"&amp;LEN((--TRIM(RIGHT(SUBSTITUTE(LEFT(A217,_xlfn.AGGREGATE(16,6,FIND({0,1,2,3,4,5,6,7,8,9},A217,ROW(INDIRECT("1:"&amp;LEN(A217)))),1))," ",REPT(" ",LEN(A217))),LEN(A217))))))), 1)) * ROW(INDIRECT("1:"&amp;LEN((--TRIM(RIGHT(SUBSTITUTE(LEFT(A217,_xlfn.AGGREGATE(16,6,FIND({0,1,2,3,4,5,6,7,8,9},A217,ROW(INDIRECT("1:"&amp;LEN(A217)))),1))," ",REPT(" ",LEN(A217))),LEN(A217))))))), 0), ROW(INDIRECT("1:"&amp;LEN((--TRIM(RIGHT(SUBSTITUTE(LEFT(A217,_xlfn.AGGREGATE(16,6,FIND({0,1,2,3,4,5,6,7,8,9},A217,ROW(INDIRECT("1:"&amp;LEN(A217)))),1))," ",REPT(" ",LEN(A217))),LEN(A217))))))))+1, 1) * 10^ROW(INDIRECT("1:"&amp;LEN((--TRIM(RIGHT(SUBSTITUTE(LEFT(A217,_xlfn.AGGREGATE(16,6,FIND({0,1,2,3,4,5,6,7,8,9},A217,ROW(INDIRECT("1:"&amp;LEN(A217)))),1))," ",REPT(" ",LEN(A217))),LEN(A217)))))))/10))*100+1</f>
        <v>901</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hidden="1" customHeight="1" x14ac:dyDescent="0.25">
      <c r="A219" s="130" t="str">
        <f t="shared" ref="A219:A225" ca="1" si="22">T219</f>
        <v>202,..,902</v>
      </c>
      <c r="B219" s="130"/>
      <c r="C219" s="64"/>
      <c r="D219" s="64"/>
      <c r="E219" s="41"/>
      <c r="F219" s="40"/>
      <c r="G219" s="40"/>
      <c r="H219" s="40">
        <f t="shared" ref="H219:H225" si="23">E219+F219+(IF(G219&lt;101,G219,IF(G219&lt;201,G219/2,IF(G219&lt;=301,G219/3,G219/4))))</f>
        <v>0</v>
      </c>
      <c r="I219" s="1"/>
      <c r="J219" s="1"/>
      <c r="K219" s="1"/>
      <c r="L219" s="1"/>
      <c r="M219" s="1"/>
      <c r="N219" s="1"/>
      <c r="O219" s="1"/>
      <c r="P219" s="1"/>
      <c r="Q219" s="1"/>
      <c r="R219" s="1"/>
      <c r="S219" s="1"/>
      <c r="T219" s="22" t="str">
        <f t="shared" ca="1" si="21"/>
        <v>202,..,902</v>
      </c>
      <c r="U219" s="22">
        <f ca="1">U218+1</f>
        <v>202</v>
      </c>
      <c r="V219" s="22">
        <f ca="1">V218+1</f>
        <v>902</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hidden="1" customHeight="1" x14ac:dyDescent="0.25">
      <c r="A220" s="130" t="str">
        <f t="shared" ca="1" si="22"/>
        <v>203,..,903</v>
      </c>
      <c r="B220" s="130"/>
      <c r="C220" s="64"/>
      <c r="D220" s="64"/>
      <c r="E220" s="41"/>
      <c r="F220" s="40"/>
      <c r="G220" s="40"/>
      <c r="H220" s="40">
        <f t="shared" si="23"/>
        <v>0</v>
      </c>
      <c r="I220" s="1"/>
      <c r="J220" s="1"/>
      <c r="K220" s="1"/>
      <c r="L220" s="1"/>
      <c r="M220" s="1"/>
      <c r="N220" s="1"/>
      <c r="O220" s="1"/>
      <c r="P220" s="1"/>
      <c r="Q220" s="1"/>
      <c r="R220" s="1"/>
      <c r="S220" s="1"/>
      <c r="T220" s="22" t="str">
        <f t="shared" ca="1" si="21"/>
        <v>203,..,903</v>
      </c>
      <c r="U220" s="22">
        <f t="shared" ref="U220:U225" ca="1" si="24">U219+1</f>
        <v>203</v>
      </c>
      <c r="V220" s="22">
        <f t="shared" ref="V220:V225" ca="1" si="25">V219+1</f>
        <v>903</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hidden="1" customHeight="1" x14ac:dyDescent="0.25">
      <c r="A221" s="130" t="str">
        <f t="shared" ca="1" si="22"/>
        <v>204,..,904</v>
      </c>
      <c r="B221" s="130"/>
      <c r="C221" s="64"/>
      <c r="D221" s="64"/>
      <c r="E221" s="41"/>
      <c r="F221" s="40"/>
      <c r="G221" s="40"/>
      <c r="H221" s="40">
        <f t="shared" si="23"/>
        <v>0</v>
      </c>
      <c r="I221" s="1"/>
      <c r="J221" s="1"/>
      <c r="K221" s="1"/>
      <c r="L221" s="1"/>
      <c r="M221" s="1"/>
      <c r="N221" s="1"/>
      <c r="O221" s="1"/>
      <c r="P221" s="1"/>
      <c r="Q221" s="1"/>
      <c r="R221" s="1"/>
      <c r="S221" s="1"/>
      <c r="T221" s="22" t="str">
        <f t="shared" ca="1" si="21"/>
        <v>204,..,904</v>
      </c>
      <c r="U221" s="22">
        <f t="shared" ca="1" si="24"/>
        <v>204</v>
      </c>
      <c r="V221" s="22">
        <f t="shared" ca="1" si="25"/>
        <v>904</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hidden="1" customHeight="1" x14ac:dyDescent="0.25">
      <c r="A222" s="130" t="str">
        <f t="shared" ca="1" si="22"/>
        <v>205,..,905</v>
      </c>
      <c r="B222" s="130"/>
      <c r="C222" s="64"/>
      <c r="D222" s="64"/>
      <c r="E222" s="41"/>
      <c r="F222" s="40"/>
      <c r="G222" s="40"/>
      <c r="H222" s="40">
        <f t="shared" si="23"/>
        <v>0</v>
      </c>
      <c r="I222" s="1"/>
      <c r="J222" s="1"/>
      <c r="K222" s="1"/>
      <c r="L222" s="1"/>
      <c r="M222" s="1"/>
      <c r="N222" s="1"/>
      <c r="O222" s="1"/>
      <c r="P222" s="1"/>
      <c r="Q222" s="1"/>
      <c r="R222" s="1"/>
      <c r="S222" s="1"/>
      <c r="T222" s="22" t="str">
        <f t="shared" ca="1" si="21"/>
        <v>205,..,905</v>
      </c>
      <c r="U222" s="22">
        <f t="shared" ca="1" si="24"/>
        <v>205</v>
      </c>
      <c r="V222" s="22">
        <f t="shared" ca="1" si="25"/>
        <v>905</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hidden="1" customHeight="1" x14ac:dyDescent="0.25">
      <c r="A223" s="130" t="str">
        <f t="shared" ca="1" si="22"/>
        <v>206,..,906</v>
      </c>
      <c r="B223" s="130"/>
      <c r="C223" s="64"/>
      <c r="D223" s="64"/>
      <c r="E223" s="41"/>
      <c r="F223" s="40"/>
      <c r="G223" s="40"/>
      <c r="H223" s="40">
        <f t="shared" si="23"/>
        <v>0</v>
      </c>
      <c r="I223" s="1"/>
      <c r="J223" s="1"/>
      <c r="K223" s="1"/>
      <c r="L223" s="1"/>
      <c r="M223" s="1"/>
      <c r="N223" s="1"/>
      <c r="O223" s="1"/>
      <c r="P223" s="1"/>
      <c r="Q223" s="1"/>
      <c r="R223" s="1"/>
      <c r="S223" s="1"/>
      <c r="T223" s="22" t="str">
        <f t="shared" ca="1" si="21"/>
        <v>206,..,906</v>
      </c>
      <c r="U223" s="22">
        <f t="shared" ca="1" si="24"/>
        <v>206</v>
      </c>
      <c r="V223" s="22">
        <f t="shared" ca="1" si="25"/>
        <v>906</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hidden="1" customHeight="1" x14ac:dyDescent="0.25">
      <c r="A224" s="130" t="str">
        <f t="shared" ca="1" si="22"/>
        <v>207,..,907</v>
      </c>
      <c r="B224" s="130"/>
      <c r="C224" s="64"/>
      <c r="D224" s="64"/>
      <c r="E224" s="41"/>
      <c r="F224" s="40"/>
      <c r="G224" s="40"/>
      <c r="H224" s="40">
        <f t="shared" si="23"/>
        <v>0</v>
      </c>
      <c r="I224" s="1"/>
      <c r="J224" s="1"/>
      <c r="K224" s="1"/>
      <c r="L224" s="1"/>
      <c r="M224" s="1"/>
      <c r="N224" s="1"/>
      <c r="O224" s="1"/>
      <c r="P224" s="1"/>
      <c r="Q224" s="1"/>
      <c r="R224" s="1"/>
      <c r="S224" s="1"/>
      <c r="T224" s="22" t="str">
        <f t="shared" ca="1" si="21"/>
        <v>207,..,907</v>
      </c>
      <c r="U224" s="22">
        <f t="shared" ca="1" si="24"/>
        <v>207</v>
      </c>
      <c r="V224" s="22">
        <f t="shared" ca="1" si="25"/>
        <v>907</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hidden="1" customHeight="1" x14ac:dyDescent="0.25">
      <c r="A225" s="130" t="str">
        <f t="shared" ca="1" si="22"/>
        <v>208,..,908</v>
      </c>
      <c r="B225" s="130"/>
      <c r="C225" s="64"/>
      <c r="D225" s="64"/>
      <c r="E225" s="41"/>
      <c r="F225" s="40"/>
      <c r="G225" s="40"/>
      <c r="H225" s="40">
        <f t="shared" si="23"/>
        <v>0</v>
      </c>
      <c r="I225" s="1"/>
      <c r="J225" s="1"/>
      <c r="K225" s="1"/>
      <c r="L225" s="1"/>
      <c r="M225" s="1"/>
      <c r="N225" s="1"/>
      <c r="O225" s="1"/>
      <c r="P225" s="1"/>
      <c r="Q225" s="1"/>
      <c r="R225" s="1"/>
      <c r="S225" s="1"/>
      <c r="T225" s="22" t="str">
        <f t="shared" ca="1" si="21"/>
        <v>208,..,908</v>
      </c>
      <c r="U225" s="22">
        <f t="shared" ca="1" si="24"/>
        <v>208</v>
      </c>
      <c r="V225" s="22">
        <f t="shared" ca="1" si="25"/>
        <v>908</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hidden="1" x14ac:dyDescent="0.25">
      <c r="A226" s="124" t="s">
        <v>130</v>
      </c>
      <c r="B226" s="125"/>
      <c r="C226" s="125"/>
      <c r="D226" s="125"/>
      <c r="E226" s="125"/>
      <c r="F226" s="125"/>
      <c r="G226" s="125"/>
      <c r="H226" s="126"/>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hidden="1" customHeight="1" x14ac:dyDescent="0.25">
      <c r="A227" s="130" t="str">
        <f ca="1">T227</f>
        <v>201 to 501</v>
      </c>
      <c r="B227" s="130"/>
      <c r="C227" s="64"/>
      <c r="D227" s="64"/>
      <c r="E227" s="41">
        <v>0</v>
      </c>
      <c r="F227" s="40">
        <v>0</v>
      </c>
      <c r="G227" s="40">
        <v>0</v>
      </c>
      <c r="H227" s="40">
        <f>E227+F227+(IF(G227&lt;101,G227,IF(G227&lt;201,G227/2,IF(G227&lt;=301,G227/3,G227/4))))</f>
        <v>0</v>
      </c>
      <c r="I227" s="1"/>
      <c r="J227" s="1"/>
      <c r="K227" s="1"/>
      <c r="L227" s="1"/>
      <c r="M227" s="1"/>
      <c r="N227" s="1"/>
      <c r="O227" s="1"/>
      <c r="P227" s="1"/>
      <c r="Q227" s="1"/>
      <c r="R227" s="1"/>
      <c r="S227" s="1"/>
      <c r="T227" s="22" t="str">
        <f ca="1">U227&amp;""&amp;" to "&amp;""&amp;V227</f>
        <v>201 to 501</v>
      </c>
      <c r="U227" s="22">
        <f ca="1">(SUMPRODUCT(MID(0&amp;(LEFT(A226,SUM(LEN(A226)-LEN(SUBSTITUTE(A226,{"0","1","2","3"},""))))), LARGE(INDEX(ISNUMBER(--MID((LEFT(A226,SUM(LEN(A226)-LEN(SUBSTITUTE(A226,{"0","1","2","3"},""))))), ROW(INDIRECT("1:"&amp;LEN((LEFT(A226,SUM(LEN(A226)-LEN(SUBSTITUTE(A226,{"0","1","2","3"},"")))))))), 1)) * ROW(INDIRECT("1:"&amp;LEN((LEFT(A226,SUM(LEN(A226)-LEN(SUBSTITUTE(A226,{"0","1","2","3"},"")))))))), 0), ROW(INDIRECT("1:"&amp;LEN((LEFT(A226,SUM(LEN(A226)-LEN(SUBSTITUTE(A226,{"0","1","2","3"},"")))))))))+1, 1) * 10^ROW(INDIRECT("1:"&amp;LEN((LEFT(A226,SUM(LEN(A226)-LEN(SUBSTITUTE(A226,{"0","1","2","3"},""))))))))/10))*100+1</f>
        <v>201</v>
      </c>
      <c r="V227" s="22">
        <f ca="1">(SUMPRODUCT(MID(0&amp;(--TRIM(RIGHT(SUBSTITUTE(LEFT(A226,_xlfn.AGGREGATE(16,6,FIND({0,1,2,3,4,5,6,7,8,9},A226,ROW(INDIRECT("1:"&amp;LEN(A226)))),1))," ",REPT(" ",LEN(A226))),LEN(A226)))), LARGE(INDEX(ISNUMBER(--MID((--TRIM(RIGHT(SUBSTITUTE(LEFT(A226,_xlfn.AGGREGATE(16,6,FIND({0,1,2,3,4,5,6,7,8,9},A226,ROW(INDIRECT("1:"&amp;LEN(A226)))),1))," ",REPT(" ",LEN(A226))),LEN(A226)))), ROW(INDIRECT("1:"&amp;LEN((--TRIM(RIGHT(SUBSTITUTE(LEFT(A226,_xlfn.AGGREGATE(16,6,FIND({0,1,2,3,4,5,6,7,8,9},A226,ROW(INDIRECT("1:"&amp;LEN(A226)))),1))," ",REPT(" ",LEN(A226))),LEN(A226))))))), 1)) * ROW(INDIRECT("1:"&amp;LEN((--TRIM(RIGHT(SUBSTITUTE(LEFT(A226,_xlfn.AGGREGATE(16,6,FIND({0,1,2,3,4,5,6,7,8,9},A226,ROW(INDIRECT("1:"&amp;LEN(A226)))),1))," ",REPT(" ",LEN(A226))),LEN(A226))))))), 0), ROW(INDIRECT("1:"&amp;LEN((--TRIM(RIGHT(SUBSTITUTE(LEFT(A226,_xlfn.AGGREGATE(16,6,FIND({0,1,2,3,4,5,6,7,8,9},A226,ROW(INDIRECT("1:"&amp;LEN(A226)))),1))," ",REPT(" ",LEN(A226))),LEN(A226))))))))+1, 1) * 10^ROW(INDIRECT("1:"&amp;LEN((--TRIM(RIGHT(SUBSTITUTE(LEFT(A226,_xlfn.AGGREGATE(16,6,FIND({0,1,2,3,4,5,6,7,8,9},A226,ROW(INDIRECT("1:"&amp;LEN(A226)))),1))," ",REPT(" ",LEN(A226))),LEN(A226)))))))/10))*100+1</f>
        <v>501</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hidden="1" customHeight="1" x14ac:dyDescent="0.25">
      <c r="A228" s="130" t="str">
        <f t="shared" ref="A228:A234" ca="1" si="26">T228</f>
        <v>202 to 502</v>
      </c>
      <c r="B228" s="130"/>
      <c r="C228" s="64"/>
      <c r="D228" s="64"/>
      <c r="E228" s="41"/>
      <c r="F228" s="40"/>
      <c r="G228" s="40"/>
      <c r="H228" s="40">
        <f t="shared" ref="H228:H234" si="27">E228+F228+(IF(G228&lt;101,G228,IF(G228&lt;201,G228/2,IF(G228&lt;=301,G228/3,G228/4))))</f>
        <v>0</v>
      </c>
      <c r="I228" s="1"/>
      <c r="J228" s="1"/>
      <c r="K228" s="1"/>
      <c r="L228" s="1"/>
      <c r="M228" s="1"/>
      <c r="N228" s="1"/>
      <c r="O228" s="1"/>
      <c r="P228" s="1"/>
      <c r="Q228" s="1"/>
      <c r="R228" s="1"/>
      <c r="S228" s="1"/>
      <c r="T228" s="22" t="str">
        <f t="shared" ref="T228:T234" ca="1" si="28">U228&amp;""&amp;" to "&amp;""&amp;V228</f>
        <v>202 to 502</v>
      </c>
      <c r="U228" s="22">
        <f ca="1">U227+1</f>
        <v>202</v>
      </c>
      <c r="V228" s="22">
        <f ca="1">V227+1</f>
        <v>502</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hidden="1" customHeight="1" x14ac:dyDescent="0.25">
      <c r="A229" s="130" t="str">
        <f t="shared" ca="1" si="26"/>
        <v>203 to 503</v>
      </c>
      <c r="B229" s="130"/>
      <c r="C229" s="64"/>
      <c r="D229" s="64"/>
      <c r="E229" s="41"/>
      <c r="F229" s="40"/>
      <c r="G229" s="40"/>
      <c r="H229" s="40">
        <f t="shared" si="27"/>
        <v>0</v>
      </c>
      <c r="I229" s="1"/>
      <c r="J229" s="1"/>
      <c r="K229" s="1"/>
      <c r="L229" s="1"/>
      <c r="M229" s="1"/>
      <c r="N229" s="1"/>
      <c r="O229" s="1"/>
      <c r="P229" s="1"/>
      <c r="Q229" s="1"/>
      <c r="R229" s="1"/>
      <c r="S229" s="1"/>
      <c r="T229" s="22" t="str">
        <f t="shared" ca="1" si="28"/>
        <v>203 to 503</v>
      </c>
      <c r="U229" s="22">
        <f t="shared" ref="U229:U234" ca="1" si="29">U228+1</f>
        <v>203</v>
      </c>
      <c r="V229" s="22">
        <f t="shared" ref="V229:V234" ca="1" si="30">V228+1</f>
        <v>503</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hidden="1" customHeight="1" x14ac:dyDescent="0.25">
      <c r="A230" s="130" t="str">
        <f t="shared" ca="1" si="26"/>
        <v>204 to 504</v>
      </c>
      <c r="B230" s="130"/>
      <c r="C230" s="64"/>
      <c r="D230" s="64"/>
      <c r="E230" s="41"/>
      <c r="F230" s="40"/>
      <c r="G230" s="40"/>
      <c r="H230" s="40">
        <f t="shared" si="27"/>
        <v>0</v>
      </c>
      <c r="I230" s="1"/>
      <c r="J230" s="1"/>
      <c r="K230" s="1"/>
      <c r="L230" s="1"/>
      <c r="M230" s="1"/>
      <c r="N230" s="1"/>
      <c r="O230" s="1"/>
      <c r="P230" s="1"/>
      <c r="Q230" s="1"/>
      <c r="R230" s="1"/>
      <c r="S230" s="1"/>
      <c r="T230" s="22" t="str">
        <f t="shared" ca="1" si="28"/>
        <v>204 to 504</v>
      </c>
      <c r="U230" s="22">
        <f t="shared" ca="1" si="29"/>
        <v>204</v>
      </c>
      <c r="V230" s="22">
        <f t="shared" ca="1" si="30"/>
        <v>504</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hidden="1" customHeight="1" x14ac:dyDescent="0.25">
      <c r="A231" s="130" t="str">
        <f t="shared" ca="1" si="26"/>
        <v>205 to 505</v>
      </c>
      <c r="B231" s="130"/>
      <c r="C231" s="64"/>
      <c r="D231" s="64"/>
      <c r="E231" s="41"/>
      <c r="F231" s="40"/>
      <c r="G231" s="40"/>
      <c r="H231" s="40">
        <f t="shared" si="27"/>
        <v>0</v>
      </c>
      <c r="I231" s="1"/>
      <c r="J231" s="1"/>
      <c r="K231" s="1"/>
      <c r="L231" s="1"/>
      <c r="M231" s="1"/>
      <c r="N231" s="1"/>
      <c r="O231" s="1"/>
      <c r="P231" s="1"/>
      <c r="Q231" s="1"/>
      <c r="R231" s="1"/>
      <c r="S231" s="1"/>
      <c r="T231" s="22" t="str">
        <f t="shared" ca="1" si="28"/>
        <v>205 to 505</v>
      </c>
      <c r="U231" s="22">
        <f t="shared" ca="1" si="29"/>
        <v>205</v>
      </c>
      <c r="V231" s="22">
        <f t="shared" ca="1" si="30"/>
        <v>505</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hidden="1" customHeight="1" x14ac:dyDescent="0.25">
      <c r="A232" s="130" t="str">
        <f t="shared" ca="1" si="26"/>
        <v>206 to 506</v>
      </c>
      <c r="B232" s="130"/>
      <c r="C232" s="64"/>
      <c r="D232" s="64"/>
      <c r="E232" s="41"/>
      <c r="F232" s="40"/>
      <c r="G232" s="40"/>
      <c r="H232" s="40">
        <f t="shared" si="27"/>
        <v>0</v>
      </c>
      <c r="I232" s="1"/>
      <c r="J232" s="1"/>
      <c r="K232" s="1"/>
      <c r="L232" s="1"/>
      <c r="M232" s="1"/>
      <c r="N232" s="1"/>
      <c r="O232" s="1"/>
      <c r="P232" s="1"/>
      <c r="Q232" s="1"/>
      <c r="R232" s="1"/>
      <c r="S232" s="1"/>
      <c r="T232" s="22" t="str">
        <f t="shared" ca="1" si="28"/>
        <v>206 to 506</v>
      </c>
      <c r="U232" s="22">
        <f t="shared" ca="1" si="29"/>
        <v>206</v>
      </c>
      <c r="V232" s="22">
        <f t="shared" ca="1" si="30"/>
        <v>506</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hidden="1" customHeight="1" x14ac:dyDescent="0.25">
      <c r="A233" s="130" t="str">
        <f t="shared" ca="1" si="26"/>
        <v>207 to 507</v>
      </c>
      <c r="B233" s="130"/>
      <c r="C233" s="64"/>
      <c r="D233" s="64"/>
      <c r="E233" s="41"/>
      <c r="F233" s="40"/>
      <c r="G233" s="40"/>
      <c r="H233" s="40">
        <f t="shared" si="27"/>
        <v>0</v>
      </c>
      <c r="I233" s="1"/>
      <c r="J233" s="1"/>
      <c r="K233" s="1"/>
      <c r="L233" s="1"/>
      <c r="M233" s="1"/>
      <c r="N233" s="1"/>
      <c r="O233" s="1"/>
      <c r="P233" s="1"/>
      <c r="Q233" s="1"/>
      <c r="R233" s="1"/>
      <c r="S233" s="1"/>
      <c r="T233" s="22" t="str">
        <f t="shared" ca="1" si="28"/>
        <v>207 to 507</v>
      </c>
      <c r="U233" s="22">
        <f t="shared" ca="1" si="29"/>
        <v>207</v>
      </c>
      <c r="V233" s="22">
        <f t="shared" ca="1" si="30"/>
        <v>507</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hidden="1" customHeight="1" x14ac:dyDescent="0.25">
      <c r="A234" s="130" t="str">
        <f t="shared" ca="1" si="26"/>
        <v>208 to 508</v>
      </c>
      <c r="B234" s="130"/>
      <c r="C234" s="64"/>
      <c r="D234" s="64"/>
      <c r="E234" s="41"/>
      <c r="F234" s="40"/>
      <c r="G234" s="40"/>
      <c r="H234" s="40">
        <f t="shared" si="27"/>
        <v>0</v>
      </c>
      <c r="I234" s="1"/>
      <c r="J234" s="1"/>
      <c r="K234" s="1"/>
      <c r="L234" s="1"/>
      <c r="M234" s="1"/>
      <c r="N234" s="1"/>
      <c r="O234" s="1"/>
      <c r="P234" s="1"/>
      <c r="Q234" s="1"/>
      <c r="R234" s="1"/>
      <c r="S234" s="1"/>
      <c r="T234" s="22" t="str">
        <f t="shared" ca="1" si="28"/>
        <v>208 to 508</v>
      </c>
      <c r="U234" s="22">
        <f t="shared" ca="1" si="29"/>
        <v>208</v>
      </c>
      <c r="V234" s="22">
        <f t="shared" ca="1" si="30"/>
        <v>508</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hidden="1" x14ac:dyDescent="0.25">
      <c r="A235" s="124" t="s">
        <v>131</v>
      </c>
      <c r="B235" s="125"/>
      <c r="C235" s="125"/>
      <c r="D235" s="125"/>
      <c r="E235" s="125"/>
      <c r="F235" s="125"/>
      <c r="G235" s="125"/>
      <c r="H235" s="126"/>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hidden="1" customHeight="1" x14ac:dyDescent="0.25">
      <c r="A236" s="130" t="str">
        <f ca="1">T236</f>
        <v>201 &amp; 501</v>
      </c>
      <c r="B236" s="130"/>
      <c r="C236" s="64"/>
      <c r="D236" s="64"/>
      <c r="E236" s="41">
        <v>0</v>
      </c>
      <c r="F236" s="40">
        <v>0</v>
      </c>
      <c r="G236" s="40">
        <v>0</v>
      </c>
      <c r="H236" s="40">
        <f>E236+F236+(IF(G236&lt;101,G236,IF(G236&lt;201,G236/2,IF(G236&lt;=301,G236/3,G236/4))))</f>
        <v>0</v>
      </c>
      <c r="I236" s="1"/>
      <c r="J236" s="1"/>
      <c r="K236" s="1"/>
      <c r="L236" s="1"/>
      <c r="M236" s="1"/>
      <c r="N236" s="1"/>
      <c r="O236" s="1"/>
      <c r="P236" s="1"/>
      <c r="Q236" s="1"/>
      <c r="R236" s="1"/>
      <c r="S236" s="1"/>
      <c r="T236" s="22" t="str">
        <f ca="1">U236&amp;""&amp;" &amp; "&amp;""&amp;V236</f>
        <v>201 &amp; 501</v>
      </c>
      <c r="U236" s="22">
        <f ca="1">(SUMPRODUCT(MID(0&amp;(LEFT(A235,SUM(LEN(A235)-LEN(SUBSTITUTE(A235,{"0","1","2","3"},""))))), LARGE(INDEX(ISNUMBER(--MID((LEFT(A235,SUM(LEN(A235)-LEN(SUBSTITUTE(A235,{"0","1","2","3"},""))))), ROW(INDIRECT("1:"&amp;LEN((LEFT(A235,SUM(LEN(A235)-LEN(SUBSTITUTE(A235,{"0","1","2","3"},"")))))))), 1)) * ROW(INDIRECT("1:"&amp;LEN((LEFT(A235,SUM(LEN(A235)-LEN(SUBSTITUTE(A235,{"0","1","2","3"},"")))))))), 0), ROW(INDIRECT("1:"&amp;LEN((LEFT(A235,SUM(LEN(A235)-LEN(SUBSTITUTE(A235,{"0","1","2","3"},"")))))))))+1, 1) * 10^ROW(INDIRECT("1:"&amp;LEN((LEFT(A235,SUM(LEN(A235)-LEN(SUBSTITUTE(A235,{"0","1","2","3"},""))))))))/10))*100+1</f>
        <v>201</v>
      </c>
      <c r="V236" s="22">
        <f ca="1">(SUMPRODUCT(MID(0&amp;(--TRIM(RIGHT(SUBSTITUTE(LEFT(A235,_xlfn.AGGREGATE(16,6,FIND({0,1,2,3,4,5,6,7,8,9},A235,ROW(INDIRECT("1:"&amp;LEN(A235)))),1))," ",REPT(" ",LEN(A235))),LEN(A235)))), LARGE(INDEX(ISNUMBER(--MID((--TRIM(RIGHT(SUBSTITUTE(LEFT(A235,_xlfn.AGGREGATE(16,6,FIND({0,1,2,3,4,5,6,7,8,9},A235,ROW(INDIRECT("1:"&amp;LEN(A235)))),1))," ",REPT(" ",LEN(A235))),LEN(A235)))), ROW(INDIRECT("1:"&amp;LEN((--TRIM(RIGHT(SUBSTITUTE(LEFT(A235,_xlfn.AGGREGATE(16,6,FIND({0,1,2,3,4,5,6,7,8,9},A235,ROW(INDIRECT("1:"&amp;LEN(A235)))),1))," ",REPT(" ",LEN(A235))),LEN(A235))))))), 1)) * ROW(INDIRECT("1:"&amp;LEN((--TRIM(RIGHT(SUBSTITUTE(LEFT(A235,_xlfn.AGGREGATE(16,6,FIND({0,1,2,3,4,5,6,7,8,9},A235,ROW(INDIRECT("1:"&amp;LEN(A235)))),1))," ",REPT(" ",LEN(A235))),LEN(A235))))))), 0), ROW(INDIRECT("1:"&amp;LEN((--TRIM(RIGHT(SUBSTITUTE(LEFT(A235,_xlfn.AGGREGATE(16,6,FIND({0,1,2,3,4,5,6,7,8,9},A235,ROW(INDIRECT("1:"&amp;LEN(A235)))),1))," ",REPT(" ",LEN(A235))),LEN(A235))))))))+1, 1) * 10^ROW(INDIRECT("1:"&amp;LEN((--TRIM(RIGHT(SUBSTITUTE(LEFT(A235,_xlfn.AGGREGATE(16,6,FIND({0,1,2,3,4,5,6,7,8,9},A235,ROW(INDIRECT("1:"&amp;LEN(A235)))),1))," ",REPT(" ",LEN(A235))),LEN(A235)))))))/10))*100+1</f>
        <v>501</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hidden="1" customHeight="1" x14ac:dyDescent="0.25">
      <c r="A237" s="130" t="str">
        <f t="shared" ref="A237:A243" ca="1" si="31">T237</f>
        <v>202 &amp; 502</v>
      </c>
      <c r="B237" s="130"/>
      <c r="C237" s="64"/>
      <c r="D237" s="64"/>
      <c r="E237" s="41"/>
      <c r="F237" s="40"/>
      <c r="G237" s="40"/>
      <c r="H237" s="40">
        <f t="shared" ref="H237:H243" si="32">E237+F237+(IF(G237&lt;101,G237,IF(G237&lt;201,G237/2,IF(G237&lt;=301,G237/3,G237/4))))</f>
        <v>0</v>
      </c>
      <c r="I237" s="1"/>
      <c r="J237" s="1"/>
      <c r="K237" s="1"/>
      <c r="L237" s="1"/>
      <c r="M237" s="1"/>
      <c r="N237" s="1"/>
      <c r="O237" s="1"/>
      <c r="P237" s="1"/>
      <c r="Q237" s="1"/>
      <c r="R237" s="1"/>
      <c r="S237" s="1"/>
      <c r="T237" s="22" t="str">
        <f t="shared" ref="T237:T243" ca="1" si="33">U237&amp;""&amp;" &amp; "&amp;""&amp;V237</f>
        <v>202 &amp; 502</v>
      </c>
      <c r="U237" s="22">
        <f ca="1">U236+1</f>
        <v>202</v>
      </c>
      <c r="V237" s="22">
        <f ca="1">V236+1</f>
        <v>502</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hidden="1" customHeight="1" x14ac:dyDescent="0.25">
      <c r="A238" s="130" t="str">
        <f t="shared" ca="1" si="31"/>
        <v>203 &amp; 503</v>
      </c>
      <c r="B238" s="130"/>
      <c r="C238" s="64"/>
      <c r="D238" s="64"/>
      <c r="E238" s="41"/>
      <c r="F238" s="40"/>
      <c r="G238" s="40"/>
      <c r="H238" s="40">
        <f t="shared" si="32"/>
        <v>0</v>
      </c>
      <c r="I238" s="1"/>
      <c r="J238" s="1"/>
      <c r="K238" s="1"/>
      <c r="L238" s="1"/>
      <c r="M238" s="1"/>
      <c r="N238" s="1"/>
      <c r="O238" s="1"/>
      <c r="P238" s="1"/>
      <c r="Q238" s="1"/>
      <c r="R238" s="1"/>
      <c r="S238" s="1"/>
      <c r="T238" s="22" t="str">
        <f t="shared" ca="1" si="33"/>
        <v>203 &amp; 503</v>
      </c>
      <c r="U238" s="22">
        <f t="shared" ref="U238:U243" ca="1" si="34">U237+1</f>
        <v>203</v>
      </c>
      <c r="V238" s="22">
        <f t="shared" ref="V238:V243" ca="1" si="35">V237+1</f>
        <v>503</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hidden="1" customHeight="1" x14ac:dyDescent="0.25">
      <c r="A239" s="130" t="str">
        <f t="shared" ca="1" si="31"/>
        <v>204 &amp; 504</v>
      </c>
      <c r="B239" s="130"/>
      <c r="C239" s="64"/>
      <c r="D239" s="64"/>
      <c r="E239" s="41"/>
      <c r="F239" s="40"/>
      <c r="G239" s="40"/>
      <c r="H239" s="40">
        <f t="shared" si="32"/>
        <v>0</v>
      </c>
      <c r="I239" s="1"/>
      <c r="J239" s="1"/>
      <c r="K239" s="1"/>
      <c r="L239" s="1"/>
      <c r="M239" s="1"/>
      <c r="N239" s="1"/>
      <c r="O239" s="1"/>
      <c r="P239" s="1"/>
      <c r="Q239" s="1"/>
      <c r="R239" s="1"/>
      <c r="S239" s="1"/>
      <c r="T239" s="22" t="str">
        <f t="shared" ca="1" si="33"/>
        <v>204 &amp; 504</v>
      </c>
      <c r="U239" s="22">
        <f t="shared" ca="1" si="34"/>
        <v>204</v>
      </c>
      <c r="V239" s="22">
        <f t="shared" ca="1" si="35"/>
        <v>504</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hidden="1" customHeight="1" x14ac:dyDescent="0.25">
      <c r="A240" s="130" t="str">
        <f t="shared" ca="1" si="31"/>
        <v>205 &amp; 505</v>
      </c>
      <c r="B240" s="130"/>
      <c r="C240" s="64"/>
      <c r="D240" s="64"/>
      <c r="E240" s="41"/>
      <c r="F240" s="40"/>
      <c r="G240" s="40"/>
      <c r="H240" s="40">
        <f t="shared" si="32"/>
        <v>0</v>
      </c>
      <c r="I240" s="1"/>
      <c r="J240" s="1"/>
      <c r="K240" s="1"/>
      <c r="L240" s="1"/>
      <c r="M240" s="1"/>
      <c r="N240" s="1"/>
      <c r="O240" s="1"/>
      <c r="P240" s="1"/>
      <c r="Q240" s="1"/>
      <c r="R240" s="1"/>
      <c r="S240" s="1"/>
      <c r="T240" s="22" t="str">
        <f t="shared" ca="1" si="33"/>
        <v>205 &amp; 505</v>
      </c>
      <c r="U240" s="22">
        <f t="shared" ca="1" si="34"/>
        <v>205</v>
      </c>
      <c r="V240" s="22">
        <f t="shared" ca="1" si="35"/>
        <v>505</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hidden="1" customHeight="1" x14ac:dyDescent="0.25">
      <c r="A241" s="130" t="str">
        <f t="shared" ca="1" si="31"/>
        <v>206 &amp; 506</v>
      </c>
      <c r="B241" s="130"/>
      <c r="C241" s="64"/>
      <c r="D241" s="64"/>
      <c r="E241" s="41"/>
      <c r="F241" s="40"/>
      <c r="G241" s="40"/>
      <c r="H241" s="40">
        <f t="shared" si="32"/>
        <v>0</v>
      </c>
      <c r="I241" s="1"/>
      <c r="J241" s="1"/>
      <c r="K241" s="1"/>
      <c r="L241" s="1"/>
      <c r="M241" s="1"/>
      <c r="N241" s="1"/>
      <c r="O241" s="1"/>
      <c r="P241" s="1"/>
      <c r="Q241" s="1"/>
      <c r="R241" s="1"/>
      <c r="S241" s="1"/>
      <c r="T241" s="22" t="str">
        <f t="shared" ca="1" si="33"/>
        <v>206 &amp; 506</v>
      </c>
      <c r="U241" s="22">
        <f t="shared" ca="1" si="34"/>
        <v>206</v>
      </c>
      <c r="V241" s="22">
        <f t="shared" ca="1" si="35"/>
        <v>506</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hidden="1" customHeight="1" x14ac:dyDescent="0.25">
      <c r="A242" s="130" t="str">
        <f t="shared" ca="1" si="31"/>
        <v>207 &amp; 507</v>
      </c>
      <c r="B242" s="130"/>
      <c r="C242" s="64"/>
      <c r="D242" s="64"/>
      <c r="E242" s="41"/>
      <c r="F242" s="40"/>
      <c r="G242" s="40"/>
      <c r="H242" s="40">
        <f t="shared" si="32"/>
        <v>0</v>
      </c>
      <c r="I242" s="1"/>
      <c r="J242" s="1"/>
      <c r="K242" s="1"/>
      <c r="L242" s="1"/>
      <c r="M242" s="1"/>
      <c r="N242" s="1"/>
      <c r="O242" s="1"/>
      <c r="P242" s="1"/>
      <c r="Q242" s="1"/>
      <c r="R242" s="1"/>
      <c r="S242" s="1"/>
      <c r="T242" s="22" t="str">
        <f t="shared" ca="1" si="33"/>
        <v>207 &amp; 507</v>
      </c>
      <c r="U242" s="22">
        <f t="shared" ca="1" si="34"/>
        <v>207</v>
      </c>
      <c r="V242" s="22">
        <f t="shared" ca="1" si="35"/>
        <v>507</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hidden="1" customHeight="1" x14ac:dyDescent="0.25">
      <c r="A243" s="130" t="str">
        <f t="shared" ca="1" si="31"/>
        <v>208 &amp; 508</v>
      </c>
      <c r="B243" s="130"/>
      <c r="C243" s="64"/>
      <c r="D243" s="64"/>
      <c r="E243" s="41"/>
      <c r="F243" s="40"/>
      <c r="G243" s="40"/>
      <c r="H243" s="40">
        <f t="shared" si="32"/>
        <v>0</v>
      </c>
      <c r="I243" s="1"/>
      <c r="J243" s="1"/>
      <c r="K243" s="1"/>
      <c r="L243" s="1"/>
      <c r="M243" s="1"/>
      <c r="N243" s="1"/>
      <c r="O243" s="1"/>
      <c r="P243" s="1"/>
      <c r="Q243" s="1"/>
      <c r="R243" s="1"/>
      <c r="S243" s="1"/>
      <c r="T243" s="22" t="str">
        <f t="shared" ca="1" si="33"/>
        <v>208 &amp; 508</v>
      </c>
      <c r="U243" s="22">
        <f t="shared" ca="1" si="34"/>
        <v>208</v>
      </c>
      <c r="V243" s="22">
        <f t="shared" ca="1" si="35"/>
        <v>508</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ht="20.25" x14ac:dyDescent="0.25">
      <c r="A244" s="158" t="s">
        <v>69</v>
      </c>
      <c r="B244" s="158"/>
      <c r="C244" s="158"/>
      <c r="D244" s="158"/>
      <c r="E244" s="158"/>
      <c r="F244" s="158"/>
      <c r="G244" s="158"/>
      <c r="H244" s="158"/>
    </row>
    <row r="245" spans="1:150 16226:16383" ht="20.25" x14ac:dyDescent="0.25">
      <c r="A245" s="47" t="s">
        <v>233</v>
      </c>
      <c r="B245" s="106" t="s">
        <v>375</v>
      </c>
      <c r="C245" s="107"/>
      <c r="D245" s="107"/>
      <c r="E245" s="107"/>
      <c r="F245" s="107"/>
      <c r="G245" s="107"/>
      <c r="H245" s="108"/>
    </row>
    <row r="246" spans="1:150 16226:16383" ht="20.25" x14ac:dyDescent="0.25">
      <c r="A246" s="47" t="s">
        <v>233</v>
      </c>
      <c r="B246" s="106" t="s">
        <v>234</v>
      </c>
      <c r="C246" s="107"/>
      <c r="D246" s="107"/>
      <c r="E246" s="107"/>
      <c r="F246" s="107"/>
      <c r="G246" s="107"/>
      <c r="H246" s="108"/>
    </row>
    <row r="247" spans="1:150 16226:16383" ht="20.25" x14ac:dyDescent="0.25">
      <c r="A247" s="47" t="s">
        <v>233</v>
      </c>
      <c r="B247" s="106" t="s">
        <v>344</v>
      </c>
      <c r="C247" s="107"/>
      <c r="D247" s="107"/>
      <c r="E247" s="107"/>
      <c r="F247" s="107"/>
      <c r="G247" s="107"/>
      <c r="H247" s="108"/>
    </row>
    <row r="248" spans="1:150 16226:16383" ht="20.25" x14ac:dyDescent="0.25">
      <c r="A248" s="47" t="s">
        <v>233</v>
      </c>
      <c r="B248" s="106" t="s">
        <v>235</v>
      </c>
      <c r="C248" s="107"/>
      <c r="D248" s="107"/>
      <c r="E248" s="107"/>
      <c r="F248" s="107"/>
      <c r="G248" s="107"/>
      <c r="H248" s="108"/>
    </row>
    <row r="249" spans="1:150 16226:16383" ht="20.25" x14ac:dyDescent="0.25">
      <c r="A249" s="47" t="s">
        <v>233</v>
      </c>
      <c r="B249" s="106" t="s">
        <v>236</v>
      </c>
      <c r="C249" s="107"/>
      <c r="D249" s="107"/>
      <c r="E249" s="107"/>
      <c r="F249" s="107"/>
      <c r="G249" s="107"/>
      <c r="H249" s="108"/>
    </row>
    <row r="250" spans="1:150 16226:16383" ht="46.5" hidden="1" customHeight="1" x14ac:dyDescent="0.25">
      <c r="A250" s="47" t="s">
        <v>233</v>
      </c>
      <c r="B250" s="160" t="s">
        <v>237</v>
      </c>
      <c r="C250" s="107"/>
      <c r="D250" s="107"/>
      <c r="E250" s="107"/>
      <c r="F250" s="107"/>
      <c r="G250" s="107"/>
      <c r="H250" s="108"/>
    </row>
    <row r="251" spans="1:150 16226:16383" ht="24.75" hidden="1" customHeight="1" x14ac:dyDescent="0.25">
      <c r="A251" s="47" t="s">
        <v>233</v>
      </c>
      <c r="B251" s="160" t="s">
        <v>238</v>
      </c>
      <c r="C251" s="107"/>
      <c r="D251" s="107"/>
      <c r="E251" s="107"/>
      <c r="F251" s="107"/>
      <c r="G251" s="107"/>
      <c r="H251" s="108"/>
    </row>
    <row r="252" spans="1:150 16226:16383" ht="46.5" hidden="1" customHeight="1" x14ac:dyDescent="0.25">
      <c r="A252" s="2" t="s">
        <v>233</v>
      </c>
      <c r="B252" s="160" t="s">
        <v>237</v>
      </c>
      <c r="C252" s="107"/>
      <c r="D252" s="107"/>
      <c r="E252" s="107"/>
      <c r="F252" s="107"/>
      <c r="G252" s="107"/>
      <c r="H252" s="108"/>
    </row>
    <row r="253" spans="1:150 16226:16383" ht="20.25" x14ac:dyDescent="0.25">
      <c r="A253" s="103" t="s">
        <v>233</v>
      </c>
      <c r="B253" s="106" t="s">
        <v>356</v>
      </c>
      <c r="C253" s="107"/>
      <c r="D253" s="107"/>
      <c r="E253" s="107"/>
      <c r="F253" s="107"/>
      <c r="G253" s="107"/>
      <c r="H253" s="108"/>
    </row>
    <row r="254" spans="1:150 16226:16383" ht="20.25" x14ac:dyDescent="0.25">
      <c r="A254" s="93" t="s">
        <v>233</v>
      </c>
      <c r="B254" s="106" t="s">
        <v>364</v>
      </c>
      <c r="C254" s="107"/>
      <c r="D254" s="107"/>
      <c r="E254" s="107"/>
      <c r="F254" s="107"/>
      <c r="G254" s="107"/>
      <c r="H254" s="108"/>
    </row>
    <row r="255" spans="1:150 16226:16383" ht="20.25" x14ac:dyDescent="0.25">
      <c r="A255" s="103" t="s">
        <v>233</v>
      </c>
      <c r="B255" s="106" t="s">
        <v>380</v>
      </c>
      <c r="C255" s="107"/>
      <c r="D255" s="107"/>
      <c r="E255" s="107"/>
      <c r="F255" s="107"/>
      <c r="G255" s="107"/>
      <c r="H255" s="108"/>
    </row>
    <row r="256" spans="1:150 16226:16383" ht="20.25" x14ac:dyDescent="0.25">
      <c r="A256" s="89" t="s">
        <v>233</v>
      </c>
      <c r="B256" s="106" t="s">
        <v>383</v>
      </c>
      <c r="C256" s="107"/>
      <c r="D256" s="107"/>
      <c r="E256" s="107"/>
      <c r="F256" s="107"/>
      <c r="G256" s="107"/>
      <c r="H256" s="108"/>
    </row>
    <row r="257" spans="1:8" ht="20.25" x14ac:dyDescent="0.25">
      <c r="A257" s="180" t="s">
        <v>75</v>
      </c>
      <c r="B257" s="180"/>
      <c r="C257" s="180"/>
      <c r="D257" s="180"/>
      <c r="E257" s="180"/>
      <c r="F257" s="180"/>
      <c r="G257" s="180"/>
      <c r="H257" s="180"/>
    </row>
    <row r="258" spans="1:8" ht="20.25" x14ac:dyDescent="0.25">
      <c r="A258" s="136" t="s">
        <v>70</v>
      </c>
      <c r="B258" s="136"/>
      <c r="C258" s="136"/>
      <c r="D258" s="106" t="str">
        <f>C3</f>
        <v>Raheja Antares Tower A </v>
      </c>
      <c r="E258" s="107"/>
      <c r="F258" s="107"/>
      <c r="G258" s="107"/>
      <c r="H258" s="108"/>
    </row>
    <row r="259" spans="1:8" ht="40.5" customHeight="1" x14ac:dyDescent="0.25">
      <c r="A259" s="136" t="s">
        <v>104</v>
      </c>
      <c r="B259" s="136"/>
      <c r="C259" s="136"/>
      <c r="D259" s="106" t="str">
        <f>C9</f>
        <v>Raheja Antares- Tower A, 112A/1, 112A/2, 112A/3, Hariyali, Kurla, Kanjurmarg West, Bhandup West, Mumbai Suburban, Maharashtra 400078</v>
      </c>
      <c r="E259" s="107"/>
      <c r="F259" s="107"/>
      <c r="G259" s="107"/>
      <c r="H259" s="108"/>
    </row>
    <row r="260" spans="1:8" ht="20.25" customHeight="1" x14ac:dyDescent="0.25">
      <c r="A260" s="193" t="s">
        <v>110</v>
      </c>
      <c r="B260" s="193"/>
      <c r="C260" s="193"/>
      <c r="D260" s="173" t="str">
        <f>G3</f>
        <v>07/07/2025 at 12:42PM</v>
      </c>
      <c r="E260" s="107"/>
      <c r="F260" s="107"/>
      <c r="G260" s="107"/>
      <c r="H260" s="108"/>
    </row>
    <row r="261" spans="1:8" ht="20.25" x14ac:dyDescent="0.25">
      <c r="A261" s="9"/>
      <c r="B261" s="10"/>
      <c r="C261" s="10"/>
      <c r="D261" s="10"/>
      <c r="E261" s="10"/>
      <c r="F261" s="10"/>
      <c r="G261" s="10"/>
      <c r="H261" s="6"/>
    </row>
    <row r="262" spans="1:8" ht="20.25" x14ac:dyDescent="0.25">
      <c r="A262" s="11"/>
      <c r="B262" s="12"/>
      <c r="C262" s="12"/>
      <c r="D262" s="12"/>
      <c r="E262" s="12"/>
      <c r="F262" s="12"/>
      <c r="G262" s="12"/>
      <c r="H262" s="7"/>
    </row>
    <row r="263" spans="1:8" ht="20.25" x14ac:dyDescent="0.25">
      <c r="A263" s="11"/>
      <c r="B263" s="12"/>
      <c r="C263" s="12"/>
      <c r="D263" s="12"/>
      <c r="E263" s="12"/>
      <c r="F263" s="12"/>
      <c r="G263" s="12"/>
      <c r="H263" s="7"/>
    </row>
    <row r="264" spans="1:8" ht="20.25" x14ac:dyDescent="0.25">
      <c r="A264" s="11"/>
      <c r="B264" s="12"/>
      <c r="C264" s="12"/>
      <c r="D264" s="12"/>
      <c r="E264" s="12"/>
      <c r="F264" s="12"/>
      <c r="G264" s="12"/>
      <c r="H264" s="7"/>
    </row>
    <row r="265" spans="1:8" ht="20.25" x14ac:dyDescent="0.25">
      <c r="A265" s="11"/>
      <c r="B265" s="12"/>
      <c r="C265" s="12"/>
      <c r="D265" s="12"/>
      <c r="E265" s="12"/>
      <c r="F265" s="12"/>
      <c r="G265" s="12"/>
      <c r="H265" s="7"/>
    </row>
    <row r="266" spans="1:8" ht="20.25" x14ac:dyDescent="0.25">
      <c r="A266" s="11"/>
      <c r="B266" s="12"/>
      <c r="C266" s="12"/>
      <c r="D266" s="12"/>
      <c r="E266" s="12"/>
      <c r="F266" s="12"/>
      <c r="G266" s="12"/>
      <c r="H266" s="7"/>
    </row>
    <row r="267" spans="1:8" ht="20.25" x14ac:dyDescent="0.25">
      <c r="A267" s="11"/>
      <c r="B267" s="12"/>
      <c r="C267" s="12"/>
      <c r="D267" s="12"/>
      <c r="E267" s="12"/>
      <c r="F267" s="12"/>
      <c r="G267" s="12"/>
      <c r="H267" s="7"/>
    </row>
    <row r="268" spans="1:8" ht="20.25" x14ac:dyDescent="0.25">
      <c r="A268" s="11"/>
      <c r="B268" s="12"/>
      <c r="C268" s="12"/>
      <c r="D268" s="12"/>
      <c r="E268" s="12"/>
      <c r="F268" s="12"/>
      <c r="G268" s="12"/>
      <c r="H268" s="7"/>
    </row>
    <row r="269" spans="1:8" ht="20.25" x14ac:dyDescent="0.25">
      <c r="A269" s="11"/>
      <c r="B269" s="12"/>
      <c r="C269" s="12"/>
      <c r="D269" s="12"/>
      <c r="E269" s="12"/>
      <c r="F269" s="12"/>
      <c r="G269" s="12"/>
      <c r="H269" s="7"/>
    </row>
    <row r="270" spans="1:8" ht="20.25" x14ac:dyDescent="0.25">
      <c r="A270" s="11"/>
      <c r="B270" s="12"/>
      <c r="C270" s="12"/>
      <c r="D270" s="12"/>
      <c r="E270" s="12"/>
      <c r="F270" s="12"/>
      <c r="G270" s="12"/>
      <c r="H270" s="7"/>
    </row>
    <row r="271" spans="1:8" ht="20.25" x14ac:dyDescent="0.25">
      <c r="A271" s="11"/>
      <c r="B271" s="12"/>
      <c r="C271" s="12"/>
      <c r="D271" s="12"/>
      <c r="E271" s="12"/>
      <c r="F271" s="12"/>
      <c r="G271" s="12"/>
      <c r="H271" s="7"/>
    </row>
    <row r="272" spans="1:8" ht="20.25" x14ac:dyDescent="0.25">
      <c r="A272" s="11"/>
      <c r="B272" s="12"/>
      <c r="C272" s="12"/>
      <c r="D272" s="12"/>
      <c r="E272" s="12"/>
      <c r="F272" s="12"/>
      <c r="G272" s="12"/>
      <c r="H272" s="7"/>
    </row>
    <row r="273" spans="1:8" ht="20.25" x14ac:dyDescent="0.25">
      <c r="A273" s="11"/>
      <c r="B273" s="12"/>
      <c r="C273" s="12"/>
      <c r="D273" s="12"/>
      <c r="E273" s="12"/>
      <c r="F273" s="12"/>
      <c r="G273" s="12"/>
      <c r="H273" s="7"/>
    </row>
    <row r="274" spans="1:8" ht="20.25" x14ac:dyDescent="0.25">
      <c r="A274" s="11"/>
      <c r="B274" s="12"/>
      <c r="C274" s="12"/>
      <c r="D274" s="12"/>
      <c r="E274" s="12"/>
      <c r="F274" s="12"/>
      <c r="G274" s="12"/>
      <c r="H274" s="7"/>
    </row>
    <row r="275" spans="1:8" ht="20.25" x14ac:dyDescent="0.25">
      <c r="A275" s="11"/>
      <c r="B275" s="12"/>
      <c r="C275" s="12"/>
      <c r="D275" s="12"/>
      <c r="E275" s="12"/>
      <c r="F275" s="12"/>
      <c r="G275" s="12"/>
      <c r="H275" s="7"/>
    </row>
    <row r="276" spans="1:8" ht="20.25" x14ac:dyDescent="0.25">
      <c r="A276" s="11"/>
      <c r="B276" s="12"/>
      <c r="C276" s="12"/>
      <c r="D276" s="12"/>
      <c r="E276" s="12"/>
      <c r="F276" s="12"/>
      <c r="G276" s="12"/>
      <c r="H276" s="7"/>
    </row>
    <row r="277" spans="1:8" ht="20.25" x14ac:dyDescent="0.25">
      <c r="A277" s="11"/>
      <c r="B277" s="12"/>
      <c r="C277" s="12"/>
      <c r="D277" s="12"/>
      <c r="E277" s="12"/>
      <c r="F277" s="12"/>
      <c r="G277" s="12"/>
      <c r="H277" s="7"/>
    </row>
    <row r="278" spans="1:8" ht="20.25" x14ac:dyDescent="0.25">
      <c r="A278" s="11"/>
      <c r="B278" s="12"/>
      <c r="C278" s="12"/>
      <c r="D278" s="12"/>
      <c r="E278" s="12"/>
      <c r="F278" s="12"/>
      <c r="G278" s="12"/>
      <c r="H278" s="7"/>
    </row>
    <row r="279" spans="1:8" ht="20.25" x14ac:dyDescent="0.25">
      <c r="A279" s="11"/>
      <c r="B279" s="12"/>
      <c r="C279" s="12"/>
      <c r="D279" s="12"/>
      <c r="E279" s="12"/>
      <c r="F279" s="12"/>
      <c r="G279" s="12"/>
      <c r="H279" s="7"/>
    </row>
    <row r="280" spans="1:8" ht="20.25" x14ac:dyDescent="0.25">
      <c r="A280" s="11"/>
      <c r="B280" s="12"/>
      <c r="C280" s="12"/>
      <c r="D280" s="12"/>
      <c r="E280" s="12"/>
      <c r="F280" s="12"/>
      <c r="G280" s="12"/>
      <c r="H280" s="7"/>
    </row>
    <row r="281" spans="1:8" ht="20.25" x14ac:dyDescent="0.25">
      <c r="A281" s="11"/>
      <c r="B281" s="12"/>
      <c r="C281" s="12"/>
      <c r="D281" s="12"/>
      <c r="E281" s="12"/>
      <c r="F281" s="12"/>
      <c r="G281" s="12"/>
      <c r="H281" s="7"/>
    </row>
    <row r="282" spans="1:8" ht="20.25" x14ac:dyDescent="0.25">
      <c r="A282" s="11"/>
      <c r="B282" s="12"/>
      <c r="C282" s="12"/>
      <c r="D282" s="12"/>
      <c r="E282" s="12"/>
      <c r="F282" s="12"/>
      <c r="G282" s="12"/>
      <c r="H282" s="7"/>
    </row>
    <row r="283" spans="1:8" ht="20.25" x14ac:dyDescent="0.25">
      <c r="A283" s="11"/>
      <c r="B283" s="12"/>
      <c r="C283" s="12"/>
      <c r="D283" s="12"/>
      <c r="E283" s="12"/>
      <c r="F283" s="12"/>
      <c r="G283" s="12"/>
      <c r="H283" s="7"/>
    </row>
    <row r="284" spans="1:8" ht="20.25" x14ac:dyDescent="0.25">
      <c r="A284" s="11"/>
      <c r="B284" s="12"/>
      <c r="C284" s="12"/>
      <c r="D284" s="12"/>
      <c r="E284" s="12"/>
      <c r="F284" s="12"/>
      <c r="G284" s="12"/>
      <c r="H284" s="7"/>
    </row>
    <row r="285" spans="1:8" ht="20.25" x14ac:dyDescent="0.25">
      <c r="A285" s="11"/>
      <c r="B285" s="12"/>
      <c r="C285" s="12"/>
      <c r="D285" s="12"/>
      <c r="E285" s="12"/>
      <c r="F285" s="12"/>
      <c r="G285" s="12"/>
      <c r="H285" s="7"/>
    </row>
    <row r="286" spans="1:8" ht="20.25" x14ac:dyDescent="0.25">
      <c r="A286" s="11"/>
      <c r="B286" s="12"/>
      <c r="C286" s="12"/>
      <c r="D286" s="12"/>
      <c r="E286" s="12"/>
      <c r="F286" s="12"/>
      <c r="G286" s="12"/>
      <c r="H286" s="7"/>
    </row>
    <row r="287" spans="1:8" ht="20.25" x14ac:dyDescent="0.25">
      <c r="A287" s="11"/>
      <c r="B287" s="12"/>
      <c r="C287" s="12"/>
      <c r="D287" s="12"/>
      <c r="E287" s="12"/>
      <c r="F287" s="12"/>
      <c r="G287" s="12"/>
      <c r="H287" s="7"/>
    </row>
    <row r="288" spans="1:8" ht="20.25" x14ac:dyDescent="0.25">
      <c r="A288" s="11"/>
      <c r="B288" s="12"/>
      <c r="C288" s="12"/>
      <c r="D288" s="12"/>
      <c r="E288" s="12"/>
      <c r="F288" s="12"/>
      <c r="G288" s="12"/>
      <c r="H288" s="7"/>
    </row>
    <row r="289" spans="1:8" ht="20.25" x14ac:dyDescent="0.25">
      <c r="A289" s="11"/>
      <c r="B289" s="12"/>
      <c r="C289" s="12"/>
      <c r="D289" s="12"/>
      <c r="E289" s="12"/>
      <c r="F289" s="12"/>
      <c r="G289" s="12"/>
      <c r="H289" s="7"/>
    </row>
    <row r="290" spans="1:8" ht="20.25" x14ac:dyDescent="0.25">
      <c r="A290" s="11"/>
      <c r="B290" s="12"/>
      <c r="C290" s="12"/>
      <c r="D290" s="12"/>
      <c r="E290" s="12"/>
      <c r="F290" s="12"/>
      <c r="G290" s="12"/>
      <c r="H290" s="7"/>
    </row>
    <row r="291" spans="1:8" ht="20.25" x14ac:dyDescent="0.25">
      <c r="A291" s="11"/>
      <c r="B291" s="12"/>
      <c r="C291" s="12"/>
      <c r="D291" s="12"/>
      <c r="E291" s="12"/>
      <c r="F291" s="12"/>
      <c r="G291" s="12"/>
      <c r="H291" s="7"/>
    </row>
    <row r="292" spans="1:8" ht="20.25" x14ac:dyDescent="0.25">
      <c r="A292" s="11"/>
      <c r="B292" s="12"/>
      <c r="C292" s="12"/>
      <c r="D292" s="12"/>
      <c r="E292" s="12"/>
      <c r="F292" s="12"/>
      <c r="G292" s="12"/>
      <c r="H292" s="7"/>
    </row>
    <row r="293" spans="1:8" ht="20.25" x14ac:dyDescent="0.25">
      <c r="A293" s="11"/>
      <c r="B293" s="12"/>
      <c r="C293" s="12"/>
      <c r="D293" s="12"/>
      <c r="E293" s="12"/>
      <c r="F293" s="12"/>
      <c r="G293" s="12"/>
      <c r="H293" s="7"/>
    </row>
    <row r="294" spans="1:8" ht="20.25" x14ac:dyDescent="0.25">
      <c r="A294" s="11"/>
      <c r="B294" s="12"/>
      <c r="C294" s="12"/>
      <c r="D294" s="12"/>
      <c r="E294" s="12"/>
      <c r="F294" s="12"/>
      <c r="G294" s="12"/>
      <c r="H294" s="7"/>
    </row>
    <row r="295" spans="1:8" ht="20.25" hidden="1" x14ac:dyDescent="0.25">
      <c r="A295" s="11"/>
      <c r="B295" s="12"/>
      <c r="C295" s="12"/>
      <c r="D295" s="12"/>
      <c r="E295" s="12"/>
      <c r="F295" s="12"/>
      <c r="G295" s="12"/>
      <c r="H295" s="7"/>
    </row>
    <row r="296" spans="1:8" ht="20.25" hidden="1" x14ac:dyDescent="0.25">
      <c r="A296" s="11"/>
      <c r="B296" s="12"/>
      <c r="C296" s="12"/>
      <c r="D296" s="12"/>
      <c r="E296" s="12"/>
      <c r="F296" s="12"/>
      <c r="G296" s="12"/>
      <c r="H296" s="7"/>
    </row>
    <row r="297" spans="1:8" ht="20.25" hidden="1" x14ac:dyDescent="0.25">
      <c r="A297" s="11"/>
      <c r="B297" s="12"/>
      <c r="C297" s="12"/>
      <c r="D297" s="12"/>
      <c r="E297" s="12"/>
      <c r="F297" s="12"/>
      <c r="G297" s="12"/>
      <c r="H297" s="7"/>
    </row>
    <row r="298" spans="1:8" ht="20.25" hidden="1" x14ac:dyDescent="0.25">
      <c r="A298" s="11"/>
      <c r="B298" s="12"/>
      <c r="C298" s="12"/>
      <c r="D298" s="12"/>
      <c r="E298" s="12"/>
      <c r="F298" s="12"/>
      <c r="G298" s="12"/>
      <c r="H298" s="7"/>
    </row>
    <row r="299" spans="1:8" ht="20.25" hidden="1" x14ac:dyDescent="0.25">
      <c r="A299" s="11"/>
      <c r="B299" s="12"/>
      <c r="C299" s="12"/>
      <c r="D299" s="12"/>
      <c r="E299" s="12"/>
      <c r="F299" s="12"/>
      <c r="G299" s="12"/>
      <c r="H299" s="7"/>
    </row>
    <row r="300" spans="1:8" ht="20.25" hidden="1" x14ac:dyDescent="0.25">
      <c r="A300" s="11"/>
      <c r="B300" s="12"/>
      <c r="C300" s="12"/>
      <c r="D300" s="12"/>
      <c r="E300" s="12"/>
      <c r="F300" s="12"/>
      <c r="G300" s="12"/>
      <c r="H300" s="7"/>
    </row>
    <row r="301" spans="1:8" ht="20.25" hidden="1" x14ac:dyDescent="0.25">
      <c r="A301" s="11"/>
      <c r="B301" s="12"/>
      <c r="C301" s="12"/>
      <c r="D301" s="12"/>
      <c r="E301" s="12"/>
      <c r="F301" s="12"/>
      <c r="G301" s="12"/>
      <c r="H301" s="7"/>
    </row>
    <row r="302" spans="1:8" ht="20.25" hidden="1" x14ac:dyDescent="0.25">
      <c r="A302" s="11"/>
      <c r="B302" s="12"/>
      <c r="C302" s="12"/>
      <c r="D302" s="12"/>
      <c r="E302" s="12"/>
      <c r="F302" s="12"/>
      <c r="G302" s="12"/>
      <c r="H302" s="7"/>
    </row>
    <row r="303" spans="1:8" ht="20.25" hidden="1" x14ac:dyDescent="0.25">
      <c r="A303" s="11"/>
      <c r="B303" s="12"/>
      <c r="C303" s="12"/>
      <c r="D303" s="12"/>
      <c r="E303" s="12"/>
      <c r="F303" s="12"/>
      <c r="G303" s="12"/>
      <c r="H303" s="7"/>
    </row>
    <row r="304" spans="1:8" ht="20.25" hidden="1" x14ac:dyDescent="0.25">
      <c r="A304" s="13"/>
      <c r="B304" s="14"/>
      <c r="C304" s="14"/>
      <c r="D304" s="14"/>
      <c r="E304" s="14"/>
      <c r="F304" s="14"/>
      <c r="G304" s="14"/>
      <c r="H304" s="8"/>
    </row>
    <row r="305" spans="1:8" ht="20.25" x14ac:dyDescent="0.25">
      <c r="A305" s="158" t="s">
        <v>161</v>
      </c>
      <c r="B305" s="158"/>
      <c r="C305" s="158"/>
      <c r="D305" s="158"/>
      <c r="E305" s="158"/>
      <c r="F305" s="158"/>
      <c r="G305" s="158"/>
      <c r="H305" s="158"/>
    </row>
    <row r="306" spans="1:8" ht="20.25" x14ac:dyDescent="0.25">
      <c r="A306" s="9"/>
      <c r="B306" s="10"/>
      <c r="C306" s="10"/>
      <c r="D306" s="10"/>
      <c r="E306" s="10"/>
      <c r="F306" s="10"/>
      <c r="G306" s="10"/>
      <c r="H306" s="6"/>
    </row>
    <row r="307" spans="1:8" ht="20.25" x14ac:dyDescent="0.25">
      <c r="A307" s="11"/>
      <c r="B307" s="65"/>
      <c r="C307" s="65"/>
      <c r="D307" s="65"/>
      <c r="E307" s="65"/>
      <c r="F307" s="65"/>
      <c r="G307" s="65"/>
      <c r="H307" s="7"/>
    </row>
    <row r="308" spans="1:8" ht="20.25" x14ac:dyDescent="0.25">
      <c r="A308" s="11"/>
      <c r="B308" s="65"/>
      <c r="C308" s="65"/>
      <c r="D308" s="65"/>
      <c r="E308" s="65"/>
      <c r="F308" s="65"/>
      <c r="G308" s="65"/>
      <c r="H308" s="7"/>
    </row>
    <row r="309" spans="1:8" ht="20.25" x14ac:dyDescent="0.25">
      <c r="A309" s="11"/>
      <c r="B309" s="65"/>
      <c r="C309" s="65"/>
      <c r="D309" s="65"/>
      <c r="E309" s="65"/>
      <c r="F309" s="65"/>
      <c r="G309" s="65"/>
      <c r="H309" s="7"/>
    </row>
    <row r="310" spans="1:8" ht="20.25" x14ac:dyDescent="0.25">
      <c r="A310" s="11"/>
      <c r="B310" s="65"/>
      <c r="C310" s="65"/>
      <c r="D310" s="65"/>
      <c r="E310" s="65"/>
      <c r="F310" s="65"/>
      <c r="G310" s="65"/>
      <c r="H310" s="7"/>
    </row>
    <row r="311" spans="1:8" ht="20.25" x14ac:dyDescent="0.25">
      <c r="A311" s="11"/>
      <c r="B311" s="65"/>
      <c r="C311" s="65"/>
      <c r="D311" s="65"/>
      <c r="E311" s="65"/>
      <c r="F311" s="65"/>
      <c r="G311" s="65"/>
      <c r="H311" s="7"/>
    </row>
    <row r="312" spans="1:8" ht="20.25" x14ac:dyDescent="0.25">
      <c r="A312" s="11"/>
      <c r="B312" s="65"/>
      <c r="C312" s="65"/>
      <c r="D312" s="65"/>
      <c r="E312" s="65"/>
      <c r="F312" s="65"/>
      <c r="G312" s="65"/>
      <c r="H312" s="7"/>
    </row>
    <row r="313" spans="1:8" ht="20.25" x14ac:dyDescent="0.25">
      <c r="A313" s="11"/>
      <c r="B313" s="65"/>
      <c r="C313" s="65"/>
      <c r="D313" s="65"/>
      <c r="E313" s="65"/>
      <c r="F313" s="65"/>
      <c r="G313" s="65"/>
      <c r="H313" s="7"/>
    </row>
    <row r="314" spans="1:8" ht="20.25" x14ac:dyDescent="0.25">
      <c r="A314" s="11"/>
      <c r="B314" s="65"/>
      <c r="C314" s="65"/>
      <c r="D314" s="65"/>
      <c r="E314" s="65"/>
      <c r="F314" s="65"/>
      <c r="G314" s="65"/>
      <c r="H314" s="7"/>
    </row>
    <row r="315" spans="1:8" ht="20.25" x14ac:dyDescent="0.25">
      <c r="A315" s="11"/>
      <c r="B315" s="65"/>
      <c r="C315" s="65"/>
      <c r="D315" s="65"/>
      <c r="E315" s="65"/>
      <c r="F315" s="65"/>
      <c r="G315" s="65"/>
      <c r="H315" s="7"/>
    </row>
    <row r="316" spans="1:8" ht="20.25" x14ac:dyDescent="0.25">
      <c r="A316" s="11"/>
      <c r="B316" s="65"/>
      <c r="C316" s="65"/>
      <c r="D316" s="65"/>
      <c r="E316" s="65"/>
      <c r="F316" s="65"/>
      <c r="G316" s="65"/>
      <c r="H316" s="7"/>
    </row>
    <row r="317" spans="1:8" ht="20.25" x14ac:dyDescent="0.25">
      <c r="A317" s="11"/>
      <c r="B317" s="65"/>
      <c r="C317" s="65"/>
      <c r="D317" s="65"/>
      <c r="E317" s="65"/>
      <c r="F317" s="65"/>
      <c r="G317" s="65"/>
      <c r="H317" s="7"/>
    </row>
    <row r="318" spans="1:8" ht="20.25" x14ac:dyDescent="0.25">
      <c r="A318" s="11"/>
      <c r="B318" s="65"/>
      <c r="C318" s="65"/>
      <c r="D318" s="65"/>
      <c r="E318" s="65"/>
      <c r="F318" s="65"/>
      <c r="G318" s="65"/>
      <c r="H318" s="7"/>
    </row>
    <row r="319" spans="1:8" ht="20.25" x14ac:dyDescent="0.25">
      <c r="A319" s="11"/>
      <c r="B319" s="65"/>
      <c r="C319" s="65"/>
      <c r="D319" s="65"/>
      <c r="E319" s="65"/>
      <c r="F319" s="65"/>
      <c r="G319" s="65"/>
      <c r="H319" s="7"/>
    </row>
    <row r="320" spans="1:8" ht="20.25" x14ac:dyDescent="0.25">
      <c r="A320" s="11"/>
      <c r="B320" s="65"/>
      <c r="C320" s="65"/>
      <c r="D320" s="65"/>
      <c r="E320" s="65"/>
      <c r="F320" s="65"/>
      <c r="G320" s="65"/>
      <c r="H320" s="7"/>
    </row>
    <row r="321" spans="1:8" ht="20.25" x14ac:dyDescent="0.25">
      <c r="A321" s="11"/>
      <c r="B321" s="65"/>
      <c r="C321" s="65"/>
      <c r="D321" s="65"/>
      <c r="E321" s="65"/>
      <c r="F321" s="65"/>
      <c r="G321" s="65"/>
      <c r="H321" s="7"/>
    </row>
    <row r="322" spans="1:8" ht="20.25" x14ac:dyDescent="0.25">
      <c r="A322" s="11"/>
      <c r="B322" s="65"/>
      <c r="C322" s="65"/>
      <c r="D322" s="65"/>
      <c r="E322" s="65"/>
      <c r="F322" s="65"/>
      <c r="G322" s="65"/>
      <c r="H322" s="7"/>
    </row>
    <row r="323" spans="1:8" ht="20.25" x14ac:dyDescent="0.25">
      <c r="A323" s="11"/>
      <c r="B323" s="65"/>
      <c r="C323" s="65"/>
      <c r="D323" s="65"/>
      <c r="E323" s="65"/>
      <c r="F323" s="65"/>
      <c r="G323" s="65"/>
      <c r="H323" s="7"/>
    </row>
    <row r="324" spans="1:8" ht="20.25" x14ac:dyDescent="0.25">
      <c r="A324" s="11"/>
      <c r="B324" s="65"/>
      <c r="C324" s="65"/>
      <c r="D324" s="65"/>
      <c r="E324" s="65"/>
      <c r="F324" s="65"/>
      <c r="G324" s="65"/>
      <c r="H324" s="7"/>
    </row>
    <row r="325" spans="1:8" ht="20.25" x14ac:dyDescent="0.25">
      <c r="A325" s="11"/>
      <c r="B325" s="65"/>
      <c r="C325" s="65"/>
      <c r="D325" s="65"/>
      <c r="E325" s="65"/>
      <c r="F325" s="65"/>
      <c r="G325" s="65"/>
      <c r="H325" s="7"/>
    </row>
    <row r="326" spans="1:8" ht="20.25" x14ac:dyDescent="0.25">
      <c r="A326" s="11"/>
      <c r="B326" s="65"/>
      <c r="C326" s="65"/>
      <c r="D326" s="65"/>
      <c r="E326" s="65"/>
      <c r="F326" s="65"/>
      <c r="G326" s="65"/>
      <c r="H326" s="7"/>
    </row>
    <row r="327" spans="1:8" ht="20.25" x14ac:dyDescent="0.25">
      <c r="A327" s="11"/>
      <c r="B327" s="65"/>
      <c r="C327" s="65"/>
      <c r="D327" s="65"/>
      <c r="E327" s="65"/>
      <c r="F327" s="65"/>
      <c r="G327" s="65"/>
      <c r="H327" s="7"/>
    </row>
    <row r="328" spans="1:8" ht="20.25" x14ac:dyDescent="0.25">
      <c r="A328" s="11"/>
      <c r="B328" s="65"/>
      <c r="C328" s="65"/>
      <c r="D328" s="65"/>
      <c r="E328" s="65"/>
      <c r="F328" s="65"/>
      <c r="G328" s="65"/>
      <c r="H328" s="7"/>
    </row>
    <row r="329" spans="1:8" ht="20.25" x14ac:dyDescent="0.25">
      <c r="A329" s="11"/>
      <c r="B329" s="65"/>
      <c r="C329" s="65"/>
      <c r="D329" s="65"/>
      <c r="E329" s="65"/>
      <c r="F329" s="65"/>
      <c r="G329" s="65"/>
      <c r="H329" s="7"/>
    </row>
    <row r="330" spans="1:8" ht="20.25" x14ac:dyDescent="0.25">
      <c r="A330" s="11"/>
      <c r="B330" s="65"/>
      <c r="C330" s="65"/>
      <c r="D330" s="65"/>
      <c r="E330" s="65"/>
      <c r="F330" s="65"/>
      <c r="G330" s="65"/>
      <c r="H330" s="7"/>
    </row>
    <row r="331" spans="1:8" ht="20.25" x14ac:dyDescent="0.25">
      <c r="A331" s="11"/>
      <c r="B331" s="65"/>
      <c r="C331" s="65"/>
      <c r="D331" s="65"/>
      <c r="E331" s="65"/>
      <c r="F331" s="65"/>
      <c r="G331" s="65"/>
      <c r="H331" s="7"/>
    </row>
    <row r="332" spans="1:8" ht="20.25" x14ac:dyDescent="0.25">
      <c r="A332" s="11"/>
      <c r="B332" s="65"/>
      <c r="C332" s="65"/>
      <c r="D332" s="65"/>
      <c r="E332" s="65"/>
      <c r="F332" s="65"/>
      <c r="G332" s="65"/>
      <c r="H332" s="7"/>
    </row>
    <row r="333" spans="1:8" ht="20.25" x14ac:dyDescent="0.25">
      <c r="A333" s="11"/>
      <c r="B333" s="65"/>
      <c r="C333" s="65"/>
      <c r="D333" s="65"/>
      <c r="E333" s="65"/>
      <c r="F333" s="65"/>
      <c r="G333" s="65"/>
      <c r="H333" s="7"/>
    </row>
    <row r="334" spans="1:8" ht="20.25" x14ac:dyDescent="0.25">
      <c r="A334" s="11"/>
      <c r="B334" s="65"/>
      <c r="C334" s="65"/>
      <c r="D334" s="65"/>
      <c r="E334" s="65"/>
      <c r="F334" s="65"/>
      <c r="G334" s="65"/>
      <c r="H334" s="7"/>
    </row>
    <row r="335" spans="1:8" ht="20.25" x14ac:dyDescent="0.25">
      <c r="A335" s="11"/>
      <c r="B335" s="65"/>
      <c r="C335" s="65"/>
      <c r="D335" s="65"/>
      <c r="E335" s="65"/>
      <c r="F335" s="65"/>
      <c r="G335" s="65"/>
      <c r="H335" s="7"/>
    </row>
    <row r="336" spans="1:8" ht="20.25" x14ac:dyDescent="0.25">
      <c r="A336" s="11"/>
      <c r="B336" s="65"/>
      <c r="C336" s="65"/>
      <c r="D336" s="65"/>
      <c r="E336" s="65"/>
      <c r="F336" s="65"/>
      <c r="G336" s="65"/>
      <c r="H336" s="7"/>
    </row>
    <row r="337" spans="1:8" ht="20.25" x14ac:dyDescent="0.25">
      <c r="A337" s="11"/>
      <c r="B337" s="65"/>
      <c r="C337" s="65"/>
      <c r="D337" s="65"/>
      <c r="E337" s="65"/>
      <c r="F337" s="65"/>
      <c r="G337" s="65"/>
      <c r="H337" s="7"/>
    </row>
    <row r="338" spans="1:8" ht="20.25" x14ac:dyDescent="0.25">
      <c r="A338" s="11"/>
      <c r="B338" s="65"/>
      <c r="C338" s="65"/>
      <c r="D338" s="65"/>
      <c r="E338" s="65"/>
      <c r="F338" s="65"/>
      <c r="G338" s="65"/>
      <c r="H338" s="7"/>
    </row>
    <row r="339" spans="1:8" ht="20.25" x14ac:dyDescent="0.25">
      <c r="A339" s="11"/>
      <c r="B339" s="65"/>
      <c r="C339" s="65"/>
      <c r="D339" s="65"/>
      <c r="E339" s="65"/>
      <c r="F339" s="65"/>
      <c r="G339" s="65"/>
      <c r="H339" s="7"/>
    </row>
    <row r="340" spans="1:8" ht="20.25" x14ac:dyDescent="0.25">
      <c r="A340" s="11"/>
      <c r="B340" s="65"/>
      <c r="C340" s="65"/>
      <c r="D340" s="65"/>
      <c r="E340" s="65"/>
      <c r="F340" s="65"/>
      <c r="G340" s="65"/>
      <c r="H340" s="7"/>
    </row>
    <row r="341" spans="1:8" ht="20.25" x14ac:dyDescent="0.25">
      <c r="A341" s="11"/>
      <c r="B341" s="65"/>
      <c r="C341" s="65"/>
      <c r="D341" s="65"/>
      <c r="E341" s="65"/>
      <c r="F341" s="65"/>
      <c r="G341" s="65"/>
      <c r="H341" s="7"/>
    </row>
    <row r="342" spans="1:8" ht="20.25" x14ac:dyDescent="0.25">
      <c r="A342" s="11"/>
      <c r="B342" s="65"/>
      <c r="C342" s="65"/>
      <c r="D342" s="65"/>
      <c r="E342" s="65"/>
      <c r="F342" s="65"/>
      <c r="G342" s="65"/>
      <c r="H342" s="7"/>
    </row>
    <row r="343" spans="1:8" ht="20.25" x14ac:dyDescent="0.25">
      <c r="A343" s="11"/>
      <c r="B343" s="65"/>
      <c r="C343" s="65"/>
      <c r="D343" s="65"/>
      <c r="E343" s="65"/>
      <c r="F343" s="65"/>
      <c r="G343" s="65"/>
      <c r="H343" s="7"/>
    </row>
    <row r="344" spans="1:8" ht="20.25" x14ac:dyDescent="0.25">
      <c r="A344" s="11"/>
      <c r="B344" s="65"/>
      <c r="C344" s="65"/>
      <c r="D344" s="65"/>
      <c r="E344" s="65"/>
      <c r="F344" s="65"/>
      <c r="G344" s="65"/>
      <c r="H344" s="7"/>
    </row>
    <row r="345" spans="1:8" ht="20.25" x14ac:dyDescent="0.25">
      <c r="A345" s="11"/>
      <c r="B345" s="65"/>
      <c r="C345" s="65"/>
      <c r="D345" s="65"/>
      <c r="E345" s="65"/>
      <c r="F345" s="65"/>
      <c r="G345" s="65"/>
      <c r="H345" s="7"/>
    </row>
    <row r="346" spans="1:8" ht="20.25" x14ac:dyDescent="0.25">
      <c r="A346" s="11"/>
      <c r="B346" s="65"/>
      <c r="C346" s="65"/>
      <c r="D346" s="65"/>
      <c r="E346" s="65"/>
      <c r="F346" s="65"/>
      <c r="G346" s="65"/>
      <c r="H346" s="7"/>
    </row>
    <row r="347" spans="1:8" ht="20.25" x14ac:dyDescent="0.25">
      <c r="A347" s="11"/>
      <c r="B347" s="65"/>
      <c r="C347" s="65"/>
      <c r="D347" s="65"/>
      <c r="E347" s="65"/>
      <c r="F347" s="65"/>
      <c r="G347" s="65"/>
      <c r="H347" s="7"/>
    </row>
    <row r="348" spans="1:8" ht="20.25" x14ac:dyDescent="0.25">
      <c r="A348" s="11"/>
      <c r="B348" s="65"/>
      <c r="C348" s="65"/>
      <c r="D348" s="65"/>
      <c r="E348" s="65"/>
      <c r="F348" s="65"/>
      <c r="G348" s="65"/>
      <c r="H348" s="7"/>
    </row>
    <row r="349" spans="1:8" ht="20.25" x14ac:dyDescent="0.25">
      <c r="A349" s="11"/>
      <c r="B349" s="65"/>
      <c r="C349" s="65"/>
      <c r="D349" s="65"/>
      <c r="E349" s="65"/>
      <c r="F349" s="65"/>
      <c r="G349" s="65"/>
      <c r="H349" s="7"/>
    </row>
    <row r="350" spans="1:8" ht="20.25" x14ac:dyDescent="0.25">
      <c r="A350" s="11"/>
      <c r="B350" s="65"/>
      <c r="C350" s="65"/>
      <c r="D350" s="65"/>
      <c r="E350" s="65"/>
      <c r="F350" s="65"/>
      <c r="G350" s="65"/>
      <c r="H350" s="7"/>
    </row>
    <row r="351" spans="1:8" ht="20.25" x14ac:dyDescent="0.25">
      <c r="A351" s="11"/>
      <c r="B351" s="65"/>
      <c r="C351" s="65"/>
      <c r="D351" s="65"/>
      <c r="E351" s="65"/>
      <c r="F351" s="65"/>
      <c r="G351" s="65"/>
      <c r="H351" s="7"/>
    </row>
    <row r="352" spans="1:8" ht="20.25" x14ac:dyDescent="0.25">
      <c r="A352" s="11"/>
      <c r="B352" s="65"/>
      <c r="C352" s="65"/>
      <c r="D352" s="65"/>
      <c r="E352" s="65"/>
      <c r="F352" s="65"/>
      <c r="G352" s="65"/>
      <c r="H352" s="7"/>
    </row>
    <row r="353" spans="1:8" ht="20.25" x14ac:dyDescent="0.25">
      <c r="A353" s="11"/>
      <c r="B353" s="65"/>
      <c r="C353" s="65"/>
      <c r="D353" s="65"/>
      <c r="E353" s="65"/>
      <c r="F353" s="65"/>
      <c r="G353" s="65"/>
      <c r="H353" s="7"/>
    </row>
    <row r="354" spans="1:8" ht="20.25" x14ac:dyDescent="0.25">
      <c r="A354" s="13"/>
      <c r="B354" s="14"/>
      <c r="C354" s="14"/>
      <c r="D354" s="14"/>
      <c r="E354" s="14"/>
      <c r="F354" s="14"/>
      <c r="G354" s="14"/>
      <c r="H354" s="8"/>
    </row>
    <row r="355" spans="1:8" ht="20.25" x14ac:dyDescent="0.25">
      <c r="A355" s="190" t="s">
        <v>76</v>
      </c>
      <c r="B355" s="191"/>
      <c r="C355" s="191"/>
      <c r="D355" s="191"/>
      <c r="E355" s="191"/>
      <c r="F355" s="191"/>
      <c r="G355" s="191"/>
      <c r="H355" s="192"/>
    </row>
    <row r="356" spans="1:8" ht="20.25" x14ac:dyDescent="0.25">
      <c r="A356" s="9"/>
      <c r="B356" s="10"/>
      <c r="C356" s="10"/>
      <c r="D356" s="10"/>
      <c r="E356" s="10"/>
      <c r="F356" s="10"/>
      <c r="G356" s="10"/>
      <c r="H356" s="6"/>
    </row>
    <row r="357" spans="1:8" ht="20.25" x14ac:dyDescent="0.25">
      <c r="A357" s="11"/>
      <c r="B357" s="12"/>
      <c r="C357" s="12"/>
      <c r="D357" s="12"/>
      <c r="E357" s="12"/>
      <c r="F357" s="12"/>
      <c r="G357" s="12"/>
      <c r="H357" s="7"/>
    </row>
    <row r="358" spans="1:8" ht="20.25" x14ac:dyDescent="0.25">
      <c r="A358" s="11"/>
      <c r="B358" s="12"/>
      <c r="C358" s="12"/>
      <c r="D358" s="12"/>
      <c r="E358" s="12"/>
      <c r="F358" s="12"/>
      <c r="G358" s="12"/>
      <c r="H358" s="7"/>
    </row>
    <row r="359" spans="1:8" ht="20.25" x14ac:dyDescent="0.25">
      <c r="A359" s="11"/>
      <c r="B359" s="12"/>
      <c r="C359" s="12"/>
      <c r="D359" s="12"/>
      <c r="E359" s="12"/>
      <c r="F359" s="12"/>
      <c r="G359" s="12"/>
      <c r="H359" s="7"/>
    </row>
    <row r="360" spans="1:8" ht="20.25" x14ac:dyDescent="0.25">
      <c r="A360" s="11"/>
      <c r="B360" s="12"/>
      <c r="C360" s="12"/>
      <c r="D360" s="12"/>
      <c r="E360" s="12"/>
      <c r="F360" s="12"/>
      <c r="G360" s="12"/>
      <c r="H360" s="7"/>
    </row>
    <row r="361" spans="1:8" ht="20.25" x14ac:dyDescent="0.25">
      <c r="A361" s="11"/>
      <c r="B361" s="12"/>
      <c r="C361" s="12"/>
      <c r="D361" s="12"/>
      <c r="E361" s="12"/>
      <c r="F361" s="12"/>
      <c r="G361" s="12"/>
      <c r="H361" s="7"/>
    </row>
    <row r="362" spans="1:8" ht="20.25" x14ac:dyDescent="0.25">
      <c r="A362" s="11"/>
      <c r="B362" s="12"/>
      <c r="C362" s="12"/>
      <c r="D362" s="12"/>
      <c r="E362" s="12"/>
      <c r="F362" s="12"/>
      <c r="G362" s="12"/>
      <c r="H362" s="7"/>
    </row>
    <row r="363" spans="1:8" ht="20.25" x14ac:dyDescent="0.25">
      <c r="A363" s="11"/>
      <c r="B363" s="12"/>
      <c r="C363" s="12"/>
      <c r="D363" s="12"/>
      <c r="E363" s="12"/>
      <c r="F363" s="12"/>
      <c r="G363" s="12"/>
      <c r="H363" s="7"/>
    </row>
    <row r="364" spans="1:8" ht="20.25" x14ac:dyDescent="0.25">
      <c r="A364" s="11"/>
      <c r="B364" s="12"/>
      <c r="C364" s="12"/>
      <c r="D364" s="12"/>
      <c r="E364" s="12"/>
      <c r="F364" s="12"/>
      <c r="G364" s="12"/>
      <c r="H364" s="7"/>
    </row>
    <row r="365" spans="1:8" ht="20.25" x14ac:dyDescent="0.25">
      <c r="A365" s="11"/>
      <c r="B365" s="12"/>
      <c r="C365" s="12"/>
      <c r="D365" s="12"/>
      <c r="E365" s="12"/>
      <c r="F365" s="12"/>
      <c r="G365" s="12"/>
      <c r="H365" s="7"/>
    </row>
    <row r="366" spans="1:8" ht="20.25" x14ac:dyDescent="0.25">
      <c r="A366" s="11"/>
      <c r="B366" s="12"/>
      <c r="C366" s="12"/>
      <c r="D366" s="12"/>
      <c r="E366" s="12"/>
      <c r="F366" s="12"/>
      <c r="G366" s="12"/>
      <c r="H366" s="7"/>
    </row>
    <row r="367" spans="1:8" ht="20.25" x14ac:dyDescent="0.25">
      <c r="A367" s="11"/>
      <c r="B367" s="12"/>
      <c r="C367" s="12"/>
      <c r="D367" s="12"/>
      <c r="E367" s="12"/>
      <c r="F367" s="12"/>
      <c r="G367" s="12"/>
      <c r="H367" s="7"/>
    </row>
    <row r="368" spans="1:8" ht="20.25" x14ac:dyDescent="0.25">
      <c r="A368" s="11"/>
      <c r="B368" s="12"/>
      <c r="C368" s="12"/>
      <c r="D368" s="12"/>
      <c r="E368" s="12"/>
      <c r="F368" s="12"/>
      <c r="G368" s="12"/>
      <c r="H368" s="7"/>
    </row>
    <row r="369" spans="1:8" ht="20.25" x14ac:dyDescent="0.25">
      <c r="A369" s="11"/>
      <c r="B369" s="12"/>
      <c r="C369" s="12"/>
      <c r="D369" s="12"/>
      <c r="E369" s="12"/>
      <c r="F369" s="12"/>
      <c r="G369" s="12"/>
      <c r="H369" s="7"/>
    </row>
    <row r="370" spans="1:8" ht="20.25" x14ac:dyDescent="0.25">
      <c r="A370" s="11"/>
      <c r="B370" s="12"/>
      <c r="C370" s="12"/>
      <c r="D370" s="12"/>
      <c r="E370" s="12"/>
      <c r="F370" s="12"/>
      <c r="G370" s="12"/>
      <c r="H370" s="7"/>
    </row>
    <row r="371" spans="1:8" ht="20.25" x14ac:dyDescent="0.25">
      <c r="A371" s="11"/>
      <c r="B371" s="12"/>
      <c r="C371" s="12"/>
      <c r="D371" s="12"/>
      <c r="E371" s="12"/>
      <c r="F371" s="12"/>
      <c r="G371" s="12"/>
      <c r="H371" s="7"/>
    </row>
    <row r="372" spans="1:8" ht="20.25" x14ac:dyDescent="0.25">
      <c r="A372" s="11"/>
      <c r="B372" s="12"/>
      <c r="C372" s="12"/>
      <c r="D372" s="12"/>
      <c r="E372" s="12"/>
      <c r="F372" s="12"/>
      <c r="G372" s="12"/>
      <c r="H372" s="7"/>
    </row>
    <row r="373" spans="1:8" ht="20.25" x14ac:dyDescent="0.25">
      <c r="A373" s="11"/>
      <c r="B373" s="12"/>
      <c r="C373" s="12"/>
      <c r="D373" s="12"/>
      <c r="E373" s="12"/>
      <c r="F373" s="12"/>
      <c r="G373" s="12"/>
      <c r="H373" s="7"/>
    </row>
    <row r="374" spans="1:8" ht="20.25" x14ac:dyDescent="0.25">
      <c r="A374" s="11"/>
      <c r="B374" s="12"/>
      <c r="C374" s="12"/>
      <c r="D374" s="12"/>
      <c r="E374" s="12"/>
      <c r="F374" s="12"/>
      <c r="G374" s="12"/>
      <c r="H374" s="7"/>
    </row>
    <row r="375" spans="1:8" ht="20.25" x14ac:dyDescent="0.25">
      <c r="A375" s="11"/>
      <c r="B375" s="12"/>
      <c r="C375" s="12"/>
      <c r="D375" s="12"/>
      <c r="E375" s="12"/>
      <c r="F375" s="12"/>
      <c r="G375" s="12"/>
      <c r="H375" s="7"/>
    </row>
    <row r="376" spans="1:8" ht="20.25" x14ac:dyDescent="0.25">
      <c r="A376" s="11"/>
      <c r="B376" s="12"/>
      <c r="C376" s="12"/>
      <c r="D376" s="12"/>
      <c r="E376" s="12"/>
      <c r="F376" s="12"/>
      <c r="G376" s="12"/>
      <c r="H376" s="7"/>
    </row>
    <row r="377" spans="1:8" ht="20.25" x14ac:dyDescent="0.25">
      <c r="A377" s="11"/>
      <c r="B377" s="12"/>
      <c r="C377" s="12"/>
      <c r="D377" s="12"/>
      <c r="E377" s="12"/>
      <c r="F377" s="12"/>
      <c r="G377" s="12"/>
      <c r="H377" s="7"/>
    </row>
    <row r="378" spans="1:8" ht="20.25" x14ac:dyDescent="0.25">
      <c r="A378" s="11"/>
      <c r="B378" s="12"/>
      <c r="C378" s="12"/>
      <c r="D378" s="12"/>
      <c r="E378" s="12"/>
      <c r="F378" s="12"/>
      <c r="G378" s="12"/>
      <c r="H378" s="7"/>
    </row>
    <row r="379" spans="1:8" ht="20.25" x14ac:dyDescent="0.25">
      <c r="A379" s="11"/>
      <c r="B379" s="12"/>
      <c r="C379" s="12"/>
      <c r="D379" s="12"/>
      <c r="E379" s="12"/>
      <c r="F379" s="12"/>
      <c r="G379" s="12"/>
      <c r="H379" s="7"/>
    </row>
    <row r="380" spans="1:8" ht="20.25" x14ac:dyDescent="0.25">
      <c r="A380" s="11"/>
      <c r="B380" s="12"/>
      <c r="C380" s="12"/>
      <c r="D380" s="12"/>
      <c r="E380" s="12"/>
      <c r="F380" s="12"/>
      <c r="G380" s="12"/>
      <c r="H380" s="7"/>
    </row>
    <row r="381" spans="1:8" ht="20.25" x14ac:dyDescent="0.25">
      <c r="A381" s="11"/>
      <c r="B381" s="12"/>
      <c r="C381" s="12"/>
      <c r="D381" s="12"/>
      <c r="E381" s="12"/>
      <c r="F381" s="12"/>
      <c r="G381" s="12"/>
      <c r="H381" s="7"/>
    </row>
    <row r="382" spans="1:8" ht="20.25" x14ac:dyDescent="0.25">
      <c r="A382" s="11"/>
      <c r="B382" s="12"/>
      <c r="C382" s="12"/>
      <c r="D382" s="12"/>
      <c r="E382" s="12"/>
      <c r="F382" s="12"/>
      <c r="G382" s="12"/>
      <c r="H382" s="7"/>
    </row>
    <row r="383" spans="1:8" ht="20.25" x14ac:dyDescent="0.25">
      <c r="A383" s="11"/>
      <c r="B383" s="12"/>
      <c r="C383" s="12"/>
      <c r="D383" s="12"/>
      <c r="E383" s="12"/>
      <c r="F383" s="12"/>
      <c r="G383" s="12"/>
      <c r="H383" s="7"/>
    </row>
    <row r="384" spans="1:8" ht="20.25" x14ac:dyDescent="0.25">
      <c r="A384" s="11"/>
      <c r="B384" s="12"/>
      <c r="C384" s="12"/>
      <c r="D384" s="12"/>
      <c r="E384" s="12"/>
      <c r="F384" s="12"/>
      <c r="G384" s="12"/>
      <c r="H384" s="7"/>
    </row>
    <row r="385" spans="1:8" ht="20.25" x14ac:dyDescent="0.25">
      <c r="A385" s="11"/>
      <c r="B385" s="12"/>
      <c r="C385" s="12"/>
      <c r="D385" s="12"/>
      <c r="E385" s="12"/>
      <c r="F385" s="12"/>
      <c r="G385" s="12"/>
      <c r="H385" s="7"/>
    </row>
    <row r="386" spans="1:8" ht="20.25" x14ac:dyDescent="0.25">
      <c r="A386" s="158" t="s">
        <v>24</v>
      </c>
      <c r="B386" s="158"/>
      <c r="C386" s="158"/>
      <c r="D386" s="158"/>
      <c r="E386" s="158"/>
      <c r="F386" s="158"/>
      <c r="G386" s="158"/>
      <c r="H386" s="158"/>
    </row>
    <row r="387" spans="1:8" ht="20.25" x14ac:dyDescent="0.25">
      <c r="A387" s="181" t="s">
        <v>77</v>
      </c>
      <c r="B387" s="182"/>
      <c r="C387" s="182"/>
      <c r="D387" s="182"/>
      <c r="E387" s="182"/>
      <c r="F387" s="182"/>
      <c r="G387" s="182"/>
      <c r="H387" s="183"/>
    </row>
    <row r="388" spans="1:8" ht="20.25" x14ac:dyDescent="0.25">
      <c r="A388" s="184" t="s">
        <v>78</v>
      </c>
      <c r="B388" s="185"/>
      <c r="C388" s="185"/>
      <c r="D388" s="185"/>
      <c r="E388" s="185"/>
      <c r="F388" s="185"/>
      <c r="G388" s="185"/>
      <c r="H388" s="186"/>
    </row>
    <row r="389" spans="1:8" ht="45" customHeight="1" x14ac:dyDescent="0.25">
      <c r="A389" s="184" t="s">
        <v>79</v>
      </c>
      <c r="B389" s="185"/>
      <c r="C389" s="185"/>
      <c r="D389" s="185"/>
      <c r="E389" s="185"/>
      <c r="F389" s="185"/>
      <c r="G389" s="185"/>
      <c r="H389" s="186"/>
    </row>
    <row r="390" spans="1:8" ht="42.75" customHeight="1" x14ac:dyDescent="0.25">
      <c r="A390" s="184" t="s">
        <v>80</v>
      </c>
      <c r="B390" s="185"/>
      <c r="C390" s="185"/>
      <c r="D390" s="185"/>
      <c r="E390" s="185"/>
      <c r="F390" s="185"/>
      <c r="G390" s="185"/>
      <c r="H390" s="186"/>
    </row>
    <row r="391" spans="1:8" ht="20.25" x14ac:dyDescent="0.25">
      <c r="A391" s="184" t="s">
        <v>81</v>
      </c>
      <c r="B391" s="185"/>
      <c r="C391" s="185"/>
      <c r="D391" s="185"/>
      <c r="E391" s="185"/>
      <c r="F391" s="185"/>
      <c r="G391" s="185"/>
      <c r="H391" s="186"/>
    </row>
    <row r="392" spans="1:8" ht="20.25" x14ac:dyDescent="0.25">
      <c r="A392" s="184" t="s">
        <v>82</v>
      </c>
      <c r="B392" s="185"/>
      <c r="C392" s="185"/>
      <c r="D392" s="185"/>
      <c r="E392" s="185"/>
      <c r="F392" s="185"/>
      <c r="G392" s="185"/>
      <c r="H392" s="186"/>
    </row>
    <row r="393" spans="1:8" ht="45" customHeight="1" x14ac:dyDescent="0.25">
      <c r="A393" s="184" t="s">
        <v>83</v>
      </c>
      <c r="B393" s="185"/>
      <c r="C393" s="185"/>
      <c r="D393" s="185"/>
      <c r="E393" s="185"/>
      <c r="F393" s="185"/>
      <c r="G393" s="185"/>
      <c r="H393" s="186"/>
    </row>
    <row r="394" spans="1:8" ht="45" customHeight="1" x14ac:dyDescent="0.25">
      <c r="A394" s="184" t="s">
        <v>84</v>
      </c>
      <c r="B394" s="185"/>
      <c r="C394" s="185"/>
      <c r="D394" s="185"/>
      <c r="E394" s="185"/>
      <c r="F394" s="185"/>
      <c r="G394" s="185"/>
      <c r="H394" s="186"/>
    </row>
    <row r="395" spans="1:8" ht="20.25" x14ac:dyDescent="0.25">
      <c r="A395" s="187" t="s">
        <v>85</v>
      </c>
      <c r="B395" s="188"/>
      <c r="C395" s="188"/>
      <c r="D395" s="188"/>
      <c r="E395" s="188"/>
      <c r="F395" s="188"/>
      <c r="G395" s="188"/>
      <c r="H395" s="189"/>
    </row>
    <row r="396" spans="1:8" ht="57" customHeight="1" x14ac:dyDescent="0.25">
      <c r="A396" s="174" t="s">
        <v>30</v>
      </c>
      <c r="B396" s="175"/>
      <c r="C396" s="176" t="s">
        <v>374</v>
      </c>
      <c r="D396" s="177"/>
      <c r="E396" s="174" t="s">
        <v>9</v>
      </c>
      <c r="F396" s="175"/>
      <c r="G396" s="179"/>
      <c r="H396" s="179"/>
    </row>
  </sheetData>
  <mergeCells count="444">
    <mergeCell ref="B253:H253"/>
    <mergeCell ref="B255:H255"/>
    <mergeCell ref="B254:H254"/>
    <mergeCell ref="A111:F111"/>
    <mergeCell ref="A132:H132"/>
    <mergeCell ref="E121:F121"/>
    <mergeCell ref="E122:F122"/>
    <mergeCell ref="E123:F123"/>
    <mergeCell ref="E124:F124"/>
    <mergeCell ref="A121:B121"/>
    <mergeCell ref="C121:D121"/>
    <mergeCell ref="A124:B124"/>
    <mergeCell ref="C122:D122"/>
    <mergeCell ref="G121:H121"/>
    <mergeCell ref="G122:H122"/>
    <mergeCell ref="G123:H123"/>
    <mergeCell ref="G124:H124"/>
    <mergeCell ref="C124:D124"/>
    <mergeCell ref="G126:H126"/>
    <mergeCell ref="G127:H127"/>
    <mergeCell ref="G128:H128"/>
    <mergeCell ref="A130:B130"/>
    <mergeCell ref="G130:H130"/>
    <mergeCell ref="A169:B169"/>
    <mergeCell ref="A170:B170"/>
    <mergeCell ref="G115:H115"/>
    <mergeCell ref="C60:F60"/>
    <mergeCell ref="C61:F61"/>
    <mergeCell ref="A69:B69"/>
    <mergeCell ref="A70:B70"/>
    <mergeCell ref="A72:B72"/>
    <mergeCell ref="A95:H95"/>
    <mergeCell ref="A63:H63"/>
    <mergeCell ref="A66:B66"/>
    <mergeCell ref="E66:F66"/>
    <mergeCell ref="E64:F64"/>
    <mergeCell ref="E65:F65"/>
    <mergeCell ref="A64:C65"/>
    <mergeCell ref="A68:B68"/>
    <mergeCell ref="E83:F94"/>
    <mergeCell ref="G83:H94"/>
    <mergeCell ref="A84:B84"/>
    <mergeCell ref="A85:B85"/>
    <mergeCell ref="A86:B86"/>
    <mergeCell ref="A87:B87"/>
    <mergeCell ref="A88:B88"/>
    <mergeCell ref="A89:B89"/>
    <mergeCell ref="A90:B90"/>
    <mergeCell ref="A91:B91"/>
    <mergeCell ref="A92:B92"/>
    <mergeCell ref="A112:H112"/>
    <mergeCell ref="G113:H113"/>
    <mergeCell ref="A116:H116"/>
    <mergeCell ref="E113:F113"/>
    <mergeCell ref="A74:B74"/>
    <mergeCell ref="E81:F81"/>
    <mergeCell ref="A82:B82"/>
    <mergeCell ref="E82:F82"/>
    <mergeCell ref="A83:B83"/>
    <mergeCell ref="A79:H79"/>
    <mergeCell ref="A80:C81"/>
    <mergeCell ref="E80:F80"/>
    <mergeCell ref="G111:H111"/>
    <mergeCell ref="G67:H78"/>
    <mergeCell ref="A67:B67"/>
    <mergeCell ref="A73:B73"/>
    <mergeCell ref="E96:F96"/>
    <mergeCell ref="E97:F97"/>
    <mergeCell ref="A115:B115"/>
    <mergeCell ref="A98:B98"/>
    <mergeCell ref="E98:F98"/>
    <mergeCell ref="A99:B99"/>
    <mergeCell ref="E115:F115"/>
    <mergeCell ref="A75:B75"/>
    <mergeCell ref="A226:H226"/>
    <mergeCell ref="A227:B227"/>
    <mergeCell ref="A219:B219"/>
    <mergeCell ref="A217:H217"/>
    <mergeCell ref="A214:B214"/>
    <mergeCell ref="A216:B216"/>
    <mergeCell ref="A215:B215"/>
    <mergeCell ref="A222:B222"/>
    <mergeCell ref="A218:B218"/>
    <mergeCell ref="A157:H157"/>
    <mergeCell ref="A158:B158"/>
    <mergeCell ref="A159:B159"/>
    <mergeCell ref="A160:B160"/>
    <mergeCell ref="A161:B161"/>
    <mergeCell ref="A162:B162"/>
    <mergeCell ref="A224:B224"/>
    <mergeCell ref="A225:B225"/>
    <mergeCell ref="A220:B220"/>
    <mergeCell ref="A1:H1"/>
    <mergeCell ref="A258:C258"/>
    <mergeCell ref="G27:H27"/>
    <mergeCell ref="G28:H28"/>
    <mergeCell ref="A37:H37"/>
    <mergeCell ref="A44:H44"/>
    <mergeCell ref="A50:H50"/>
    <mergeCell ref="A120:H120"/>
    <mergeCell ref="G118:H118"/>
    <mergeCell ref="G7:H7"/>
    <mergeCell ref="G47:H47"/>
    <mergeCell ref="G45:H45"/>
    <mergeCell ref="A25:H25"/>
    <mergeCell ref="G26:H26"/>
    <mergeCell ref="G20:H20"/>
    <mergeCell ref="G21:H21"/>
    <mergeCell ref="A9:A11"/>
    <mergeCell ref="A143:B143"/>
    <mergeCell ref="A145:B145"/>
    <mergeCell ref="A138:B138"/>
    <mergeCell ref="A139:B139"/>
    <mergeCell ref="A140:B140"/>
    <mergeCell ref="A141:B141"/>
    <mergeCell ref="A142:B142"/>
    <mergeCell ref="G6:H6"/>
    <mergeCell ref="A228:B228"/>
    <mergeCell ref="A229:B229"/>
    <mergeCell ref="G14:H14"/>
    <mergeCell ref="G16:H16"/>
    <mergeCell ref="G17:H17"/>
    <mergeCell ref="G15:H15"/>
    <mergeCell ref="G396:H396"/>
    <mergeCell ref="A257:H257"/>
    <mergeCell ref="D259:H259"/>
    <mergeCell ref="A387:H387"/>
    <mergeCell ref="A393:H393"/>
    <mergeCell ref="A394:H394"/>
    <mergeCell ref="A395:H395"/>
    <mergeCell ref="A388:H388"/>
    <mergeCell ref="A389:H389"/>
    <mergeCell ref="A390:H390"/>
    <mergeCell ref="A391:H391"/>
    <mergeCell ref="A259:C259"/>
    <mergeCell ref="A386:H386"/>
    <mergeCell ref="A392:H392"/>
    <mergeCell ref="A355:H355"/>
    <mergeCell ref="D258:H258"/>
    <mergeCell ref="A260:C260"/>
    <mergeCell ref="D260:H260"/>
    <mergeCell ref="A305:H305"/>
    <mergeCell ref="E396:F396"/>
    <mergeCell ref="A396:B396"/>
    <mergeCell ref="C396:D396"/>
    <mergeCell ref="A230:B230"/>
    <mergeCell ref="A223:B223"/>
    <mergeCell ref="A221:B221"/>
    <mergeCell ref="E130:F130"/>
    <mergeCell ref="B252:H252"/>
    <mergeCell ref="B246:H246"/>
    <mergeCell ref="B245:H245"/>
    <mergeCell ref="B249:H249"/>
    <mergeCell ref="B248:H248"/>
    <mergeCell ref="B247:H247"/>
    <mergeCell ref="B250:H250"/>
    <mergeCell ref="A231:B231"/>
    <mergeCell ref="A232:B232"/>
    <mergeCell ref="A233:B233"/>
    <mergeCell ref="A242:B242"/>
    <mergeCell ref="A243:B243"/>
    <mergeCell ref="A239:B239"/>
    <mergeCell ref="A240:B240"/>
    <mergeCell ref="A241:B241"/>
    <mergeCell ref="A113:B113"/>
    <mergeCell ref="C113:D113"/>
    <mergeCell ref="C114:D114"/>
    <mergeCell ref="C115:D115"/>
    <mergeCell ref="G119:H119"/>
    <mergeCell ref="A125:H125"/>
    <mergeCell ref="A126:B126"/>
    <mergeCell ref="A117:F117"/>
    <mergeCell ref="A118:F118"/>
    <mergeCell ref="A177:H177"/>
    <mergeCell ref="A182:B182"/>
    <mergeCell ref="A183:B183"/>
    <mergeCell ref="A137:H137"/>
    <mergeCell ref="G117:H117"/>
    <mergeCell ref="A167:H167"/>
    <mergeCell ref="A131:B131"/>
    <mergeCell ref="G131:H131"/>
    <mergeCell ref="C131:D131"/>
    <mergeCell ref="A152:B152"/>
    <mergeCell ref="A153:B153"/>
    <mergeCell ref="A136:H136"/>
    <mergeCell ref="A154:B154"/>
    <mergeCell ref="A155:B155"/>
    <mergeCell ref="A151:B151"/>
    <mergeCell ref="A164:B164"/>
    <mergeCell ref="A165:B165"/>
    <mergeCell ref="A166:B166"/>
    <mergeCell ref="A173:B173"/>
    <mergeCell ref="A174:B174"/>
    <mergeCell ref="A168:B168"/>
    <mergeCell ref="A144:B144"/>
    <mergeCell ref="A146:B146"/>
    <mergeCell ref="A156:B156"/>
    <mergeCell ref="A235:H235"/>
    <mergeCell ref="A236:B236"/>
    <mergeCell ref="A237:B237"/>
    <mergeCell ref="A238:B238"/>
    <mergeCell ref="A234:B234"/>
    <mergeCell ref="B251:H251"/>
    <mergeCell ref="A244:H24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C2:D2"/>
    <mergeCell ref="C3:D3"/>
    <mergeCell ref="C4:D4"/>
    <mergeCell ref="E2:F2"/>
    <mergeCell ref="A5:H5"/>
    <mergeCell ref="E3:F3"/>
    <mergeCell ref="E4:F4"/>
    <mergeCell ref="A4:B4"/>
    <mergeCell ref="A60:B60"/>
    <mergeCell ref="A24:B24"/>
    <mergeCell ref="C26:D26"/>
    <mergeCell ref="G30:H30"/>
    <mergeCell ref="G29:H29"/>
    <mergeCell ref="A45:B45"/>
    <mergeCell ref="A46:B46"/>
    <mergeCell ref="A47:B47"/>
    <mergeCell ref="D46:F46"/>
    <mergeCell ref="D45:F45"/>
    <mergeCell ref="D47:F47"/>
    <mergeCell ref="A48:B48"/>
    <mergeCell ref="D48:F48"/>
    <mergeCell ref="G48:H48"/>
    <mergeCell ref="C24:H24"/>
    <mergeCell ref="A43:B43"/>
    <mergeCell ref="A38:B38"/>
    <mergeCell ref="A42:B42"/>
    <mergeCell ref="C42:E42"/>
    <mergeCell ref="F42:H42"/>
    <mergeCell ref="C43:H43"/>
    <mergeCell ref="E34:F34"/>
    <mergeCell ref="G46:H46"/>
    <mergeCell ref="G31:H31"/>
    <mergeCell ref="G2:H2"/>
    <mergeCell ref="G3:H3"/>
    <mergeCell ref="G4:H4"/>
    <mergeCell ref="E20:F20"/>
    <mergeCell ref="E21:F21"/>
    <mergeCell ref="E22:F22"/>
    <mergeCell ref="C14:D14"/>
    <mergeCell ref="C15:D15"/>
    <mergeCell ref="C16:D16"/>
    <mergeCell ref="C17:D17"/>
    <mergeCell ref="A13:H13"/>
    <mergeCell ref="A14:B14"/>
    <mergeCell ref="A15:B15"/>
    <mergeCell ref="A16:B16"/>
    <mergeCell ref="A17:B17"/>
    <mergeCell ref="A18:B18"/>
    <mergeCell ref="A19:B19"/>
    <mergeCell ref="G18:H18"/>
    <mergeCell ref="G19:H19"/>
    <mergeCell ref="C21:D21"/>
    <mergeCell ref="C22:D22"/>
    <mergeCell ref="C23:H23"/>
    <mergeCell ref="A23:B23"/>
    <mergeCell ref="C27:D27"/>
    <mergeCell ref="A20:B20"/>
    <mergeCell ref="A21:B21"/>
    <mergeCell ref="C20:D20"/>
    <mergeCell ref="A22:B22"/>
    <mergeCell ref="G22:H22"/>
    <mergeCell ref="C18:D18"/>
    <mergeCell ref="C19:D19"/>
    <mergeCell ref="E14:F14"/>
    <mergeCell ref="E15:F15"/>
    <mergeCell ref="E16:F16"/>
    <mergeCell ref="E17:F17"/>
    <mergeCell ref="E18:F18"/>
    <mergeCell ref="E19:F19"/>
    <mergeCell ref="A31:B31"/>
    <mergeCell ref="A32:B32"/>
    <mergeCell ref="E26:F26"/>
    <mergeCell ref="E27:F27"/>
    <mergeCell ref="E28:F28"/>
    <mergeCell ref="E29:F29"/>
    <mergeCell ref="E30:F30"/>
    <mergeCell ref="E31:F31"/>
    <mergeCell ref="C28:D28"/>
    <mergeCell ref="C29:D29"/>
    <mergeCell ref="C30:D30"/>
    <mergeCell ref="A30:B30"/>
    <mergeCell ref="A26:B26"/>
    <mergeCell ref="A27:B27"/>
    <mergeCell ref="A28:B28"/>
    <mergeCell ref="A29:B29"/>
    <mergeCell ref="C31:D31"/>
    <mergeCell ref="C32:H32"/>
    <mergeCell ref="J38:K38"/>
    <mergeCell ref="M38:N38"/>
    <mergeCell ref="C38:E38"/>
    <mergeCell ref="F38:H38"/>
    <mergeCell ref="C39:E39"/>
    <mergeCell ref="F39:H39"/>
    <mergeCell ref="F40:H40"/>
    <mergeCell ref="C40:E40"/>
    <mergeCell ref="E35:F35"/>
    <mergeCell ref="E36:F36"/>
    <mergeCell ref="C35:D35"/>
    <mergeCell ref="C36:D36"/>
    <mergeCell ref="G36:H36"/>
    <mergeCell ref="G35:H35"/>
    <mergeCell ref="A33:H33"/>
    <mergeCell ref="A41:B41"/>
    <mergeCell ref="C41:E41"/>
    <mergeCell ref="F41:H41"/>
    <mergeCell ref="A39:B39"/>
    <mergeCell ref="A40:B40"/>
    <mergeCell ref="A34:B34"/>
    <mergeCell ref="A35:B35"/>
    <mergeCell ref="A36:B36"/>
    <mergeCell ref="C34:D34"/>
    <mergeCell ref="G34:H34"/>
    <mergeCell ref="A49:B49"/>
    <mergeCell ref="D49:F49"/>
    <mergeCell ref="G49:H49"/>
    <mergeCell ref="A51:B51"/>
    <mergeCell ref="A53:B53"/>
    <mergeCell ref="A58:B58"/>
    <mergeCell ref="A59:B59"/>
    <mergeCell ref="A52:B52"/>
    <mergeCell ref="C51:H51"/>
    <mergeCell ref="C52:F52"/>
    <mergeCell ref="C53:F53"/>
    <mergeCell ref="C57:F57"/>
    <mergeCell ref="C56:F56"/>
    <mergeCell ref="A56:B57"/>
    <mergeCell ref="C58:F58"/>
    <mergeCell ref="C59:F59"/>
    <mergeCell ref="A54:B55"/>
    <mergeCell ref="C54:F54"/>
    <mergeCell ref="C55:F55"/>
    <mergeCell ref="A61:B61"/>
    <mergeCell ref="A62:B62"/>
    <mergeCell ref="C62:F62"/>
    <mergeCell ref="A93:B93"/>
    <mergeCell ref="A94:B94"/>
    <mergeCell ref="E99:F110"/>
    <mergeCell ref="G99:H110"/>
    <mergeCell ref="A100:B100"/>
    <mergeCell ref="A101:B101"/>
    <mergeCell ref="A102:B102"/>
    <mergeCell ref="A103:B103"/>
    <mergeCell ref="A104:B104"/>
    <mergeCell ref="A105:B105"/>
    <mergeCell ref="A106:B106"/>
    <mergeCell ref="A107:B107"/>
    <mergeCell ref="A108:B108"/>
    <mergeCell ref="A109:B109"/>
    <mergeCell ref="A110:B110"/>
    <mergeCell ref="E67:F78"/>
    <mergeCell ref="A96:C97"/>
    <mergeCell ref="A71:B71"/>
    <mergeCell ref="A76:B76"/>
    <mergeCell ref="A77:B77"/>
    <mergeCell ref="A78:B78"/>
    <mergeCell ref="A171:B171"/>
    <mergeCell ref="A172:B172"/>
    <mergeCell ref="A176:B176"/>
    <mergeCell ref="A175:B175"/>
    <mergeCell ref="A119:F119"/>
    <mergeCell ref="C123:D123"/>
    <mergeCell ref="A114:B114"/>
    <mergeCell ref="A134:H134"/>
    <mergeCell ref="A135:H135"/>
    <mergeCell ref="C128:D128"/>
    <mergeCell ref="E131:F131"/>
    <mergeCell ref="E114:F114"/>
    <mergeCell ref="G114:H114"/>
    <mergeCell ref="E127:F127"/>
    <mergeCell ref="C126:D126"/>
    <mergeCell ref="E128:F128"/>
    <mergeCell ref="E126:F126"/>
    <mergeCell ref="C130:D130"/>
    <mergeCell ref="C127:D127"/>
    <mergeCell ref="A163:B163"/>
    <mergeCell ref="A147:H147"/>
    <mergeCell ref="A148:B148"/>
    <mergeCell ref="A149:B149"/>
    <mergeCell ref="A150:B150"/>
    <mergeCell ref="A213:B213"/>
    <mergeCell ref="A191:B191"/>
    <mergeCell ref="A192:B192"/>
    <mergeCell ref="A193:H193"/>
    <mergeCell ref="A194:B194"/>
    <mergeCell ref="A184:B184"/>
    <mergeCell ref="A185:B185"/>
    <mergeCell ref="A178:H178"/>
    <mergeCell ref="A179:H179"/>
    <mergeCell ref="A180:B180"/>
    <mergeCell ref="A181:B181"/>
    <mergeCell ref="A187:B187"/>
    <mergeCell ref="A190:B190"/>
    <mergeCell ref="A188:B188"/>
    <mergeCell ref="A207:H207"/>
    <mergeCell ref="A195:B195"/>
    <mergeCell ref="A208:B208"/>
    <mergeCell ref="A209:B209"/>
    <mergeCell ref="A210:B210"/>
    <mergeCell ref="A211:B211"/>
    <mergeCell ref="A212:B212"/>
    <mergeCell ref="I4:J4"/>
    <mergeCell ref="B256:H256"/>
    <mergeCell ref="A204:B204"/>
    <mergeCell ref="A205:B205"/>
    <mergeCell ref="A206:B206"/>
    <mergeCell ref="C202:H203"/>
    <mergeCell ref="A122:A123"/>
    <mergeCell ref="A129:B129"/>
    <mergeCell ref="C129:D129"/>
    <mergeCell ref="E129:F129"/>
    <mergeCell ref="G129:H129"/>
    <mergeCell ref="A127:A128"/>
    <mergeCell ref="A196:B196"/>
    <mergeCell ref="A197:B197"/>
    <mergeCell ref="A198:B198"/>
    <mergeCell ref="A199:B199"/>
    <mergeCell ref="C197:H197"/>
    <mergeCell ref="A200:H200"/>
    <mergeCell ref="A201:B201"/>
    <mergeCell ref="A202:B202"/>
    <mergeCell ref="A203:B203"/>
    <mergeCell ref="C183:H184"/>
    <mergeCell ref="A186:H186"/>
    <mergeCell ref="A189:B189"/>
  </mergeCells>
  <dataValidations count="7">
    <dataValidation type="list" allowBlank="1" showInputMessage="1" showErrorMessage="1" sqref="G6:H6">
      <formula1>"Mr. Suraj Khare,Mr.Gaurav Pawar,Mr.Manish,Mr.Vaibhav Gite,Miss Ankita Mohite"</formula1>
    </dataValidation>
    <dataValidation type="list" allowBlank="1" showInputMessage="1" showErrorMessage="1" sqref="G26:H26">
      <formula1>"Middle,Upper"</formula1>
    </dataValidation>
    <dataValidation type="list" allowBlank="1" showInputMessage="1" showErrorMessage="1" sqref="C115">
      <formula1>"300000,350000,400000,500000,600000,700000,800000,900000,1000000,1200000,1400000,1500000,1600000"</formula1>
    </dataValidation>
    <dataValidation type="list" allowBlank="1" showInputMessage="1" showErrorMessage="1" sqref="F133">
      <formula1>"Deck Area + Utility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33">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3" manualBreakCount="3">
    <brk id="256" max="8" man="1"/>
    <brk id="304" max="16383" man="1"/>
    <brk id="35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20" sqref="A20"/>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58" t="s">
        <v>68</v>
      </c>
      <c r="B3" s="158"/>
      <c r="C3" s="158"/>
      <c r="D3" s="158"/>
      <c r="E3" s="158"/>
      <c r="F3" s="158"/>
      <c r="G3" s="158"/>
      <c r="H3" s="158"/>
      <c r="I3" s="158"/>
    </row>
    <row r="4" spans="1:11" s="1" customFormat="1" ht="20.25" customHeight="1" x14ac:dyDescent="0.3">
      <c r="A4" s="204">
        <v>1</v>
      </c>
      <c r="B4" s="204"/>
      <c r="C4" s="204"/>
      <c r="D4" s="205" t="s">
        <v>4</v>
      </c>
      <c r="E4" s="35" t="s">
        <v>115</v>
      </c>
      <c r="F4" s="196" t="s">
        <v>102</v>
      </c>
      <c r="G4" s="196"/>
      <c r="H4" s="35" t="s">
        <v>116</v>
      </c>
      <c r="I4" s="35" t="s">
        <v>117</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204"/>
      <c r="B5" s="204"/>
      <c r="C5" s="204"/>
      <c r="D5" s="205"/>
      <c r="E5" s="35">
        <v>3</v>
      </c>
      <c r="F5" s="196">
        <v>1</v>
      </c>
      <c r="G5" s="196"/>
      <c r="H5" s="35">
        <v>0</v>
      </c>
      <c r="I5" s="35">
        <f ca="1">--TRIM(RIGHT(SUBSTITUTE(LEFT(A4,_xlfn.AGGREGATE(16,6,FIND({0,1,2,3,4,5,6,7,8,9},A4,ROW(INDIRECT("1:"&amp;LEN(A4)))),1))," ",REPT(" ",LEN(A4))),LEN(A4)))</f>
        <v>1</v>
      </c>
      <c r="J5" s="16" t="s">
        <v>121</v>
      </c>
      <c r="K5" s="17"/>
    </row>
    <row r="6" spans="1:11" s="1" customFormat="1" ht="20.25" customHeight="1" x14ac:dyDescent="0.3">
      <c r="A6" s="197" t="s">
        <v>119</v>
      </c>
      <c r="B6" s="197"/>
      <c r="C6" s="197" t="s">
        <v>132</v>
      </c>
      <c r="D6" s="197"/>
      <c r="E6" s="36" t="s">
        <v>133</v>
      </c>
      <c r="F6" s="197" t="s">
        <v>120</v>
      </c>
      <c r="G6" s="197"/>
      <c r="H6" s="28" t="s">
        <v>118</v>
      </c>
      <c r="I6" s="28"/>
      <c r="J6" s="19" t="s">
        <v>134</v>
      </c>
      <c r="K6" s="18">
        <f ca="1">I5*25%</f>
        <v>0.25</v>
      </c>
    </row>
    <row r="7" spans="1:11" s="1" customFormat="1" ht="20.25" customHeight="1" x14ac:dyDescent="0.3">
      <c r="A7" s="137" t="s">
        <v>135</v>
      </c>
      <c r="B7" s="137"/>
      <c r="C7" s="196">
        <f ca="1">K8</f>
        <v>1</v>
      </c>
      <c r="D7" s="196"/>
      <c r="E7" s="34">
        <f ca="1">((100/I5)*C7)/100</f>
        <v>1</v>
      </c>
      <c r="F7" s="137">
        <f ca="1">(((C7/I5*5)+(C8/I5*20)+(25/(F5+H5+I5)*C9)+(5/(I5)*C10)+(2.5/(I5)*C11)+(2.5/(I5)*C12)+(5/I5*C13)+(10/I5*C14)+(2.5/I5*C15)+(2.5/I5*C16)+(10/I5*C17)+(10/I5*C18))/100)</f>
        <v>0.25</v>
      </c>
      <c r="G7" s="137"/>
      <c r="H7" s="137" t="str">
        <f ca="1">J4</f>
        <v>Excavation work Completed. Plinth work completed</v>
      </c>
      <c r="I7" s="137"/>
      <c r="J7" s="19" t="s">
        <v>122</v>
      </c>
      <c r="K7" s="23">
        <f ca="1">I5*50%</f>
        <v>0.5</v>
      </c>
    </row>
    <row r="8" spans="1:11" s="1" customFormat="1" ht="20.25" x14ac:dyDescent="0.3">
      <c r="A8" s="137" t="s">
        <v>103</v>
      </c>
      <c r="B8" s="137"/>
      <c r="C8" s="206">
        <f ca="1">K16</f>
        <v>1</v>
      </c>
      <c r="D8" s="196"/>
      <c r="E8" s="34">
        <f ca="1">((100/I5)*C8)/100</f>
        <v>1</v>
      </c>
      <c r="F8" s="137"/>
      <c r="G8" s="137"/>
      <c r="H8" s="137"/>
      <c r="I8" s="137"/>
      <c r="J8" s="19" t="s">
        <v>123</v>
      </c>
      <c r="K8" s="23">
        <f ca="1">I5</f>
        <v>1</v>
      </c>
    </row>
    <row r="9" spans="1:11" s="1" customFormat="1" ht="21" customHeight="1" x14ac:dyDescent="0.35">
      <c r="A9" s="137" t="s">
        <v>136</v>
      </c>
      <c r="B9" s="137"/>
      <c r="C9" s="196">
        <v>0</v>
      </c>
      <c r="D9" s="196"/>
      <c r="E9" s="34">
        <f ca="1">((100/(F5+H5+I5))*C9)/100</f>
        <v>0</v>
      </c>
      <c r="F9" s="137"/>
      <c r="G9" s="137"/>
      <c r="H9" s="137"/>
      <c r="I9" s="137"/>
      <c r="J9" s="19" t="s">
        <v>124</v>
      </c>
      <c r="K9" s="24">
        <f ca="1">(IF(E5&gt;1,(I5/(E5+2)),I5*0.2))</f>
        <v>0.2</v>
      </c>
    </row>
    <row r="10" spans="1:11" s="1" customFormat="1" ht="21" customHeight="1" x14ac:dyDescent="0.35">
      <c r="A10" s="137" t="s">
        <v>137</v>
      </c>
      <c r="B10" s="137"/>
      <c r="C10" s="196">
        <v>0</v>
      </c>
      <c r="D10" s="196"/>
      <c r="E10" s="34">
        <f ca="1">((100/I5)*C10)/100</f>
        <v>0</v>
      </c>
      <c r="F10" s="137"/>
      <c r="G10" s="137"/>
      <c r="H10" s="137"/>
      <c r="I10" s="137"/>
      <c r="J10" s="19" t="s">
        <v>125</v>
      </c>
      <c r="K10" s="24">
        <f ca="1">(IF(E5&gt;1,(I5/(E5+2)+K9),I5*0.2+K9))</f>
        <v>0.4</v>
      </c>
    </row>
    <row r="11" spans="1:11" s="1" customFormat="1" ht="21" customHeight="1" x14ac:dyDescent="0.35">
      <c r="A11" s="144" t="s">
        <v>138</v>
      </c>
      <c r="B11" s="145"/>
      <c r="C11" s="196">
        <v>0</v>
      </c>
      <c r="D11" s="196"/>
      <c r="E11" s="34">
        <f ca="1">((100/I5)*C11)/100</f>
        <v>0</v>
      </c>
      <c r="F11" s="137"/>
      <c r="G11" s="137"/>
      <c r="H11" s="137"/>
      <c r="I11" s="137"/>
      <c r="J11" s="19" t="s">
        <v>139</v>
      </c>
      <c r="K11" s="24">
        <f ca="1">(IF(E5&gt;1,(I5/(E5+2)+K10),0))</f>
        <v>0.60000000000000009</v>
      </c>
    </row>
    <row r="12" spans="1:11" s="1" customFormat="1" ht="21" customHeight="1" x14ac:dyDescent="0.35">
      <c r="A12" s="144" t="s">
        <v>168</v>
      </c>
      <c r="B12" s="145"/>
      <c r="C12" s="196">
        <v>0</v>
      </c>
      <c r="D12" s="196"/>
      <c r="E12" s="34">
        <f ca="1">((100/I5)*C12)/100</f>
        <v>0</v>
      </c>
      <c r="F12" s="137"/>
      <c r="G12" s="137"/>
      <c r="H12" s="137"/>
      <c r="I12" s="137"/>
      <c r="J12" s="19" t="s">
        <v>140</v>
      </c>
      <c r="K12" s="24">
        <f ca="1">(IF(E5&gt;2,(I5/(E5+2)+K11),0))</f>
        <v>0.8</v>
      </c>
    </row>
    <row r="13" spans="1:11" s="1" customFormat="1" ht="57.75" customHeight="1" x14ac:dyDescent="0.35">
      <c r="A13" s="144" t="s">
        <v>165</v>
      </c>
      <c r="B13" s="145"/>
      <c r="C13" s="196">
        <v>0</v>
      </c>
      <c r="D13" s="196"/>
      <c r="E13" s="34">
        <f ca="1">((100/(I5))*C13)/100</f>
        <v>0</v>
      </c>
      <c r="F13" s="137"/>
      <c r="G13" s="137"/>
      <c r="H13" s="137"/>
      <c r="I13" s="137"/>
      <c r="J13" s="19" t="s">
        <v>142</v>
      </c>
      <c r="K13" s="25">
        <f>(IF(E5&gt;3,(I5/(E5+2)+K12),0))</f>
        <v>0</v>
      </c>
    </row>
    <row r="14" spans="1:11" s="1" customFormat="1" ht="21" x14ac:dyDescent="0.35">
      <c r="A14" s="137" t="s">
        <v>141</v>
      </c>
      <c r="B14" s="137"/>
      <c r="C14" s="196">
        <v>0</v>
      </c>
      <c r="D14" s="196"/>
      <c r="E14" s="34">
        <f ca="1">((100/(I5))*C14)/100</f>
        <v>0</v>
      </c>
      <c r="F14" s="137"/>
      <c r="G14" s="137"/>
      <c r="H14" s="137"/>
      <c r="I14" s="137"/>
      <c r="J14" s="19" t="s">
        <v>143</v>
      </c>
      <c r="K14" s="24">
        <f>(IF(E5&gt;4,(I5/(E5+2)+K13),0))</f>
        <v>0</v>
      </c>
    </row>
    <row r="15" spans="1:11" s="1" customFormat="1" ht="21" customHeight="1" x14ac:dyDescent="0.35">
      <c r="A15" s="137" t="s">
        <v>167</v>
      </c>
      <c r="B15" s="137"/>
      <c r="C15" s="196">
        <v>0</v>
      </c>
      <c r="D15" s="196"/>
      <c r="E15" s="34">
        <f ca="1">((100/I5)*C15)/100</f>
        <v>0</v>
      </c>
      <c r="F15" s="137"/>
      <c r="G15" s="137"/>
      <c r="H15" s="137"/>
      <c r="I15" s="137"/>
      <c r="J15" s="19" t="s">
        <v>126</v>
      </c>
      <c r="K15" s="24">
        <f>(IF(E5=1,(I5/(E5+3)+K10),IF(E5=0,(I5*0.3+K10),IF(E5&gt;1,0))))</f>
        <v>0</v>
      </c>
    </row>
    <row r="16" spans="1:11" s="1" customFormat="1" ht="21.75" thickBot="1" x14ac:dyDescent="0.4">
      <c r="A16" s="137" t="s">
        <v>166</v>
      </c>
      <c r="B16" s="137"/>
      <c r="C16" s="196">
        <v>0</v>
      </c>
      <c r="D16" s="196"/>
      <c r="E16" s="34">
        <f ca="1">((100/I5)*C16)/100</f>
        <v>0</v>
      </c>
      <c r="F16" s="137"/>
      <c r="G16" s="137"/>
      <c r="H16" s="137"/>
      <c r="I16" s="137"/>
      <c r="J16" s="21" t="s">
        <v>127</v>
      </c>
      <c r="K16" s="26">
        <f ca="1">(IF(E5&gt;1.5,(I5/(E5+2)+K10+MAX(0,K11-K10)+MAX(0,K12-K11)+MAX(0,K13-K12)+MAX(0,K14-K13)+MAX(0,K15-K14)),IF(E5=1,(I5/(E5+3)+K15),IF(E5=0,I5*0.3+K15))))</f>
        <v>1</v>
      </c>
    </row>
    <row r="17" spans="1:9" s="1" customFormat="1" ht="20.25" x14ac:dyDescent="0.25">
      <c r="A17" s="137" t="s">
        <v>144</v>
      </c>
      <c r="B17" s="137"/>
      <c r="C17" s="196">
        <v>0</v>
      </c>
      <c r="D17" s="196"/>
      <c r="E17" s="34">
        <f ca="1">((100/(I5))*C17)/100</f>
        <v>0</v>
      </c>
      <c r="F17" s="137"/>
      <c r="G17" s="137"/>
      <c r="H17" s="137"/>
      <c r="I17" s="137"/>
    </row>
    <row r="18" spans="1:9" s="1" customFormat="1" ht="20.25" x14ac:dyDescent="0.25">
      <c r="A18" s="137" t="s">
        <v>145</v>
      </c>
      <c r="B18" s="137"/>
      <c r="C18" s="196">
        <v>0</v>
      </c>
      <c r="D18" s="196"/>
      <c r="E18" s="34">
        <f ca="1">((100/(I5))*C18)/100</f>
        <v>0</v>
      </c>
      <c r="F18" s="137"/>
      <c r="G18" s="137"/>
      <c r="H18" s="137"/>
      <c r="I18" s="137"/>
    </row>
    <row r="23" spans="1:9" x14ac:dyDescent="0.25">
      <c r="B23" s="207" t="s">
        <v>169</v>
      </c>
      <c r="C23" s="207"/>
      <c r="D23" s="207"/>
      <c r="E23" s="207"/>
      <c r="F23" s="207"/>
      <c r="G23" s="207"/>
    </row>
    <row r="24" spans="1:9" ht="14.45" customHeight="1" x14ac:dyDescent="0.25">
      <c r="B24" s="210" t="s">
        <v>170</v>
      </c>
      <c r="C24" s="210" t="s">
        <v>171</v>
      </c>
      <c r="D24" s="213" t="s">
        <v>172</v>
      </c>
      <c r="E24" s="214" t="s">
        <v>173</v>
      </c>
      <c r="F24" s="211" t="s">
        <v>174</v>
      </c>
      <c r="G24" s="210" t="s">
        <v>175</v>
      </c>
    </row>
    <row r="25" spans="1:9" x14ac:dyDescent="0.25">
      <c r="B25" s="210"/>
      <c r="C25" s="210"/>
      <c r="D25" s="213"/>
      <c r="E25" s="214"/>
      <c r="F25" s="211"/>
      <c r="G25" s="210"/>
    </row>
    <row r="26" spans="1:9" x14ac:dyDescent="0.25">
      <c r="B26" s="48" t="s">
        <v>176</v>
      </c>
      <c r="C26" s="49">
        <v>10</v>
      </c>
      <c r="D26" s="49">
        <v>1</v>
      </c>
      <c r="E26" s="50"/>
      <c r="F26" s="51">
        <f>((E26/D26)*0.05)*100</f>
        <v>0</v>
      </c>
      <c r="G26" s="51">
        <f t="shared" ref="G26:G37" si="0">((E26/D26)*(C26/100))*100</f>
        <v>0</v>
      </c>
    </row>
    <row r="27" spans="1:9" x14ac:dyDescent="0.25">
      <c r="B27" s="48" t="s">
        <v>177</v>
      </c>
      <c r="C27" s="50">
        <v>10</v>
      </c>
      <c r="D27" s="50">
        <v>1</v>
      </c>
      <c r="E27" s="50"/>
      <c r="F27" s="51">
        <f>((E27/D27)*0.05)*100</f>
        <v>0</v>
      </c>
      <c r="G27" s="51">
        <f t="shared" si="0"/>
        <v>0</v>
      </c>
    </row>
    <row r="28" spans="1:9" x14ac:dyDescent="0.25">
      <c r="B28" s="48" t="s">
        <v>178</v>
      </c>
      <c r="C28" s="50">
        <v>15</v>
      </c>
      <c r="D28" s="50">
        <v>1</v>
      </c>
      <c r="E28" s="50"/>
      <c r="F28" s="51">
        <f>((E28/D28)*0.15)*100</f>
        <v>0</v>
      </c>
      <c r="G28" s="51">
        <f t="shared" si="0"/>
        <v>0</v>
      </c>
    </row>
    <row r="29" spans="1:9" x14ac:dyDescent="0.25">
      <c r="B29" s="52" t="s">
        <v>179</v>
      </c>
      <c r="C29" s="50">
        <v>25</v>
      </c>
      <c r="D29" s="50">
        <v>40</v>
      </c>
      <c r="E29" s="50"/>
      <c r="F29" s="51">
        <f>((E29/D29)*0.25)*100</f>
        <v>0</v>
      </c>
      <c r="G29" s="51">
        <f t="shared" si="0"/>
        <v>0</v>
      </c>
    </row>
    <row r="30" spans="1:9" x14ac:dyDescent="0.25">
      <c r="B30" s="52" t="s">
        <v>180</v>
      </c>
      <c r="C30" s="50">
        <v>5</v>
      </c>
      <c r="D30" s="50">
        <v>39</v>
      </c>
      <c r="E30" s="50"/>
      <c r="F30" s="51">
        <f>((E30/D30)*0.05)*100</f>
        <v>0</v>
      </c>
      <c r="G30" s="51">
        <f t="shared" si="0"/>
        <v>0</v>
      </c>
    </row>
    <row r="31" spans="1:9" ht="30" x14ac:dyDescent="0.25">
      <c r="B31" s="52" t="s">
        <v>181</v>
      </c>
      <c r="C31" s="50">
        <v>2.5</v>
      </c>
      <c r="D31" s="50">
        <v>39</v>
      </c>
      <c r="E31" s="50"/>
      <c r="F31" s="51">
        <f>((E31/D31)*0.025)*100</f>
        <v>0</v>
      </c>
      <c r="G31" s="51">
        <f t="shared" si="0"/>
        <v>0</v>
      </c>
    </row>
    <row r="32" spans="1:9" ht="30" x14ac:dyDescent="0.25">
      <c r="B32" s="52" t="s">
        <v>182</v>
      </c>
      <c r="C32" s="50">
        <v>2.5</v>
      </c>
      <c r="D32" s="50">
        <v>39</v>
      </c>
      <c r="E32" s="50"/>
      <c r="F32" s="51">
        <f>((E32/D32)*0.025)*100</f>
        <v>0</v>
      </c>
      <c r="G32" s="51">
        <f t="shared" si="0"/>
        <v>0</v>
      </c>
    </row>
    <row r="33" spans="1:7" ht="45" x14ac:dyDescent="0.25">
      <c r="B33" s="53" t="s">
        <v>183</v>
      </c>
      <c r="C33" s="50">
        <v>5</v>
      </c>
      <c r="D33" s="50">
        <v>39</v>
      </c>
      <c r="E33" s="50"/>
      <c r="F33" s="51">
        <f>((E33/D33)*0.05)*100</f>
        <v>0</v>
      </c>
      <c r="G33" s="51">
        <f t="shared" si="0"/>
        <v>0</v>
      </c>
    </row>
    <row r="34" spans="1:7" ht="30" x14ac:dyDescent="0.25">
      <c r="B34" s="53" t="s">
        <v>184</v>
      </c>
      <c r="C34" s="50">
        <v>5</v>
      </c>
      <c r="D34" s="50">
        <v>39</v>
      </c>
      <c r="E34" s="50"/>
      <c r="F34" s="51">
        <f>((E34/D34)*0.1)*100</f>
        <v>0</v>
      </c>
      <c r="G34" s="51">
        <f t="shared" si="0"/>
        <v>0</v>
      </c>
    </row>
    <row r="35" spans="1:7" ht="30" x14ac:dyDescent="0.25">
      <c r="B35" s="53" t="s">
        <v>185</v>
      </c>
      <c r="C35" s="50">
        <v>5</v>
      </c>
      <c r="D35" s="50">
        <v>39</v>
      </c>
      <c r="E35" s="50"/>
      <c r="F35" s="51">
        <f>((E35/D35)*0.05)*100</f>
        <v>0</v>
      </c>
      <c r="G35" s="51">
        <f t="shared" si="0"/>
        <v>0</v>
      </c>
    </row>
    <row r="36" spans="1:7" ht="60" x14ac:dyDescent="0.25">
      <c r="B36" s="53" t="s">
        <v>186</v>
      </c>
      <c r="C36" s="50">
        <v>10</v>
      </c>
      <c r="D36" s="50">
        <v>39</v>
      </c>
      <c r="E36" s="50"/>
      <c r="F36" s="51">
        <f>((E36/D36)*0.1)*100</f>
        <v>0</v>
      </c>
      <c r="G36" s="51">
        <f t="shared" si="0"/>
        <v>0</v>
      </c>
    </row>
    <row r="37" spans="1:7" ht="45" x14ac:dyDescent="0.25">
      <c r="B37" s="53" t="s">
        <v>187</v>
      </c>
      <c r="C37" s="50">
        <v>5</v>
      </c>
      <c r="D37" s="50">
        <v>39</v>
      </c>
      <c r="E37" s="50"/>
      <c r="F37" s="51">
        <f>((E37/D37)*0.1)*100</f>
        <v>0</v>
      </c>
      <c r="G37" s="51">
        <f t="shared" si="0"/>
        <v>0</v>
      </c>
    </row>
    <row r="38" spans="1:7" ht="15.75" x14ac:dyDescent="0.25">
      <c r="B38" s="54" t="s">
        <v>188</v>
      </c>
      <c r="C38" s="55">
        <f>SUM(C26:C37)</f>
        <v>100</v>
      </c>
      <c r="D38" s="54"/>
      <c r="E38" s="54"/>
      <c r="F38" s="55">
        <f>SUM(F26:F37)</f>
        <v>0</v>
      </c>
      <c r="G38" s="55">
        <f>SUM(G26:G37)</f>
        <v>0</v>
      </c>
    </row>
    <row r="39" spans="1:7" x14ac:dyDescent="0.25">
      <c r="B39" s="211" t="s">
        <v>189</v>
      </c>
      <c r="C39" s="211"/>
      <c r="D39" s="211"/>
      <c r="E39" s="211"/>
      <c r="F39" s="211"/>
      <c r="G39" s="211"/>
    </row>
    <row r="40" spans="1:7" x14ac:dyDescent="0.25">
      <c r="B40" s="212" t="s">
        <v>190</v>
      </c>
      <c r="C40" s="212"/>
      <c r="D40" s="212"/>
      <c r="E40" s="212" t="s">
        <v>191</v>
      </c>
      <c r="F40" s="212"/>
      <c r="G40" s="212"/>
    </row>
    <row r="41" spans="1:7" x14ac:dyDescent="0.25">
      <c r="B41" s="208" t="s">
        <v>192</v>
      </c>
      <c r="C41" s="208"/>
      <c r="D41" s="208"/>
      <c r="E41" s="208" t="s">
        <v>193</v>
      </c>
      <c r="F41" s="208"/>
      <c r="G41" s="208"/>
    </row>
    <row r="42" spans="1:7" x14ac:dyDescent="0.25">
      <c r="B42" s="208" t="s">
        <v>194</v>
      </c>
      <c r="C42" s="208"/>
      <c r="D42" s="208"/>
      <c r="E42" s="208" t="s">
        <v>195</v>
      </c>
      <c r="F42" s="208"/>
      <c r="G42" s="208"/>
    </row>
    <row r="43" spans="1:7" x14ac:dyDescent="0.25">
      <c r="B43" s="209" t="s">
        <v>196</v>
      </c>
      <c r="C43" s="209"/>
      <c r="D43" s="209"/>
      <c r="E43" s="209" t="s">
        <v>197</v>
      </c>
      <c r="F43" s="209"/>
      <c r="G43" s="209"/>
    </row>
    <row r="45" spans="1:7" ht="15.75" thickBot="1" x14ac:dyDescent="0.3"/>
    <row r="46" spans="1:7" ht="17.25" thickTop="1" thickBot="1" x14ac:dyDescent="0.3">
      <c r="A46" s="56" t="s">
        <v>198</v>
      </c>
      <c r="B46" s="56" t="s">
        <v>170</v>
      </c>
      <c r="C46" s="57" t="s">
        <v>199</v>
      </c>
      <c r="D46" s="57" t="s">
        <v>200</v>
      </c>
      <c r="E46" s="57" t="s">
        <v>201</v>
      </c>
    </row>
    <row r="47" spans="1:7" ht="31.5" thickTop="1" thickBot="1" x14ac:dyDescent="0.3">
      <c r="A47" s="58">
        <v>1</v>
      </c>
      <c r="B47" s="59" t="s">
        <v>202</v>
      </c>
      <c r="C47" s="60">
        <v>0</v>
      </c>
      <c r="D47" s="61">
        <v>0.1</v>
      </c>
      <c r="E47" s="60">
        <v>0.1</v>
      </c>
    </row>
    <row r="48" spans="1:7" ht="31.5" thickTop="1" thickBot="1" x14ac:dyDescent="0.3">
      <c r="A48" s="58">
        <v>2</v>
      </c>
      <c r="B48" s="59" t="s">
        <v>203</v>
      </c>
      <c r="C48" s="60" t="s">
        <v>204</v>
      </c>
      <c r="D48" s="61" t="s">
        <v>205</v>
      </c>
      <c r="E48" s="60">
        <v>0.3</v>
      </c>
    </row>
    <row r="49" spans="1:5" ht="61.5" thickTop="1" thickBot="1" x14ac:dyDescent="0.3">
      <c r="A49" s="58">
        <v>3</v>
      </c>
      <c r="B49" s="59" t="s">
        <v>206</v>
      </c>
      <c r="C49" s="60" t="s">
        <v>207</v>
      </c>
      <c r="D49" s="61" t="s">
        <v>208</v>
      </c>
      <c r="E49" s="60">
        <v>0.45</v>
      </c>
    </row>
    <row r="50" spans="1:5" ht="76.5" thickTop="1" thickBot="1" x14ac:dyDescent="0.3">
      <c r="A50" s="58">
        <v>4</v>
      </c>
      <c r="B50" s="59" t="s">
        <v>209</v>
      </c>
      <c r="C50" s="60" t="s">
        <v>210</v>
      </c>
      <c r="D50" s="61" t="s">
        <v>211</v>
      </c>
      <c r="E50" s="60">
        <v>0.7</v>
      </c>
    </row>
    <row r="51" spans="1:5" ht="76.5" thickTop="1" thickBot="1" x14ac:dyDescent="0.3">
      <c r="A51" s="58">
        <v>5</v>
      </c>
      <c r="B51" s="59" t="s">
        <v>212</v>
      </c>
      <c r="C51" s="60" t="s">
        <v>213</v>
      </c>
      <c r="D51" s="61" t="s">
        <v>214</v>
      </c>
      <c r="E51" s="60">
        <v>0.75</v>
      </c>
    </row>
    <row r="52" spans="1:5" ht="76.5" thickTop="1" thickBot="1" x14ac:dyDescent="0.3">
      <c r="A52" s="58">
        <v>6</v>
      </c>
      <c r="B52" s="59" t="s">
        <v>215</v>
      </c>
      <c r="C52" s="60" t="s">
        <v>216</v>
      </c>
      <c r="D52" s="61" t="s">
        <v>217</v>
      </c>
      <c r="E52" s="60">
        <v>0.8</v>
      </c>
    </row>
    <row r="53" spans="1:5" ht="121.5" thickTop="1" thickBot="1" x14ac:dyDescent="0.3">
      <c r="A53" s="58">
        <v>7</v>
      </c>
      <c r="B53" s="59" t="s">
        <v>218</v>
      </c>
      <c r="C53" s="60" t="s">
        <v>219</v>
      </c>
      <c r="D53" s="61" t="s">
        <v>220</v>
      </c>
      <c r="E53" s="60">
        <v>0.85</v>
      </c>
    </row>
    <row r="54" spans="1:5" ht="211.5" thickTop="1" thickBot="1" x14ac:dyDescent="0.3">
      <c r="A54" s="58">
        <v>8</v>
      </c>
      <c r="B54" s="59" t="s">
        <v>221</v>
      </c>
      <c r="C54" s="60" t="s">
        <v>222</v>
      </c>
      <c r="D54" s="61" t="s">
        <v>223</v>
      </c>
      <c r="E54" s="60">
        <v>0.95</v>
      </c>
    </row>
    <row r="55" spans="1:5" ht="91.5" thickTop="1" thickBot="1" x14ac:dyDescent="0.3">
      <c r="A55" s="58">
        <v>9</v>
      </c>
      <c r="B55" s="59" t="s">
        <v>224</v>
      </c>
      <c r="C55" s="60" t="s">
        <v>225</v>
      </c>
      <c r="D55" s="61" t="s">
        <v>226</v>
      </c>
      <c r="E55" s="60">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50">
        <v>1</v>
      </c>
      <c r="C2" s="68" t="s">
        <v>244</v>
      </c>
    </row>
    <row r="3" spans="2:3" x14ac:dyDescent="0.25">
      <c r="B3" s="50">
        <v>2</v>
      </c>
      <c r="C3" s="69" t="s">
        <v>245</v>
      </c>
    </row>
    <row r="4" spans="2:3" x14ac:dyDescent="0.25">
      <c r="B4" s="50">
        <v>3</v>
      </c>
      <c r="C4" s="70" t="s">
        <v>246</v>
      </c>
    </row>
    <row r="5" spans="2:3" x14ac:dyDescent="0.25">
      <c r="B5" s="50">
        <v>4</v>
      </c>
      <c r="C5" s="69" t="s">
        <v>247</v>
      </c>
    </row>
    <row r="6" spans="2:3" x14ac:dyDescent="0.25">
      <c r="B6" s="50">
        <v>5</v>
      </c>
      <c r="C6" s="70" t="s">
        <v>248</v>
      </c>
    </row>
    <row r="7" spans="2:3" ht="30" x14ac:dyDescent="0.25">
      <c r="B7" s="50">
        <v>6</v>
      </c>
      <c r="C7" s="69" t="s">
        <v>249</v>
      </c>
    </row>
    <row r="8" spans="2:3" ht="75" x14ac:dyDescent="0.25">
      <c r="B8" s="50">
        <v>7</v>
      </c>
      <c r="C8" s="69" t="s">
        <v>250</v>
      </c>
    </row>
    <row r="9" spans="2:3" x14ac:dyDescent="0.25">
      <c r="B9" s="50">
        <v>8</v>
      </c>
      <c r="C9" s="70" t="s">
        <v>251</v>
      </c>
    </row>
    <row r="10" spans="2:3" x14ac:dyDescent="0.25">
      <c r="B10" s="50">
        <v>9</v>
      </c>
      <c r="C10" s="70" t="s">
        <v>252</v>
      </c>
    </row>
    <row r="11" spans="2:3" x14ac:dyDescent="0.25">
      <c r="B11" s="50">
        <v>10</v>
      </c>
      <c r="C11" s="70" t="s">
        <v>253</v>
      </c>
    </row>
    <row r="12" spans="2:3" x14ac:dyDescent="0.25">
      <c r="B12" s="50">
        <v>11</v>
      </c>
      <c r="C12" s="70" t="s">
        <v>254</v>
      </c>
    </row>
    <row r="13" spans="2:3" x14ac:dyDescent="0.25">
      <c r="B13" s="50">
        <v>12</v>
      </c>
      <c r="C13" s="70" t="s">
        <v>255</v>
      </c>
    </row>
    <row r="14" spans="2:3" x14ac:dyDescent="0.25">
      <c r="B14" s="50">
        <v>13</v>
      </c>
      <c r="C14" s="70" t="s">
        <v>256</v>
      </c>
    </row>
    <row r="15" spans="2:3" x14ac:dyDescent="0.25">
      <c r="B15" s="50">
        <v>14</v>
      </c>
      <c r="C15" s="70" t="s">
        <v>246</v>
      </c>
    </row>
    <row r="16" spans="2:3" x14ac:dyDescent="0.25">
      <c r="B16" s="50">
        <v>15</v>
      </c>
      <c r="C16" s="70" t="s">
        <v>237</v>
      </c>
    </row>
    <row r="17" spans="2:3" x14ac:dyDescent="0.25">
      <c r="B17" s="71">
        <v>16</v>
      </c>
      <c r="C17" s="72" t="s">
        <v>257</v>
      </c>
    </row>
    <row r="18" spans="2:3" x14ac:dyDescent="0.25">
      <c r="B18" s="73">
        <v>17</v>
      </c>
      <c r="C18" s="72" t="s">
        <v>258</v>
      </c>
    </row>
    <row r="19" spans="2:3" x14ac:dyDescent="0.25">
      <c r="B19" s="74">
        <v>18</v>
      </c>
      <c r="C19" s="50" t="s">
        <v>259</v>
      </c>
    </row>
    <row r="20" spans="2:3" x14ac:dyDescent="0.25">
      <c r="B20" s="73">
        <v>19</v>
      </c>
      <c r="C20" s="50" t="s">
        <v>260</v>
      </c>
    </row>
    <row r="21" spans="2:3" x14ac:dyDescent="0.25">
      <c r="B21" s="75">
        <v>20</v>
      </c>
      <c r="C21" s="50" t="s">
        <v>261</v>
      </c>
    </row>
    <row r="22" spans="2:3" x14ac:dyDescent="0.25">
      <c r="B22" s="73">
        <v>21</v>
      </c>
      <c r="C22" s="50" t="s">
        <v>259</v>
      </c>
    </row>
    <row r="23" spans="2:3" s="77" customFormat="1" ht="30" x14ac:dyDescent="0.25">
      <c r="B23" s="76">
        <v>22</v>
      </c>
      <c r="C23" s="68" t="s">
        <v>262</v>
      </c>
    </row>
    <row r="24" spans="2:3" s="77" customFormat="1" ht="30" x14ac:dyDescent="0.25">
      <c r="B24" s="78">
        <v>23</v>
      </c>
      <c r="C24" s="68" t="s">
        <v>263</v>
      </c>
    </row>
    <row r="25" spans="2:3" x14ac:dyDescent="0.25">
      <c r="B25" s="75">
        <v>24</v>
      </c>
      <c r="C25" s="50" t="s">
        <v>264</v>
      </c>
    </row>
    <row r="26" spans="2:3" x14ac:dyDescent="0.25">
      <c r="B26" s="73">
        <v>25</v>
      </c>
      <c r="C26" s="50" t="s">
        <v>265</v>
      </c>
    </row>
    <row r="27" spans="2:3" x14ac:dyDescent="0.25">
      <c r="B27" s="78">
        <v>26</v>
      </c>
      <c r="C27" s="75" t="s">
        <v>266</v>
      </c>
    </row>
    <row r="28" spans="2:3" x14ac:dyDescent="0.25">
      <c r="B28" s="79">
        <v>27</v>
      </c>
      <c r="C28" s="50" t="s">
        <v>267</v>
      </c>
    </row>
    <row r="29" spans="2:3" ht="60" x14ac:dyDescent="0.25">
      <c r="B29" s="80">
        <v>28</v>
      </c>
      <c r="C29" s="69" t="s">
        <v>268</v>
      </c>
    </row>
    <row r="30" spans="2:3" x14ac:dyDescent="0.25">
      <c r="B30" s="78">
        <v>29</v>
      </c>
      <c r="C30" s="50" t="s">
        <v>269</v>
      </c>
    </row>
    <row r="31" spans="2:3" ht="30" x14ac:dyDescent="0.25">
      <c r="B31" s="81">
        <v>30</v>
      </c>
      <c r="C31" s="69" t="s">
        <v>297</v>
      </c>
    </row>
    <row r="32" spans="2:3" x14ac:dyDescent="0.25">
      <c r="B32" s="78">
        <v>31</v>
      </c>
      <c r="C32" s="50" t="s">
        <v>298</v>
      </c>
    </row>
    <row r="33" spans="2:3" x14ac:dyDescent="0.25">
      <c r="B33" s="78">
        <v>32</v>
      </c>
      <c r="C33" s="50" t="s">
        <v>299</v>
      </c>
    </row>
    <row r="34" spans="2:3" ht="30" x14ac:dyDescent="0.25">
      <c r="B34" s="81">
        <v>33</v>
      </c>
      <c r="C34" s="72" t="s">
        <v>300</v>
      </c>
    </row>
    <row r="35" spans="2:3" x14ac:dyDescent="0.25">
      <c r="B35" s="78">
        <v>34</v>
      </c>
      <c r="C35" s="50"/>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RowHeight="15" x14ac:dyDescent="0.25"/>
  <cols>
    <col min="1" max="1" width="9.140625" style="82"/>
    <col min="2" max="2" width="12.28515625" style="82" customWidth="1"/>
    <col min="3" max="16384" width="9.140625" style="82"/>
  </cols>
  <sheetData>
    <row r="2" spans="1:12" x14ac:dyDescent="0.25">
      <c r="B2" s="83" t="s">
        <v>270</v>
      </c>
      <c r="C2" s="215"/>
      <c r="D2" s="215"/>
    </row>
    <row r="3" spans="1:12" x14ac:dyDescent="0.25">
      <c r="D3" s="84"/>
      <c r="E3" s="84"/>
      <c r="F3" s="84"/>
      <c r="G3" s="84"/>
      <c r="H3" s="84"/>
      <c r="I3" s="84"/>
    </row>
    <row r="4" spans="1:12" x14ac:dyDescent="0.25">
      <c r="A4" s="83" t="s">
        <v>271</v>
      </c>
      <c r="B4" s="67" t="s">
        <v>272</v>
      </c>
      <c r="C4" s="216" t="s">
        <v>273</v>
      </c>
      <c r="D4" s="216"/>
      <c r="E4" s="216"/>
      <c r="F4" s="67"/>
      <c r="G4" s="217" t="s">
        <v>274</v>
      </c>
      <c r="H4" s="217"/>
      <c r="I4" s="217"/>
      <c r="J4" s="218" t="s">
        <v>275</v>
      </c>
      <c r="K4" s="218"/>
      <c r="L4" s="218"/>
    </row>
    <row r="5" spans="1:12" x14ac:dyDescent="0.25">
      <c r="A5" s="83"/>
      <c r="B5" s="67"/>
      <c r="C5" s="67" t="s">
        <v>276</v>
      </c>
      <c r="D5" s="67" t="s">
        <v>277</v>
      </c>
      <c r="E5" s="67" t="s">
        <v>278</v>
      </c>
      <c r="F5" s="67"/>
      <c r="G5" s="67" t="s">
        <v>276</v>
      </c>
      <c r="H5" s="67" t="s">
        <v>277</v>
      </c>
      <c r="I5" s="67" t="s">
        <v>278</v>
      </c>
      <c r="J5" s="67" t="s">
        <v>276</v>
      </c>
      <c r="K5" s="67" t="s">
        <v>277</v>
      </c>
      <c r="L5" s="67" t="s">
        <v>278</v>
      </c>
    </row>
    <row r="6" spans="1:12" x14ac:dyDescent="0.25">
      <c r="B6" s="66" t="s">
        <v>279</v>
      </c>
      <c r="C6" s="66"/>
      <c r="D6" s="66"/>
      <c r="E6" s="66">
        <f>C6*D6</f>
        <v>0</v>
      </c>
      <c r="F6" s="66" t="s">
        <v>280</v>
      </c>
      <c r="G6" s="66"/>
      <c r="H6" s="66"/>
      <c r="I6" s="66">
        <f>G6*H6</f>
        <v>0</v>
      </c>
      <c r="J6" s="66"/>
      <c r="K6" s="66"/>
      <c r="L6" s="66">
        <f>J6*K6</f>
        <v>0</v>
      </c>
    </row>
    <row r="7" spans="1:12" x14ac:dyDescent="0.25">
      <c r="B7" s="66"/>
      <c r="C7" s="66"/>
      <c r="D7" s="66"/>
      <c r="E7" s="66">
        <f t="shared" ref="E7:E41" si="0">C7*D7</f>
        <v>0</v>
      </c>
      <c r="F7" s="66" t="s">
        <v>280</v>
      </c>
      <c r="G7" s="66"/>
      <c r="H7" s="66"/>
      <c r="I7" s="66">
        <f t="shared" ref="I7:I35" si="1">G7*H7</f>
        <v>0</v>
      </c>
      <c r="J7" s="66"/>
      <c r="K7" s="66"/>
      <c r="L7" s="66">
        <f t="shared" ref="L7:L35" si="2">J7*K7</f>
        <v>0</v>
      </c>
    </row>
    <row r="8" spans="1:12" x14ac:dyDescent="0.25">
      <c r="B8" s="66"/>
      <c r="C8" s="66"/>
      <c r="D8" s="66"/>
      <c r="E8" s="66">
        <f t="shared" si="0"/>
        <v>0</v>
      </c>
      <c r="F8" s="66"/>
      <c r="G8" s="66"/>
      <c r="H8" s="66"/>
      <c r="I8" s="66">
        <f t="shared" si="1"/>
        <v>0</v>
      </c>
      <c r="J8" s="66"/>
      <c r="K8" s="66"/>
      <c r="L8" s="66">
        <f t="shared" si="2"/>
        <v>0</v>
      </c>
    </row>
    <row r="9" spans="1:12" x14ac:dyDescent="0.25">
      <c r="B9" s="66"/>
      <c r="C9" s="66"/>
      <c r="D9" s="66"/>
      <c r="E9" s="66">
        <f t="shared" si="0"/>
        <v>0</v>
      </c>
      <c r="F9" s="66" t="s">
        <v>281</v>
      </c>
      <c r="G9" s="66"/>
      <c r="H9" s="66"/>
      <c r="I9" s="66">
        <f t="shared" si="1"/>
        <v>0</v>
      </c>
      <c r="J9" s="66"/>
      <c r="K9" s="66"/>
      <c r="L9" s="66">
        <f t="shared" si="2"/>
        <v>0</v>
      </c>
    </row>
    <row r="10" spans="1:12" x14ac:dyDescent="0.25">
      <c r="B10" s="66" t="s">
        <v>282</v>
      </c>
      <c r="C10" s="66"/>
      <c r="D10" s="66"/>
      <c r="E10" s="66">
        <f t="shared" si="0"/>
        <v>0</v>
      </c>
      <c r="F10" s="66" t="s">
        <v>281</v>
      </c>
      <c r="G10" s="66"/>
      <c r="H10" s="66"/>
      <c r="I10" s="66">
        <f t="shared" si="1"/>
        <v>0</v>
      </c>
      <c r="J10" s="66"/>
      <c r="K10" s="66"/>
      <c r="L10" s="66">
        <f t="shared" si="2"/>
        <v>0</v>
      </c>
    </row>
    <row r="11" spans="1:12" x14ac:dyDescent="0.25">
      <c r="B11" s="66"/>
      <c r="C11" s="66"/>
      <c r="D11" s="66"/>
      <c r="E11" s="66">
        <f t="shared" si="0"/>
        <v>0</v>
      </c>
      <c r="F11" s="66" t="s">
        <v>283</v>
      </c>
      <c r="G11" s="66"/>
      <c r="H11" s="66"/>
      <c r="I11" s="66">
        <f t="shared" si="1"/>
        <v>0</v>
      </c>
      <c r="J11" s="66"/>
      <c r="K11" s="66"/>
      <c r="L11" s="66">
        <f t="shared" si="2"/>
        <v>0</v>
      </c>
    </row>
    <row r="12" spans="1:12" x14ac:dyDescent="0.25">
      <c r="B12" s="66"/>
      <c r="C12" s="66"/>
      <c r="D12" s="66"/>
      <c r="E12" s="66">
        <f t="shared" si="0"/>
        <v>0</v>
      </c>
      <c r="F12" s="66"/>
      <c r="G12" s="66"/>
      <c r="H12" s="66"/>
      <c r="I12" s="66">
        <f t="shared" si="1"/>
        <v>0</v>
      </c>
      <c r="J12" s="66"/>
      <c r="K12" s="66"/>
      <c r="L12" s="66">
        <f t="shared" si="2"/>
        <v>0</v>
      </c>
    </row>
    <row r="13" spans="1:12" x14ac:dyDescent="0.25">
      <c r="B13" s="66"/>
      <c r="C13" s="66"/>
      <c r="D13" s="66"/>
      <c r="E13" s="66">
        <f t="shared" si="0"/>
        <v>0</v>
      </c>
      <c r="F13" s="66"/>
      <c r="G13" s="66"/>
      <c r="H13" s="66"/>
      <c r="I13" s="66">
        <f t="shared" si="1"/>
        <v>0</v>
      </c>
      <c r="J13" s="66"/>
      <c r="K13" s="66"/>
      <c r="L13" s="66">
        <f t="shared" si="2"/>
        <v>0</v>
      </c>
    </row>
    <row r="14" spans="1:12" x14ac:dyDescent="0.25">
      <c r="B14" s="66" t="s">
        <v>284</v>
      </c>
      <c r="C14" s="66"/>
      <c r="D14" s="66"/>
      <c r="E14" s="66">
        <f t="shared" si="0"/>
        <v>0</v>
      </c>
      <c r="F14" s="66" t="s">
        <v>281</v>
      </c>
      <c r="G14" s="66"/>
      <c r="H14" s="66"/>
      <c r="I14" s="66">
        <f t="shared" si="1"/>
        <v>0</v>
      </c>
      <c r="J14" s="66"/>
      <c r="K14" s="66"/>
      <c r="L14" s="66">
        <f t="shared" si="2"/>
        <v>0</v>
      </c>
    </row>
    <row r="15" spans="1:12" x14ac:dyDescent="0.25">
      <c r="B15" s="66"/>
      <c r="C15" s="66"/>
      <c r="D15" s="66"/>
      <c r="E15" s="66">
        <f t="shared" si="0"/>
        <v>0</v>
      </c>
      <c r="F15" s="66" t="s">
        <v>283</v>
      </c>
      <c r="G15" s="66"/>
      <c r="H15" s="66"/>
      <c r="I15" s="66">
        <f t="shared" si="1"/>
        <v>0</v>
      </c>
      <c r="J15" s="66"/>
      <c r="K15" s="66"/>
      <c r="L15" s="66">
        <f t="shared" si="2"/>
        <v>0</v>
      </c>
    </row>
    <row r="16" spans="1:12" x14ac:dyDescent="0.25">
      <c r="B16" s="66"/>
      <c r="C16" s="66"/>
      <c r="D16" s="66"/>
      <c r="E16" s="66">
        <f t="shared" si="0"/>
        <v>0</v>
      </c>
      <c r="F16" s="66"/>
      <c r="G16" s="66"/>
      <c r="H16" s="66"/>
      <c r="I16" s="66">
        <f t="shared" si="1"/>
        <v>0</v>
      </c>
      <c r="J16" s="66"/>
      <c r="K16" s="66"/>
      <c r="L16" s="66">
        <f t="shared" si="2"/>
        <v>0</v>
      </c>
    </row>
    <row r="17" spans="2:12" x14ac:dyDescent="0.25">
      <c r="B17" s="66"/>
      <c r="C17" s="66"/>
      <c r="D17" s="66"/>
      <c r="E17" s="66">
        <f t="shared" si="0"/>
        <v>0</v>
      </c>
      <c r="F17" s="66"/>
      <c r="G17" s="66"/>
      <c r="H17" s="66"/>
      <c r="I17" s="66">
        <f t="shared" si="1"/>
        <v>0</v>
      </c>
      <c r="J17" s="66"/>
      <c r="K17" s="66"/>
      <c r="L17" s="66">
        <f t="shared" si="2"/>
        <v>0</v>
      </c>
    </row>
    <row r="18" spans="2:12" x14ac:dyDescent="0.25">
      <c r="B18" s="66" t="s">
        <v>285</v>
      </c>
      <c r="C18" s="66"/>
      <c r="D18" s="66"/>
      <c r="E18" s="66">
        <f t="shared" si="0"/>
        <v>0</v>
      </c>
      <c r="F18" s="66" t="s">
        <v>281</v>
      </c>
      <c r="G18" s="66"/>
      <c r="H18" s="66"/>
      <c r="I18" s="66">
        <f t="shared" si="1"/>
        <v>0</v>
      </c>
      <c r="J18" s="66"/>
      <c r="K18" s="66"/>
      <c r="L18" s="66">
        <f t="shared" si="2"/>
        <v>0</v>
      </c>
    </row>
    <row r="19" spans="2:12" x14ac:dyDescent="0.25">
      <c r="B19" s="66"/>
      <c r="C19" s="66"/>
      <c r="D19" s="66"/>
      <c r="E19" s="66">
        <f t="shared" si="0"/>
        <v>0</v>
      </c>
      <c r="F19" s="66" t="s">
        <v>283</v>
      </c>
      <c r="G19" s="66"/>
      <c r="H19" s="66"/>
      <c r="I19" s="66">
        <f t="shared" si="1"/>
        <v>0</v>
      </c>
      <c r="J19" s="66"/>
      <c r="K19" s="66"/>
      <c r="L19" s="66">
        <f t="shared" si="2"/>
        <v>0</v>
      </c>
    </row>
    <row r="20" spans="2:12" x14ac:dyDescent="0.25">
      <c r="B20" s="66"/>
      <c r="C20" s="66"/>
      <c r="D20" s="66"/>
      <c r="E20" s="66">
        <f t="shared" si="0"/>
        <v>0</v>
      </c>
      <c r="F20" s="66"/>
      <c r="G20" s="66"/>
      <c r="H20" s="66"/>
      <c r="I20" s="66">
        <f t="shared" si="1"/>
        <v>0</v>
      </c>
      <c r="J20" s="66"/>
      <c r="K20" s="66"/>
      <c r="L20" s="66">
        <f t="shared" si="2"/>
        <v>0</v>
      </c>
    </row>
    <row r="21" spans="2:12" x14ac:dyDescent="0.25">
      <c r="B21" s="66" t="s">
        <v>286</v>
      </c>
      <c r="C21" s="66"/>
      <c r="D21" s="66"/>
      <c r="E21" s="66">
        <f t="shared" si="0"/>
        <v>0</v>
      </c>
      <c r="F21" s="66" t="s">
        <v>281</v>
      </c>
      <c r="G21" s="66"/>
      <c r="H21" s="66"/>
      <c r="I21" s="66">
        <f t="shared" si="1"/>
        <v>0</v>
      </c>
      <c r="J21" s="66"/>
      <c r="K21" s="66"/>
      <c r="L21" s="66">
        <f t="shared" si="2"/>
        <v>0</v>
      </c>
    </row>
    <row r="22" spans="2:12" x14ac:dyDescent="0.25">
      <c r="B22" s="66"/>
      <c r="C22" s="66"/>
      <c r="D22" s="66"/>
      <c r="E22" s="66">
        <f t="shared" si="0"/>
        <v>0</v>
      </c>
      <c r="F22" s="66" t="s">
        <v>283</v>
      </c>
      <c r="G22" s="66"/>
      <c r="H22" s="66"/>
      <c r="I22" s="66">
        <f t="shared" si="1"/>
        <v>0</v>
      </c>
      <c r="J22" s="66"/>
      <c r="K22" s="66"/>
      <c r="L22" s="66">
        <f t="shared" si="2"/>
        <v>0</v>
      </c>
    </row>
    <row r="23" spans="2:12" x14ac:dyDescent="0.25">
      <c r="B23" s="66"/>
      <c r="C23" s="66"/>
      <c r="D23" s="66"/>
      <c r="E23" s="66">
        <f t="shared" si="0"/>
        <v>0</v>
      </c>
      <c r="F23" s="66"/>
      <c r="G23" s="66"/>
      <c r="H23" s="66"/>
      <c r="I23" s="66">
        <f t="shared" si="1"/>
        <v>0</v>
      </c>
      <c r="J23" s="66"/>
      <c r="K23" s="66"/>
      <c r="L23" s="66">
        <f t="shared" si="2"/>
        <v>0</v>
      </c>
    </row>
    <row r="24" spans="2:12" x14ac:dyDescent="0.25">
      <c r="B24" s="66" t="s">
        <v>287</v>
      </c>
      <c r="C24" s="66"/>
      <c r="D24" s="66"/>
      <c r="E24" s="66">
        <f t="shared" si="0"/>
        <v>0</v>
      </c>
      <c r="F24" s="66" t="s">
        <v>288</v>
      </c>
      <c r="G24" s="66"/>
      <c r="H24" s="66"/>
      <c r="I24" s="66">
        <f t="shared" si="1"/>
        <v>0</v>
      </c>
      <c r="J24" s="66"/>
      <c r="K24" s="66"/>
      <c r="L24" s="66">
        <f t="shared" si="2"/>
        <v>0</v>
      </c>
    </row>
    <row r="25" spans="2:12" x14ac:dyDescent="0.25">
      <c r="B25" s="66"/>
      <c r="C25" s="66"/>
      <c r="D25" s="66"/>
      <c r="E25" s="66">
        <f t="shared" si="0"/>
        <v>0</v>
      </c>
      <c r="F25" s="66" t="s">
        <v>288</v>
      </c>
      <c r="G25" s="66"/>
      <c r="H25" s="66"/>
      <c r="I25" s="66">
        <f t="shared" si="1"/>
        <v>0</v>
      </c>
      <c r="J25" s="66"/>
      <c r="K25" s="66"/>
      <c r="L25" s="66">
        <f t="shared" si="2"/>
        <v>0</v>
      </c>
    </row>
    <row r="26" spans="2:12" x14ac:dyDescent="0.25">
      <c r="B26" s="66"/>
      <c r="C26" s="66"/>
      <c r="D26" s="66"/>
      <c r="E26" s="66">
        <f t="shared" si="0"/>
        <v>0</v>
      </c>
      <c r="F26" s="66" t="s">
        <v>288</v>
      </c>
      <c r="G26" s="66"/>
      <c r="H26" s="66"/>
      <c r="I26" s="66">
        <f t="shared" si="1"/>
        <v>0</v>
      </c>
      <c r="J26" s="66"/>
      <c r="K26" s="66"/>
      <c r="L26" s="66">
        <f t="shared" si="2"/>
        <v>0</v>
      </c>
    </row>
    <row r="27" spans="2:12" x14ac:dyDescent="0.25">
      <c r="B27" s="66"/>
      <c r="C27" s="66"/>
      <c r="D27" s="66"/>
      <c r="E27" s="66">
        <f t="shared" si="0"/>
        <v>0</v>
      </c>
      <c r="F27" s="66" t="s">
        <v>288</v>
      </c>
      <c r="G27" s="66"/>
      <c r="H27" s="66"/>
      <c r="I27" s="66">
        <f t="shared" si="1"/>
        <v>0</v>
      </c>
      <c r="J27" s="66"/>
      <c r="K27" s="66"/>
      <c r="L27" s="66">
        <f t="shared" si="2"/>
        <v>0</v>
      </c>
    </row>
    <row r="28" spans="2:12" x14ac:dyDescent="0.25">
      <c r="B28" s="66" t="s">
        <v>289</v>
      </c>
      <c r="C28" s="66"/>
      <c r="D28" s="66"/>
      <c r="E28" s="66">
        <f t="shared" si="0"/>
        <v>0</v>
      </c>
      <c r="F28" s="66" t="s">
        <v>288</v>
      </c>
      <c r="G28" s="66"/>
      <c r="H28" s="66"/>
      <c r="I28" s="66">
        <f t="shared" si="1"/>
        <v>0</v>
      </c>
      <c r="J28" s="66"/>
      <c r="K28" s="66"/>
      <c r="L28" s="66">
        <f t="shared" si="2"/>
        <v>0</v>
      </c>
    </row>
    <row r="29" spans="2:12" x14ac:dyDescent="0.25">
      <c r="B29" s="66" t="s">
        <v>290</v>
      </c>
      <c r="C29" s="66"/>
      <c r="D29" s="66"/>
      <c r="E29" s="66">
        <f t="shared" si="0"/>
        <v>0</v>
      </c>
      <c r="F29" s="66" t="s">
        <v>288</v>
      </c>
      <c r="G29" s="66"/>
      <c r="H29" s="66"/>
      <c r="I29" s="66">
        <f t="shared" si="1"/>
        <v>0</v>
      </c>
      <c r="J29" s="66"/>
      <c r="K29" s="66"/>
      <c r="L29" s="66">
        <f t="shared" si="2"/>
        <v>0</v>
      </c>
    </row>
    <row r="30" spans="2:12" x14ac:dyDescent="0.25">
      <c r="B30" s="66" t="s">
        <v>291</v>
      </c>
      <c r="C30" s="66"/>
      <c r="D30" s="66"/>
      <c r="E30" s="66">
        <f t="shared" si="0"/>
        <v>0</v>
      </c>
      <c r="F30" s="66"/>
      <c r="G30" s="66"/>
      <c r="H30" s="66"/>
      <c r="I30" s="66">
        <f t="shared" si="1"/>
        <v>0</v>
      </c>
      <c r="J30" s="66"/>
      <c r="K30" s="66"/>
      <c r="L30" s="66">
        <f t="shared" si="2"/>
        <v>0</v>
      </c>
    </row>
    <row r="31" spans="2:12" x14ac:dyDescent="0.25">
      <c r="B31" s="66"/>
      <c r="C31" s="66"/>
      <c r="D31" s="66"/>
      <c r="E31" s="66">
        <f t="shared" si="0"/>
        <v>0</v>
      </c>
      <c r="F31" s="66"/>
      <c r="G31" s="66"/>
      <c r="H31" s="66"/>
      <c r="I31" s="66">
        <f t="shared" si="1"/>
        <v>0</v>
      </c>
      <c r="J31" s="66"/>
      <c r="K31" s="66"/>
      <c r="L31" s="66">
        <f t="shared" si="2"/>
        <v>0</v>
      </c>
    </row>
    <row r="32" spans="2:12" x14ac:dyDescent="0.25">
      <c r="B32" s="66"/>
      <c r="C32" s="66"/>
      <c r="D32" s="66"/>
      <c r="E32" s="66">
        <f t="shared" si="0"/>
        <v>0</v>
      </c>
      <c r="F32" s="66"/>
      <c r="G32" s="66"/>
      <c r="H32" s="66"/>
      <c r="I32" s="66">
        <f t="shared" si="1"/>
        <v>0</v>
      </c>
      <c r="J32" s="66"/>
      <c r="K32" s="66"/>
      <c r="L32" s="66">
        <f t="shared" si="2"/>
        <v>0</v>
      </c>
    </row>
    <row r="33" spans="2:12" x14ac:dyDescent="0.25">
      <c r="B33" s="66" t="s">
        <v>292</v>
      </c>
      <c r="C33" s="66"/>
      <c r="D33" s="66"/>
      <c r="E33" s="66">
        <f t="shared" si="0"/>
        <v>0</v>
      </c>
      <c r="F33" s="66"/>
      <c r="G33" s="66"/>
      <c r="H33" s="66"/>
      <c r="I33" s="66">
        <f t="shared" si="1"/>
        <v>0</v>
      </c>
      <c r="J33" s="66"/>
      <c r="K33" s="66"/>
      <c r="L33" s="66">
        <f t="shared" si="2"/>
        <v>0</v>
      </c>
    </row>
    <row r="34" spans="2:12" x14ac:dyDescent="0.25">
      <c r="B34" s="66" t="s">
        <v>293</v>
      </c>
      <c r="C34" s="66"/>
      <c r="D34" s="66"/>
      <c r="E34" s="66">
        <f t="shared" si="0"/>
        <v>0</v>
      </c>
      <c r="F34" s="66"/>
      <c r="G34" s="66"/>
      <c r="H34" s="66"/>
      <c r="I34" s="66">
        <f t="shared" si="1"/>
        <v>0</v>
      </c>
      <c r="J34" s="66"/>
      <c r="K34" s="66"/>
      <c r="L34" s="66">
        <f t="shared" si="2"/>
        <v>0</v>
      </c>
    </row>
    <row r="35" spans="2:12" x14ac:dyDescent="0.25">
      <c r="B35" s="66" t="s">
        <v>294</v>
      </c>
      <c r="C35" s="66"/>
      <c r="D35" s="66"/>
      <c r="E35" s="66">
        <f t="shared" si="0"/>
        <v>0</v>
      </c>
      <c r="F35" s="66"/>
      <c r="G35" s="66"/>
      <c r="H35" s="66"/>
      <c r="I35" s="66">
        <f t="shared" si="1"/>
        <v>0</v>
      </c>
      <c r="J35" s="66"/>
      <c r="K35" s="66"/>
      <c r="L35" s="66">
        <f t="shared" si="2"/>
        <v>0</v>
      </c>
    </row>
    <row r="36" spans="2:12" x14ac:dyDescent="0.25">
      <c r="B36" s="66" t="s">
        <v>295</v>
      </c>
      <c r="C36" s="66"/>
      <c r="D36" s="66"/>
      <c r="E36" s="66">
        <f t="shared" si="0"/>
        <v>0</v>
      </c>
      <c r="F36" s="66"/>
      <c r="G36" s="66"/>
      <c r="H36" s="66"/>
      <c r="I36" s="66">
        <f>G36*H36</f>
        <v>0</v>
      </c>
      <c r="J36" s="66"/>
      <c r="K36" s="66"/>
      <c r="L36" s="66">
        <f>J36*K36</f>
        <v>0</v>
      </c>
    </row>
    <row r="37" spans="2:12" x14ac:dyDescent="0.25">
      <c r="B37" s="66"/>
      <c r="C37" s="66"/>
      <c r="D37" s="66"/>
      <c r="E37" s="66">
        <f t="shared" si="0"/>
        <v>0</v>
      </c>
      <c r="F37" s="66"/>
      <c r="G37" s="66"/>
      <c r="H37" s="66"/>
      <c r="I37" s="66">
        <f t="shared" ref="I37:I38" si="3">G37*H37</f>
        <v>0</v>
      </c>
      <c r="J37" s="66"/>
      <c r="K37" s="66"/>
      <c r="L37" s="66">
        <f t="shared" ref="L37:L38" si="4">J37*K37</f>
        <v>0</v>
      </c>
    </row>
    <row r="38" spans="2:12" x14ac:dyDescent="0.25">
      <c r="B38" s="66" t="s">
        <v>296</v>
      </c>
      <c r="C38" s="66"/>
      <c r="D38" s="66"/>
      <c r="E38" s="66">
        <f t="shared" si="0"/>
        <v>0</v>
      </c>
      <c r="F38" s="66"/>
      <c r="G38" s="66"/>
      <c r="H38" s="66"/>
      <c r="I38" s="66">
        <f t="shared" si="3"/>
        <v>0</v>
      </c>
      <c r="J38" s="66"/>
      <c r="K38" s="66"/>
      <c r="L38" s="66">
        <f t="shared" si="4"/>
        <v>0</v>
      </c>
    </row>
    <row r="39" spans="2:12" x14ac:dyDescent="0.25">
      <c r="B39" s="66"/>
      <c r="C39" s="66"/>
      <c r="D39" s="66"/>
      <c r="E39" s="66">
        <f t="shared" si="0"/>
        <v>0</v>
      </c>
      <c r="F39" s="66"/>
      <c r="G39" s="66"/>
      <c r="H39" s="66"/>
      <c r="I39" s="66">
        <f>G39*H39</f>
        <v>0</v>
      </c>
      <c r="J39" s="66"/>
      <c r="K39" s="66"/>
      <c r="L39" s="66">
        <f>J39*K39</f>
        <v>0</v>
      </c>
    </row>
    <row r="40" spans="2:12" x14ac:dyDescent="0.25">
      <c r="B40" s="66"/>
      <c r="C40" s="66"/>
      <c r="D40" s="66"/>
      <c r="E40" s="66">
        <f t="shared" si="0"/>
        <v>0</v>
      </c>
      <c r="F40" s="66"/>
      <c r="G40" s="66"/>
      <c r="H40" s="66"/>
      <c r="I40" s="66">
        <f>G40*H40</f>
        <v>0</v>
      </c>
      <c r="J40" s="66"/>
      <c r="K40" s="66"/>
      <c r="L40" s="66">
        <f>J40*K40</f>
        <v>0</v>
      </c>
    </row>
    <row r="41" spans="2:12" x14ac:dyDescent="0.25">
      <c r="B41" s="66"/>
      <c r="C41" s="66"/>
      <c r="D41" s="66"/>
      <c r="E41" s="66">
        <f t="shared" si="0"/>
        <v>0</v>
      </c>
      <c r="F41" s="66"/>
      <c r="G41" s="66"/>
      <c r="H41" s="66"/>
      <c r="I41" s="66">
        <f>G41*H41</f>
        <v>0</v>
      </c>
      <c r="J41" s="66"/>
      <c r="K41" s="66"/>
      <c r="L41" s="66">
        <f>J41*K41</f>
        <v>0</v>
      </c>
    </row>
    <row r="42" spans="2:12" x14ac:dyDescent="0.25">
      <c r="B42" s="66" t="s">
        <v>155</v>
      </c>
      <c r="C42" s="66"/>
      <c r="D42" s="66">
        <f>E42*10.764</f>
        <v>0</v>
      </c>
      <c r="E42" s="85">
        <f>SUM(E6:E41)</f>
        <v>0</v>
      </c>
      <c r="F42" s="66"/>
      <c r="G42" s="66"/>
      <c r="H42" s="66">
        <f>I42*10.764</f>
        <v>0</v>
      </c>
      <c r="I42" s="86">
        <f>SUM(I6:I41)</f>
        <v>0</v>
      </c>
      <c r="J42" s="66"/>
      <c r="K42" s="66">
        <f>L42*10.764</f>
        <v>0</v>
      </c>
      <c r="L42" s="87">
        <f>SUM(L6:L41)</f>
        <v>0</v>
      </c>
    </row>
    <row r="44" spans="2:12" x14ac:dyDescent="0.25">
      <c r="D44" s="82">
        <f>D42+H42</f>
        <v>0</v>
      </c>
      <c r="E44" s="8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2025-07-07T09:53:39Z</cp:lastPrinted>
  <dcterms:created xsi:type="dcterms:W3CDTF">2010-11-23T11:42:48Z</dcterms:created>
  <dcterms:modified xsi:type="dcterms:W3CDTF">2025-07-07T09:55:40Z</dcterms:modified>
</cp:coreProperties>
</file>