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July 25\Old\"/>
    </mc:Choice>
  </mc:AlternateContent>
  <bookViews>
    <workbookView xWindow="0" yWindow="0" windowWidth="20490" windowHeight="7755" tabRatio="821"/>
  </bookViews>
  <sheets>
    <sheet name="report" sheetId="7" r:id="rId1"/>
    <sheet name="Sheet1" sheetId="30" r:id="rId2"/>
    <sheet name="24" sheetId="27" r:id="rId3"/>
    <sheet name="25" sheetId="31" r:id="rId4"/>
    <sheet name="26" sheetId="32" r:id="rId5"/>
    <sheet name="27" sheetId="28" r:id="rId6"/>
    <sheet name="28" sheetId="33" r:id="rId7"/>
    <sheet name="29-30" sheetId="29" r:id="rId8"/>
    <sheet name="VALUATION" sheetId="10" r:id="rId9"/>
  </sheets>
  <definedNames>
    <definedName name="_xlnm.Print_Area" localSheetId="0">report!$A$1:$I$615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4" i="7" l="1"/>
  <c r="M102" i="7"/>
  <c r="K100" i="7"/>
  <c r="K99" i="7"/>
  <c r="K98" i="7"/>
  <c r="K97" i="7"/>
  <c r="K116" i="7"/>
  <c r="K115" i="7"/>
  <c r="K114" i="7"/>
  <c r="K113" i="7"/>
  <c r="K132" i="7"/>
  <c r="K131" i="7"/>
  <c r="K130" i="7"/>
  <c r="K129" i="7"/>
  <c r="M86" i="7"/>
  <c r="K84" i="7"/>
  <c r="K83" i="7"/>
  <c r="K82" i="7"/>
  <c r="K81" i="7"/>
  <c r="M70" i="7"/>
  <c r="K68" i="7"/>
  <c r="K67" i="7"/>
  <c r="K66" i="7"/>
  <c r="K65" i="7"/>
  <c r="I75" i="7"/>
  <c r="I91" i="7"/>
  <c r="I123" i="7"/>
  <c r="I59" i="7"/>
  <c r="I107" i="7"/>
  <c r="K94" i="7" l="1"/>
  <c r="C93" i="7" s="1"/>
  <c r="F93" i="7" s="1"/>
  <c r="E102" i="7"/>
  <c r="E98" i="7"/>
  <c r="E94" i="7"/>
  <c r="K93" i="7"/>
  <c r="E101" i="7"/>
  <c r="E97" i="7"/>
  <c r="E99" i="7"/>
  <c r="E95" i="7"/>
  <c r="K92" i="7"/>
  <c r="E104" i="7"/>
  <c r="E100" i="7"/>
  <c r="E96" i="7"/>
  <c r="E103" i="7"/>
  <c r="K95" i="7"/>
  <c r="K96" i="7" s="1"/>
  <c r="K101" i="7" s="1"/>
  <c r="K102" i="7" s="1"/>
  <c r="K110" i="7"/>
  <c r="C109" i="7" s="1"/>
  <c r="F109" i="7" s="1"/>
  <c r="E110" i="7"/>
  <c r="K109" i="7"/>
  <c r="E117" i="7"/>
  <c r="E120" i="7"/>
  <c r="E116" i="7"/>
  <c r="E112" i="7"/>
  <c r="E119" i="7"/>
  <c r="K111" i="7"/>
  <c r="K112" i="7" s="1"/>
  <c r="K117" i="7" s="1"/>
  <c r="K118" i="7" s="1"/>
  <c r="E115" i="7"/>
  <c r="E111" i="7"/>
  <c r="K108" i="7"/>
  <c r="E118" i="7"/>
  <c r="E114" i="7"/>
  <c r="E113" i="7"/>
  <c r="E134" i="7"/>
  <c r="E130" i="7"/>
  <c r="E126" i="7"/>
  <c r="K125" i="7"/>
  <c r="E133" i="7"/>
  <c r="E129" i="7"/>
  <c r="E135" i="7"/>
  <c r="K127" i="7"/>
  <c r="K128" i="7" s="1"/>
  <c r="K133" i="7" s="1"/>
  <c r="K134" i="7" s="1"/>
  <c r="K124" i="7"/>
  <c r="E136" i="7"/>
  <c r="E132" i="7"/>
  <c r="E128" i="7"/>
  <c r="E131" i="7"/>
  <c r="E127" i="7"/>
  <c r="K126" i="7"/>
  <c r="C125" i="7" s="1"/>
  <c r="F125" i="7" s="1"/>
  <c r="E88" i="7"/>
  <c r="E87" i="7"/>
  <c r="K79" i="7"/>
  <c r="K80" i="7" s="1"/>
  <c r="K85" i="7" s="1"/>
  <c r="K86" i="7" s="1"/>
  <c r="C78" i="7" s="1"/>
  <c r="E78" i="7" s="1"/>
  <c r="E83" i="7"/>
  <c r="E79" i="7"/>
  <c r="K76" i="7"/>
  <c r="E86" i="7"/>
  <c r="K78" i="7"/>
  <c r="C77" i="7" s="1"/>
  <c r="E82" i="7"/>
  <c r="K77" i="7"/>
  <c r="E85" i="7"/>
  <c r="E81" i="7"/>
  <c r="E84" i="7"/>
  <c r="E80" i="7"/>
  <c r="E70" i="7"/>
  <c r="E66" i="7"/>
  <c r="K61" i="7"/>
  <c r="E68" i="7"/>
  <c r="K60" i="7"/>
  <c r="K62" i="7"/>
  <c r="C61" i="7" s="1"/>
  <c r="E69" i="7"/>
  <c r="E65" i="7"/>
  <c r="E72" i="7"/>
  <c r="E64" i="7"/>
  <c r="E71" i="7"/>
  <c r="K63" i="7"/>
  <c r="K64" i="7" s="1"/>
  <c r="K69" i="7" s="1"/>
  <c r="K70" i="7" s="1"/>
  <c r="C62" i="7" s="1"/>
  <c r="E62" i="7" s="1"/>
  <c r="E67" i="7"/>
  <c r="E63" i="7"/>
  <c r="E93" i="7" l="1"/>
  <c r="J90" i="7" s="1"/>
  <c r="H93" i="7" s="1"/>
  <c r="E109" i="7"/>
  <c r="J106" i="7" s="1"/>
  <c r="H109" i="7" s="1"/>
  <c r="E125" i="7"/>
  <c r="J122" i="7" s="1"/>
  <c r="H125" i="7" s="1"/>
  <c r="F77" i="7"/>
  <c r="E77" i="7"/>
  <c r="F61" i="7"/>
  <c r="E61" i="7"/>
  <c r="H137" i="7" l="1"/>
  <c r="J74" i="7"/>
  <c r="H77" i="7" s="1"/>
  <c r="J58" i="7"/>
  <c r="H61" i="7" s="1"/>
  <c r="I4" i="7"/>
  <c r="B16" i="33" l="1"/>
  <c r="O6" i="33" s="1"/>
  <c r="G19" i="33" s="1"/>
  <c r="B14" i="33"/>
  <c r="E9" i="33" s="1"/>
  <c r="B12" i="33"/>
  <c r="M6" i="33" s="1"/>
  <c r="G17" i="33" s="1"/>
  <c r="E10" i="33"/>
  <c r="B10" i="33"/>
  <c r="E7" i="33" s="1"/>
  <c r="E8" i="33"/>
  <c r="B8" i="33"/>
  <c r="K7" i="33" s="1"/>
  <c r="H15" i="33" s="1"/>
  <c r="O7" i="33"/>
  <c r="H19" i="33" s="1"/>
  <c r="N7" i="33"/>
  <c r="H18" i="33" s="1"/>
  <c r="M7" i="33"/>
  <c r="H17" i="33" s="1"/>
  <c r="L7" i="33"/>
  <c r="H16" i="33" s="1"/>
  <c r="I6" i="33"/>
  <c r="I7" i="33" s="1"/>
  <c r="H13" i="33" s="1"/>
  <c r="B6" i="33"/>
  <c r="J6" i="33" s="1"/>
  <c r="G14" i="33" s="1"/>
  <c r="E4" i="33"/>
  <c r="C8" i="31"/>
  <c r="C10" i="31" s="1"/>
  <c r="E5" i="33" l="1"/>
  <c r="G13" i="33"/>
  <c r="J7" i="33"/>
  <c r="H14" i="33" s="1"/>
  <c r="N6" i="33"/>
  <c r="G18" i="33" s="1"/>
  <c r="L6" i="33"/>
  <c r="G16" i="33" s="1"/>
  <c r="E6" i="33"/>
  <c r="H20" i="33"/>
  <c r="K6" i="33"/>
  <c r="G15" i="33" s="1"/>
  <c r="G20" i="33" s="1"/>
  <c r="C8" i="32"/>
  <c r="C10" i="32" s="1"/>
  <c r="B16" i="32"/>
  <c r="O6" i="32" s="1"/>
  <c r="G19" i="32" s="1"/>
  <c r="B14" i="32"/>
  <c r="E9" i="32" s="1"/>
  <c r="G13" i="32"/>
  <c r="B12" i="32"/>
  <c r="M7" i="32" s="1"/>
  <c r="H17" i="32" s="1"/>
  <c r="B10" i="32"/>
  <c r="E8" i="32"/>
  <c r="B8" i="32"/>
  <c r="I6" i="32"/>
  <c r="I7" i="32" s="1"/>
  <c r="H13" i="32" s="1"/>
  <c r="B6" i="32"/>
  <c r="J7" i="32" s="1"/>
  <c r="H14" i="32" s="1"/>
  <c r="E4" i="32"/>
  <c r="E10" i="32" l="1"/>
  <c r="O7" i="32"/>
  <c r="H19" i="32" s="1"/>
  <c r="M6" i="32"/>
  <c r="G17" i="32" s="1"/>
  <c r="L7" i="32"/>
  <c r="H16" i="32" s="1"/>
  <c r="K7" i="32"/>
  <c r="H15" i="32" s="1"/>
  <c r="K6" i="32"/>
  <c r="G15" i="32" s="1"/>
  <c r="E6" i="32"/>
  <c r="L6" i="32"/>
  <c r="G16" i="32" s="1"/>
  <c r="E7" i="32"/>
  <c r="E5" i="32"/>
  <c r="J6" i="32"/>
  <c r="G14" i="32" s="1"/>
  <c r="N6" i="32"/>
  <c r="G18" i="32" s="1"/>
  <c r="N7" i="32"/>
  <c r="H18" i="32" s="1"/>
  <c r="G20" i="32" l="1"/>
  <c r="H20" i="32"/>
  <c r="B16" i="31"/>
  <c r="E10" i="31" s="1"/>
  <c r="B14" i="31"/>
  <c r="E9" i="31" s="1"/>
  <c r="B12" i="31"/>
  <c r="B10" i="31"/>
  <c r="L7" i="31" s="1"/>
  <c r="H16" i="31" s="1"/>
  <c r="E8" i="31"/>
  <c r="B8" i="31"/>
  <c r="K6" i="31" s="1"/>
  <c r="G15" i="31" s="1"/>
  <c r="O7" i="31"/>
  <c r="H19" i="31" s="1"/>
  <c r="M7" i="31"/>
  <c r="H17" i="31" s="1"/>
  <c r="O6" i="31"/>
  <c r="G19" i="31" s="1"/>
  <c r="M6" i="31"/>
  <c r="G17" i="31" s="1"/>
  <c r="I6" i="31"/>
  <c r="G13" i="31" s="1"/>
  <c r="B6" i="31"/>
  <c r="J7" i="31" s="1"/>
  <c r="H14" i="31" s="1"/>
  <c r="E4" i="31"/>
  <c r="K7" i="31" l="1"/>
  <c r="H15" i="31" s="1"/>
  <c r="E6" i="31"/>
  <c r="L6" i="31"/>
  <c r="G16" i="31" s="1"/>
  <c r="E7" i="31"/>
  <c r="I7" i="31"/>
  <c r="H13" i="31" s="1"/>
  <c r="E5" i="31"/>
  <c r="J6" i="31"/>
  <c r="G14" i="31" s="1"/>
  <c r="N6" i="31"/>
  <c r="G18" i="31" s="1"/>
  <c r="N7" i="31"/>
  <c r="H18" i="31" s="1"/>
  <c r="F572" i="7"/>
  <c r="I572" i="7" s="1"/>
  <c r="F571" i="7"/>
  <c r="I571" i="7" s="1"/>
  <c r="F570" i="7"/>
  <c r="I570" i="7" s="1"/>
  <c r="F569" i="7"/>
  <c r="I569" i="7" s="1"/>
  <c r="F567" i="7"/>
  <c r="I567" i="7" s="1"/>
  <c r="F566" i="7"/>
  <c r="I566" i="7" s="1"/>
  <c r="F565" i="7"/>
  <c r="I565" i="7" s="1"/>
  <c r="F564" i="7"/>
  <c r="I564" i="7" s="1"/>
  <c r="F563" i="7"/>
  <c r="I563" i="7" s="1"/>
  <c r="A563" i="7"/>
  <c r="F561" i="7"/>
  <c r="I561" i="7" s="1"/>
  <c r="F560" i="7"/>
  <c r="I560" i="7" s="1"/>
  <c r="F559" i="7"/>
  <c r="I559" i="7" s="1"/>
  <c r="F558" i="7"/>
  <c r="I558" i="7" s="1"/>
  <c r="F556" i="7"/>
  <c r="I556" i="7" s="1"/>
  <c r="F555" i="7"/>
  <c r="I555" i="7" s="1"/>
  <c r="F554" i="7"/>
  <c r="I554" i="7" s="1"/>
  <c r="F553" i="7"/>
  <c r="I553" i="7" s="1"/>
  <c r="F552" i="7"/>
  <c r="I552" i="7" s="1"/>
  <c r="A552" i="7"/>
  <c r="F549" i="7"/>
  <c r="I549" i="7" s="1"/>
  <c r="F548" i="7"/>
  <c r="I548" i="7" s="1"/>
  <c r="F547" i="7"/>
  <c r="I547" i="7" s="1"/>
  <c r="F546" i="7"/>
  <c r="I546" i="7" s="1"/>
  <c r="F544" i="7"/>
  <c r="I544" i="7" s="1"/>
  <c r="F543" i="7"/>
  <c r="I543" i="7" s="1"/>
  <c r="F542" i="7"/>
  <c r="I542" i="7" s="1"/>
  <c r="F541" i="7"/>
  <c r="I541" i="7" s="1"/>
  <c r="F540" i="7"/>
  <c r="I540" i="7" s="1"/>
  <c r="A540" i="7"/>
  <c r="F538" i="7"/>
  <c r="I538" i="7" s="1"/>
  <c r="F537" i="7"/>
  <c r="I537" i="7" s="1"/>
  <c r="F536" i="7"/>
  <c r="I536" i="7" s="1"/>
  <c r="F535" i="7"/>
  <c r="I535" i="7" s="1"/>
  <c r="F534" i="7"/>
  <c r="I534" i="7" s="1"/>
  <c r="F533" i="7"/>
  <c r="I533" i="7" s="1"/>
  <c r="F532" i="7"/>
  <c r="I532" i="7" s="1"/>
  <c r="F531" i="7"/>
  <c r="I531" i="7" s="1"/>
  <c r="F530" i="7"/>
  <c r="I530" i="7" s="1"/>
  <c r="F529" i="7"/>
  <c r="I529" i="7" s="1"/>
  <c r="A529" i="7"/>
  <c r="F527" i="7"/>
  <c r="I527" i="7" s="1"/>
  <c r="F526" i="7"/>
  <c r="I526" i="7" s="1"/>
  <c r="F525" i="7"/>
  <c r="I525" i="7" s="1"/>
  <c r="F524" i="7"/>
  <c r="I524" i="7" s="1"/>
  <c r="F523" i="7"/>
  <c r="I523" i="7" s="1"/>
  <c r="F520" i="7"/>
  <c r="I520" i="7" s="1"/>
  <c r="F519" i="7"/>
  <c r="I519" i="7" s="1"/>
  <c r="F518" i="7"/>
  <c r="I518" i="7" s="1"/>
  <c r="A518" i="7"/>
  <c r="F514" i="7"/>
  <c r="I514" i="7" s="1"/>
  <c r="F513" i="7"/>
  <c r="I513" i="7" s="1"/>
  <c r="F512" i="7"/>
  <c r="I512" i="7" s="1"/>
  <c r="F511" i="7"/>
  <c r="I511" i="7" s="1"/>
  <c r="F510" i="7"/>
  <c r="I510" i="7" s="1"/>
  <c r="F508" i="7"/>
  <c r="I508" i="7" s="1"/>
  <c r="F507" i="7"/>
  <c r="I507" i="7" s="1"/>
  <c r="F506" i="7"/>
  <c r="I506" i="7" s="1"/>
  <c r="F505" i="7"/>
  <c r="I505" i="7" s="1"/>
  <c r="F504" i="7"/>
  <c r="I504" i="7" s="1"/>
  <c r="F503" i="7"/>
  <c r="I503" i="7" s="1"/>
  <c r="A503" i="7"/>
  <c r="F501" i="7"/>
  <c r="I501" i="7" s="1"/>
  <c r="F500" i="7"/>
  <c r="I500" i="7" s="1"/>
  <c r="F499" i="7"/>
  <c r="I499" i="7" s="1"/>
  <c r="F498" i="7"/>
  <c r="I498" i="7" s="1"/>
  <c r="F497" i="7"/>
  <c r="I497" i="7" s="1"/>
  <c r="F495" i="7"/>
  <c r="I495" i="7" s="1"/>
  <c r="F494" i="7"/>
  <c r="I494" i="7" s="1"/>
  <c r="F493" i="7"/>
  <c r="I493" i="7" s="1"/>
  <c r="F492" i="7"/>
  <c r="I492" i="7" s="1"/>
  <c r="F491" i="7"/>
  <c r="I491" i="7" s="1"/>
  <c r="F490" i="7"/>
  <c r="I490" i="7" s="1"/>
  <c r="A490" i="7"/>
  <c r="F487" i="7"/>
  <c r="I487" i="7" s="1"/>
  <c r="F486" i="7"/>
  <c r="I486" i="7" s="1"/>
  <c r="F485" i="7"/>
  <c r="I485" i="7" s="1"/>
  <c r="F484" i="7"/>
  <c r="I484" i="7" s="1"/>
  <c r="F483" i="7"/>
  <c r="I483" i="7" s="1"/>
  <c r="F481" i="7"/>
  <c r="I481" i="7" s="1"/>
  <c r="F480" i="7"/>
  <c r="I480" i="7" s="1"/>
  <c r="F479" i="7"/>
  <c r="I479" i="7" s="1"/>
  <c r="F478" i="7"/>
  <c r="I478" i="7" s="1"/>
  <c r="F477" i="7"/>
  <c r="I477" i="7" s="1"/>
  <c r="F476" i="7"/>
  <c r="I476" i="7" s="1"/>
  <c r="A476" i="7"/>
  <c r="F474" i="7"/>
  <c r="I474" i="7" s="1"/>
  <c r="F473" i="7"/>
  <c r="I473" i="7" s="1"/>
  <c r="F472" i="7"/>
  <c r="I472" i="7" s="1"/>
  <c r="F471" i="7"/>
  <c r="I471" i="7" s="1"/>
  <c r="F470" i="7"/>
  <c r="I470" i="7" s="1"/>
  <c r="F469" i="7"/>
  <c r="I469" i="7" s="1"/>
  <c r="F468" i="7"/>
  <c r="I468" i="7" s="1"/>
  <c r="F467" i="7"/>
  <c r="I467" i="7" s="1"/>
  <c r="F466" i="7"/>
  <c r="I466" i="7" s="1"/>
  <c r="F465" i="7"/>
  <c r="I465" i="7" s="1"/>
  <c r="F464" i="7"/>
  <c r="I464" i="7" s="1"/>
  <c r="F463" i="7"/>
  <c r="I463" i="7" s="1"/>
  <c r="A463" i="7"/>
  <c r="F460" i="7"/>
  <c r="I460" i="7" s="1"/>
  <c r="F459" i="7"/>
  <c r="I459" i="7" s="1"/>
  <c r="F458" i="7"/>
  <c r="I458" i="7" s="1"/>
  <c r="F457" i="7"/>
  <c r="I457" i="7" s="1"/>
  <c r="F456" i="7"/>
  <c r="I456" i="7" s="1"/>
  <c r="F455" i="7"/>
  <c r="I455" i="7" s="1"/>
  <c r="F454" i="7"/>
  <c r="I454" i="7" s="1"/>
  <c r="F451" i="7"/>
  <c r="I451" i="7" s="1"/>
  <c r="F450" i="7"/>
  <c r="I450" i="7" s="1"/>
  <c r="A450" i="7"/>
  <c r="A29" i="30"/>
  <c r="A42" i="30"/>
  <c r="A56" i="30"/>
  <c r="A84" i="30"/>
  <c r="A95" i="30"/>
  <c r="A106" i="30"/>
  <c r="A118" i="30"/>
  <c r="F138" i="30"/>
  <c r="I138" i="30" s="1"/>
  <c r="F137" i="30"/>
  <c r="I137" i="30" s="1"/>
  <c r="F136" i="30"/>
  <c r="I136" i="30" s="1"/>
  <c r="F135" i="30"/>
  <c r="I135" i="30" s="1"/>
  <c r="F133" i="30"/>
  <c r="I133" i="30" s="1"/>
  <c r="F132" i="30"/>
  <c r="I132" i="30" s="1"/>
  <c r="F131" i="30"/>
  <c r="I131" i="30" s="1"/>
  <c r="F130" i="30"/>
  <c r="I130" i="30" s="1"/>
  <c r="A129" i="30"/>
  <c r="F129" i="30"/>
  <c r="I129" i="30" s="1"/>
  <c r="F127" i="30"/>
  <c r="I127" i="30" s="1"/>
  <c r="F126" i="30"/>
  <c r="I126" i="30" s="1"/>
  <c r="F125" i="30"/>
  <c r="I125" i="30" s="1"/>
  <c r="F124" i="30"/>
  <c r="I124" i="30" s="1"/>
  <c r="F122" i="30"/>
  <c r="I122" i="30" s="1"/>
  <c r="F121" i="30"/>
  <c r="I121" i="30" s="1"/>
  <c r="F120" i="30"/>
  <c r="I120" i="30" s="1"/>
  <c r="F119" i="30"/>
  <c r="I119" i="30" s="1"/>
  <c r="F118" i="30"/>
  <c r="I118" i="30" s="1"/>
  <c r="F115" i="30"/>
  <c r="I115" i="30" s="1"/>
  <c r="F114" i="30"/>
  <c r="I114" i="30" s="1"/>
  <c r="F113" i="30"/>
  <c r="I113" i="30" s="1"/>
  <c r="F112" i="30"/>
  <c r="I112" i="30" s="1"/>
  <c r="F110" i="30"/>
  <c r="I110" i="30" s="1"/>
  <c r="F109" i="30"/>
  <c r="I109" i="30" s="1"/>
  <c r="F108" i="30"/>
  <c r="I108" i="30" s="1"/>
  <c r="F107" i="30"/>
  <c r="I107" i="30" s="1"/>
  <c r="F106" i="30"/>
  <c r="I106" i="30" s="1"/>
  <c r="F104" i="30"/>
  <c r="I104" i="30" s="1"/>
  <c r="F103" i="30"/>
  <c r="I103" i="30" s="1"/>
  <c r="F102" i="30"/>
  <c r="I102" i="30" s="1"/>
  <c r="F101" i="30"/>
  <c r="I101" i="30" s="1"/>
  <c r="F100" i="30"/>
  <c r="I100" i="30" s="1"/>
  <c r="F99" i="30"/>
  <c r="I99" i="30" s="1"/>
  <c r="F98" i="30"/>
  <c r="I98" i="30" s="1"/>
  <c r="F97" i="30"/>
  <c r="I97" i="30" s="1"/>
  <c r="F96" i="30"/>
  <c r="I96" i="30" s="1"/>
  <c r="F95" i="30"/>
  <c r="I95" i="30" s="1"/>
  <c r="F93" i="30"/>
  <c r="I93" i="30" s="1"/>
  <c r="F92" i="30"/>
  <c r="I92" i="30" s="1"/>
  <c r="F91" i="30"/>
  <c r="I91" i="30" s="1"/>
  <c r="F90" i="30"/>
  <c r="I90" i="30" s="1"/>
  <c r="F89" i="30"/>
  <c r="I89" i="30" s="1"/>
  <c r="F86" i="30"/>
  <c r="I86" i="30" s="1"/>
  <c r="F85" i="30"/>
  <c r="I85" i="30" s="1"/>
  <c r="F84" i="30"/>
  <c r="I84" i="30" s="1"/>
  <c r="F80" i="30"/>
  <c r="I80" i="30" s="1"/>
  <c r="F79" i="30"/>
  <c r="I79" i="30" s="1"/>
  <c r="F78" i="30"/>
  <c r="I78" i="30" s="1"/>
  <c r="F77" i="30"/>
  <c r="I77" i="30" s="1"/>
  <c r="F76" i="30"/>
  <c r="I76" i="30" s="1"/>
  <c r="F74" i="30"/>
  <c r="I74" i="30" s="1"/>
  <c r="F73" i="30"/>
  <c r="I73" i="30" s="1"/>
  <c r="F72" i="30"/>
  <c r="I72" i="30" s="1"/>
  <c r="F71" i="30"/>
  <c r="I71" i="30" s="1"/>
  <c r="F70" i="30"/>
  <c r="I70" i="30" s="1"/>
  <c r="A69" i="30"/>
  <c r="F69" i="30"/>
  <c r="I69" i="30" s="1"/>
  <c r="F67" i="30"/>
  <c r="I67" i="30" s="1"/>
  <c r="F66" i="30"/>
  <c r="I66" i="30" s="1"/>
  <c r="F65" i="30"/>
  <c r="I65" i="30" s="1"/>
  <c r="F64" i="30"/>
  <c r="I64" i="30" s="1"/>
  <c r="F63" i="30"/>
  <c r="I63" i="30" s="1"/>
  <c r="F61" i="30"/>
  <c r="I61" i="30" s="1"/>
  <c r="F60" i="30"/>
  <c r="I60" i="30" s="1"/>
  <c r="F59" i="30"/>
  <c r="I59" i="30" s="1"/>
  <c r="F58" i="30"/>
  <c r="I58" i="30" s="1"/>
  <c r="F57" i="30"/>
  <c r="I57" i="30" s="1"/>
  <c r="F56" i="30"/>
  <c r="I56" i="30" s="1"/>
  <c r="F53" i="30"/>
  <c r="I53" i="30" s="1"/>
  <c r="F52" i="30"/>
  <c r="I52" i="30" s="1"/>
  <c r="F51" i="30"/>
  <c r="I51" i="30" s="1"/>
  <c r="F50" i="30"/>
  <c r="I50" i="30" s="1"/>
  <c r="F49" i="30"/>
  <c r="I49" i="30" s="1"/>
  <c r="F47" i="30"/>
  <c r="I47" i="30" s="1"/>
  <c r="F46" i="30"/>
  <c r="I46" i="30" s="1"/>
  <c r="F45" i="30"/>
  <c r="I45" i="30" s="1"/>
  <c r="F44" i="30"/>
  <c r="I44" i="30" s="1"/>
  <c r="F43" i="30"/>
  <c r="I43" i="30" s="1"/>
  <c r="F42" i="30"/>
  <c r="I42" i="30" s="1"/>
  <c r="F40" i="30"/>
  <c r="I40" i="30" s="1"/>
  <c r="F39" i="30"/>
  <c r="I39" i="30" s="1"/>
  <c r="F38" i="30"/>
  <c r="I38" i="30" s="1"/>
  <c r="F37" i="30"/>
  <c r="I37" i="30" s="1"/>
  <c r="F36" i="30"/>
  <c r="I36" i="30" s="1"/>
  <c r="F35" i="30"/>
  <c r="I35" i="30" s="1"/>
  <c r="F34" i="30"/>
  <c r="I34" i="30" s="1"/>
  <c r="F33" i="30"/>
  <c r="I33" i="30" s="1"/>
  <c r="F32" i="30"/>
  <c r="I32" i="30" s="1"/>
  <c r="F31" i="30"/>
  <c r="I31" i="30" s="1"/>
  <c r="F30" i="30"/>
  <c r="I30" i="30" s="1"/>
  <c r="F29" i="30"/>
  <c r="I29" i="30" s="1"/>
  <c r="F26" i="30"/>
  <c r="I26" i="30" s="1"/>
  <c r="F25" i="30"/>
  <c r="I25" i="30" s="1"/>
  <c r="F24" i="30"/>
  <c r="I24" i="30" s="1"/>
  <c r="F23" i="30"/>
  <c r="I23" i="30" s="1"/>
  <c r="F22" i="30"/>
  <c r="I22" i="30" s="1"/>
  <c r="F21" i="30"/>
  <c r="I21" i="30" s="1"/>
  <c r="F20" i="30"/>
  <c r="I20" i="30" s="1"/>
  <c r="F17" i="30"/>
  <c r="I17" i="30" s="1"/>
  <c r="A16" i="30"/>
  <c r="F16" i="30"/>
  <c r="I16" i="30" s="1"/>
  <c r="P12" i="30"/>
  <c r="S12" i="30" s="1"/>
  <c r="P11" i="30"/>
  <c r="S11" i="30" s="1"/>
  <c r="P10" i="30"/>
  <c r="S10" i="30" s="1"/>
  <c r="P9" i="30"/>
  <c r="S9" i="30" s="1"/>
  <c r="P8" i="30"/>
  <c r="S8" i="30" s="1"/>
  <c r="P7" i="30"/>
  <c r="S7" i="30" s="1"/>
  <c r="P6" i="30"/>
  <c r="S6" i="30" s="1"/>
  <c r="P5" i="30"/>
  <c r="S5" i="30" s="1"/>
  <c r="P4" i="30"/>
  <c r="S4" i="30" s="1"/>
  <c r="K4" i="30"/>
  <c r="G20" i="31" l="1"/>
  <c r="H20" i="31"/>
  <c r="H146" i="7"/>
  <c r="H147" i="7" s="1"/>
  <c r="H145" i="7"/>
  <c r="H144" i="7"/>
  <c r="H143" i="7"/>
  <c r="I137" i="7" l="1"/>
  <c r="B16" i="29"/>
  <c r="E10" i="29" s="1"/>
  <c r="B14" i="29"/>
  <c r="E9" i="29" s="1"/>
  <c r="B12" i="29"/>
  <c r="E8" i="29" s="1"/>
  <c r="B10" i="29"/>
  <c r="B8" i="29"/>
  <c r="O6" i="29"/>
  <c r="G19" i="29" s="1"/>
  <c r="I6" i="29"/>
  <c r="I7" i="29" s="1"/>
  <c r="H13" i="29" s="1"/>
  <c r="B6" i="29"/>
  <c r="J7" i="29" s="1"/>
  <c r="H14" i="29" s="1"/>
  <c r="E4" i="29"/>
  <c r="B16" i="28"/>
  <c r="O7" i="28" s="1"/>
  <c r="H19" i="28" s="1"/>
  <c r="B14" i="28"/>
  <c r="E9" i="28" s="1"/>
  <c r="B12" i="28"/>
  <c r="M7" i="28" s="1"/>
  <c r="H17" i="28" s="1"/>
  <c r="B10" i="28"/>
  <c r="B8" i="28"/>
  <c r="K7" i="28" s="1"/>
  <c r="H15" i="28" s="1"/>
  <c r="I6" i="28"/>
  <c r="I7" i="28" s="1"/>
  <c r="H13" i="28" s="1"/>
  <c r="B6" i="28"/>
  <c r="J6" i="28" s="1"/>
  <c r="G14" i="28" s="1"/>
  <c r="E5" i="28"/>
  <c r="E4" i="28"/>
  <c r="B16" i="27"/>
  <c r="O7" i="27" s="1"/>
  <c r="H19" i="27" s="1"/>
  <c r="B14" i="27"/>
  <c r="E9" i="27" s="1"/>
  <c r="B12" i="27"/>
  <c r="M7" i="27" s="1"/>
  <c r="H17" i="27" s="1"/>
  <c r="B10" i="27"/>
  <c r="B8" i="27"/>
  <c r="K7" i="27" s="1"/>
  <c r="H15" i="27" s="1"/>
  <c r="I6" i="27"/>
  <c r="I7" i="27" s="1"/>
  <c r="H13" i="27" s="1"/>
  <c r="B6" i="27"/>
  <c r="J7" i="27" s="1"/>
  <c r="H14" i="27" s="1"/>
  <c r="E4" i="27"/>
  <c r="M7" i="29" l="1"/>
  <c r="H17" i="29" s="1"/>
  <c r="E10" i="28"/>
  <c r="E10" i="27"/>
  <c r="G13" i="28"/>
  <c r="N6" i="27"/>
  <c r="G18" i="27" s="1"/>
  <c r="N6" i="28"/>
  <c r="G18" i="28" s="1"/>
  <c r="O6" i="27"/>
  <c r="G19" i="27" s="1"/>
  <c r="O6" i="28"/>
  <c r="G19" i="28" s="1"/>
  <c r="N7" i="27"/>
  <c r="H18" i="27" s="1"/>
  <c r="E8" i="28"/>
  <c r="G13" i="29"/>
  <c r="M6" i="28"/>
  <c r="G17" i="28" s="1"/>
  <c r="E6" i="28"/>
  <c r="J7" i="28"/>
  <c r="H14" i="28" s="1"/>
  <c r="N7" i="28"/>
  <c r="H18" i="28" s="1"/>
  <c r="E6" i="29"/>
  <c r="K6" i="27"/>
  <c r="G15" i="27" s="1"/>
  <c r="E6" i="27"/>
  <c r="E8" i="27"/>
  <c r="E5" i="27"/>
  <c r="J6" i="27"/>
  <c r="G14" i="27" s="1"/>
  <c r="O7" i="29"/>
  <c r="H19" i="29" s="1"/>
  <c r="M6" i="29"/>
  <c r="G17" i="29" s="1"/>
  <c r="L7" i="29"/>
  <c r="H16" i="29" s="1"/>
  <c r="K7" i="29"/>
  <c r="H15" i="29" s="1"/>
  <c r="N6" i="29"/>
  <c r="G18" i="29" s="1"/>
  <c r="N7" i="29"/>
  <c r="H18" i="29" s="1"/>
  <c r="E5" i="29"/>
  <c r="J6" i="29"/>
  <c r="G14" i="29" s="1"/>
  <c r="L6" i="29"/>
  <c r="G16" i="29" s="1"/>
  <c r="E7" i="29"/>
  <c r="K6" i="29"/>
  <c r="G15" i="29" s="1"/>
  <c r="L6" i="28"/>
  <c r="G16" i="28" s="1"/>
  <c r="L7" i="28"/>
  <c r="H16" i="28" s="1"/>
  <c r="E7" i="28"/>
  <c r="K6" i="28"/>
  <c r="G15" i="28" s="1"/>
  <c r="L7" i="27"/>
  <c r="H16" i="27" s="1"/>
  <c r="H20" i="27" s="1"/>
  <c r="E7" i="27"/>
  <c r="L6" i="27"/>
  <c r="G16" i="27" s="1"/>
  <c r="G13" i="27"/>
  <c r="M6" i="27"/>
  <c r="G17" i="27" s="1"/>
  <c r="H20" i="28" l="1"/>
  <c r="G20" i="28"/>
  <c r="G20" i="27"/>
  <c r="H20" i="29"/>
  <c r="G20" i="29"/>
  <c r="F272" i="7" l="1"/>
  <c r="I272" i="7" s="1"/>
  <c r="F271" i="7"/>
  <c r="I271" i="7" s="1"/>
  <c r="F270" i="7"/>
  <c r="I270" i="7" s="1"/>
  <c r="F269" i="7"/>
  <c r="I269" i="7" s="1"/>
  <c r="F268" i="7"/>
  <c r="I268" i="7" s="1"/>
  <c r="F266" i="7"/>
  <c r="I266" i="7" s="1"/>
  <c r="F265" i="7"/>
  <c r="I265" i="7" s="1"/>
  <c r="F264" i="7"/>
  <c r="I264" i="7" s="1"/>
  <c r="F263" i="7"/>
  <c r="I263" i="7" s="1"/>
  <c r="A263" i="7"/>
  <c r="F446" i="7" l="1"/>
  <c r="I446" i="7" s="1"/>
  <c r="F445" i="7"/>
  <c r="I445" i="7" s="1"/>
  <c r="F444" i="7"/>
  <c r="I444" i="7" s="1"/>
  <c r="F443" i="7"/>
  <c r="I443" i="7" s="1"/>
  <c r="F442" i="7"/>
  <c r="I442" i="7" s="1"/>
  <c r="F440" i="7"/>
  <c r="I440" i="7" s="1"/>
  <c r="F439" i="7"/>
  <c r="I439" i="7" s="1"/>
  <c r="F438" i="7"/>
  <c r="I438" i="7" s="1"/>
  <c r="F437" i="7"/>
  <c r="I437" i="7" s="1"/>
  <c r="A437" i="7"/>
  <c r="F435" i="7"/>
  <c r="I435" i="7" s="1"/>
  <c r="F434" i="7"/>
  <c r="I434" i="7" s="1"/>
  <c r="F433" i="7"/>
  <c r="I433" i="7" s="1"/>
  <c r="F432" i="7"/>
  <c r="I432" i="7" s="1"/>
  <c r="F431" i="7"/>
  <c r="I431" i="7" s="1"/>
  <c r="F429" i="7"/>
  <c r="I429" i="7" s="1"/>
  <c r="F428" i="7"/>
  <c r="I428" i="7" s="1"/>
  <c r="F427" i="7"/>
  <c r="I427" i="7" s="1"/>
  <c r="F426" i="7"/>
  <c r="I426" i="7" s="1"/>
  <c r="A426" i="7"/>
  <c r="F423" i="7"/>
  <c r="I423" i="7" s="1"/>
  <c r="F422" i="7"/>
  <c r="I422" i="7" s="1"/>
  <c r="F421" i="7"/>
  <c r="I421" i="7" s="1"/>
  <c r="F420" i="7"/>
  <c r="I420" i="7" s="1"/>
  <c r="F419" i="7"/>
  <c r="I419" i="7" s="1"/>
  <c r="F417" i="7"/>
  <c r="I417" i="7" s="1"/>
  <c r="F416" i="7"/>
  <c r="I416" i="7" s="1"/>
  <c r="F415" i="7"/>
  <c r="I415" i="7" s="1"/>
  <c r="F414" i="7"/>
  <c r="I414" i="7" s="1"/>
  <c r="A414" i="7"/>
  <c r="F398" i="7"/>
  <c r="I398" i="7" s="1"/>
  <c r="F397" i="7"/>
  <c r="I397" i="7" s="1"/>
  <c r="F394" i="7"/>
  <c r="I394" i="7" s="1"/>
  <c r="F393" i="7"/>
  <c r="I393" i="7" s="1"/>
  <c r="F412" i="7"/>
  <c r="I412" i="7" s="1"/>
  <c r="F411" i="7"/>
  <c r="I411" i="7" s="1"/>
  <c r="F410" i="7"/>
  <c r="I410" i="7" s="1"/>
  <c r="F409" i="7"/>
  <c r="I409" i="7" s="1"/>
  <c r="F408" i="7"/>
  <c r="I408" i="7" s="1"/>
  <c r="F407" i="7"/>
  <c r="I407" i="7" s="1"/>
  <c r="F406" i="7"/>
  <c r="I406" i="7" s="1"/>
  <c r="F405" i="7"/>
  <c r="I405" i="7" s="1"/>
  <c r="F404" i="7"/>
  <c r="I404" i="7" s="1"/>
  <c r="F403" i="7"/>
  <c r="I403" i="7" s="1"/>
  <c r="A403" i="7"/>
  <c r="F400" i="7"/>
  <c r="I400" i="7" s="1"/>
  <c r="F399" i="7"/>
  <c r="I399" i="7" s="1"/>
  <c r="F396" i="7"/>
  <c r="I396" i="7" s="1"/>
  <c r="F395" i="7"/>
  <c r="I395" i="7" s="1"/>
  <c r="F392" i="7"/>
  <c r="A392" i="7"/>
  <c r="F388" i="7"/>
  <c r="I388" i="7" s="1"/>
  <c r="F387" i="7"/>
  <c r="I387" i="7" s="1"/>
  <c r="F386" i="7"/>
  <c r="I386" i="7" s="1"/>
  <c r="F385" i="7"/>
  <c r="I385" i="7" s="1"/>
  <c r="F384" i="7"/>
  <c r="I384" i="7" s="1"/>
  <c r="F382" i="7"/>
  <c r="I382" i="7" s="1"/>
  <c r="F381" i="7"/>
  <c r="I381" i="7" s="1"/>
  <c r="F380" i="7"/>
  <c r="I380" i="7" s="1"/>
  <c r="F379" i="7"/>
  <c r="I379" i="7" s="1"/>
  <c r="A379" i="7"/>
  <c r="F377" i="7"/>
  <c r="I377" i="7" s="1"/>
  <c r="F376" i="7"/>
  <c r="I376" i="7" s="1"/>
  <c r="F375" i="7"/>
  <c r="I375" i="7" s="1"/>
  <c r="F374" i="7"/>
  <c r="I374" i="7" s="1"/>
  <c r="F373" i="7"/>
  <c r="I373" i="7" s="1"/>
  <c r="F371" i="7"/>
  <c r="I371" i="7" s="1"/>
  <c r="F370" i="7"/>
  <c r="I370" i="7" s="1"/>
  <c r="F369" i="7"/>
  <c r="I369" i="7" s="1"/>
  <c r="F368" i="7"/>
  <c r="I368" i="7" s="1"/>
  <c r="A368" i="7"/>
  <c r="F349" i="7"/>
  <c r="I349" i="7" s="1"/>
  <c r="F365" i="7"/>
  <c r="I365" i="7" s="1"/>
  <c r="F364" i="7"/>
  <c r="I364" i="7" s="1"/>
  <c r="F363" i="7"/>
  <c r="I363" i="7" s="1"/>
  <c r="F362" i="7"/>
  <c r="I362" i="7" s="1"/>
  <c r="F361" i="7"/>
  <c r="I361" i="7" s="1"/>
  <c r="F359" i="7"/>
  <c r="I359" i="7" s="1"/>
  <c r="F358" i="7"/>
  <c r="I358" i="7" s="1"/>
  <c r="F357" i="7"/>
  <c r="I357" i="7" s="1"/>
  <c r="F356" i="7"/>
  <c r="I356" i="7" s="1"/>
  <c r="A356" i="7"/>
  <c r="F354" i="7"/>
  <c r="I354" i="7" s="1"/>
  <c r="F353" i="7"/>
  <c r="I353" i="7" s="1"/>
  <c r="F352" i="7"/>
  <c r="I352" i="7" s="1"/>
  <c r="F351" i="7"/>
  <c r="I351" i="7" s="1"/>
  <c r="F350" i="7"/>
  <c r="I350" i="7" s="1"/>
  <c r="F348" i="7"/>
  <c r="I348" i="7" s="1"/>
  <c r="F347" i="7"/>
  <c r="I347" i="7" s="1"/>
  <c r="F346" i="7"/>
  <c r="I346" i="7" s="1"/>
  <c r="F345" i="7"/>
  <c r="I345" i="7" s="1"/>
  <c r="A345" i="7"/>
  <c r="F343" i="7"/>
  <c r="I343" i="7" s="1"/>
  <c r="F342" i="7"/>
  <c r="I342" i="7" s="1"/>
  <c r="F341" i="7"/>
  <c r="I341" i="7" s="1"/>
  <c r="F338" i="7"/>
  <c r="I338" i="7" s="1"/>
  <c r="F337" i="7"/>
  <c r="I337" i="7" s="1"/>
  <c r="F334" i="7"/>
  <c r="A334" i="7"/>
  <c r="F330" i="7"/>
  <c r="I330" i="7" s="1"/>
  <c r="F329" i="7"/>
  <c r="I329" i="7" s="1"/>
  <c r="F328" i="7"/>
  <c r="I328" i="7" s="1"/>
  <c r="F327" i="7"/>
  <c r="I327" i="7" s="1"/>
  <c r="F326" i="7"/>
  <c r="I326" i="7" s="1"/>
  <c r="F324" i="7"/>
  <c r="I324" i="7" s="1"/>
  <c r="F323" i="7"/>
  <c r="I323" i="7" s="1"/>
  <c r="F322" i="7"/>
  <c r="I322" i="7" s="1"/>
  <c r="F321" i="7"/>
  <c r="I321" i="7" s="1"/>
  <c r="A321" i="7"/>
  <c r="F319" i="7"/>
  <c r="I319" i="7" s="1"/>
  <c r="F318" i="7"/>
  <c r="I318" i="7" s="1"/>
  <c r="F317" i="7"/>
  <c r="I317" i="7" s="1"/>
  <c r="F316" i="7"/>
  <c r="I316" i="7" s="1"/>
  <c r="F315" i="7"/>
  <c r="I315" i="7" s="1"/>
  <c r="F313" i="7"/>
  <c r="I313" i="7" s="1"/>
  <c r="F312" i="7"/>
  <c r="I312" i="7" s="1"/>
  <c r="F311" i="7"/>
  <c r="I311" i="7" s="1"/>
  <c r="F310" i="7"/>
  <c r="I310" i="7" s="1"/>
  <c r="A310" i="7"/>
  <c r="F307" i="7"/>
  <c r="I307" i="7" s="1"/>
  <c r="F306" i="7"/>
  <c r="I306" i="7" s="1"/>
  <c r="F305" i="7"/>
  <c r="I305" i="7" s="1"/>
  <c r="F304" i="7"/>
  <c r="I304" i="7" s="1"/>
  <c r="F303" i="7"/>
  <c r="I303" i="7" s="1"/>
  <c r="F301" i="7"/>
  <c r="I301" i="7" s="1"/>
  <c r="F300" i="7"/>
  <c r="I300" i="7" s="1"/>
  <c r="F299" i="7"/>
  <c r="I299" i="7" s="1"/>
  <c r="F298" i="7"/>
  <c r="I298" i="7" s="1"/>
  <c r="A298" i="7"/>
  <c r="F296" i="7"/>
  <c r="I296" i="7" s="1"/>
  <c r="F295" i="7"/>
  <c r="I295" i="7" s="1"/>
  <c r="F294" i="7"/>
  <c r="I294" i="7" s="1"/>
  <c r="F293" i="7"/>
  <c r="I293" i="7" s="1"/>
  <c r="F292" i="7"/>
  <c r="I292" i="7" s="1"/>
  <c r="F291" i="7"/>
  <c r="I291" i="7" s="1"/>
  <c r="F290" i="7"/>
  <c r="I290" i="7" s="1"/>
  <c r="F289" i="7"/>
  <c r="I289" i="7" s="1"/>
  <c r="F288" i="7"/>
  <c r="I288" i="7" s="1"/>
  <c r="F287" i="7"/>
  <c r="I287" i="7" s="1"/>
  <c r="A287" i="7"/>
  <c r="F285" i="7"/>
  <c r="I285" i="7" s="1"/>
  <c r="F284" i="7"/>
  <c r="I284" i="7" s="1"/>
  <c r="F283" i="7"/>
  <c r="I283" i="7" s="1"/>
  <c r="F280" i="7"/>
  <c r="I280" i="7" s="1"/>
  <c r="F279" i="7"/>
  <c r="I279" i="7" s="1"/>
  <c r="F276" i="7"/>
  <c r="A276" i="7"/>
  <c r="F261" i="7"/>
  <c r="I261" i="7" s="1"/>
  <c r="F260" i="7"/>
  <c r="I260" i="7" s="1"/>
  <c r="F259" i="7"/>
  <c r="I259" i="7" s="1"/>
  <c r="F258" i="7"/>
  <c r="I258" i="7" s="1"/>
  <c r="F257" i="7"/>
  <c r="I257" i="7" s="1"/>
  <c r="F255" i="7"/>
  <c r="I255" i="7" s="1"/>
  <c r="F254" i="7"/>
  <c r="I254" i="7" s="1"/>
  <c r="F253" i="7"/>
  <c r="I253" i="7" s="1"/>
  <c r="F252" i="7"/>
  <c r="I252" i="7" s="1"/>
  <c r="A252" i="7"/>
  <c r="F249" i="7"/>
  <c r="I249" i="7" s="1"/>
  <c r="F248" i="7"/>
  <c r="I248" i="7" s="1"/>
  <c r="F247" i="7"/>
  <c r="I247" i="7" s="1"/>
  <c r="F246" i="7"/>
  <c r="I246" i="7" s="1"/>
  <c r="F245" i="7"/>
  <c r="I245" i="7" s="1"/>
  <c r="F243" i="7"/>
  <c r="I243" i="7" s="1"/>
  <c r="F242" i="7"/>
  <c r="I242" i="7" s="1"/>
  <c r="F241" i="7"/>
  <c r="I241" i="7" s="1"/>
  <c r="F240" i="7"/>
  <c r="I240" i="7" s="1"/>
  <c r="A240" i="7"/>
  <c r="F238" i="7"/>
  <c r="I238" i="7" s="1"/>
  <c r="F237" i="7"/>
  <c r="I237" i="7" s="1"/>
  <c r="F236" i="7"/>
  <c r="I236" i="7" s="1"/>
  <c r="F235" i="7"/>
  <c r="I235" i="7" s="1"/>
  <c r="F234" i="7"/>
  <c r="I234" i="7" s="1"/>
  <c r="F233" i="7"/>
  <c r="I233" i="7" s="1"/>
  <c r="F232" i="7"/>
  <c r="I232" i="7" s="1"/>
  <c r="F231" i="7"/>
  <c r="I231" i="7" s="1"/>
  <c r="F230" i="7"/>
  <c r="I230" i="7" s="1"/>
  <c r="F229" i="7"/>
  <c r="I229" i="7" s="1"/>
  <c r="A229" i="7"/>
  <c r="F226" i="7"/>
  <c r="I226" i="7" s="1"/>
  <c r="F225" i="7"/>
  <c r="I225" i="7" s="1"/>
  <c r="F224" i="7"/>
  <c r="I224" i="7" s="1"/>
  <c r="F223" i="7"/>
  <c r="I223" i="7" s="1"/>
  <c r="F222" i="7"/>
  <c r="I222" i="7" s="1"/>
  <c r="F221" i="7"/>
  <c r="I221" i="7" s="1"/>
  <c r="F220" i="7"/>
  <c r="I220" i="7" s="1"/>
  <c r="F219" i="7"/>
  <c r="I219" i="7" s="1"/>
  <c r="F218" i="7"/>
  <c r="A218" i="7"/>
  <c r="F214" i="7"/>
  <c r="I214" i="7" s="1"/>
  <c r="F212" i="7"/>
  <c r="I212" i="7" s="1"/>
  <c r="F211" i="7"/>
  <c r="I211" i="7" s="1"/>
  <c r="F210" i="7"/>
  <c r="I210" i="7" s="1"/>
  <c r="F209" i="7"/>
  <c r="I209" i="7" s="1"/>
  <c r="F208" i="7"/>
  <c r="I208" i="7" s="1"/>
  <c r="F207" i="7"/>
  <c r="I207" i="7" s="1"/>
  <c r="F206" i="7"/>
  <c r="I206" i="7" s="1"/>
  <c r="F205" i="7"/>
  <c r="I205" i="7" s="1"/>
  <c r="F204" i="7"/>
  <c r="I204" i="7" s="1"/>
  <c r="A204" i="7"/>
  <c r="F202" i="7"/>
  <c r="I202" i="7" s="1"/>
  <c r="F200" i="7"/>
  <c r="I200" i="7" s="1"/>
  <c r="F199" i="7"/>
  <c r="I199" i="7" s="1"/>
  <c r="F198" i="7"/>
  <c r="I198" i="7" s="1"/>
  <c r="F197" i="7"/>
  <c r="I197" i="7" s="1"/>
  <c r="F196" i="7"/>
  <c r="I196" i="7" s="1"/>
  <c r="F195" i="7"/>
  <c r="I195" i="7" s="1"/>
  <c r="F194" i="7"/>
  <c r="I194" i="7" s="1"/>
  <c r="F193" i="7"/>
  <c r="I193" i="7" s="1"/>
  <c r="F192" i="7"/>
  <c r="I192" i="7" s="1"/>
  <c r="A192" i="7"/>
  <c r="F189" i="7"/>
  <c r="I189" i="7" s="1"/>
  <c r="F187" i="7"/>
  <c r="I187" i="7" s="1"/>
  <c r="F186" i="7"/>
  <c r="I186" i="7" s="1"/>
  <c r="F185" i="7"/>
  <c r="I185" i="7" s="1"/>
  <c r="F184" i="7"/>
  <c r="I184" i="7" s="1"/>
  <c r="F183" i="7"/>
  <c r="I183" i="7" s="1"/>
  <c r="F182" i="7"/>
  <c r="I182" i="7" s="1"/>
  <c r="F181" i="7"/>
  <c r="I181" i="7" s="1"/>
  <c r="F180" i="7"/>
  <c r="I180" i="7" s="1"/>
  <c r="F179" i="7"/>
  <c r="I179" i="7" s="1"/>
  <c r="A179" i="7"/>
  <c r="F170" i="7"/>
  <c r="I170" i="7" s="1"/>
  <c r="F177" i="7"/>
  <c r="I177" i="7" s="1"/>
  <c r="F176" i="7"/>
  <c r="I176" i="7" s="1"/>
  <c r="F175" i="7"/>
  <c r="I175" i="7" s="1"/>
  <c r="F174" i="7"/>
  <c r="I174" i="7" s="1"/>
  <c r="F173" i="7"/>
  <c r="I173" i="7" s="1"/>
  <c r="F172" i="7"/>
  <c r="I172" i="7" s="1"/>
  <c r="F171" i="7"/>
  <c r="I171" i="7" s="1"/>
  <c r="F169" i="7"/>
  <c r="I169" i="7" s="1"/>
  <c r="F168" i="7"/>
  <c r="I168" i="7" s="1"/>
  <c r="F167" i="7"/>
  <c r="I167" i="7" s="1"/>
  <c r="A167" i="7"/>
  <c r="F165" i="7"/>
  <c r="F164" i="7"/>
  <c r="F163" i="7"/>
  <c r="F162" i="7"/>
  <c r="F161" i="7"/>
  <c r="F160" i="7"/>
  <c r="F159" i="7"/>
  <c r="F157" i="7"/>
  <c r="F156" i="7"/>
  <c r="F155" i="7"/>
  <c r="I276" i="7" l="1"/>
  <c r="I218" i="7"/>
  <c r="I392" i="7"/>
  <c r="I334" i="7"/>
  <c r="I165" i="7"/>
  <c r="I164" i="7"/>
  <c r="I163" i="7"/>
  <c r="I156" i="7"/>
  <c r="I155" i="7"/>
  <c r="I162" i="7"/>
  <c r="I161" i="7"/>
  <c r="I160" i="7"/>
  <c r="I159" i="7"/>
  <c r="I157" i="7"/>
  <c r="A155" i="7"/>
  <c r="G8" i="10" l="1"/>
  <c r="G7" i="10"/>
  <c r="G6" i="10"/>
  <c r="G5" i="10"/>
  <c r="G9" i="10" l="1"/>
  <c r="E576" i="7"/>
  <c r="E578" i="7" l="1"/>
  <c r="E577" i="7" l="1"/>
</calcChain>
</file>

<file path=xl/sharedStrings.xml><?xml version="1.0" encoding="utf-8"?>
<sst xmlns="http://schemas.openxmlformats.org/spreadsheetml/2006/main" count="1360" uniqueCount="294">
  <si>
    <t>Boundaries</t>
  </si>
  <si>
    <t>North</t>
  </si>
  <si>
    <t>East</t>
  </si>
  <si>
    <t>West</t>
  </si>
  <si>
    <t>:</t>
  </si>
  <si>
    <t>As per Actual at site</t>
  </si>
  <si>
    <t>South</t>
  </si>
  <si>
    <t>As per Documents</t>
  </si>
  <si>
    <t>As per Site / Actual</t>
  </si>
  <si>
    <t>Authorized Signatory Name &amp; Signature</t>
  </si>
  <si>
    <t>Name of Valuation Agency</t>
  </si>
  <si>
    <t>Boundaries Matching</t>
  </si>
  <si>
    <t>If No, then reason thereon</t>
  </si>
  <si>
    <t>As per Legal Documents</t>
  </si>
  <si>
    <t>Date of Technical Initiation</t>
  </si>
  <si>
    <t>Class of Locality</t>
  </si>
  <si>
    <t>Type of Road</t>
  </si>
  <si>
    <t>Distance from Bus stand (Km)</t>
  </si>
  <si>
    <t>Distance from the Main Market (Km)</t>
  </si>
  <si>
    <t>Property falls under Seismic Zone</t>
  </si>
  <si>
    <t>Property Falls under Flood Zone</t>
  </si>
  <si>
    <t>Zone/Locality/Surrounding/Civic Amenities</t>
  </si>
  <si>
    <t>Any risk of Demolition</t>
  </si>
  <si>
    <t>Property Falls in Cyclone Zone</t>
  </si>
  <si>
    <t>Electrification/Electric poles observed</t>
  </si>
  <si>
    <t>Latitude</t>
  </si>
  <si>
    <t>Longitude</t>
  </si>
  <si>
    <t>Valuer Certification/Disclaimer</t>
  </si>
  <si>
    <t>Extra Amenities available</t>
  </si>
  <si>
    <t>Infrastructure in the area</t>
  </si>
  <si>
    <t>Status of Holding</t>
  </si>
  <si>
    <t>Branch Name/ID</t>
  </si>
  <si>
    <t>Name of Engineer Visited the property</t>
  </si>
  <si>
    <t>Degree of Risk Associated</t>
  </si>
  <si>
    <t>Property Falls in CR Zone</t>
  </si>
  <si>
    <t>Date of Report Release</t>
  </si>
  <si>
    <t>Documents Provided by GHF</t>
  </si>
  <si>
    <t>Request from GHF Employee</t>
  </si>
  <si>
    <t>Name of the person met at site &amp; Contact No.</t>
  </si>
  <si>
    <t>Width of the Road in ft.</t>
  </si>
  <si>
    <t>NDMA Guidelines</t>
  </si>
  <si>
    <t>APF Report Format</t>
  </si>
  <si>
    <t>Project Name</t>
  </si>
  <si>
    <t>Project Address</t>
  </si>
  <si>
    <t>Data from APF Request Form</t>
  </si>
  <si>
    <t>As per ARF</t>
  </si>
  <si>
    <t>Builder Group Name</t>
  </si>
  <si>
    <t>Developer Name</t>
  </si>
  <si>
    <t>Developer Office Address</t>
  </si>
  <si>
    <t>General Details</t>
  </si>
  <si>
    <t>Name of Municipal Corporation/Authority</t>
  </si>
  <si>
    <t>RERA Registration No.</t>
  </si>
  <si>
    <t>RERA Registration Validity</t>
  </si>
  <si>
    <t>Project Launch Date</t>
  </si>
  <si>
    <t>Construction Start Date</t>
  </si>
  <si>
    <t>Proposed Date of Completion (As per RERA)</t>
  </si>
  <si>
    <t>Developer Bank Name (As per RERA)</t>
  </si>
  <si>
    <t>Project Type (Mixed, Residential, Comm.)</t>
  </si>
  <si>
    <t>Total Number of Units Planned</t>
  </si>
  <si>
    <t>Total Number of Units Approved</t>
  </si>
  <si>
    <t>If Mixed, No. of Commercial Units</t>
  </si>
  <si>
    <t>Building/Tower Name/No.</t>
  </si>
  <si>
    <t>Type (Sale/Rehab)</t>
  </si>
  <si>
    <t>No. of Floors Planned</t>
  </si>
  <si>
    <t>No. of Floors Approved</t>
  </si>
  <si>
    <t>Building Permission &amp; Other Approvals</t>
  </si>
  <si>
    <t>Construction as per Approved/ Sanctioned Plans</t>
  </si>
  <si>
    <t>LOI/IOD Details</t>
  </si>
  <si>
    <t>Approved Plan Details</t>
  </si>
  <si>
    <t>Environmental Clearance Details</t>
  </si>
  <si>
    <t xml:space="preserve">Project Specific Remarks &amp; Observation </t>
  </si>
  <si>
    <t>Name of the Project</t>
  </si>
  <si>
    <t>Measurement Unit of Area (Sq. Ft./Sq. Mt.)</t>
  </si>
  <si>
    <t>Type of Saleable Area (CA/BUA/SBA/Plot Area)</t>
  </si>
  <si>
    <t>Car Parking Charges</t>
  </si>
  <si>
    <t>Other Charges</t>
  </si>
  <si>
    <t>Remarks / Observations</t>
  </si>
  <si>
    <t>Site &amp; Building/Tower Photographs</t>
  </si>
  <si>
    <t>Location Cum Root Map (Satelite View)</t>
  </si>
  <si>
    <t>Unit Details, Nomenclature and Area Details</t>
  </si>
  <si>
    <t>I certify that to the best of my knowledge and belief:</t>
  </si>
  <si>
    <t>The statements of fact contained in this report are true and correct.</t>
  </si>
  <si>
    <t>The reported analyses, opinion and conclusions are limited only by the reported assumptions and limiting conditions, and are my personal, impartial, and unbiased professional analyses, opinions and conclusions.</t>
  </si>
  <si>
    <t>I have no present or prospective interest in the property that is the subject of this report, and I have no personal interest with respect to the parties involved.</t>
  </si>
  <si>
    <t>I have no bias with respect to the property that is the subject of this report or to the parties involved with this assignment.</t>
  </si>
  <si>
    <t>My engagement in this assignment was not contingent upon developing or reporting predetermined results.</t>
  </si>
  <si>
    <t>My compensation for completing this assignment is not contingent upon the reporting of predetermined value or direction in value that favours the cause of the client, the amount of the value opinion, the attainment of a stipulated result, or the occurrence of a subsequent event directly related to the intended use of this appraisal.</t>
  </si>
  <si>
    <t>I have not made a personal inspection of the property that is the subject of this report. My valuation executive (valuer code above) has undertaken the inspection of the property that is the subject of this report.</t>
  </si>
  <si>
    <t>No one has provided significant mass appraisal assistance to the person signing this certification.</t>
  </si>
  <si>
    <t>V.S.JADON &amp; CO VALUERS  LLP</t>
  </si>
  <si>
    <t>Freehold</t>
  </si>
  <si>
    <t>Residential</t>
  </si>
  <si>
    <t>Proposed Built up Area (In Sq.Mt)</t>
  </si>
  <si>
    <t>Permissible Built up Area (In Sq.Mt)</t>
  </si>
  <si>
    <t>-</t>
  </si>
  <si>
    <t>Entrance, Drop-off points, Central Breezeway, Open Party, Lawn, Zen Garden, Jogging Track, Pet Zone, Amphitheatre, Senior Citizen's Area, Reflexology pathway, Outdoor Activity Lawn, Chlorine-free infinity Pool, Chlorine-free Kid's Pool, Kids Play Area, Barbeque corner, Seating Promenade, Clubhouse, Cafe, Gym, Basketball Court, Futsal Court, Cricket pitch, Sunken Seating with Planters, Canopy covered Walkway, Spa, Reading Room, Yoga/Aerobics Room, Indoor games, Billiards Room.</t>
  </si>
  <si>
    <t>Bitumen</t>
  </si>
  <si>
    <t>Yes</t>
  </si>
  <si>
    <t>III</t>
  </si>
  <si>
    <t>No</t>
  </si>
  <si>
    <t>None</t>
  </si>
  <si>
    <t>Low</t>
  </si>
  <si>
    <t>Road</t>
  </si>
  <si>
    <t>Sale</t>
  </si>
  <si>
    <t>CC Details</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</si>
  <si>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</si>
  <si>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</si>
  <si>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</si>
  <si>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</si>
  <si>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</si>
  <si>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</si>
  <si>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</si>
  <si>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</si>
  <si>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</si>
  <si>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</si>
  <si>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</si>
  <si>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</si>
  <si>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</si>
  <si>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</si>
  <si>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</si>
  <si>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</si>
  <si>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</si>
  <si>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</si>
  <si>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</si>
  <si>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</si>
  <si>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</si>
  <si>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</si>
  <si>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</si>
  <si>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</si>
  <si>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</si>
  <si>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</si>
  <si>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Godrej One, Vikhroli East, Mumbai</t>
  </si>
  <si>
    <t>Flat/Shop No.</t>
  </si>
  <si>
    <t>Description</t>
  </si>
  <si>
    <t>Gross Carpet area</t>
  </si>
  <si>
    <t>Attached Terrace area</t>
  </si>
  <si>
    <t>Ground Floor for Parking</t>
  </si>
  <si>
    <t>1st Floor</t>
  </si>
  <si>
    <t>Project Site Address</t>
  </si>
  <si>
    <t>Distance from nearest Railway/Metro/Airport (Km)</t>
  </si>
  <si>
    <t>Distance from the nearest School (Km)</t>
  </si>
  <si>
    <t>Distance from Hospital (Km)</t>
  </si>
  <si>
    <t>Market Value</t>
  </si>
  <si>
    <t>As per documentation</t>
  </si>
  <si>
    <t>Guideline Values &amp; Distress Value</t>
  </si>
  <si>
    <t>Distress Value (Rs. Per sqft)</t>
  </si>
  <si>
    <t>Building/Tower &amp; Floor</t>
  </si>
  <si>
    <t>Site Visit Date &amp; Time</t>
  </si>
  <si>
    <t xml:space="preserve">Yes </t>
  </si>
  <si>
    <t>3BHK</t>
  </si>
  <si>
    <t>2BHK</t>
  </si>
  <si>
    <t>Refuge Area</t>
  </si>
  <si>
    <t>SBA</t>
  </si>
  <si>
    <t>Rate Per Sq. Ft. (on Saleable area)</t>
  </si>
  <si>
    <t>Approved Layout &amp; Floor Plans, CC, RERA certificate</t>
  </si>
  <si>
    <t>Excavation in process</t>
  </si>
  <si>
    <t>Excavation Completed</t>
  </si>
  <si>
    <t>Footing in Process</t>
  </si>
  <si>
    <t>Footing Completed</t>
  </si>
  <si>
    <t>Plinth in process</t>
  </si>
  <si>
    <t>Plinth completed</t>
  </si>
  <si>
    <t>Market Research Data</t>
  </si>
  <si>
    <t>Source</t>
  </si>
  <si>
    <t>Distance from proposed property</t>
  </si>
  <si>
    <t>Flat</t>
  </si>
  <si>
    <t>Net Carpet</t>
  </si>
  <si>
    <t>Saleable Area</t>
  </si>
  <si>
    <t>Rate on Saleable</t>
  </si>
  <si>
    <t>Average</t>
  </si>
  <si>
    <t xml:space="preserve">Valuation Adopted </t>
  </si>
  <si>
    <t>1BHK</t>
  </si>
  <si>
    <t>Under Construction</t>
  </si>
  <si>
    <t>Open Plot</t>
  </si>
  <si>
    <t>housing.c</t>
  </si>
  <si>
    <t>M/s.Runwal Residency Private Limited</t>
  </si>
  <si>
    <t>Runwal &amp; Omkar Esquare, 5th Floor, Eastern Express Highway, Sion (East),
Mumbai – 400022</t>
  </si>
  <si>
    <t>HDFC Bank
IFSC Code : HDFC0000163</t>
  </si>
  <si>
    <t>300000/-</t>
  </si>
  <si>
    <t>8th Floor (Part Refuge Area)</t>
  </si>
  <si>
    <t>Double Height Entrance Lobby Below</t>
  </si>
  <si>
    <t>Ground floor for Parking</t>
  </si>
  <si>
    <t>Double Height Entrance</t>
  </si>
  <si>
    <t>Building No.24</t>
  </si>
  <si>
    <t>Phase III</t>
  </si>
  <si>
    <t>2nd to 7th, 9th to 13th, 15th to 18th, 20th to 23rd, 25th to 28th, 30th to 32nd Floor</t>
  </si>
  <si>
    <t>Fire Check Floor Between 23rd &amp; 24th Floor</t>
  </si>
  <si>
    <t>14th, 19th &amp; 24th Floor (Part Refuge Area)</t>
  </si>
  <si>
    <t>29th Floor (Part Refuge Area)</t>
  </si>
  <si>
    <t>Building No.25</t>
  </si>
  <si>
    <t>Building No.26</t>
  </si>
  <si>
    <t>Building No.27</t>
  </si>
  <si>
    <t>Building No.28</t>
  </si>
  <si>
    <t>Building No.29</t>
  </si>
  <si>
    <t>Building No.30</t>
  </si>
  <si>
    <t>Blg No.24</t>
  </si>
  <si>
    <t>Blg No.25</t>
  </si>
  <si>
    <t>Blg No.26</t>
  </si>
  <si>
    <t>Blg No.27</t>
  </si>
  <si>
    <t>Blg No.28</t>
  </si>
  <si>
    <t>Blg No.29</t>
  </si>
  <si>
    <t>Blg No.30</t>
  </si>
  <si>
    <t>Stilt + 1st to 23rd Floors + Fire Check Floor + 24th to 32nd Floor</t>
  </si>
  <si>
    <t>Building U/C</t>
  </si>
  <si>
    <t>4.7Km from Nilaje Railway Station</t>
  </si>
  <si>
    <t>400m Premier Company Bus Stop</t>
  </si>
  <si>
    <t>650m from Shree Gajanan Hospital</t>
  </si>
  <si>
    <t xml:space="preserve">600m Paradise Mall
</t>
  </si>
  <si>
    <t>600m from Pawar Public School</t>
  </si>
  <si>
    <t xml:space="preserve">Sq.ft </t>
  </si>
  <si>
    <t>Forest NOC Details</t>
  </si>
  <si>
    <t>KS-1/20/JAMIN/3902/2018-2019
Date : 02/10/2018.</t>
  </si>
  <si>
    <t>Irrigaton NOC Details</t>
  </si>
  <si>
    <t>TMID/PB-3/379/2018
Date:30/11/2018.</t>
  </si>
  <si>
    <t>Tribal NOC Details</t>
  </si>
  <si>
    <t>MHASUL/T-2/JAMINBB-1/KV-68/18
Date:14/12/2018.
MHASUL/T-2/JAMINBB-1/KV-40/18
Date:05/02/2019.</t>
  </si>
  <si>
    <t>Ly Plan of Ph 3 not Provided.</t>
  </si>
  <si>
    <t xml:space="preserve">SROT/Growth Center/2401/BP/ITP-Usarghar-Gharivali-Sagaon-01/Site-A/Vol.XVI/782/2020
Date - 14/10/2020.
</t>
  </si>
  <si>
    <t>Phase III - 
Building No. 24 to 26 = P51700026228
Building No. 27 &amp; 28 = P51700026927
Building No. 29 &amp; 30 = P51700028344</t>
  </si>
  <si>
    <t>Construction Status</t>
  </si>
  <si>
    <t>Project Completion %</t>
  </si>
  <si>
    <t>Runwal Gardens, Kalyan-Shilphata Road, Village Usarghar, Gharvali &amp; Sagaon, Dombivli East, Thane, Maharashtra- 421204</t>
  </si>
  <si>
    <t>Runwal Gardens Phase III, Survey No.67/1 of village Sagaon
4/1, 4/2, 4/3, 4/4, 4/5, 4/6, 4/7, 4/7, 4/8, 4/9, 4/10, 4/11, 5/1, 5/2, 5/3, 5/4, 5/5, 5/6, 6/1, 6/2, 6/3, 7/1, 7/2/A, 7/2/B, 7/2/C, 7/3/A, 7/3/B, 8/1, 8/2, 8/3, 8/4, 8/5, 8/6, 8/7, 8/8, 9/1, 9/2, 9/3, 9/4, 9/5, 9/6, 9/7, 9/8, 10, 11, 12/1, 12/2, 12/3, 12/4, 12/5, 12/6, 12/7, 12/8, 12/9, 12/10, 12/11, 12/12, 12/13, 12/14, 13, 14/1, 12/2A, 14/2B, 14/3, 14/4, 14/5, 15, 16/1, 16/2, 17/1, 17/2, 17/3, 17/4, 17/5, 17/6, 17/7, 17/8, 17/9, 17/10, 17/11, 18, 19, 20/1, 20/2, 21/1, 21/2, 21/3, 21/4, 22, 23/1, 23/2, 23/3, 23/10, 37/1, 37/2B, 37/2C, 37/2D, 37/3, 37/4, 37/21, 38/1, 38/2, 39/1, 39/2, 39/3, 40, 41/1A, 41/1B, 41/2, 41/3, 41/4, 44/1, 44/4, 44/5A, 44/5B, 44/6A, 44/6B, 44/7, 44/8, 44/9, 44/10, 44/11, 44/12, 44/13, 44/14, 44/15, 44/16, 44/17, 44/18, 44/19, 44/20, 49, 50/1, 50/2, 50/3, 51/1, 51/2, 56/1, 56/2 of Village Gharivali 
44/1, 44/2, 44/3, 44/4, 44/5, 44/6, 44/7, 44/8, 44/9, 44/10, 44/11, 44/12, 45/1, 45/2, 45/3, 45/4, 15/5/A, 45/5/B, 45/6, 46/1, 46/2A, 46/2B, 46/3, 47, 49, 50, 51, 52/1, 52/2, 53/1/A, 53/1/B, 53/2/A, 53/2/B, 53/3/A, 53/3/B, 94 Village Usarghar, Kalyan Shilphata Road, Dombivli, Dombivli, Kalyan, Thane.</t>
  </si>
  <si>
    <t>Runwal Gardens Phase III, Village Usarghar, Kalyan Shilphata Road, Dombivli, Kalyan, Thane.</t>
  </si>
  <si>
    <t>MMRDA</t>
  </si>
  <si>
    <t>Plot Area (In Sq.Mt)
115Acres (Site A)</t>
  </si>
  <si>
    <t>Free/ Fungible FSI
Additional FSI</t>
  </si>
  <si>
    <t>1
0.7</t>
  </si>
  <si>
    <t>Middle</t>
  </si>
  <si>
    <t>9ft</t>
  </si>
  <si>
    <t xml:space="preserve">Water Supply </t>
  </si>
  <si>
    <t>Being Provisioned</t>
  </si>
  <si>
    <t>Electricity Supply</t>
  </si>
  <si>
    <t>Drainage Connection</t>
  </si>
  <si>
    <t>Developing</t>
  </si>
  <si>
    <t>SEIAA-MINUTES-0000002667
Date:02/11/2019.</t>
  </si>
  <si>
    <t>Floor Rise Details Per Sq.Ft. (on Saleable area)
Any Floor</t>
  </si>
  <si>
    <t>Government Guideline/ Circle rate for Land (Rs per sqft) - Gharivali</t>
  </si>
  <si>
    <t>Government Guideline/ Circle rate for Flat/Unit/ Built up (Rs per sqft) - Gharivali</t>
  </si>
  <si>
    <t>Government Guideline/ Circle rate for Land (Rs per sqft) - Usarghar</t>
  </si>
  <si>
    <t>Government Guideline/ Circle rate for Flat/Unit/ Built up (Rs per sqft) - Usarghar</t>
  </si>
  <si>
    <t>Saleable area
(50% Loading)</t>
  </si>
  <si>
    <t>Building No.24 To 28 - 
SROT/Growth Center/2401/BP/ITP-Usarghar-Gharivali-Sagaon-01/Site-A/Vol.XV/178/2020
Date - 14/10/2020.
Building No.29 &amp; 30 - 
SROT/Growth Center/2401/BP/ITPUsarghar-Gharivali-Sagaon 01/SiteA/Vol.XXIII/171/2021
Date - 11/02/2021.</t>
  </si>
  <si>
    <t>SROT/Growth Center/2401/BP/ITPUsarghar-Gharivali-Sagaon-01/SiteA/Vol.XXIII/171/2021
Dated : 11/02/2021.
CC Valid upto :
Valid Up to: Building No.24 to 28 = Stilt + 1st to 23rd Floors + Fire Check Floor + 24th to 32nd Floor
Building No.29 &amp; 30 = upto Plinth Only</t>
  </si>
  <si>
    <t>Double Height Entrance Lobby</t>
  </si>
  <si>
    <t>8th Floor</t>
  </si>
  <si>
    <t>Flats - 2285</t>
  </si>
  <si>
    <t>115Acres (Site A)</t>
  </si>
  <si>
    <t xml:space="preserve">6800/-Sq.ft </t>
  </si>
  <si>
    <t>NA</t>
  </si>
  <si>
    <t>Date of Site Visit</t>
  </si>
  <si>
    <t>Basement</t>
  </si>
  <si>
    <t>Ground</t>
  </si>
  <si>
    <t>Podium</t>
  </si>
  <si>
    <t>Floors</t>
  </si>
  <si>
    <t>All work Completed. OC Received.</t>
  </si>
  <si>
    <t>Type of Work</t>
  </si>
  <si>
    <t>Slab/Floor</t>
  </si>
  <si>
    <t>Complition %</t>
  </si>
  <si>
    <t>Progress %</t>
  </si>
  <si>
    <t xml:space="preserve">Stage of construction: </t>
  </si>
  <si>
    <t>Piling Work in process</t>
  </si>
  <si>
    <t>Excavation</t>
  </si>
  <si>
    <t>RCC (Including podiums)</t>
  </si>
  <si>
    <t>Brickwork</t>
  </si>
  <si>
    <t>Basement 1</t>
  </si>
  <si>
    <t>Internal Plaster</t>
  </si>
  <si>
    <t>Basement 2</t>
  </si>
  <si>
    <t>Basement 3</t>
  </si>
  <si>
    <t>Basement 4</t>
  </si>
  <si>
    <t>Flooring &amp; Fitting</t>
  </si>
  <si>
    <t>Building Common Amenities</t>
  </si>
  <si>
    <t>Possession</t>
  </si>
  <si>
    <t>Construction Status Phase III</t>
  </si>
  <si>
    <t>Runwal Gardens Phase III (Building 24 to 30)</t>
  </si>
  <si>
    <t>https://maps.app.goo.gl/VYfx7APrLtkGMQg57</t>
  </si>
  <si>
    <t>Location Link</t>
  </si>
  <si>
    <t>Project Structure</t>
  </si>
  <si>
    <t>Mr. Kunal 9967393445</t>
  </si>
  <si>
    <t xml:space="preserve">1. Construction work was in process at the time of visit. Internal visit was not allowed.
2. We considered  Saleable area  as per our calculation.
3. We considered Carpet area as per Approved Plan.
4. We considered Gross carpet area = Net carpet.
5. We have considered rate by verifying it from market inquiry.
6. Car parking is subjected to authentic documentation.
7. Constrution details  are collected from Miss Sarika Mhatre - 8591983567.
</t>
  </si>
  <si>
    <t>External Plaster</t>
  </si>
  <si>
    <t>External Plumbing, Elevation and Waterproofing</t>
  </si>
  <si>
    <t>Wooden Work</t>
  </si>
  <si>
    <t>Electrical &amp; Sanitary fittings</t>
  </si>
  <si>
    <t>Building No. 24, 25, 26 = Stilt + 1st to 32nd Floor</t>
  </si>
  <si>
    <t>Building No. 27 = Stilt + 1st to 32nd Floor</t>
  </si>
  <si>
    <t>Building No. 28 = Stilt + 1st to 32nd Floor</t>
  </si>
  <si>
    <t>Building No. 29 = Stilt + 1st to 32nd Floor</t>
  </si>
  <si>
    <t>Building No. 30 = Stilt + 1st to 32nd Floor</t>
  </si>
  <si>
    <t>SROT/Growth Center/2401/BP/ ITP-Usarghar-Gharivali-01/Amended CC Phase 8 B.No. 43,44 &amp; 45/Vol-46/527/2024
Dated : 14/05/2024.
CC Valid upto :
Valid Up to: Building No.24 to 30 = Stilt + 1st to 32nd Floor</t>
  </si>
  <si>
    <t>Mrs. Arati 7400066832</t>
  </si>
  <si>
    <t>04/07/2025 at 03:05PM</t>
  </si>
  <si>
    <t>Mr. Suraj Khare</t>
  </si>
  <si>
    <t>Mr. Aniket 9137940152</t>
  </si>
  <si>
    <t>Gangaram parshuram Lambore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</si>
</sst>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4"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FF0000"/>
      <name val="Calibri"/>
      <family val="2"/>
      <scheme val="minor"/>
    </font>
    <font>
      <b/>
      <sz val="11"/>
      <color theme="1"/>
      <name val="Calibri"/>
      <family val="2"/>
      <scheme val="minor"/>
    </font>
    <font>
      <b/>
      <sz val="16"/>
      <name val="Times New Roman"/>
      <family val="1"/>
    </font>
    <font>
      <sz val="16"/>
      <color theme="1"/>
      <name val="Times New Roman"/>
      <family val="1"/>
    </font>
    <font>
      <sz val="16"/>
      <name val="Times New Roman"/>
      <family val="1"/>
    </font>
    <font>
      <b/>
      <sz val="16"/>
      <color indexed="8"/>
      <name val="Times New Roman"/>
      <family val="1"/>
    </font>
    <font>
      <sz val="16"/>
      <color theme="1"/>
      <name val="Calibri"/>
      <family val="2"/>
    </font>
    <font>
      <sz val="16"/>
      <color indexed="8"/>
      <name val="Times New Roman"/>
      <family val="1"/>
    </font>
    <font>
      <sz val="11"/>
      <color rgb="FF000000"/>
      <name val="Times New Roman"/>
      <family val="1"/>
    </font>
    <font>
      <sz val="11"/>
      <color indexed="8"/>
      <name val="Calibri"/>
      <family val="2"/>
    </font>
    <font>
      <sz val="11"/>
      <color rgb="FFFF0000"/>
      <name val="Calibri"/>
      <family val="2"/>
    </font>
    <font>
      <b/>
      <sz val="16"/>
      <color theme="1"/>
      <name val="Times New Roman"/>
      <family val="1"/>
    </font>
    <font>
      <sz val="12"/>
      <color theme="1"/>
      <name val="Times New Roman"/>
      <family val="1"/>
    </font>
    <font>
      <b/>
      <sz val="12"/>
      <name val="Times New Roman"/>
      <family val="1"/>
    </font>
    <font>
      <sz val="12"/>
      <name val="Times New Roman"/>
      <family val="1"/>
    </font>
    <font>
      <sz val="16"/>
      <color rgb="FF000000"/>
      <name val="Times New Roman"/>
      <family val="1"/>
    </font>
    <font>
      <sz val="16"/>
      <color theme="1"/>
      <name val="Calibri"/>
      <family val="2"/>
      <scheme val="minor"/>
    </font>
    <font>
      <u/>
      <sz val="11"/>
      <color theme="10"/>
      <name val="Calibri"/>
      <family val="2"/>
    </font>
    <font>
      <u/>
      <sz val="16"/>
      <color theme="10"/>
      <name val="Calibri"/>
      <family val="2"/>
    </font>
  </fonts>
  <fills count="6">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EF2E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7">
    <xf numFmtId="0" fontId="0" fillId="0" borderId="0"/>
    <xf numFmtId="9" fontId="4" fillId="0" borderId="0" applyFont="0" applyFill="0" applyBorder="0" applyAlignment="0" applyProtection="0"/>
    <xf numFmtId="0" fontId="3" fillId="0" borderId="0"/>
    <xf numFmtId="0" fontId="14" fillId="0" borderId="0"/>
    <xf numFmtId="0" fontId="2" fillId="0" borderId="0"/>
    <xf numFmtId="164" fontId="14" fillId="0" borderId="0" applyFont="0" applyFill="0" applyBorder="0" applyAlignment="0" applyProtection="0"/>
    <xf numFmtId="0" fontId="22" fillId="0" borderId="0" applyNumberFormat="0" applyFill="0" applyBorder="0" applyAlignment="0" applyProtection="0"/>
  </cellStyleXfs>
  <cellXfs count="181">
    <xf numFmtId="0" fontId="0" fillId="0" borderId="0" xfId="0"/>
    <xf numFmtId="0" fontId="6" fillId="2" borderId="1" xfId="0" applyFont="1" applyFill="1" applyBorder="1"/>
    <xf numFmtId="0" fontId="0" fillId="0" borderId="1" xfId="0" applyBorder="1"/>
    <xf numFmtId="0" fontId="0" fillId="0" borderId="0" xfId="0" applyBorder="1"/>
    <xf numFmtId="0" fontId="0" fillId="0" borderId="6" xfId="0" applyBorder="1"/>
    <xf numFmtId="0" fontId="0" fillId="0" borderId="0" xfId="0" applyAlignment="1">
      <alignment wrapText="1"/>
    </xf>
    <xf numFmtId="0" fontId="0" fillId="0" borderId="1" xfId="0" applyBorder="1" applyAlignment="1">
      <alignment wrapText="1"/>
    </xf>
    <xf numFmtId="0" fontId="5" fillId="0" borderId="0" xfId="0" applyFont="1"/>
    <xf numFmtId="9" fontId="0" fillId="0" borderId="1" xfId="1" applyFont="1" applyBorder="1"/>
    <xf numFmtId="0" fontId="9" fillId="0" borderId="1" xfId="0" applyFont="1" applyFill="1" applyBorder="1" applyAlignment="1">
      <alignment horizontal="center" vertical="top" wrapText="1"/>
    </xf>
    <xf numFmtId="0" fontId="8" fillId="0" borderId="0" xfId="0" applyFont="1" applyAlignment="1">
      <alignment vertical="top"/>
    </xf>
    <xf numFmtId="0" fontId="8" fillId="0" borderId="0" xfId="0" applyFont="1" applyBorder="1" applyAlignment="1">
      <alignment vertical="top"/>
    </xf>
    <xf numFmtId="0" fontId="9" fillId="0" borderId="6" xfId="0" applyFont="1" applyFill="1" applyBorder="1" applyAlignment="1">
      <alignment horizontal="center" vertical="top" wrapText="1"/>
    </xf>
    <xf numFmtId="0" fontId="9" fillId="0" borderId="1" xfId="0" applyFont="1" applyFill="1" applyBorder="1" applyAlignment="1">
      <alignment vertical="top"/>
    </xf>
    <xf numFmtId="0" fontId="9" fillId="4" borderId="1" xfId="0" applyFont="1" applyFill="1" applyBorder="1" applyAlignment="1">
      <alignment vertical="top" wrapText="1"/>
    </xf>
    <xf numFmtId="0" fontId="7" fillId="0" borderId="1" xfId="0" applyFont="1" applyFill="1" applyBorder="1" applyAlignment="1">
      <alignment vertical="top" wrapText="1"/>
    </xf>
    <xf numFmtId="0" fontId="8" fillId="0" borderId="0" xfId="0" applyFont="1" applyAlignment="1">
      <alignment horizontal="center" vertical="top"/>
    </xf>
    <xf numFmtId="0" fontId="11" fillId="0" borderId="0" xfId="0" applyFont="1" applyAlignment="1">
      <alignment vertical="center"/>
    </xf>
    <xf numFmtId="0" fontId="7" fillId="0"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0" borderId="1" xfId="0" applyFont="1" applyFill="1" applyBorder="1" applyAlignment="1">
      <alignment horizontal="left" vertical="top" wrapText="1"/>
    </xf>
    <xf numFmtId="1" fontId="10" fillId="0" borderId="1" xfId="2" applyNumberFormat="1" applyFont="1" applyFill="1" applyBorder="1" applyAlignment="1">
      <alignment horizontal="center" vertical="top" wrapText="1"/>
    </xf>
    <xf numFmtId="0" fontId="9" fillId="0" borderId="1" xfId="0" applyFont="1" applyFill="1" applyBorder="1" applyAlignment="1">
      <alignment horizontal="center" vertical="top"/>
    </xf>
    <xf numFmtId="0" fontId="7" fillId="0"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0" borderId="1" xfId="0" applyFont="1" applyFill="1" applyBorder="1" applyAlignment="1">
      <alignment vertical="top" wrapText="1"/>
    </xf>
    <xf numFmtId="0" fontId="9" fillId="5" borderId="1" xfId="0" applyFont="1" applyFill="1" applyBorder="1" applyAlignment="1">
      <alignment vertical="top" wrapText="1"/>
    </xf>
    <xf numFmtId="0" fontId="9" fillId="0" borderId="1" xfId="0" applyFont="1" applyFill="1" applyBorder="1" applyAlignment="1">
      <alignment horizontal="center" vertical="top" wrapText="1"/>
    </xf>
    <xf numFmtId="0" fontId="13" fillId="0" borderId="14" xfId="0" applyFont="1" applyFill="1" applyBorder="1" applyProtection="1">
      <protection hidden="1"/>
    </xf>
    <xf numFmtId="9" fontId="13" fillId="0" borderId="0" xfId="0" applyNumberFormat="1" applyFont="1" applyBorder="1" applyProtection="1">
      <protection hidden="1"/>
    </xf>
    <xf numFmtId="9" fontId="13" fillId="0" borderId="15" xfId="0" applyNumberFormat="1" applyFont="1" applyBorder="1" applyProtection="1">
      <protection hidden="1"/>
    </xf>
    <xf numFmtId="0" fontId="13" fillId="0" borderId="16" xfId="0" applyFont="1" applyFill="1" applyBorder="1" applyProtection="1">
      <protection hidden="1"/>
    </xf>
    <xf numFmtId="9" fontId="13" fillId="0" borderId="17" xfId="0" applyNumberFormat="1" applyFont="1" applyBorder="1" applyProtection="1">
      <protection hidden="1"/>
    </xf>
    <xf numFmtId="9" fontId="13" fillId="0" borderId="18" xfId="0" applyNumberFormat="1" applyFont="1" applyBorder="1" applyProtection="1">
      <protection hidden="1"/>
    </xf>
    <xf numFmtId="0" fontId="14" fillId="0" borderId="0" xfId="3" applyFont="1"/>
    <xf numFmtId="0" fontId="14" fillId="0" borderId="0" xfId="3"/>
    <xf numFmtId="0" fontId="2" fillId="0" borderId="0" xfId="4"/>
    <xf numFmtId="0" fontId="6" fillId="0" borderId="1" xfId="4" applyFont="1" applyBorder="1" applyAlignment="1">
      <alignment horizontal="center" vertical="top" wrapText="1"/>
    </xf>
    <xf numFmtId="0" fontId="2" fillId="0" borderId="1" xfId="4" applyBorder="1" applyAlignment="1">
      <alignment horizontal="center" vertical="center"/>
    </xf>
    <xf numFmtId="0" fontId="6" fillId="0" borderId="1" xfId="4" applyFont="1" applyBorder="1" applyAlignment="1">
      <alignment horizontal="center" vertical="center"/>
    </xf>
    <xf numFmtId="1" fontId="5" fillId="0" borderId="1" xfId="4" applyNumberFormat="1" applyFont="1" applyBorder="1" applyAlignment="1">
      <alignment horizontal="center" vertical="center"/>
    </xf>
    <xf numFmtId="0" fontId="2" fillId="0" borderId="1" xfId="4" applyFont="1" applyBorder="1" applyAlignment="1">
      <alignment horizontal="center" vertical="center"/>
    </xf>
    <xf numFmtId="0" fontId="14" fillId="0" borderId="1" xfId="3" applyFont="1" applyBorder="1" applyAlignment="1">
      <alignment horizontal="center" vertical="center"/>
    </xf>
    <xf numFmtId="0" fontId="15" fillId="0" borderId="0" xfId="3" applyFont="1"/>
    <xf numFmtId="0" fontId="2" fillId="0" borderId="1" xfId="4" applyFill="1" applyBorder="1" applyAlignment="1">
      <alignment horizontal="center" vertical="center"/>
    </xf>
    <xf numFmtId="1" fontId="2" fillId="0" borderId="1" xfId="4" applyNumberFormat="1" applyFill="1" applyBorder="1" applyAlignment="1">
      <alignment horizontal="center" vertical="center"/>
    </xf>
    <xf numFmtId="165" fontId="2" fillId="0" borderId="1" xfId="5" applyNumberFormat="1" applyFont="1" applyFill="1" applyBorder="1" applyAlignment="1">
      <alignment horizontal="right" vertical="center"/>
    </xf>
    <xf numFmtId="0" fontId="1" fillId="0" borderId="1" xfId="4" applyFont="1" applyBorder="1" applyAlignment="1">
      <alignment horizontal="left" vertical="center"/>
    </xf>
    <xf numFmtId="0" fontId="1" fillId="0" borderId="1" xfId="4" applyFont="1" applyBorder="1" applyAlignment="1">
      <alignment horizontal="center" vertical="center"/>
    </xf>
    <xf numFmtId="0" fontId="9" fillId="0" borderId="1" xfId="0" applyFont="1" applyFill="1" applyBorder="1" applyAlignment="1">
      <alignment vertical="top" wrapText="1"/>
    </xf>
    <xf numFmtId="0" fontId="9" fillId="5" borderId="1" xfId="0" applyFont="1" applyFill="1" applyBorder="1" applyAlignment="1">
      <alignment horizontal="left" vertical="top" wrapText="1"/>
    </xf>
    <xf numFmtId="0" fontId="9" fillId="5" borderId="1" xfId="0" applyFont="1" applyFill="1" applyBorder="1" applyAlignment="1">
      <alignment vertical="top" wrapText="1"/>
    </xf>
    <xf numFmtId="0" fontId="9" fillId="0" borderId="1" xfId="0" applyFont="1" applyFill="1" applyBorder="1" applyAlignment="1">
      <alignment horizontal="left" vertical="top" wrapText="1"/>
    </xf>
    <xf numFmtId="0" fontId="9" fillId="5" borderId="1" xfId="0" applyFont="1" applyFill="1" applyBorder="1" applyAlignment="1">
      <alignment horizontal="center" vertical="top" wrapText="1"/>
    </xf>
    <xf numFmtId="0" fontId="9" fillId="5" borderId="1" xfId="0" applyFont="1" applyFill="1" applyBorder="1" applyAlignment="1">
      <alignment vertical="top" wrapText="1"/>
    </xf>
    <xf numFmtId="1" fontId="12" fillId="5" borderId="1" xfId="0" applyNumberFormat="1" applyFont="1" applyFill="1" applyBorder="1" applyAlignment="1">
      <alignment horizontal="center" vertical="center" wrapText="1"/>
    </xf>
    <xf numFmtId="0" fontId="9" fillId="0" borderId="1" xfId="0" applyFont="1" applyFill="1" applyBorder="1" applyAlignment="1">
      <alignment vertical="top" wrapText="1"/>
    </xf>
    <xf numFmtId="0" fontId="9" fillId="5" borderId="1" xfId="0" applyFont="1" applyFill="1" applyBorder="1" applyAlignment="1">
      <alignment vertical="top" wrapText="1"/>
    </xf>
    <xf numFmtId="1" fontId="12" fillId="5" borderId="1" xfId="0" applyNumberFormat="1" applyFont="1" applyFill="1" applyBorder="1" applyAlignment="1">
      <alignment horizontal="center" vertical="center" wrapText="1"/>
    </xf>
    <xf numFmtId="0" fontId="9" fillId="0" borderId="6"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0" borderId="1" xfId="0" applyFont="1" applyFill="1" applyBorder="1" applyAlignment="1">
      <alignment vertical="top" wrapText="1"/>
    </xf>
    <xf numFmtId="0" fontId="9" fillId="5" borderId="1" xfId="0" applyFont="1" applyFill="1" applyBorder="1" applyAlignment="1">
      <alignment vertical="top" wrapText="1"/>
    </xf>
    <xf numFmtId="0" fontId="9" fillId="0"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17" fillId="0" borderId="0" xfId="2" applyFont="1" applyAlignment="1">
      <alignment horizontal="center" vertical="center"/>
    </xf>
    <xf numFmtId="1" fontId="19" fillId="5" borderId="1" xfId="2" applyNumberFormat="1" applyFont="1" applyFill="1" applyBorder="1" applyAlignment="1" applyProtection="1">
      <alignment horizontal="center" vertical="center" wrapText="1"/>
      <protection locked="0"/>
    </xf>
    <xf numFmtId="1" fontId="9" fillId="5" borderId="1" xfId="2" applyNumberFormat="1" applyFont="1" applyFill="1" applyBorder="1" applyAlignment="1" applyProtection="1">
      <alignment horizontal="center" vertical="center" wrapText="1"/>
      <protection locked="0"/>
    </xf>
    <xf numFmtId="14" fontId="9" fillId="5" borderId="1" xfId="0" applyNumberFormat="1" applyFont="1" applyFill="1" applyBorder="1" applyAlignment="1">
      <alignment horizontal="left" vertical="top" wrapText="1"/>
    </xf>
    <xf numFmtId="0" fontId="8" fillId="0" borderId="15" xfId="2" applyFont="1" applyBorder="1" applyProtection="1">
      <protection hidden="1"/>
    </xf>
    <xf numFmtId="0" fontId="9" fillId="3" borderId="1" xfId="0" applyFont="1" applyFill="1" applyBorder="1" applyAlignment="1">
      <alignment vertical="top"/>
    </xf>
    <xf numFmtId="0" fontId="8" fillId="0" borderId="15" xfId="2" applyFont="1" applyBorder="1"/>
    <xf numFmtId="1" fontId="21" fillId="0" borderId="15" xfId="0" applyNumberFormat="1" applyFont="1" applyBorder="1"/>
    <xf numFmtId="1" fontId="21" fillId="0" borderId="15" xfId="0" applyNumberFormat="1" applyFont="1" applyBorder="1" applyAlignment="1">
      <alignment horizontal="right"/>
    </xf>
    <xf numFmtId="1" fontId="21" fillId="0" borderId="18" xfId="0" applyNumberFormat="1" applyFont="1" applyBorder="1"/>
    <xf numFmtId="0" fontId="9" fillId="0" borderId="1" xfId="0" applyFont="1" applyFill="1" applyBorder="1" applyAlignment="1">
      <alignment horizontal="center" vertical="top" wrapText="1"/>
    </xf>
    <xf numFmtId="0" fontId="22" fillId="0" borderId="0" xfId="6" applyAlignment="1">
      <alignment vertical="top"/>
    </xf>
    <xf numFmtId="0" fontId="9" fillId="3" borderId="1" xfId="0" applyFont="1" applyFill="1" applyBorder="1" applyAlignment="1">
      <alignment horizontal="center" vertical="top"/>
    </xf>
    <xf numFmtId="9" fontId="9" fillId="5" borderId="1" xfId="2" applyNumberFormat="1" applyFont="1" applyFill="1" applyBorder="1" applyAlignment="1" applyProtection="1">
      <alignment horizontal="center" vertical="center" wrapText="1"/>
      <protection hidden="1"/>
    </xf>
    <xf numFmtId="0" fontId="9" fillId="0" borderId="6" xfId="0" applyFont="1" applyFill="1" applyBorder="1" applyAlignment="1">
      <alignment horizontal="left" vertical="top" wrapText="1"/>
    </xf>
    <xf numFmtId="0" fontId="9" fillId="5" borderId="1" xfId="2" applyFont="1" applyFill="1" applyBorder="1" applyAlignment="1" applyProtection="1">
      <alignment horizontal="center" vertical="center" wrapText="1"/>
      <protection hidden="1"/>
    </xf>
    <xf numFmtId="0" fontId="8" fillId="0" borderId="19" xfId="2" applyFont="1" applyBorder="1" applyProtection="1">
      <protection hidden="1"/>
    </xf>
    <xf numFmtId="0" fontId="8" fillId="0" borderId="0" xfId="2" applyFont="1" applyProtection="1">
      <protection hidden="1"/>
    </xf>
    <xf numFmtId="0" fontId="20" fillId="0" borderId="0" xfId="0" applyFont="1" applyProtection="1">
      <protection hidden="1"/>
    </xf>
    <xf numFmtId="0" fontId="20" fillId="0" borderId="15" xfId="0" applyFont="1" applyBorder="1" applyProtection="1">
      <protection hidden="1"/>
    </xf>
    <xf numFmtId="0" fontId="20" fillId="0" borderId="17" xfId="0" applyFont="1" applyBorder="1" applyProtection="1">
      <protection hidden="1"/>
    </xf>
    <xf numFmtId="0" fontId="8" fillId="0" borderId="0" xfId="0" applyFont="1" applyAlignment="1">
      <alignment vertical="top" wrapText="1"/>
    </xf>
    <xf numFmtId="14" fontId="8" fillId="0" borderId="0" xfId="0" applyNumberFormat="1" applyFont="1" applyAlignment="1">
      <alignment vertical="top"/>
    </xf>
    <xf numFmtId="0" fontId="8" fillId="5" borderId="1" xfId="0" applyFont="1" applyFill="1" applyBorder="1" applyAlignment="1">
      <alignment horizontal="left" vertical="top" wrapText="1"/>
    </xf>
    <xf numFmtId="14" fontId="8" fillId="5" borderId="1" xfId="0" applyNumberFormat="1" applyFont="1" applyFill="1" applyBorder="1" applyAlignment="1">
      <alignment horizontal="left" vertical="top" wrapText="1"/>
    </xf>
    <xf numFmtId="1" fontId="12" fillId="5" borderId="2"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1" fontId="12" fillId="5" borderId="3" xfId="0" applyNumberFormat="1" applyFont="1" applyFill="1" applyBorder="1" applyAlignment="1">
      <alignment horizontal="center" vertical="center" wrapText="1"/>
    </xf>
    <xf numFmtId="9" fontId="9" fillId="5" borderId="1" xfId="2" applyNumberFormat="1" applyFont="1" applyFill="1" applyBorder="1" applyAlignment="1" applyProtection="1">
      <alignment horizontal="center" vertical="center" wrapText="1"/>
      <protection hidden="1"/>
    </xf>
    <xf numFmtId="0" fontId="9" fillId="5" borderId="1" xfId="2" applyFont="1" applyFill="1" applyBorder="1" applyAlignment="1" applyProtection="1">
      <alignment horizontal="center" vertical="center" wrapText="1"/>
      <protection hidden="1"/>
    </xf>
    <xf numFmtId="0" fontId="9" fillId="5" borderId="7"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9" xfId="0" applyFont="1" applyFill="1" applyBorder="1" applyAlignment="1">
      <alignment horizontal="left" vertical="top" wrapText="1"/>
    </xf>
    <xf numFmtId="1" fontId="12" fillId="5" borderId="7" xfId="0" applyNumberFormat="1" applyFont="1" applyFill="1" applyBorder="1" applyAlignment="1">
      <alignment horizontal="center" vertical="center" wrapText="1"/>
    </xf>
    <xf numFmtId="1" fontId="12" fillId="5" borderId="9" xfId="0" applyNumberFormat="1" applyFont="1" applyFill="1" applyBorder="1" applyAlignment="1">
      <alignment horizontal="center" vertical="center" wrapText="1"/>
    </xf>
    <xf numFmtId="1" fontId="12" fillId="5" borderId="10" xfId="0" applyNumberFormat="1" applyFont="1" applyFill="1" applyBorder="1" applyAlignment="1">
      <alignment horizontal="center" vertical="center" wrapText="1"/>
    </xf>
    <xf numFmtId="1" fontId="12" fillId="5" borderId="11" xfId="0" applyNumberFormat="1" applyFont="1" applyFill="1" applyBorder="1" applyAlignment="1">
      <alignment horizontal="center" vertical="center" wrapText="1"/>
    </xf>
    <xf numFmtId="0" fontId="8" fillId="0" borderId="10" xfId="0" applyFont="1" applyBorder="1" applyAlignment="1">
      <alignment horizontal="center" vertical="top"/>
    </xf>
    <xf numFmtId="0" fontId="8" fillId="0" borderId="0" xfId="0" applyFont="1" applyBorder="1" applyAlignment="1">
      <alignment horizontal="center" vertical="top"/>
    </xf>
    <xf numFmtId="9" fontId="9" fillId="5" borderId="2" xfId="2" applyNumberFormat="1" applyFont="1" applyFill="1" applyBorder="1" applyAlignment="1" applyProtection="1">
      <alignment horizontal="center" vertical="center" wrapText="1"/>
      <protection hidden="1"/>
    </xf>
    <xf numFmtId="9" fontId="9" fillId="5" borderId="5" xfId="2" applyNumberFormat="1" applyFont="1" applyFill="1" applyBorder="1" applyAlignment="1" applyProtection="1">
      <alignment horizontal="center" vertical="center" wrapText="1"/>
      <protection hidden="1"/>
    </xf>
    <xf numFmtId="0" fontId="9" fillId="5" borderId="2"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2" xfId="0" applyFont="1" applyFill="1" applyBorder="1" applyAlignment="1">
      <alignment horizontal="center" vertical="top" wrapText="1"/>
    </xf>
    <xf numFmtId="0" fontId="9" fillId="5" borderId="5" xfId="0" applyFont="1" applyFill="1" applyBorder="1" applyAlignment="1">
      <alignment horizontal="center" vertical="top"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top" wrapText="1"/>
    </xf>
    <xf numFmtId="1" fontId="10" fillId="5" borderId="2" xfId="0" applyNumberFormat="1" applyFont="1" applyFill="1" applyBorder="1" applyAlignment="1">
      <alignment horizontal="center" vertical="center" wrapText="1"/>
    </xf>
    <xf numFmtId="1" fontId="10" fillId="5" borderId="3" xfId="0" applyNumberFormat="1" applyFont="1" applyFill="1" applyBorder="1" applyAlignment="1">
      <alignment horizontal="center" vertical="center" wrapText="1"/>
    </xf>
    <xf numFmtId="1" fontId="10" fillId="5" borderId="5" xfId="0" applyNumberFormat="1" applyFont="1" applyFill="1" applyBorder="1" applyAlignment="1">
      <alignment horizontal="center" vertical="center" wrapText="1"/>
    </xf>
    <xf numFmtId="1" fontId="12" fillId="5" borderId="12" xfId="0" applyNumberFormat="1" applyFont="1" applyFill="1" applyBorder="1" applyAlignment="1">
      <alignment horizontal="center" vertical="center" wrapText="1"/>
    </xf>
    <xf numFmtId="1" fontId="12" fillId="5" borderId="13" xfId="0" applyNumberFormat="1" applyFont="1" applyFill="1" applyBorder="1" applyAlignment="1">
      <alignment horizontal="center" vertical="center" wrapText="1"/>
    </xf>
    <xf numFmtId="1" fontId="10" fillId="5" borderId="1" xfId="0" quotePrefix="1" applyNumberFormat="1" applyFont="1" applyFill="1" applyBorder="1" applyAlignment="1">
      <alignment horizontal="center" vertical="center" wrapText="1"/>
    </xf>
    <xf numFmtId="1" fontId="12" fillId="5" borderId="4" xfId="0" applyNumberFormat="1" applyFont="1" applyFill="1" applyBorder="1" applyAlignment="1">
      <alignment horizontal="center" vertical="center" wrapText="1"/>
    </xf>
    <xf numFmtId="1" fontId="12" fillId="5" borderId="8"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top"/>
    </xf>
    <xf numFmtId="0" fontId="9" fillId="0" borderId="1" xfId="0" applyFont="1" applyFill="1" applyBorder="1" applyAlignment="1">
      <alignment horizontal="left" vertical="top"/>
    </xf>
    <xf numFmtId="0" fontId="9" fillId="0" borderId="1" xfId="0" applyFont="1" applyFill="1" applyBorder="1" applyAlignment="1">
      <alignment vertical="top" wrapText="1"/>
    </xf>
    <xf numFmtId="0" fontId="7" fillId="5"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5" borderId="1" xfId="0" applyFont="1" applyFill="1" applyBorder="1" applyAlignment="1">
      <alignment vertical="top" wrapText="1"/>
    </xf>
    <xf numFmtId="9" fontId="7" fillId="5" borderId="2" xfId="0" applyNumberFormat="1" applyFont="1" applyFill="1" applyBorder="1" applyAlignment="1">
      <alignment horizontal="center" vertical="center" wrapText="1"/>
    </xf>
    <xf numFmtId="9" fontId="7" fillId="5" borderId="5" xfId="0" applyNumberFormat="1" applyFont="1" applyFill="1" applyBorder="1" applyAlignment="1">
      <alignment horizontal="center" vertical="center" wrapText="1"/>
    </xf>
    <xf numFmtId="0" fontId="7" fillId="5" borderId="2" xfId="0" applyFont="1" applyFill="1" applyBorder="1" applyAlignment="1">
      <alignment horizontal="center" vertical="top" wrapText="1"/>
    </xf>
    <xf numFmtId="0" fontId="7" fillId="5" borderId="3"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1" xfId="2" applyNumberFormat="1" applyFont="1" applyFill="1" applyBorder="1" applyAlignment="1" applyProtection="1">
      <alignment horizontal="left" vertical="top" wrapText="1"/>
      <protection hidden="1"/>
    </xf>
    <xf numFmtId="9" fontId="7" fillId="5" borderId="1" xfId="2" applyNumberFormat="1" applyFont="1" applyFill="1" applyBorder="1" applyAlignment="1" applyProtection="1">
      <alignment horizontal="center" vertical="center" wrapText="1"/>
      <protection hidden="1"/>
    </xf>
    <xf numFmtId="0" fontId="9" fillId="3" borderId="1" xfId="0" applyFont="1" applyFill="1" applyBorder="1" applyAlignment="1">
      <alignment horizontal="center" vertical="top"/>
    </xf>
    <xf numFmtId="1" fontId="10" fillId="0" borderId="1" xfId="2" applyNumberFormat="1" applyFont="1" applyFill="1" applyBorder="1" applyAlignment="1">
      <alignment horizontal="center" vertical="top" wrapText="1"/>
    </xf>
    <xf numFmtId="1" fontId="12" fillId="5" borderId="2" xfId="0" applyNumberFormat="1" applyFont="1" applyFill="1" applyBorder="1" applyAlignment="1">
      <alignment horizontal="left" vertical="top" wrapText="1"/>
    </xf>
    <xf numFmtId="1" fontId="12" fillId="5" borderId="3" xfId="0" applyNumberFormat="1" applyFont="1" applyFill="1" applyBorder="1" applyAlignment="1">
      <alignment horizontal="left" vertical="top" wrapText="1"/>
    </xf>
    <xf numFmtId="1" fontId="12" fillId="5" borderId="5" xfId="0" applyNumberFormat="1" applyFont="1" applyFill="1" applyBorder="1" applyAlignment="1">
      <alignment horizontal="left" vertical="top" wrapText="1"/>
    </xf>
    <xf numFmtId="1" fontId="12" fillId="5" borderId="2" xfId="0" applyNumberFormat="1" applyFont="1" applyFill="1" applyBorder="1" applyAlignment="1">
      <alignment horizontal="left" vertical="center" wrapText="1"/>
    </xf>
    <xf numFmtId="1" fontId="12" fillId="5" borderId="3" xfId="0" applyNumberFormat="1" applyFont="1" applyFill="1" applyBorder="1" applyAlignment="1">
      <alignment horizontal="left" vertical="center" wrapText="1"/>
    </xf>
    <xf numFmtId="1" fontId="12" fillId="5" borderId="5" xfId="0" applyNumberFormat="1" applyFont="1" applyFill="1" applyBorder="1" applyAlignment="1">
      <alignment horizontal="left" vertical="center" wrapText="1"/>
    </xf>
    <xf numFmtId="0" fontId="7" fillId="0" borderId="1" xfId="0" applyFont="1" applyFill="1" applyBorder="1" applyAlignment="1">
      <alignment horizontal="left" vertical="top" wrapText="1"/>
    </xf>
    <xf numFmtId="0" fontId="9" fillId="4" borderId="1" xfId="0" applyFont="1" applyFill="1" applyBorder="1" applyAlignment="1">
      <alignment horizontal="center" vertical="top" wrapText="1"/>
    </xf>
    <xf numFmtId="0" fontId="9" fillId="0" borderId="6" xfId="0" applyFont="1" applyFill="1" applyBorder="1" applyAlignment="1">
      <alignment horizontal="left" vertical="top" wrapText="1"/>
    </xf>
    <xf numFmtId="14" fontId="12" fillId="5" borderId="2" xfId="0" applyNumberFormat="1" applyFont="1" applyFill="1" applyBorder="1" applyAlignment="1">
      <alignment horizontal="left" vertical="center" wrapText="1"/>
    </xf>
    <xf numFmtId="14" fontId="12" fillId="5" borderId="3" xfId="0" applyNumberFormat="1" applyFont="1" applyFill="1" applyBorder="1" applyAlignment="1">
      <alignment horizontal="left" vertical="center" wrapText="1"/>
    </xf>
    <xf numFmtId="14" fontId="12" fillId="5" borderId="5" xfId="0" applyNumberFormat="1" applyFont="1" applyFill="1" applyBorder="1" applyAlignment="1">
      <alignment horizontal="left" vertical="center" wrapText="1"/>
    </xf>
    <xf numFmtId="0" fontId="9" fillId="0" borderId="1" xfId="0" applyFont="1" applyFill="1" applyBorder="1" applyAlignment="1">
      <alignment horizontal="center" vertical="top" wrapText="1"/>
    </xf>
    <xf numFmtId="1" fontId="7" fillId="5" borderId="1" xfId="2" applyNumberFormat="1" applyFont="1" applyFill="1" applyBorder="1" applyAlignment="1" applyProtection="1">
      <alignment horizontal="center" vertical="center" wrapText="1"/>
      <protection locked="0"/>
    </xf>
    <xf numFmtId="1" fontId="9" fillId="5" borderId="1" xfId="2" quotePrefix="1" applyNumberFormat="1" applyFont="1" applyFill="1" applyBorder="1" applyAlignment="1" applyProtection="1">
      <alignment horizontal="center" vertical="center" wrapText="1"/>
      <protection locked="0"/>
    </xf>
    <xf numFmtId="1" fontId="9" fillId="5" borderId="1" xfId="2" applyNumberFormat="1" applyFont="1" applyFill="1" applyBorder="1" applyAlignment="1" applyProtection="1">
      <alignment horizontal="center" vertical="center" wrapText="1"/>
      <protection locked="0"/>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1" fontId="9" fillId="5" borderId="1" xfId="0" applyNumberFormat="1" applyFont="1" applyFill="1" applyBorder="1" applyAlignment="1">
      <alignment horizontal="left" vertical="top" wrapText="1"/>
    </xf>
    <xf numFmtId="0" fontId="7" fillId="3" borderId="2" xfId="0" applyFont="1" applyFill="1" applyBorder="1" applyAlignment="1">
      <alignment horizontal="center" vertical="top"/>
    </xf>
    <xf numFmtId="0" fontId="7" fillId="3" borderId="3" xfId="0" applyFont="1" applyFill="1" applyBorder="1" applyAlignment="1">
      <alignment horizontal="center" vertical="top"/>
    </xf>
    <xf numFmtId="0" fontId="7" fillId="3" borderId="5" xfId="0" applyFont="1" applyFill="1" applyBorder="1" applyAlignment="1">
      <alignment horizontal="center" vertical="top"/>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5" xfId="0" applyFont="1" applyBorder="1" applyAlignment="1">
      <alignment horizontal="left" vertical="top"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23" fillId="5" borderId="2" xfId="6" applyFont="1" applyFill="1" applyBorder="1" applyAlignment="1">
      <alignment horizontal="left" vertical="top" wrapText="1"/>
    </xf>
    <xf numFmtId="1" fontId="9" fillId="5" borderId="1" xfId="2" applyNumberFormat="1" applyFont="1" applyFill="1" applyBorder="1" applyAlignment="1" applyProtection="1">
      <alignment horizontal="center" vertical="center" wrapText="1"/>
      <protection hidden="1"/>
    </xf>
    <xf numFmtId="1" fontId="18" fillId="5" borderId="1" xfId="2" applyNumberFormat="1" applyFont="1" applyFill="1" applyBorder="1" applyAlignment="1" applyProtection="1">
      <alignment horizontal="center" vertical="center" wrapText="1"/>
      <protection locked="0"/>
    </xf>
    <xf numFmtId="1" fontId="19" fillId="5" borderId="1" xfId="2" applyNumberFormat="1" applyFont="1" applyFill="1" applyBorder="1" applyAlignment="1" applyProtection="1">
      <alignment horizontal="center" vertical="center" wrapText="1"/>
      <protection locked="0"/>
    </xf>
    <xf numFmtId="1" fontId="19" fillId="5" borderId="1" xfId="2" quotePrefix="1" applyNumberFormat="1" applyFont="1" applyFill="1" applyBorder="1" applyAlignment="1" applyProtection="1">
      <alignment horizontal="center" vertical="center" wrapText="1"/>
      <protection locked="0"/>
    </xf>
    <xf numFmtId="0" fontId="6" fillId="0" borderId="1" xfId="4" applyFont="1" applyBorder="1" applyAlignment="1">
      <alignment horizontal="left"/>
    </xf>
    <xf numFmtId="0" fontId="9" fillId="5" borderId="7" xfId="0" applyFont="1" applyFill="1" applyBorder="1" applyAlignment="1">
      <alignment vertical="top" wrapText="1"/>
    </xf>
    <xf numFmtId="0" fontId="9" fillId="5" borderId="4" xfId="0" applyFont="1" applyFill="1" applyBorder="1" applyAlignment="1">
      <alignment vertical="top" wrapText="1"/>
    </xf>
    <xf numFmtId="0" fontId="9" fillId="5" borderId="9" xfId="0" applyFont="1" applyFill="1" applyBorder="1" applyAlignment="1">
      <alignment vertical="top" wrapText="1"/>
    </xf>
    <xf numFmtId="0" fontId="9" fillId="5" borderId="10" xfId="0" applyFont="1" applyFill="1" applyBorder="1" applyAlignment="1">
      <alignment vertical="top" wrapText="1"/>
    </xf>
    <xf numFmtId="0" fontId="9" fillId="5" borderId="0" xfId="0" applyFont="1" applyFill="1" applyBorder="1" applyAlignment="1">
      <alignment vertical="top" wrapText="1"/>
    </xf>
    <xf numFmtId="0" fontId="9" fillId="5" borderId="11" xfId="0" applyFont="1" applyFill="1" applyBorder="1" applyAlignment="1">
      <alignment vertical="top" wrapText="1"/>
    </xf>
    <xf numFmtId="14" fontId="9" fillId="5" borderId="1" xfId="0" applyNumberFormat="1" applyFont="1" applyFill="1" applyBorder="1" applyAlignment="1">
      <alignment horizontal="left" vertical="top" wrapText="1"/>
    </xf>
  </cellXfs>
  <cellStyles count="7">
    <cellStyle name="Comma 2" xfId="5"/>
    <cellStyle name="Excel Built-in Normal 2" xfId="3"/>
    <cellStyle name="Hyperlink" xfId="6" builtinId="8"/>
    <cellStyle name="Normal" xfId="0" builtinId="0"/>
    <cellStyle name="Normal 3" xfId="2"/>
    <cellStyle name="Normal 4" xfId="4"/>
    <cellStyle name="Percent" xfId="1" builtinId="5"/>
  </cellStyles>
  <dxfs count="0"/>
  <tableStyles count="0" defaultTableStyle="TableStyleMedium9" defaultPivotStyle="PivotStyleLight16"/>
  <colors>
    <mruColors>
      <color rgb="FFFEF2E8"/>
      <color rgb="FFCC0066"/>
      <color rgb="FFFF0066"/>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2</xdr:col>
      <xdr:colOff>450273</xdr:colOff>
      <xdr:row>596</xdr:row>
      <xdr:rowOff>138654</xdr:rowOff>
    </xdr:from>
    <xdr:to>
      <xdr:col>7</xdr:col>
      <xdr:colOff>153097</xdr:colOff>
      <xdr:row>603</xdr:row>
      <xdr:rowOff>164292</xdr:rowOff>
    </xdr:to>
    <xdr:pic>
      <xdr:nvPicPr>
        <xdr:cNvPr id="53" name="Picture 52">
          <a:extLst>
            <a:ext uri="{FF2B5EF4-FFF2-40B4-BE49-F238E27FC236}">
              <a16:creationId xmlns="" xmlns:a16="http://schemas.microsoft.com/office/drawing/2014/main" id="{00000000-0008-0000-0000-00003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441864" y="482986881"/>
          <a:ext cx="5487097" cy="3420000"/>
        </a:xfrm>
        <a:prstGeom prst="rect">
          <a:avLst/>
        </a:prstGeom>
        <a:ln>
          <a:solidFill>
            <a:schemeClr val="tx1"/>
          </a:solidFill>
        </a:ln>
      </xdr:spPr>
    </xdr:pic>
    <xdr:clientData/>
  </xdr:twoCellAnchor>
  <xdr:twoCellAnchor editAs="oneCell">
    <xdr:from>
      <xdr:col>2</xdr:col>
      <xdr:colOff>450273</xdr:colOff>
      <xdr:row>588</xdr:row>
      <xdr:rowOff>329044</xdr:rowOff>
    </xdr:from>
    <xdr:to>
      <xdr:col>7</xdr:col>
      <xdr:colOff>156637</xdr:colOff>
      <xdr:row>595</xdr:row>
      <xdr:rowOff>354682</xdr:rowOff>
    </xdr:to>
    <xdr:pic>
      <xdr:nvPicPr>
        <xdr:cNvPr id="54" name="Picture 53">
          <a:extLst>
            <a:ext uri="{FF2B5EF4-FFF2-40B4-BE49-F238E27FC236}">
              <a16:creationId xmlns="" xmlns:a16="http://schemas.microsoft.com/office/drawing/2014/main" id="{00000000-0008-0000-0000-00003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441864" y="479297999"/>
          <a:ext cx="5490637" cy="3420000"/>
        </a:xfrm>
        <a:prstGeom prst="rect">
          <a:avLst/>
        </a:prstGeom>
        <a:ln>
          <a:solidFill>
            <a:schemeClr val="tx1"/>
          </a:solidFill>
        </a:ln>
      </xdr:spPr>
    </xdr:pic>
    <xdr:clientData/>
  </xdr:twoCellAnchor>
  <xdr:twoCellAnchor editAs="oneCell">
    <xdr:from>
      <xdr:col>10</xdr:col>
      <xdr:colOff>462643</xdr:colOff>
      <xdr:row>52</xdr:row>
      <xdr:rowOff>598715</xdr:rowOff>
    </xdr:from>
    <xdr:to>
      <xdr:col>14</xdr:col>
      <xdr:colOff>497190</xdr:colOff>
      <xdr:row>53</xdr:row>
      <xdr:rowOff>1299227</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11062607" y="30861001"/>
          <a:ext cx="6647619" cy="2047619"/>
        </a:xfrm>
        <a:prstGeom prst="rect">
          <a:avLst/>
        </a:prstGeom>
      </xdr:spPr>
    </xdr:pic>
    <xdr:clientData/>
  </xdr:twoCellAnchor>
  <xdr:twoCellAnchor editAs="oneCell">
    <xdr:from>
      <xdr:col>10</xdr:col>
      <xdr:colOff>680357</xdr:colOff>
      <xdr:row>53</xdr:row>
      <xdr:rowOff>1034144</xdr:rowOff>
    </xdr:from>
    <xdr:to>
      <xdr:col>14</xdr:col>
      <xdr:colOff>114904</xdr:colOff>
      <xdr:row>55</xdr:row>
      <xdr:rowOff>727466</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280321" y="32643537"/>
          <a:ext cx="6047619" cy="4142857"/>
        </a:xfrm>
        <a:prstGeom prst="rect">
          <a:avLst/>
        </a:prstGeom>
      </xdr:spPr>
    </xdr:pic>
    <xdr:clientData/>
  </xdr:twoCellAnchor>
  <xdr:twoCellAnchor editAs="oneCell">
    <xdr:from>
      <xdr:col>5</xdr:col>
      <xdr:colOff>755815</xdr:colOff>
      <xdr:row>585</xdr:row>
      <xdr:rowOff>2806783</xdr:rowOff>
    </xdr:from>
    <xdr:to>
      <xdr:col>6</xdr:col>
      <xdr:colOff>92210</xdr:colOff>
      <xdr:row>585</xdr:row>
      <xdr:rowOff>4970858</xdr:rowOff>
    </xdr:to>
    <xdr:pic>
      <xdr:nvPicPr>
        <xdr:cNvPr id="29" name="Picture 28" descr="https://vsjcllp.vsjadon.com/upload/insp-239275-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5639542" y="188786738"/>
          <a:ext cx="1622395" cy="2164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758288</xdr:colOff>
      <xdr:row>585</xdr:row>
      <xdr:rowOff>2813768</xdr:rowOff>
    </xdr:from>
    <xdr:to>
      <xdr:col>5</xdr:col>
      <xdr:colOff>621100</xdr:colOff>
      <xdr:row>585</xdr:row>
      <xdr:rowOff>4978645</xdr:rowOff>
    </xdr:to>
    <xdr:pic>
      <xdr:nvPicPr>
        <xdr:cNvPr id="30" name="Picture 29" descr="https://vsjcllp.vsjadon.com/upload/insp-239275-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611333" y="188793723"/>
          <a:ext cx="2893494" cy="216487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538100</xdr:colOff>
      <xdr:row>578</xdr:row>
      <xdr:rowOff>134835</xdr:rowOff>
    </xdr:from>
    <xdr:to>
      <xdr:col>4</xdr:col>
      <xdr:colOff>199040</xdr:colOff>
      <xdr:row>583</xdr:row>
      <xdr:rowOff>271649</xdr:rowOff>
    </xdr:to>
    <xdr:pic>
      <xdr:nvPicPr>
        <xdr:cNvPr id="39" name="Picture 38" descr="https://vsjcllp.vsjadon.com/upload/insp-239275-846.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538100" y="180295880"/>
          <a:ext cx="2847485" cy="42931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315685</xdr:colOff>
      <xdr:row>578</xdr:row>
      <xdr:rowOff>137554</xdr:rowOff>
    </xdr:from>
    <xdr:to>
      <xdr:col>5</xdr:col>
      <xdr:colOff>1473849</xdr:colOff>
      <xdr:row>583</xdr:row>
      <xdr:rowOff>274369</xdr:rowOff>
    </xdr:to>
    <xdr:pic>
      <xdr:nvPicPr>
        <xdr:cNvPr id="40" name="Picture 39" descr="https://vsjcllp.vsjadon.com/upload/insp-239275-84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502230" y="180298599"/>
          <a:ext cx="2855346" cy="429317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1609847</xdr:colOff>
      <xdr:row>578</xdr:row>
      <xdr:rowOff>140276</xdr:rowOff>
    </xdr:from>
    <xdr:to>
      <xdr:col>8</xdr:col>
      <xdr:colOff>827064</xdr:colOff>
      <xdr:row>583</xdr:row>
      <xdr:rowOff>277090</xdr:rowOff>
    </xdr:to>
    <xdr:pic>
      <xdr:nvPicPr>
        <xdr:cNvPr id="41" name="Picture 40" descr="https://vsjcllp.vsjadon.com/upload/insp-239275-84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6493574" y="180301321"/>
          <a:ext cx="2854035" cy="42931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346363</xdr:colOff>
      <xdr:row>583</xdr:row>
      <xdr:rowOff>400297</xdr:rowOff>
    </xdr:from>
    <xdr:to>
      <xdr:col>2</xdr:col>
      <xdr:colOff>780084</xdr:colOff>
      <xdr:row>585</xdr:row>
      <xdr:rowOff>2684317</xdr:rowOff>
    </xdr:to>
    <xdr:pic>
      <xdr:nvPicPr>
        <xdr:cNvPr id="42" name="Picture 41" descr="https://vsjcllp.vsjadon.com/upload/insp-239275-85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6363" y="184717706"/>
          <a:ext cx="2286766" cy="39465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898261</xdr:colOff>
      <xdr:row>583</xdr:row>
      <xdr:rowOff>392978</xdr:rowOff>
    </xdr:from>
    <xdr:to>
      <xdr:col>5</xdr:col>
      <xdr:colOff>123221</xdr:colOff>
      <xdr:row>585</xdr:row>
      <xdr:rowOff>2676722</xdr:rowOff>
    </xdr:to>
    <xdr:pic>
      <xdr:nvPicPr>
        <xdr:cNvPr id="43" name="Picture 42" descr="https://vsjcllp.vsjadon.com/upload/insp-239275-86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751306" y="184710387"/>
          <a:ext cx="2255642" cy="394629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254607</xdr:colOff>
      <xdr:row>583</xdr:row>
      <xdr:rowOff>404285</xdr:rowOff>
    </xdr:from>
    <xdr:to>
      <xdr:col>7</xdr:col>
      <xdr:colOff>69272</xdr:colOff>
      <xdr:row>585</xdr:row>
      <xdr:rowOff>2690281</xdr:rowOff>
    </xdr:to>
    <xdr:pic>
      <xdr:nvPicPr>
        <xdr:cNvPr id="44" name="Picture 43" descr="https://vsjcllp.vsjadon.com/upload/insp-239275-85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5138334" y="184721694"/>
          <a:ext cx="2204574" cy="394854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191986</xdr:colOff>
      <xdr:row>583</xdr:row>
      <xdr:rowOff>404460</xdr:rowOff>
    </xdr:from>
    <xdr:to>
      <xdr:col>8</xdr:col>
      <xdr:colOff>1149651</xdr:colOff>
      <xdr:row>585</xdr:row>
      <xdr:rowOff>2688998</xdr:rowOff>
    </xdr:to>
    <xdr:pic>
      <xdr:nvPicPr>
        <xdr:cNvPr id="49" name="Picture 48" descr="https://vsjcllp.vsjadon.com/upload/insp-239275-85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7465622" y="184721869"/>
          <a:ext cx="2204574" cy="39470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50</xdr:row>
      <xdr:rowOff>111777</xdr:rowOff>
    </xdr:from>
    <xdr:to>
      <xdr:col>6</xdr:col>
      <xdr:colOff>2325</xdr:colOff>
      <xdr:row>69</xdr:row>
      <xdr:rowOff>92277</xdr:rowOff>
    </xdr:to>
    <xdr:pic>
      <xdr:nvPicPr>
        <xdr:cNvPr id="11" name="Picture 10">
          <a:extLst>
            <a:ext uri="{FF2B5EF4-FFF2-40B4-BE49-F238E27FC236}">
              <a16:creationId xmlns="" xmlns:a16="http://schemas.microsoft.com/office/drawing/2014/main" id="{00000000-0008-0000-0800-00000B000000}"/>
            </a:ext>
          </a:extLst>
        </xdr:cNvPr>
        <xdr:cNvPicPr>
          <a:picLocks noChangeAspect="1"/>
        </xdr:cNvPicPr>
      </xdr:nvPicPr>
      <xdr:blipFill>
        <a:blip xmlns:r="http://schemas.openxmlformats.org/officeDocument/2006/relationships" r:embed="rId1"/>
        <a:stretch>
          <a:fillRect/>
        </a:stretch>
      </xdr:blipFill>
      <xdr:spPr>
        <a:xfrm>
          <a:off x="581025" y="10208277"/>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Yfx7APrLtkGMQg57" TargetMode="Externa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5"/>
  <sheetViews>
    <sheetView tabSelected="1" view="pageBreakPreview" topLeftCell="A266" zoomScale="70" zoomScaleNormal="85" zoomScaleSheetLayoutView="70" zoomScalePageLayoutView="73" workbookViewId="0">
      <selection activeCell="L280" sqref="L280"/>
    </sheetView>
  </sheetViews>
  <sheetFormatPr defaultColWidth="9.140625" defaultRowHeight="17.100000000000001" customHeight="1" x14ac:dyDescent="0.25"/>
  <cols>
    <col min="1" max="1" width="26.42578125" style="10" customWidth="1"/>
    <col min="2" max="2" width="1.28515625" style="10" customWidth="1"/>
    <col min="3" max="3" width="18.42578125" style="10" customWidth="1"/>
    <col min="4" max="4" width="1.42578125" style="16" customWidth="1"/>
    <col min="5" max="5" width="25.42578125" style="10" customWidth="1"/>
    <col min="6" max="6" width="34.28515625" style="10" customWidth="1"/>
    <col min="7" max="7" width="1.42578125" style="10" customWidth="1"/>
    <col min="8" max="8" width="18.7109375" style="10" customWidth="1"/>
    <col min="9" max="9" width="22.28515625" style="10" customWidth="1"/>
    <col min="10" max="10" width="9.140625" style="10"/>
    <col min="11" max="11" width="55.140625" style="10" customWidth="1"/>
    <col min="12" max="12" width="15.7109375" style="10" bestFit="1" customWidth="1"/>
    <col min="13" max="13" width="12.5703125" style="10" bestFit="1" customWidth="1"/>
    <col min="14" max="14" width="15.7109375" style="10" bestFit="1" customWidth="1"/>
    <col min="15" max="16384" width="9.140625" style="10"/>
  </cols>
  <sheetData>
    <row r="1" spans="1:14" ht="20.25" x14ac:dyDescent="0.25">
      <c r="A1" s="124" t="s">
        <v>41</v>
      </c>
      <c r="B1" s="124"/>
      <c r="C1" s="124"/>
      <c r="D1" s="124"/>
      <c r="E1" s="124"/>
      <c r="F1" s="124"/>
      <c r="G1" s="124"/>
      <c r="H1" s="124"/>
      <c r="I1" s="124"/>
    </row>
    <row r="2" spans="1:14" ht="63.75" customHeight="1" x14ac:dyDescent="0.25">
      <c r="A2" s="126" t="s">
        <v>10</v>
      </c>
      <c r="B2" s="126"/>
      <c r="C2" s="126"/>
      <c r="D2" s="25" t="s">
        <v>4</v>
      </c>
      <c r="E2" s="113" t="s">
        <v>89</v>
      </c>
      <c r="F2" s="113"/>
      <c r="G2" s="122" t="s">
        <v>14</v>
      </c>
      <c r="H2" s="122"/>
      <c r="I2" s="90">
        <v>45840</v>
      </c>
      <c r="L2" s="88"/>
      <c r="N2" s="88"/>
    </row>
    <row r="3" spans="1:14" ht="48" customHeight="1" x14ac:dyDescent="0.25">
      <c r="A3" s="122" t="s">
        <v>42</v>
      </c>
      <c r="B3" s="122"/>
      <c r="C3" s="122"/>
      <c r="D3" s="25" t="s">
        <v>4</v>
      </c>
      <c r="E3" s="127" t="s">
        <v>273</v>
      </c>
      <c r="F3" s="127"/>
      <c r="G3" s="122" t="s">
        <v>249</v>
      </c>
      <c r="H3" s="122"/>
      <c r="I3" s="89" t="s">
        <v>290</v>
      </c>
    </row>
    <row r="4" spans="1:14" ht="43.5" customHeight="1" x14ac:dyDescent="0.25">
      <c r="A4" s="122" t="s">
        <v>38</v>
      </c>
      <c r="B4" s="122"/>
      <c r="C4" s="122"/>
      <c r="D4" s="25" t="s">
        <v>4</v>
      </c>
      <c r="E4" s="113" t="s">
        <v>292</v>
      </c>
      <c r="F4" s="113"/>
      <c r="G4" s="122" t="s">
        <v>35</v>
      </c>
      <c r="H4" s="122"/>
      <c r="I4" s="69" t="str">
        <f ca="1">TEXT(TODAY(),"DD/MM/YYYY")</f>
        <v>07/07/2025</v>
      </c>
      <c r="K4" s="113" t="s">
        <v>277</v>
      </c>
      <c r="L4" s="113"/>
    </row>
    <row r="5" spans="1:14" ht="20.25" x14ac:dyDescent="0.25">
      <c r="A5" s="124" t="s">
        <v>44</v>
      </c>
      <c r="B5" s="124"/>
      <c r="C5" s="124"/>
      <c r="D5" s="124"/>
      <c r="E5" s="124"/>
      <c r="F5" s="124"/>
      <c r="G5" s="124"/>
      <c r="H5" s="124"/>
      <c r="I5" s="124"/>
    </row>
    <row r="6" spans="1:14" ht="63.75" customHeight="1" x14ac:dyDescent="0.25">
      <c r="A6" s="126" t="s">
        <v>31</v>
      </c>
      <c r="B6" s="126"/>
      <c r="C6" s="126"/>
      <c r="D6" s="9" t="s">
        <v>4</v>
      </c>
      <c r="E6" s="26" t="s">
        <v>131</v>
      </c>
      <c r="F6" s="25" t="s">
        <v>37</v>
      </c>
      <c r="G6" s="9" t="s">
        <v>4</v>
      </c>
      <c r="H6" s="113" t="s">
        <v>291</v>
      </c>
      <c r="I6" s="113"/>
      <c r="K6" s="113" t="s">
        <v>289</v>
      </c>
      <c r="L6" s="113"/>
    </row>
    <row r="7" spans="1:14" ht="66.75" customHeight="1" x14ac:dyDescent="0.25">
      <c r="A7" s="126" t="s">
        <v>46</v>
      </c>
      <c r="B7" s="126"/>
      <c r="C7" s="126"/>
      <c r="D7" s="9" t="s">
        <v>4</v>
      </c>
      <c r="E7" s="54" t="s">
        <v>174</v>
      </c>
      <c r="F7" s="49" t="s">
        <v>47</v>
      </c>
      <c r="G7" s="27" t="s">
        <v>4</v>
      </c>
      <c r="H7" s="113" t="s">
        <v>174</v>
      </c>
      <c r="I7" s="113"/>
    </row>
    <row r="8" spans="1:14" ht="43.5" customHeight="1" x14ac:dyDescent="0.25">
      <c r="A8" s="126" t="s">
        <v>48</v>
      </c>
      <c r="B8" s="126"/>
      <c r="C8" s="126"/>
      <c r="D8" s="9" t="s">
        <v>4</v>
      </c>
      <c r="E8" s="130" t="s">
        <v>175</v>
      </c>
      <c r="F8" s="130"/>
      <c r="G8" s="130"/>
      <c r="H8" s="130"/>
      <c r="I8" s="130"/>
    </row>
    <row r="9" spans="1:14" ht="46.5" customHeight="1" x14ac:dyDescent="0.25">
      <c r="A9" s="122" t="s">
        <v>43</v>
      </c>
      <c r="B9" s="25" t="s">
        <v>4</v>
      </c>
      <c r="C9" s="25" t="s">
        <v>45</v>
      </c>
      <c r="D9" s="9" t="s">
        <v>4</v>
      </c>
      <c r="E9" s="113" t="s">
        <v>220</v>
      </c>
      <c r="F9" s="113"/>
      <c r="G9" s="113"/>
      <c r="H9" s="113"/>
      <c r="I9" s="113"/>
    </row>
    <row r="10" spans="1:14" ht="288.75" customHeight="1" x14ac:dyDescent="0.25">
      <c r="A10" s="122"/>
      <c r="B10" s="25" t="s">
        <v>4</v>
      </c>
      <c r="C10" s="25" t="s">
        <v>13</v>
      </c>
      <c r="D10" s="9" t="s">
        <v>4</v>
      </c>
      <c r="E10" s="113" t="s">
        <v>221</v>
      </c>
      <c r="F10" s="113"/>
      <c r="G10" s="113"/>
      <c r="H10" s="113"/>
      <c r="I10" s="113"/>
    </row>
    <row r="11" spans="1:14" ht="42" customHeight="1" x14ac:dyDescent="0.25">
      <c r="A11" s="122"/>
      <c r="B11" s="25" t="s">
        <v>4</v>
      </c>
      <c r="C11" s="25" t="s">
        <v>5</v>
      </c>
      <c r="D11" s="9" t="s">
        <v>4</v>
      </c>
      <c r="E11" s="113" t="s">
        <v>222</v>
      </c>
      <c r="F11" s="113"/>
      <c r="G11" s="113"/>
      <c r="H11" s="113"/>
      <c r="I11" s="113"/>
    </row>
    <row r="12" spans="1:14" ht="20.25" x14ac:dyDescent="0.25">
      <c r="A12" s="122" t="s">
        <v>36</v>
      </c>
      <c r="B12" s="122"/>
      <c r="C12" s="122"/>
      <c r="D12" s="9" t="s">
        <v>4</v>
      </c>
      <c r="E12" s="113" t="s">
        <v>154</v>
      </c>
      <c r="F12" s="113"/>
      <c r="G12" s="113"/>
      <c r="H12" s="113"/>
      <c r="I12" s="113"/>
    </row>
    <row r="13" spans="1:14" ht="20.25" x14ac:dyDescent="0.25">
      <c r="A13" s="124" t="s">
        <v>49</v>
      </c>
      <c r="B13" s="124"/>
      <c r="C13" s="124"/>
      <c r="D13" s="124"/>
      <c r="E13" s="124"/>
      <c r="F13" s="124"/>
      <c r="G13" s="124"/>
      <c r="H13" s="124"/>
      <c r="I13" s="124"/>
    </row>
    <row r="14" spans="1:14" ht="40.5" x14ac:dyDescent="0.25">
      <c r="A14" s="122" t="s">
        <v>30</v>
      </c>
      <c r="B14" s="122"/>
      <c r="C14" s="122"/>
      <c r="D14" s="9" t="s">
        <v>4</v>
      </c>
      <c r="E14" s="26" t="s">
        <v>90</v>
      </c>
      <c r="F14" s="20" t="s">
        <v>50</v>
      </c>
      <c r="G14" s="9" t="s">
        <v>4</v>
      </c>
      <c r="H14" s="113" t="s">
        <v>223</v>
      </c>
      <c r="I14" s="113"/>
    </row>
    <row r="15" spans="1:14" ht="144" customHeight="1" x14ac:dyDescent="0.25">
      <c r="A15" s="122" t="s">
        <v>51</v>
      </c>
      <c r="B15" s="122"/>
      <c r="C15" s="122"/>
      <c r="D15" s="9" t="s">
        <v>4</v>
      </c>
      <c r="E15" s="51" t="s">
        <v>217</v>
      </c>
      <c r="F15" s="25" t="s">
        <v>52</v>
      </c>
      <c r="G15" s="9" t="s">
        <v>4</v>
      </c>
      <c r="H15" s="180">
        <v>46022</v>
      </c>
      <c r="I15" s="113"/>
    </row>
    <row r="16" spans="1:14" ht="20.25" x14ac:dyDescent="0.25">
      <c r="A16" s="122" t="s">
        <v>53</v>
      </c>
      <c r="B16" s="122"/>
      <c r="C16" s="122"/>
      <c r="D16" s="9" t="s">
        <v>4</v>
      </c>
      <c r="E16" s="69">
        <v>43750</v>
      </c>
      <c r="F16" s="25" t="s">
        <v>54</v>
      </c>
      <c r="G16" s="9" t="s">
        <v>4</v>
      </c>
      <c r="H16" s="180">
        <v>44073</v>
      </c>
      <c r="I16" s="113"/>
    </row>
    <row r="17" spans="1:13" ht="46.5" customHeight="1" x14ac:dyDescent="0.25">
      <c r="A17" s="122" t="s">
        <v>55</v>
      </c>
      <c r="B17" s="122"/>
      <c r="C17" s="122"/>
      <c r="D17" s="9" t="s">
        <v>4</v>
      </c>
      <c r="E17" s="69">
        <v>46022</v>
      </c>
      <c r="F17" s="25" t="s">
        <v>56</v>
      </c>
      <c r="G17" s="9" t="s">
        <v>4</v>
      </c>
      <c r="H17" s="113" t="s">
        <v>176</v>
      </c>
      <c r="I17" s="113"/>
    </row>
    <row r="18" spans="1:13" ht="40.5" customHeight="1" x14ac:dyDescent="0.25">
      <c r="A18" s="122" t="s">
        <v>57</v>
      </c>
      <c r="B18" s="122"/>
      <c r="C18" s="122"/>
      <c r="D18" s="63" t="s">
        <v>4</v>
      </c>
      <c r="E18" s="62" t="s">
        <v>91</v>
      </c>
      <c r="F18" s="61" t="s">
        <v>224</v>
      </c>
      <c r="G18" s="63" t="s">
        <v>4</v>
      </c>
      <c r="H18" s="113">
        <v>464428</v>
      </c>
      <c r="I18" s="113"/>
    </row>
    <row r="19" spans="1:13" ht="40.5" x14ac:dyDescent="0.25">
      <c r="A19" s="122" t="s">
        <v>93</v>
      </c>
      <c r="B19" s="122"/>
      <c r="C19" s="122"/>
      <c r="D19" s="63" t="s">
        <v>4</v>
      </c>
      <c r="E19" s="60">
        <v>783025.61</v>
      </c>
      <c r="F19" s="61" t="s">
        <v>92</v>
      </c>
      <c r="G19" s="63" t="s">
        <v>4</v>
      </c>
      <c r="H19" s="113">
        <v>199781.44</v>
      </c>
      <c r="I19" s="113"/>
      <c r="M19" s="77"/>
    </row>
    <row r="20" spans="1:13" ht="40.5" x14ac:dyDescent="0.25">
      <c r="A20" s="122" t="s">
        <v>225</v>
      </c>
      <c r="B20" s="122"/>
      <c r="C20" s="122"/>
      <c r="D20" s="63" t="s">
        <v>4</v>
      </c>
      <c r="E20" s="60" t="s">
        <v>226</v>
      </c>
      <c r="F20" s="61" t="s">
        <v>58</v>
      </c>
      <c r="G20" s="63" t="s">
        <v>4</v>
      </c>
      <c r="H20" s="113">
        <v>2285</v>
      </c>
      <c r="I20" s="113"/>
    </row>
    <row r="21" spans="1:13" ht="40.5" x14ac:dyDescent="0.25">
      <c r="A21" s="122" t="s">
        <v>59</v>
      </c>
      <c r="B21" s="122"/>
      <c r="C21" s="122"/>
      <c r="D21" s="9" t="s">
        <v>4</v>
      </c>
      <c r="E21" s="60" t="s">
        <v>245</v>
      </c>
      <c r="F21" s="25" t="s">
        <v>60</v>
      </c>
      <c r="G21" s="9" t="s">
        <v>4</v>
      </c>
      <c r="H21" s="113" t="s">
        <v>94</v>
      </c>
      <c r="I21" s="113"/>
    </row>
    <row r="22" spans="1:13" ht="20.25" x14ac:dyDescent="0.25">
      <c r="A22" s="122" t="s">
        <v>25</v>
      </c>
      <c r="B22" s="122"/>
      <c r="C22" s="122"/>
      <c r="D22" s="9" t="s">
        <v>4</v>
      </c>
      <c r="E22" s="50">
        <v>19.184927999999999</v>
      </c>
      <c r="F22" s="52" t="s">
        <v>26</v>
      </c>
      <c r="G22" s="52" t="s">
        <v>4</v>
      </c>
      <c r="H22" s="113">
        <v>73.0865644</v>
      </c>
      <c r="I22" s="113"/>
    </row>
    <row r="23" spans="1:13" ht="20.25" x14ac:dyDescent="0.25">
      <c r="A23" s="122" t="s">
        <v>275</v>
      </c>
      <c r="B23" s="122"/>
      <c r="C23" s="122"/>
      <c r="D23" s="76" t="s">
        <v>4</v>
      </c>
      <c r="E23" s="168" t="s">
        <v>274</v>
      </c>
      <c r="F23" s="167"/>
      <c r="G23" s="167"/>
      <c r="H23" s="167"/>
      <c r="I23" s="166"/>
    </row>
    <row r="24" spans="1:13" ht="126" customHeight="1" x14ac:dyDescent="0.25">
      <c r="A24" s="122" t="s">
        <v>28</v>
      </c>
      <c r="B24" s="122"/>
      <c r="C24" s="122"/>
      <c r="D24" s="9" t="s">
        <v>4</v>
      </c>
      <c r="E24" s="113" t="s">
        <v>95</v>
      </c>
      <c r="F24" s="113"/>
      <c r="G24" s="113"/>
      <c r="H24" s="113"/>
      <c r="I24" s="113"/>
    </row>
    <row r="25" spans="1:13" ht="18.95" customHeight="1" x14ac:dyDescent="0.25">
      <c r="A25" s="124" t="s">
        <v>21</v>
      </c>
      <c r="B25" s="124"/>
      <c r="C25" s="124"/>
      <c r="D25" s="124"/>
      <c r="E25" s="124"/>
      <c r="F25" s="124"/>
      <c r="G25" s="124"/>
      <c r="H25" s="124"/>
      <c r="I25" s="124"/>
      <c r="K25" s="11"/>
    </row>
    <row r="26" spans="1:13" ht="20.25" x14ac:dyDescent="0.25">
      <c r="A26" s="122" t="s">
        <v>29</v>
      </c>
      <c r="B26" s="122"/>
      <c r="C26" s="122"/>
      <c r="D26" s="9" t="s">
        <v>4</v>
      </c>
      <c r="E26" s="60" t="s">
        <v>233</v>
      </c>
      <c r="F26" s="25" t="s">
        <v>15</v>
      </c>
      <c r="G26" s="9" t="s">
        <v>4</v>
      </c>
      <c r="H26" s="113" t="s">
        <v>227</v>
      </c>
      <c r="I26" s="113"/>
      <c r="K26" s="11"/>
    </row>
    <row r="27" spans="1:13" ht="21.75" customHeight="1" x14ac:dyDescent="0.25">
      <c r="A27" s="122" t="s">
        <v>16</v>
      </c>
      <c r="B27" s="122"/>
      <c r="C27" s="122"/>
      <c r="D27" s="9" t="s">
        <v>4</v>
      </c>
      <c r="E27" s="19" t="s">
        <v>96</v>
      </c>
      <c r="F27" s="25" t="s">
        <v>39</v>
      </c>
      <c r="G27" s="9" t="s">
        <v>4</v>
      </c>
      <c r="H27" s="113" t="s">
        <v>228</v>
      </c>
      <c r="I27" s="113"/>
    </row>
    <row r="28" spans="1:13" ht="40.5" x14ac:dyDescent="0.25">
      <c r="A28" s="125" t="s">
        <v>24</v>
      </c>
      <c r="B28" s="125"/>
      <c r="C28" s="125"/>
      <c r="D28" s="9" t="s">
        <v>4</v>
      </c>
      <c r="E28" s="26" t="s">
        <v>148</v>
      </c>
      <c r="F28" s="25" t="s">
        <v>17</v>
      </c>
      <c r="G28" s="9" t="s">
        <v>4</v>
      </c>
      <c r="H28" s="113" t="s">
        <v>204</v>
      </c>
      <c r="I28" s="113"/>
    </row>
    <row r="29" spans="1:13" ht="45.75" customHeight="1" x14ac:dyDescent="0.25">
      <c r="A29" s="122" t="s">
        <v>140</v>
      </c>
      <c r="B29" s="122"/>
      <c r="C29" s="122"/>
      <c r="D29" s="9" t="s">
        <v>4</v>
      </c>
      <c r="E29" s="57" t="s">
        <v>207</v>
      </c>
      <c r="F29" s="56" t="s">
        <v>141</v>
      </c>
      <c r="G29" s="27" t="s">
        <v>4</v>
      </c>
      <c r="H29" s="113" t="s">
        <v>205</v>
      </c>
      <c r="I29" s="113"/>
    </row>
    <row r="30" spans="1:13" ht="63" customHeight="1" x14ac:dyDescent="0.25">
      <c r="A30" s="122" t="s">
        <v>18</v>
      </c>
      <c r="B30" s="122"/>
      <c r="C30" s="122"/>
      <c r="D30" s="9" t="s">
        <v>4</v>
      </c>
      <c r="E30" s="57" t="s">
        <v>206</v>
      </c>
      <c r="F30" s="56" t="s">
        <v>139</v>
      </c>
      <c r="G30" s="27" t="s">
        <v>4</v>
      </c>
      <c r="H30" s="113" t="s">
        <v>203</v>
      </c>
      <c r="I30" s="113"/>
    </row>
    <row r="31" spans="1:13" ht="20.25" x14ac:dyDescent="0.25">
      <c r="A31" s="162" t="s">
        <v>229</v>
      </c>
      <c r="B31" s="163"/>
      <c r="C31" s="164"/>
      <c r="D31" s="64" t="s">
        <v>4</v>
      </c>
      <c r="E31" s="62" t="s">
        <v>230</v>
      </c>
      <c r="F31" s="65" t="s">
        <v>231</v>
      </c>
      <c r="G31" s="64" t="s">
        <v>4</v>
      </c>
      <c r="H31" s="165" t="s">
        <v>230</v>
      </c>
      <c r="I31" s="166"/>
    </row>
    <row r="32" spans="1:13" ht="20.25" x14ac:dyDescent="0.25">
      <c r="A32" s="162" t="s">
        <v>232</v>
      </c>
      <c r="B32" s="163"/>
      <c r="C32" s="164"/>
      <c r="D32" s="64" t="s">
        <v>4</v>
      </c>
      <c r="E32" s="165" t="s">
        <v>230</v>
      </c>
      <c r="F32" s="167"/>
      <c r="G32" s="167"/>
      <c r="H32" s="167"/>
      <c r="I32" s="166"/>
    </row>
    <row r="33" spans="1:9" ht="20.25" x14ac:dyDescent="0.25">
      <c r="A33" s="123" t="s">
        <v>40</v>
      </c>
      <c r="B33" s="123"/>
      <c r="C33" s="123"/>
      <c r="D33" s="123"/>
      <c r="E33" s="123"/>
      <c r="F33" s="123"/>
      <c r="G33" s="123"/>
      <c r="H33" s="123"/>
      <c r="I33" s="123"/>
    </row>
    <row r="34" spans="1:9" ht="40.5" x14ac:dyDescent="0.25">
      <c r="A34" s="122" t="s">
        <v>19</v>
      </c>
      <c r="B34" s="122"/>
      <c r="C34" s="122"/>
      <c r="D34" s="9" t="s">
        <v>4</v>
      </c>
      <c r="E34" s="26" t="s">
        <v>98</v>
      </c>
      <c r="F34" s="25" t="s">
        <v>20</v>
      </c>
      <c r="G34" s="9" t="s">
        <v>4</v>
      </c>
      <c r="H34" s="113" t="s">
        <v>99</v>
      </c>
      <c r="I34" s="113"/>
    </row>
    <row r="35" spans="1:9" ht="20.25" x14ac:dyDescent="0.25">
      <c r="A35" s="122" t="s">
        <v>23</v>
      </c>
      <c r="B35" s="122"/>
      <c r="C35" s="122"/>
      <c r="D35" s="9" t="s">
        <v>4</v>
      </c>
      <c r="E35" s="26" t="s">
        <v>99</v>
      </c>
      <c r="F35" s="25" t="s">
        <v>34</v>
      </c>
      <c r="G35" s="9" t="s">
        <v>4</v>
      </c>
      <c r="H35" s="113" t="s">
        <v>99</v>
      </c>
      <c r="I35" s="113"/>
    </row>
    <row r="36" spans="1:9" ht="20.25" x14ac:dyDescent="0.25">
      <c r="A36" s="122" t="s">
        <v>33</v>
      </c>
      <c r="B36" s="122"/>
      <c r="C36" s="122"/>
      <c r="D36" s="9" t="s">
        <v>4</v>
      </c>
      <c r="E36" s="26" t="s">
        <v>101</v>
      </c>
      <c r="F36" s="25" t="s">
        <v>22</v>
      </c>
      <c r="G36" s="9" t="s">
        <v>4</v>
      </c>
      <c r="H36" s="113" t="s">
        <v>100</v>
      </c>
      <c r="I36" s="113"/>
    </row>
    <row r="37" spans="1:9" ht="20.25" x14ac:dyDescent="0.25">
      <c r="A37" s="124" t="s">
        <v>0</v>
      </c>
      <c r="B37" s="124"/>
      <c r="C37" s="124"/>
      <c r="D37" s="124"/>
      <c r="E37" s="124"/>
      <c r="F37" s="124"/>
      <c r="G37" s="124"/>
      <c r="H37" s="124"/>
      <c r="I37" s="124"/>
    </row>
    <row r="38" spans="1:9" ht="20.25" x14ac:dyDescent="0.25">
      <c r="A38" s="128" t="s">
        <v>0</v>
      </c>
      <c r="B38" s="128"/>
      <c r="C38" s="128"/>
      <c r="D38" s="9" t="s">
        <v>4</v>
      </c>
      <c r="E38" s="23" t="s">
        <v>1</v>
      </c>
      <c r="F38" s="23" t="s">
        <v>6</v>
      </c>
      <c r="G38" s="128" t="s">
        <v>2</v>
      </c>
      <c r="H38" s="128"/>
      <c r="I38" s="23" t="s">
        <v>3</v>
      </c>
    </row>
    <row r="39" spans="1:9" ht="20.25" x14ac:dyDescent="0.25">
      <c r="A39" s="122" t="s">
        <v>7</v>
      </c>
      <c r="B39" s="122"/>
      <c r="C39" s="122"/>
      <c r="D39" s="9" t="s">
        <v>4</v>
      </c>
      <c r="E39" s="53" t="s">
        <v>102</v>
      </c>
      <c r="F39" s="53" t="s">
        <v>172</v>
      </c>
      <c r="G39" s="129" t="s">
        <v>102</v>
      </c>
      <c r="H39" s="129"/>
      <c r="I39" s="53" t="s">
        <v>102</v>
      </c>
    </row>
    <row r="40" spans="1:9" ht="20.25" x14ac:dyDescent="0.25">
      <c r="A40" s="122" t="s">
        <v>8</v>
      </c>
      <c r="B40" s="122"/>
      <c r="C40" s="122"/>
      <c r="D40" s="9" t="s">
        <v>4</v>
      </c>
      <c r="E40" s="53" t="s">
        <v>172</v>
      </c>
      <c r="F40" s="53" t="s">
        <v>172</v>
      </c>
      <c r="G40" s="129" t="s">
        <v>102</v>
      </c>
      <c r="H40" s="129"/>
      <c r="I40" s="53" t="s">
        <v>202</v>
      </c>
    </row>
    <row r="41" spans="1:9" ht="20.25" x14ac:dyDescent="0.25">
      <c r="A41" s="122" t="s">
        <v>11</v>
      </c>
      <c r="B41" s="122"/>
      <c r="C41" s="122"/>
      <c r="D41" s="9" t="s">
        <v>4</v>
      </c>
      <c r="E41" s="24" t="s">
        <v>97</v>
      </c>
      <c r="F41" s="25" t="s">
        <v>12</v>
      </c>
      <c r="G41" s="9" t="s">
        <v>4</v>
      </c>
      <c r="H41" s="113" t="s">
        <v>94</v>
      </c>
      <c r="I41" s="113"/>
    </row>
    <row r="42" spans="1:9" ht="20.25" x14ac:dyDescent="0.25">
      <c r="A42" s="124" t="s">
        <v>276</v>
      </c>
      <c r="B42" s="124"/>
      <c r="C42" s="124"/>
      <c r="D42" s="124"/>
      <c r="E42" s="124"/>
      <c r="F42" s="124"/>
      <c r="G42" s="124"/>
      <c r="H42" s="124"/>
      <c r="I42" s="124"/>
    </row>
    <row r="43" spans="1:9" ht="20.25" x14ac:dyDescent="0.25">
      <c r="A43" s="128" t="s">
        <v>61</v>
      </c>
      <c r="B43" s="128"/>
      <c r="C43" s="128"/>
      <c r="D43" s="128" t="s">
        <v>62</v>
      </c>
      <c r="E43" s="128"/>
      <c r="F43" s="128" t="s">
        <v>63</v>
      </c>
      <c r="G43" s="128"/>
      <c r="H43" s="128" t="s">
        <v>64</v>
      </c>
      <c r="I43" s="128"/>
    </row>
    <row r="44" spans="1:9" ht="20.25" x14ac:dyDescent="0.25">
      <c r="A44" s="133" t="s">
        <v>183</v>
      </c>
      <c r="B44" s="134"/>
      <c r="C44" s="134"/>
      <c r="D44" s="134"/>
      <c r="E44" s="134"/>
      <c r="F44" s="134"/>
      <c r="G44" s="134"/>
      <c r="H44" s="134"/>
      <c r="I44" s="135"/>
    </row>
    <row r="45" spans="1:9" ht="68.25" customHeight="1" x14ac:dyDescent="0.25">
      <c r="A45" s="112" t="s">
        <v>194</v>
      </c>
      <c r="B45" s="112"/>
      <c r="C45" s="112"/>
      <c r="D45" s="108" t="s">
        <v>103</v>
      </c>
      <c r="E45" s="109"/>
      <c r="F45" s="110" t="s">
        <v>201</v>
      </c>
      <c r="G45" s="111"/>
      <c r="H45" s="110" t="s">
        <v>201</v>
      </c>
      <c r="I45" s="111"/>
    </row>
    <row r="46" spans="1:9" ht="68.25" customHeight="1" x14ac:dyDescent="0.25">
      <c r="A46" s="112" t="s">
        <v>195</v>
      </c>
      <c r="B46" s="112"/>
      <c r="C46" s="112"/>
      <c r="D46" s="108" t="s">
        <v>103</v>
      </c>
      <c r="E46" s="109"/>
      <c r="F46" s="110" t="s">
        <v>201</v>
      </c>
      <c r="G46" s="111"/>
      <c r="H46" s="110" t="s">
        <v>201</v>
      </c>
      <c r="I46" s="111"/>
    </row>
    <row r="47" spans="1:9" ht="68.25" customHeight="1" x14ac:dyDescent="0.25">
      <c r="A47" s="112" t="s">
        <v>196</v>
      </c>
      <c r="B47" s="112"/>
      <c r="C47" s="112"/>
      <c r="D47" s="108" t="s">
        <v>103</v>
      </c>
      <c r="E47" s="109"/>
      <c r="F47" s="110" t="s">
        <v>201</v>
      </c>
      <c r="G47" s="111"/>
      <c r="H47" s="110" t="s">
        <v>201</v>
      </c>
      <c r="I47" s="111"/>
    </row>
    <row r="48" spans="1:9" ht="68.25" customHeight="1" x14ac:dyDescent="0.25">
      <c r="A48" s="112" t="s">
        <v>197</v>
      </c>
      <c r="B48" s="112"/>
      <c r="C48" s="112"/>
      <c r="D48" s="108" t="s">
        <v>103</v>
      </c>
      <c r="E48" s="109"/>
      <c r="F48" s="110" t="s">
        <v>201</v>
      </c>
      <c r="G48" s="111"/>
      <c r="H48" s="110" t="s">
        <v>201</v>
      </c>
      <c r="I48" s="111"/>
    </row>
    <row r="49" spans="1:13" ht="68.25" customHeight="1" x14ac:dyDescent="0.25">
      <c r="A49" s="112" t="s">
        <v>198</v>
      </c>
      <c r="B49" s="112"/>
      <c r="C49" s="112"/>
      <c r="D49" s="108" t="s">
        <v>103</v>
      </c>
      <c r="E49" s="109"/>
      <c r="F49" s="110" t="s">
        <v>201</v>
      </c>
      <c r="G49" s="111"/>
      <c r="H49" s="110" t="s">
        <v>201</v>
      </c>
      <c r="I49" s="111"/>
    </row>
    <row r="50" spans="1:13" ht="68.25" customHeight="1" x14ac:dyDescent="0.25">
      <c r="A50" s="112" t="s">
        <v>199</v>
      </c>
      <c r="B50" s="112"/>
      <c r="C50" s="112"/>
      <c r="D50" s="108" t="s">
        <v>103</v>
      </c>
      <c r="E50" s="109"/>
      <c r="F50" s="110" t="s">
        <v>201</v>
      </c>
      <c r="G50" s="111"/>
      <c r="H50" s="110" t="s">
        <v>201</v>
      </c>
      <c r="I50" s="111"/>
    </row>
    <row r="51" spans="1:13" ht="68.25" customHeight="1" x14ac:dyDescent="0.25">
      <c r="A51" s="112" t="s">
        <v>200</v>
      </c>
      <c r="B51" s="112"/>
      <c r="C51" s="112"/>
      <c r="D51" s="108" t="s">
        <v>103</v>
      </c>
      <c r="E51" s="109"/>
      <c r="F51" s="110" t="s">
        <v>201</v>
      </c>
      <c r="G51" s="111"/>
      <c r="H51" s="110" t="s">
        <v>201</v>
      </c>
      <c r="I51" s="111"/>
    </row>
    <row r="52" spans="1:13" ht="20.25" x14ac:dyDescent="0.25">
      <c r="A52" s="124" t="s">
        <v>65</v>
      </c>
      <c r="B52" s="124"/>
      <c r="C52" s="124"/>
      <c r="D52" s="124"/>
      <c r="E52" s="124"/>
      <c r="F52" s="124"/>
      <c r="G52" s="124"/>
      <c r="H52" s="124"/>
      <c r="I52" s="124"/>
    </row>
    <row r="53" spans="1:13" ht="105.75" customHeight="1" x14ac:dyDescent="0.25">
      <c r="A53" s="25" t="s">
        <v>66</v>
      </c>
      <c r="B53" s="9" t="s">
        <v>4</v>
      </c>
      <c r="C53" s="113" t="s">
        <v>171</v>
      </c>
      <c r="D53" s="113"/>
      <c r="E53" s="113"/>
      <c r="F53" s="25" t="s">
        <v>67</v>
      </c>
      <c r="G53" s="9" t="s">
        <v>4</v>
      </c>
      <c r="H53" s="113" t="s">
        <v>216</v>
      </c>
      <c r="I53" s="113"/>
      <c r="J53" s="104" t="s">
        <v>215</v>
      </c>
      <c r="K53" s="105"/>
      <c r="L53" s="105"/>
      <c r="M53" s="105"/>
    </row>
    <row r="54" spans="1:13" ht="267" customHeight="1" x14ac:dyDescent="0.25">
      <c r="A54" s="59" t="s">
        <v>104</v>
      </c>
      <c r="B54" s="9" t="s">
        <v>4</v>
      </c>
      <c r="C54" s="97" t="s">
        <v>288</v>
      </c>
      <c r="D54" s="98"/>
      <c r="E54" s="99"/>
      <c r="F54" s="80" t="s">
        <v>68</v>
      </c>
      <c r="G54" s="27" t="s">
        <v>4</v>
      </c>
      <c r="H54" s="113" t="s">
        <v>241</v>
      </c>
      <c r="I54" s="113"/>
      <c r="K54" s="87" t="s">
        <v>242</v>
      </c>
    </row>
    <row r="55" spans="1:13" ht="84" customHeight="1" x14ac:dyDescent="0.25">
      <c r="A55" s="61" t="s">
        <v>69</v>
      </c>
      <c r="B55" s="63" t="s">
        <v>4</v>
      </c>
      <c r="C55" s="113" t="s">
        <v>234</v>
      </c>
      <c r="D55" s="113"/>
      <c r="E55" s="113"/>
      <c r="F55" s="61" t="s">
        <v>209</v>
      </c>
      <c r="G55" s="63" t="s">
        <v>4</v>
      </c>
      <c r="H55" s="113" t="s">
        <v>210</v>
      </c>
      <c r="I55" s="113"/>
    </row>
    <row r="56" spans="1:13" ht="155.25" customHeight="1" x14ac:dyDescent="0.25">
      <c r="A56" s="61" t="s">
        <v>211</v>
      </c>
      <c r="B56" s="63" t="s">
        <v>4</v>
      </c>
      <c r="C56" s="113" t="s">
        <v>212</v>
      </c>
      <c r="D56" s="113"/>
      <c r="E56" s="113"/>
      <c r="F56" s="61" t="s">
        <v>213</v>
      </c>
      <c r="G56" s="63" t="s">
        <v>4</v>
      </c>
      <c r="H56" s="113" t="s">
        <v>214</v>
      </c>
      <c r="I56" s="113"/>
    </row>
    <row r="57" spans="1:13" ht="21" thickBot="1" x14ac:dyDescent="0.3">
      <c r="A57" s="124" t="s">
        <v>272</v>
      </c>
      <c r="B57" s="124"/>
      <c r="C57" s="124"/>
      <c r="D57" s="124"/>
      <c r="E57" s="124"/>
      <c r="F57" s="124"/>
      <c r="G57" s="124"/>
      <c r="H57" s="124"/>
      <c r="I57" s="124"/>
    </row>
    <row r="58" spans="1:13" ht="20.25" customHeight="1" x14ac:dyDescent="0.3">
      <c r="A58" s="136" t="s">
        <v>283</v>
      </c>
      <c r="B58" s="136"/>
      <c r="C58" s="136"/>
      <c r="D58" s="137" t="s">
        <v>4</v>
      </c>
      <c r="E58" s="81" t="s">
        <v>250</v>
      </c>
      <c r="F58" s="96" t="s">
        <v>251</v>
      </c>
      <c r="G58" s="96"/>
      <c r="H58" s="81" t="s">
        <v>252</v>
      </c>
      <c r="I58" s="81" t="s">
        <v>253</v>
      </c>
      <c r="J58" s="82" t="str">
        <f ca="1">(IF(F61&gt;99%,"All work completed. Please provide OC.",IF(F61&gt;89.8%,"Plinth, RCC, Brick, Plaster, Flooring, Wooden, Plumbing, Electrification, etc., work Completed. Finishing work is in process.",IF(F61&lt;94%,(IF(C61=0,"Work not yet Started.",IF(E61=25%,"Piling work in process",IF(E61=50%,"Excavation work in process",IF(E61=100%,"Excavation work Completed. ","0")))&amp;(IF(C62=0%,"",IF(C62=K63,"Footing work is process",IF(C62=K64,"Footing work Completed",IF(C62=K65,"1st Basement Completed",IF(C62=K66,"1st &amp; 2nd Basement Completed",IF(C62=K67,"1st to 3rd Basement Completed",IF(C62=K68,"1st to 4th Basement Completed",IF(C62=K69,"Plinth work is process",IF(C62=K70,"Plinth work completed","0")))))))))))&amp;(IF(C63=(F59+H59+I59),", RCC Slab",IF(C63&gt;0,", RCC upto "&amp;C63&amp;" Slab",""))&amp;(IF(C64=I59,", Brickwork",IF(C64&gt;0,", Brickwork upto "&amp;C64&amp;" Floor",""))&amp;(IF(C65=I59,", Internal Plaster",IF(C65&gt;0,", Internal Plaster upto "&amp;C65&amp;" Floor",""))&amp;(IF(C66=I59,", External Plaster",IF(C66&gt;0,", External Plaster upto "&amp;C66&amp;" Floor",""))&amp;(IF(C67=I59,", External Plumbing, Elevation and Waterproofing",IF(C67&gt;0,", External Plumbing, Elevation and Waterproofing upto "&amp;C67&amp;" Floor",""))&amp;(IF(C68=I59,", Flooring &amp; Fitting",IF(C68&gt;0,", Flooring &amp; Fitting upto "&amp;C68&amp;" Floor",""))&amp;(IF(C69=I59,", Wooden Work",IF(C69&gt;0,", Wooden Work upto "&amp;C69&amp;" Floor",""))&amp;(IF(C70=I59,", Electrical &amp; Sanitary fittings",IF(C70&gt;0,", Electrical &amp; Sanitary fittings upto "&amp;C70&amp;" Floor",""))&amp;(IF(C71&gt;0,", Finishing upto "&amp;C71&amp;" Floor","")&amp;(IF(C63&gt;0.5," Completed",""))))))))))))))))</f>
        <v>Excavation work Completed. Plinth work completed, RCC Slab, Brickwork, Internal Plaster, External Plaster, External Plumbing, Elevation and Waterproofing, Flooring &amp; Fitting, Wooden Work, Electrical &amp; Sanitary fittings, Finishing upto 23 Floor Completed</v>
      </c>
      <c r="K58" s="70"/>
    </row>
    <row r="59" spans="1:13" ht="20.25" x14ac:dyDescent="0.3">
      <c r="A59" s="136"/>
      <c r="B59" s="136"/>
      <c r="C59" s="136"/>
      <c r="D59" s="137"/>
      <c r="E59" s="81">
        <v>0</v>
      </c>
      <c r="F59" s="96">
        <v>1</v>
      </c>
      <c r="G59" s="96"/>
      <c r="H59" s="81">
        <v>0</v>
      </c>
      <c r="I59" s="81">
        <f ca="1">--TRIM(RIGHT(SUBSTITUTE(LEFT(A58,_xlfn.AGGREGATE(16,6,FIND({0,1,2,3,4,5,6,7,8,9},A58,ROW(INDIRECT("1:"&amp;LEN(A58)))),1))," ",REPT(" ",LEN(A58))),LEN(A58)))</f>
        <v>32</v>
      </c>
      <c r="J59" s="83" t="s">
        <v>254</v>
      </c>
      <c r="K59" s="70"/>
    </row>
    <row r="60" spans="1:13" ht="20.25" customHeight="1" x14ac:dyDescent="0.3">
      <c r="A60" s="138" t="s">
        <v>255</v>
      </c>
      <c r="B60" s="138"/>
      <c r="C60" s="138" t="s">
        <v>256</v>
      </c>
      <c r="D60" s="138"/>
      <c r="E60" s="78" t="s">
        <v>257</v>
      </c>
      <c r="F60" s="138" t="s">
        <v>258</v>
      </c>
      <c r="G60" s="138"/>
      <c r="H60" s="71" t="s">
        <v>259</v>
      </c>
      <c r="I60" s="71"/>
      <c r="J60" s="84" t="s">
        <v>260</v>
      </c>
      <c r="K60" s="72">
        <f ca="1">I59*25%</f>
        <v>8</v>
      </c>
    </row>
    <row r="61" spans="1:13" ht="20.25" customHeight="1" x14ac:dyDescent="0.3">
      <c r="A61" s="95" t="s">
        <v>261</v>
      </c>
      <c r="B61" s="95"/>
      <c r="C61" s="96">
        <f ca="1">K62</f>
        <v>32</v>
      </c>
      <c r="D61" s="96"/>
      <c r="E61" s="79">
        <f ca="1">((100/I59)*C61)/100</f>
        <v>1</v>
      </c>
      <c r="F61" s="95">
        <f ca="1">(((C61/I59*5)+(C62/I59*20)+(25/(F59+H59+I59)*C63)+(5/(I59)*C64)+(2.5/(I59)*C65)+(2.5/(I59)*C66)+(5/I59*C67)+(10/I59*C68)+(2.5/I59*C69)+(2.5/I59*C70)+(10/I59*C71)+(10/I59*C72))/100)</f>
        <v>0.87187499999999996</v>
      </c>
      <c r="G61" s="95"/>
      <c r="H61" s="95" t="str">
        <f ca="1">J58</f>
        <v>Excavation work Completed. Plinth work completed, RCC Slab, Brickwork, Internal Plaster, External Plaster, External Plumbing, Elevation and Waterproofing, Flooring &amp; Fitting, Wooden Work, Electrical &amp; Sanitary fittings, Finishing upto 23 Floor Completed</v>
      </c>
      <c r="I61" s="95"/>
      <c r="J61" s="84" t="s">
        <v>155</v>
      </c>
      <c r="K61" s="85">
        <f ca="1">I59*50%</f>
        <v>16</v>
      </c>
    </row>
    <row r="62" spans="1:13" ht="20.25" x14ac:dyDescent="0.3">
      <c r="A62" s="95" t="s">
        <v>128</v>
      </c>
      <c r="B62" s="95"/>
      <c r="C62" s="169">
        <f ca="1">K70</f>
        <v>32</v>
      </c>
      <c r="D62" s="96"/>
      <c r="E62" s="79">
        <f ca="1">((100/I59)*C62)/100</f>
        <v>1</v>
      </c>
      <c r="F62" s="95"/>
      <c r="G62" s="95"/>
      <c r="H62" s="95"/>
      <c r="I62" s="95"/>
      <c r="J62" s="84" t="s">
        <v>156</v>
      </c>
      <c r="K62" s="85">
        <f ca="1">I59</f>
        <v>32</v>
      </c>
    </row>
    <row r="63" spans="1:13" ht="21" customHeight="1" x14ac:dyDescent="0.35">
      <c r="A63" s="95" t="s">
        <v>262</v>
      </c>
      <c r="B63" s="95"/>
      <c r="C63" s="96">
        <v>33</v>
      </c>
      <c r="D63" s="96"/>
      <c r="E63" s="79">
        <f ca="1">((100/(F59+H59+I59))*C63)/100</f>
        <v>1</v>
      </c>
      <c r="F63" s="95"/>
      <c r="G63" s="95"/>
      <c r="H63" s="95"/>
      <c r="I63" s="95"/>
      <c r="J63" s="84" t="s">
        <v>157</v>
      </c>
      <c r="K63" s="73">
        <f ca="1">(IF(E59&gt;1,(I59/(E59+2)),I59/4))</f>
        <v>8</v>
      </c>
    </row>
    <row r="64" spans="1:13" ht="21" customHeight="1" x14ac:dyDescent="0.35">
      <c r="A64" s="95" t="s">
        <v>263</v>
      </c>
      <c r="B64" s="95"/>
      <c r="C64" s="96">
        <v>32</v>
      </c>
      <c r="D64" s="96"/>
      <c r="E64" s="79">
        <f ca="1">((100/I59)*C64)/100</f>
        <v>1</v>
      </c>
      <c r="F64" s="95"/>
      <c r="G64" s="95"/>
      <c r="H64" s="95"/>
      <c r="I64" s="95"/>
      <c r="J64" s="84" t="s">
        <v>158</v>
      </c>
      <c r="K64" s="73">
        <f ca="1">(IF(E59&gt;1,(I59/(E59+2)+K63),I59/4+K63))</f>
        <v>16</v>
      </c>
    </row>
    <row r="65" spans="1:13" ht="21" customHeight="1" x14ac:dyDescent="0.35">
      <c r="A65" s="106" t="s">
        <v>265</v>
      </c>
      <c r="B65" s="107"/>
      <c r="C65" s="96">
        <v>32</v>
      </c>
      <c r="D65" s="96"/>
      <c r="E65" s="79">
        <f ca="1">((100/I59)*C65)/100</f>
        <v>1</v>
      </c>
      <c r="F65" s="95"/>
      <c r="G65" s="95"/>
      <c r="H65" s="95"/>
      <c r="I65" s="95"/>
      <c r="J65" s="84" t="s">
        <v>264</v>
      </c>
      <c r="K65" s="73">
        <f>(IF(E59&gt;1,(I59/(E59+2)+K64),0))</f>
        <v>0</v>
      </c>
    </row>
    <row r="66" spans="1:13" ht="21" customHeight="1" x14ac:dyDescent="0.35">
      <c r="A66" s="106" t="s">
        <v>279</v>
      </c>
      <c r="B66" s="107"/>
      <c r="C66" s="96">
        <v>32</v>
      </c>
      <c r="D66" s="96"/>
      <c r="E66" s="79">
        <f ca="1">((100/I59)*C66)/100</f>
        <v>1</v>
      </c>
      <c r="F66" s="95"/>
      <c r="G66" s="95"/>
      <c r="H66" s="95"/>
      <c r="I66" s="95"/>
      <c r="J66" s="84" t="s">
        <v>266</v>
      </c>
      <c r="K66" s="73">
        <f>(IF(E59&gt;2,(I59/(E59+2)+K65),0))</f>
        <v>0</v>
      </c>
    </row>
    <row r="67" spans="1:13" ht="57.75" customHeight="1" x14ac:dyDescent="0.35">
      <c r="A67" s="106" t="s">
        <v>280</v>
      </c>
      <c r="B67" s="107"/>
      <c r="C67" s="96">
        <v>32</v>
      </c>
      <c r="D67" s="96"/>
      <c r="E67" s="79">
        <f ca="1">((100/(I59))*C67)/100</f>
        <v>1</v>
      </c>
      <c r="F67" s="95"/>
      <c r="G67" s="95"/>
      <c r="H67" s="95"/>
      <c r="I67" s="95"/>
      <c r="J67" s="84" t="s">
        <v>267</v>
      </c>
      <c r="K67" s="74">
        <f>(IF(E59&gt;3,(I59/(E59+2)+K66),0))</f>
        <v>0</v>
      </c>
    </row>
    <row r="68" spans="1:13" ht="21" x14ac:dyDescent="0.35">
      <c r="A68" s="95" t="s">
        <v>269</v>
      </c>
      <c r="B68" s="95"/>
      <c r="C68" s="96">
        <v>32</v>
      </c>
      <c r="D68" s="96"/>
      <c r="E68" s="79">
        <f ca="1">((100/(I59))*C68)/100</f>
        <v>1</v>
      </c>
      <c r="F68" s="95"/>
      <c r="G68" s="95"/>
      <c r="H68" s="95"/>
      <c r="I68" s="95"/>
      <c r="J68" s="84" t="s">
        <v>268</v>
      </c>
      <c r="K68" s="73">
        <f>(IF(E59&gt;4,(I59/(E59+2)+K67),0))</f>
        <v>0</v>
      </c>
    </row>
    <row r="69" spans="1:13" ht="21" customHeight="1" x14ac:dyDescent="0.35">
      <c r="A69" s="95" t="s">
        <v>281</v>
      </c>
      <c r="B69" s="95"/>
      <c r="C69" s="96">
        <v>32</v>
      </c>
      <c r="D69" s="96"/>
      <c r="E69" s="79">
        <f ca="1">((100/I59)*C69)/100</f>
        <v>1</v>
      </c>
      <c r="F69" s="95"/>
      <c r="G69" s="95"/>
      <c r="H69" s="95"/>
      <c r="I69" s="95"/>
      <c r="J69" s="84" t="s">
        <v>159</v>
      </c>
      <c r="K69" s="73">
        <f ca="1">(IF(E59=1,(I59/(E59+3)+K64),IF(E59=0,(I59/4+K64),IF(E59&gt;1,0))))</f>
        <v>24</v>
      </c>
    </row>
    <row r="70" spans="1:13" ht="35.25" customHeight="1" thickBot="1" x14ac:dyDescent="0.4">
      <c r="A70" s="95" t="s">
        <v>282</v>
      </c>
      <c r="B70" s="95"/>
      <c r="C70" s="96">
        <v>32</v>
      </c>
      <c r="D70" s="96"/>
      <c r="E70" s="79">
        <f ca="1">((100/I59)*C70)/100</f>
        <v>1</v>
      </c>
      <c r="F70" s="95"/>
      <c r="G70" s="95"/>
      <c r="H70" s="95"/>
      <c r="I70" s="95"/>
      <c r="J70" s="86" t="s">
        <v>160</v>
      </c>
      <c r="K70" s="75">
        <f ca="1">(IF(E59&gt;1.5,(I59/(E59+2)+K63+MAX(0,K64-K63)+MAX(0,K65-K64)+MAX(0,K66-K65)+MAX(0,K67-K66)+MAX(0,K68-K67)),IF(E59=1,(I59/(E59+3)+K69),IF(E59=0,I59/4+K69))))</f>
        <v>32</v>
      </c>
      <c r="M70" s="10" t="e">
        <f>(IF(D58&gt;1.5,(H58/(D58+2)+J63+MAX(0,J64-J63)+MAX(0,J65-J64)+MAX(0,J66-J65)+MAX(0,J67-J66)+MAX(0,J68-J67)),IF(D58=1,(H58/(D58+3)+J68),IF(D58=0,H58*0.3+J68))))</f>
        <v>#VALUE!</v>
      </c>
    </row>
    <row r="71" spans="1:13" ht="20.25" x14ac:dyDescent="0.25">
      <c r="A71" s="95" t="s">
        <v>270</v>
      </c>
      <c r="B71" s="95"/>
      <c r="C71" s="96">
        <v>23</v>
      </c>
      <c r="D71" s="96"/>
      <c r="E71" s="79">
        <f ca="1">((100/(I59))*C71)/100</f>
        <v>0.71875</v>
      </c>
      <c r="F71" s="95"/>
      <c r="G71" s="95"/>
      <c r="H71" s="95"/>
      <c r="I71" s="95"/>
    </row>
    <row r="72" spans="1:13" ht="20.25" x14ac:dyDescent="0.25">
      <c r="A72" s="95" t="s">
        <v>271</v>
      </c>
      <c r="B72" s="95"/>
      <c r="C72" s="96">
        <v>0</v>
      </c>
      <c r="D72" s="96"/>
      <c r="E72" s="79">
        <f ca="1">((100/(I59))*C72)/100</f>
        <v>0</v>
      </c>
      <c r="F72" s="95"/>
      <c r="G72" s="95"/>
      <c r="H72" s="95"/>
      <c r="I72" s="95"/>
    </row>
    <row r="73" spans="1:13" ht="21" thickBot="1" x14ac:dyDescent="0.3">
      <c r="A73" s="124" t="s">
        <v>218</v>
      </c>
      <c r="B73" s="124"/>
      <c r="C73" s="124"/>
      <c r="D73" s="124"/>
      <c r="E73" s="124"/>
      <c r="F73" s="124"/>
      <c r="G73" s="124"/>
      <c r="H73" s="124"/>
      <c r="I73" s="124"/>
    </row>
    <row r="74" spans="1:13" ht="20.25" customHeight="1" x14ac:dyDescent="0.3">
      <c r="A74" s="136" t="s">
        <v>284</v>
      </c>
      <c r="B74" s="136"/>
      <c r="C74" s="136"/>
      <c r="D74" s="137" t="s">
        <v>4</v>
      </c>
      <c r="E74" s="81" t="s">
        <v>250</v>
      </c>
      <c r="F74" s="96" t="s">
        <v>251</v>
      </c>
      <c r="G74" s="96"/>
      <c r="H74" s="81" t="s">
        <v>252</v>
      </c>
      <c r="I74" s="81" t="s">
        <v>253</v>
      </c>
      <c r="J74" s="82" t="str">
        <f ca="1">(IF(F77&gt;99%,"All work completed. Please provide OC.",IF(F77&gt;89.8%,"Plinth, RCC, Brick, Plaster, Flooring, Wooden, Plumbing, Electrification, etc., work Completed. Finishing work is in process.",IF(F77&lt;94%,(IF(C77=0,"Work not yet Started.",IF(E77=25%,"Piling work in process",IF(E77=50%,"Excavation work in process",IF(E77=100%,"Excavation work Completed. ","0")))&amp;(IF(C78=0%,"",IF(C78=K79,"Footing work is process",IF(C78=K80,"Footing work Completed",IF(C78=K81,"1st Basement Completed",IF(C78=K82,"1st &amp; 2nd Basement Completed",IF(C78=K83,"1st to 3rd Basement Completed",IF(C78=K84,"1st to 4th Basement Completed",IF(C78=K85,"Plinth work is process",IF(C78=K86,"Plinth work completed","0")))))))))))&amp;(IF(C79=(F75+H75+I75),", RCC Slab",IF(C79&gt;0,", RCC upto "&amp;C79&amp;" Slab",""))&amp;(IF(C80=I75,", Brickwork",IF(C80&gt;0,", Brickwork upto "&amp;C80&amp;" Floor",""))&amp;(IF(C81=I75,", Internal Plaster",IF(C81&gt;0,", Internal Plaster upto "&amp;C81&amp;" Floor",""))&amp;(IF(C82=I75,", External Plaster",IF(C82&gt;0,", External Plaster upto "&amp;C82&amp;" Floor",""))&amp;(IF(C83=I75,", External Plumbing, Elevation and Waterproofing",IF(C83&gt;0,", External Plumbing, Elevation and Waterproofing upto "&amp;C83&amp;" Floor",""))&amp;(IF(C84=I75,", Flooring &amp; Fitting",IF(C84&gt;0,", Flooring &amp; Fitting upto "&amp;C84&amp;" Floor",""))&amp;(IF(C85=I75,", Wooden Work",IF(C85&gt;0,", Wooden Work upto "&amp;C85&amp;" Floor",""))&amp;(IF(C86=I75,", Electrical &amp; Sanitary fittings",IF(C86&gt;0,", Electrical &amp; Sanitary fittings upto "&amp;C86&amp;" Floor",""))&amp;(IF(C87&gt;0,", Finishing upto "&amp;C87&amp;" Floor","")&amp;(IF(C79&gt;0.5," Completed",""))))))))))))))))</f>
        <v>Excavation work Completed. Plinth work completed, RCC Slab, Brickwork, Internal Plaster, External Plaster, External Plumbing, Elevation and Waterproofing upto 26 Floor, Flooring &amp; Fitting upto 24 Floor, Wooden Work upto 21 Floor, Electrical &amp; Sanitary fittings upto 20 Floor Completed</v>
      </c>
      <c r="K74" s="70"/>
    </row>
    <row r="75" spans="1:13" ht="20.25" x14ac:dyDescent="0.3">
      <c r="A75" s="136"/>
      <c r="B75" s="136"/>
      <c r="C75" s="136"/>
      <c r="D75" s="137"/>
      <c r="E75" s="81">
        <v>0</v>
      </c>
      <c r="F75" s="96">
        <v>1</v>
      </c>
      <c r="G75" s="96"/>
      <c r="H75" s="81">
        <v>0</v>
      </c>
      <c r="I75" s="81">
        <f ca="1">--TRIM(RIGHT(SUBSTITUTE(LEFT(A74,_xlfn.AGGREGATE(16,6,FIND({0,1,2,3,4,5,6,7,8,9},A74,ROW(INDIRECT("1:"&amp;LEN(A74)))),1))," ",REPT(" ",LEN(A74))),LEN(A74)))</f>
        <v>32</v>
      </c>
      <c r="J75" s="83" t="s">
        <v>254</v>
      </c>
      <c r="K75" s="70"/>
    </row>
    <row r="76" spans="1:13" ht="20.25" customHeight="1" x14ac:dyDescent="0.3">
      <c r="A76" s="138" t="s">
        <v>255</v>
      </c>
      <c r="B76" s="138"/>
      <c r="C76" s="138" t="s">
        <v>256</v>
      </c>
      <c r="D76" s="138"/>
      <c r="E76" s="78" t="s">
        <v>257</v>
      </c>
      <c r="F76" s="138" t="s">
        <v>258</v>
      </c>
      <c r="G76" s="138"/>
      <c r="H76" s="71" t="s">
        <v>259</v>
      </c>
      <c r="I76" s="71"/>
      <c r="J76" s="84" t="s">
        <v>260</v>
      </c>
      <c r="K76" s="72">
        <f ca="1">I75*25%</f>
        <v>8</v>
      </c>
    </row>
    <row r="77" spans="1:13" ht="20.25" customHeight="1" x14ac:dyDescent="0.3">
      <c r="A77" s="95" t="s">
        <v>261</v>
      </c>
      <c r="B77" s="95"/>
      <c r="C77" s="96">
        <f ca="1">K78</f>
        <v>32</v>
      </c>
      <c r="D77" s="96"/>
      <c r="E77" s="79">
        <f ca="1">((100/I75)*C77)/100</f>
        <v>1</v>
      </c>
      <c r="F77" s="95">
        <f ca="1">(((C77/I75*5)+(C78/I75*20)+(25/(F75+H75+I75)*C79)+(5/(I75)*C80)+(2.5/(I75)*C81)+(2.5/(I75)*C82)+(5/I75*C83)+(10/I75*C84)+(2.5/I75*C85)+(2.5/I75*C86)+(10/I75*C87)+(10/I75*C88))/100)</f>
        <v>0.74765625000000002</v>
      </c>
      <c r="G77" s="95"/>
      <c r="H77" s="95" t="str">
        <f ca="1">J74</f>
        <v>Excavation work Completed. Plinth work completed, RCC Slab, Brickwork, Internal Plaster, External Plaster, External Plumbing, Elevation and Waterproofing upto 26 Floor, Flooring &amp; Fitting upto 24 Floor, Wooden Work upto 21 Floor, Electrical &amp; Sanitary fittings upto 20 Floor Completed</v>
      </c>
      <c r="I77" s="95"/>
      <c r="J77" s="84" t="s">
        <v>155</v>
      </c>
      <c r="K77" s="85">
        <f ca="1">I75*50%</f>
        <v>16</v>
      </c>
    </row>
    <row r="78" spans="1:13" ht="20.25" x14ac:dyDescent="0.3">
      <c r="A78" s="95" t="s">
        <v>128</v>
      </c>
      <c r="B78" s="95"/>
      <c r="C78" s="169">
        <f ca="1">K86</f>
        <v>32</v>
      </c>
      <c r="D78" s="96"/>
      <c r="E78" s="79">
        <f ca="1">((100/I75)*C78)/100</f>
        <v>1</v>
      </c>
      <c r="F78" s="95"/>
      <c r="G78" s="95"/>
      <c r="H78" s="95"/>
      <c r="I78" s="95"/>
      <c r="J78" s="84" t="s">
        <v>156</v>
      </c>
      <c r="K78" s="85">
        <f ca="1">I75</f>
        <v>32</v>
      </c>
    </row>
    <row r="79" spans="1:13" ht="21" customHeight="1" x14ac:dyDescent="0.35">
      <c r="A79" s="95" t="s">
        <v>262</v>
      </c>
      <c r="B79" s="95"/>
      <c r="C79" s="96">
        <v>33</v>
      </c>
      <c r="D79" s="96"/>
      <c r="E79" s="79">
        <f ca="1">((100/(F75+H75+I75))*C79)/100</f>
        <v>1</v>
      </c>
      <c r="F79" s="95"/>
      <c r="G79" s="95"/>
      <c r="H79" s="95"/>
      <c r="I79" s="95"/>
      <c r="J79" s="84" t="s">
        <v>157</v>
      </c>
      <c r="K79" s="73">
        <f ca="1">(IF(E75&gt;1,(I75/(E75+2)),I75/4))</f>
        <v>8</v>
      </c>
    </row>
    <row r="80" spans="1:13" ht="21" customHeight="1" x14ac:dyDescent="0.35">
      <c r="A80" s="95" t="s">
        <v>263</v>
      </c>
      <c r="B80" s="95"/>
      <c r="C80" s="96">
        <v>32</v>
      </c>
      <c r="D80" s="96"/>
      <c r="E80" s="79">
        <f ca="1">((100/I75)*C80)/100</f>
        <v>1</v>
      </c>
      <c r="F80" s="95"/>
      <c r="G80" s="95"/>
      <c r="H80" s="95"/>
      <c r="I80" s="95"/>
      <c r="J80" s="84" t="s">
        <v>158</v>
      </c>
      <c r="K80" s="73">
        <f ca="1">(IF(E75&gt;1,(I75/(E75+2)+K79),I75/4+K79))</f>
        <v>16</v>
      </c>
    </row>
    <row r="81" spans="1:13" ht="21" customHeight="1" x14ac:dyDescent="0.35">
      <c r="A81" s="106" t="s">
        <v>265</v>
      </c>
      <c r="B81" s="107"/>
      <c r="C81" s="96">
        <v>32</v>
      </c>
      <c r="D81" s="96"/>
      <c r="E81" s="79">
        <f ca="1">((100/I75)*C81)/100</f>
        <v>1</v>
      </c>
      <c r="F81" s="95"/>
      <c r="G81" s="95"/>
      <c r="H81" s="95"/>
      <c r="I81" s="95"/>
      <c r="J81" s="84" t="s">
        <v>264</v>
      </c>
      <c r="K81" s="73">
        <f>(IF(E75&gt;1,(I75/(E75+2)+K80),0))</f>
        <v>0</v>
      </c>
    </row>
    <row r="82" spans="1:13" ht="21" customHeight="1" x14ac:dyDescent="0.35">
      <c r="A82" s="106" t="s">
        <v>279</v>
      </c>
      <c r="B82" s="107"/>
      <c r="C82" s="96">
        <v>32</v>
      </c>
      <c r="D82" s="96"/>
      <c r="E82" s="79">
        <f ca="1">((100/I75)*C82)/100</f>
        <v>1</v>
      </c>
      <c r="F82" s="95"/>
      <c r="G82" s="95"/>
      <c r="H82" s="95"/>
      <c r="I82" s="95"/>
      <c r="J82" s="84" t="s">
        <v>266</v>
      </c>
      <c r="K82" s="73">
        <f>(IF(E75&gt;2,(I75/(E75+2)+K81),0))</f>
        <v>0</v>
      </c>
    </row>
    <row r="83" spans="1:13" ht="57.75" customHeight="1" x14ac:dyDescent="0.35">
      <c r="A83" s="106" t="s">
        <v>280</v>
      </c>
      <c r="B83" s="107"/>
      <c r="C83" s="96">
        <v>26</v>
      </c>
      <c r="D83" s="96"/>
      <c r="E83" s="79">
        <f ca="1">((100/(I75))*C83)/100</f>
        <v>0.8125</v>
      </c>
      <c r="F83" s="95"/>
      <c r="G83" s="95"/>
      <c r="H83" s="95"/>
      <c r="I83" s="95"/>
      <c r="J83" s="84" t="s">
        <v>267</v>
      </c>
      <c r="K83" s="74">
        <f>(IF(E75&gt;3,(I75/(E75+2)+K82),0))</f>
        <v>0</v>
      </c>
    </row>
    <row r="84" spans="1:13" ht="21" x14ac:dyDescent="0.35">
      <c r="A84" s="95" t="s">
        <v>269</v>
      </c>
      <c r="B84" s="95"/>
      <c r="C84" s="96">
        <v>24</v>
      </c>
      <c r="D84" s="96"/>
      <c r="E84" s="79">
        <f ca="1">((100/(I75))*C84)/100</f>
        <v>0.75</v>
      </c>
      <c r="F84" s="95"/>
      <c r="G84" s="95"/>
      <c r="H84" s="95"/>
      <c r="I84" s="95"/>
      <c r="J84" s="84" t="s">
        <v>268</v>
      </c>
      <c r="K84" s="73">
        <f>(IF(E75&gt;4,(I75/(E75+2)+K83),0))</f>
        <v>0</v>
      </c>
    </row>
    <row r="85" spans="1:13" ht="21" customHeight="1" x14ac:dyDescent="0.35">
      <c r="A85" s="95" t="s">
        <v>281</v>
      </c>
      <c r="B85" s="95"/>
      <c r="C85" s="96">
        <v>21</v>
      </c>
      <c r="D85" s="96"/>
      <c r="E85" s="79">
        <f ca="1">((100/I75)*C85)/100</f>
        <v>0.65625</v>
      </c>
      <c r="F85" s="95"/>
      <c r="G85" s="95"/>
      <c r="H85" s="95"/>
      <c r="I85" s="95"/>
      <c r="J85" s="84" t="s">
        <v>159</v>
      </c>
      <c r="K85" s="73">
        <f ca="1">(IF(E75=1,(I75/(E75+3)+K80),IF(E75=0,(I75/4+K80),IF(E75&gt;1,0))))</f>
        <v>24</v>
      </c>
    </row>
    <row r="86" spans="1:13" ht="35.25" customHeight="1" thickBot="1" x14ac:dyDescent="0.4">
      <c r="A86" s="95" t="s">
        <v>282</v>
      </c>
      <c r="B86" s="95"/>
      <c r="C86" s="96">
        <v>20</v>
      </c>
      <c r="D86" s="96"/>
      <c r="E86" s="79">
        <f ca="1">((100/I75)*C86)/100</f>
        <v>0.625</v>
      </c>
      <c r="F86" s="95"/>
      <c r="G86" s="95"/>
      <c r="H86" s="95"/>
      <c r="I86" s="95"/>
      <c r="J86" s="86" t="s">
        <v>160</v>
      </c>
      <c r="K86" s="75">
        <f ca="1">(IF(E75&gt;1.5,(I75/(E75+2)+K79+MAX(0,K80-K79)+MAX(0,K81-K80)+MAX(0,K82-K81)+MAX(0,K83-K82)+MAX(0,K84-K83)),IF(E75=1,(I75/(E75+3)+K85),IF(E75=0,I75/4+K85))))</f>
        <v>32</v>
      </c>
      <c r="M86" s="10" t="e">
        <f>(IF(D74&gt;1.5,(H74/(D74+2)+J79+MAX(0,J80-J79)+MAX(0,J81-J80)+MAX(0,J82-J81)+MAX(0,J83-J82)+MAX(0,J84-J83)),IF(D74=1,(H74/(D74+3)+J84),IF(D74=0,H74*0.3+J84))))</f>
        <v>#VALUE!</v>
      </c>
    </row>
    <row r="87" spans="1:13" ht="20.25" x14ac:dyDescent="0.25">
      <c r="A87" s="95" t="s">
        <v>270</v>
      </c>
      <c r="B87" s="95"/>
      <c r="C87" s="96">
        <v>0</v>
      </c>
      <c r="D87" s="96"/>
      <c r="E87" s="79">
        <f ca="1">((100/(I75))*C87)/100</f>
        <v>0</v>
      </c>
      <c r="F87" s="95"/>
      <c r="G87" s="95"/>
      <c r="H87" s="95"/>
      <c r="I87" s="95"/>
    </row>
    <row r="88" spans="1:13" ht="20.25" x14ac:dyDescent="0.25">
      <c r="A88" s="95" t="s">
        <v>271</v>
      </c>
      <c r="B88" s="95"/>
      <c r="C88" s="96">
        <v>0</v>
      </c>
      <c r="D88" s="96"/>
      <c r="E88" s="79">
        <f ca="1">((100/(I75))*C88)/100</f>
        <v>0</v>
      </c>
      <c r="F88" s="95"/>
      <c r="G88" s="95"/>
      <c r="H88" s="95"/>
      <c r="I88" s="95"/>
    </row>
    <row r="89" spans="1:13" ht="21" thickBot="1" x14ac:dyDescent="0.3">
      <c r="A89" s="124" t="s">
        <v>218</v>
      </c>
      <c r="B89" s="124"/>
      <c r="C89" s="124"/>
      <c r="D89" s="124"/>
      <c r="E89" s="124"/>
      <c r="F89" s="124"/>
      <c r="G89" s="124"/>
      <c r="H89" s="124"/>
      <c r="I89" s="124"/>
    </row>
    <row r="90" spans="1:13" ht="20.25" customHeight="1" x14ac:dyDescent="0.3">
      <c r="A90" s="136" t="s">
        <v>285</v>
      </c>
      <c r="B90" s="136"/>
      <c r="C90" s="136"/>
      <c r="D90" s="137" t="s">
        <v>4</v>
      </c>
      <c r="E90" s="81" t="s">
        <v>250</v>
      </c>
      <c r="F90" s="96" t="s">
        <v>251</v>
      </c>
      <c r="G90" s="96"/>
      <c r="H90" s="81" t="s">
        <v>252</v>
      </c>
      <c r="I90" s="81" t="s">
        <v>253</v>
      </c>
      <c r="J90" s="82" t="str">
        <f ca="1">(IF(F93&gt;99%,"All work completed. Please provide OC.",IF(F93&gt;89.8%,"Plinth, RCC, Brick, Plaster, Flooring, Wooden, Plumbing, Electrification, etc., work Completed. Finishing work is in process.",IF(F93&lt;94%,(IF(C93=0,"Work not yet Started.",IF(E93=25%,"Piling work in process",IF(E93=50%,"Excavation work in process",IF(E93=100%,"Excavation work Completed. ","0")))&amp;(IF(C94=0%,"",IF(C94=K95,"Footing work is process",IF(C94=K96,"Footing work Completed",IF(C94=K97,"1st Basement Completed",IF(C94=K98,"1st &amp; 2nd Basement Completed",IF(C94=K99,"1st to 3rd Basement Completed",IF(C94=K100,"1st to 4th Basement Completed",IF(C94=K101,"Plinth work is process",IF(C94=K102,"Plinth work completed","0")))))))))))&amp;(IF(C95=(F91+H91+I91),", RCC Slab",IF(C95&gt;0,", RCC upto "&amp;C95&amp;" Slab",""))&amp;(IF(C96=I91,", Brickwork",IF(C96&gt;0,", Brickwork upto "&amp;C96&amp;" Floor",""))&amp;(IF(C97=I91,", Internal Plaster",IF(C97&gt;0,", Internal Plaster upto "&amp;C97&amp;" Floor",""))&amp;(IF(C98=I91,", External Plaster",IF(C98&gt;0,", External Plaster upto "&amp;C98&amp;" Floor",""))&amp;(IF(C99=I91,", External Plumbing, Elevation and Waterproofing",IF(C99&gt;0,", External Plumbing, Elevation and Waterproofing upto "&amp;C99&amp;" Floor",""))&amp;(IF(C100=I91,", Flooring &amp; Fitting",IF(C100&gt;0,", Flooring &amp; Fitting upto "&amp;C100&amp;" Floor",""))&amp;(IF(C101=I91,", Wooden Work",IF(C101&gt;0,", Wooden Work upto "&amp;C101&amp;" Floor",""))&amp;(IF(C102=I91,", Electrical &amp; Sanitary fittings",IF(C102&gt;0,", Electrical &amp; Sanitary fittings upto "&amp;C102&amp;" Floor",""))&amp;(IF(C103&gt;0,", Finishing upto "&amp;C103&amp;" Floor","")&amp;(IF(C95&gt;0.5," Completed",""))))))))))))))))</f>
        <v>Excavation work Completed. Plinth work completed, RCC Slab, Brickwork, Internal Plaster upto 30 Floor, External Plaster upto 30 Floor, External Plumbing, Elevation and Waterproofing upto 24 Floor, Flooring &amp; Fitting upto 19 Floor, Wooden Work upto 17 Floor, Electrical &amp; Sanitary fittings upto 14 Floor Completed</v>
      </c>
      <c r="K90" s="70"/>
    </row>
    <row r="91" spans="1:13" ht="20.25" x14ac:dyDescent="0.3">
      <c r="A91" s="136"/>
      <c r="B91" s="136"/>
      <c r="C91" s="136"/>
      <c r="D91" s="137"/>
      <c r="E91" s="81">
        <v>0</v>
      </c>
      <c r="F91" s="96">
        <v>1</v>
      </c>
      <c r="G91" s="96"/>
      <c r="H91" s="81">
        <v>0</v>
      </c>
      <c r="I91" s="81">
        <f ca="1">--TRIM(RIGHT(SUBSTITUTE(LEFT(A90,_xlfn.AGGREGATE(16,6,FIND({0,1,2,3,4,5,6,7,8,9},A90,ROW(INDIRECT("1:"&amp;LEN(A90)))),1))," ",REPT(" ",LEN(A90))),LEN(A90)))</f>
        <v>32</v>
      </c>
      <c r="J91" s="83" t="s">
        <v>254</v>
      </c>
      <c r="K91" s="70"/>
    </row>
    <row r="92" spans="1:13" ht="20.25" customHeight="1" x14ac:dyDescent="0.3">
      <c r="A92" s="138" t="s">
        <v>255</v>
      </c>
      <c r="B92" s="138"/>
      <c r="C92" s="138" t="s">
        <v>256</v>
      </c>
      <c r="D92" s="138"/>
      <c r="E92" s="78" t="s">
        <v>257</v>
      </c>
      <c r="F92" s="138" t="s">
        <v>258</v>
      </c>
      <c r="G92" s="138"/>
      <c r="H92" s="71" t="s">
        <v>259</v>
      </c>
      <c r="I92" s="71"/>
      <c r="J92" s="84" t="s">
        <v>260</v>
      </c>
      <c r="K92" s="72">
        <f ca="1">I91*25%</f>
        <v>8</v>
      </c>
    </row>
    <row r="93" spans="1:13" ht="20.25" customHeight="1" x14ac:dyDescent="0.3">
      <c r="A93" s="95" t="s">
        <v>261</v>
      </c>
      <c r="B93" s="95"/>
      <c r="C93" s="96">
        <f ca="1">K94</f>
        <v>32</v>
      </c>
      <c r="D93" s="96"/>
      <c r="E93" s="79">
        <f ca="1">((100/I91)*C93)/100</f>
        <v>1</v>
      </c>
      <c r="F93" s="95">
        <f ca="1">(((C93/I91*5)+(C94/I91*20)+(25/(F91+H91+I91)*C95)+(5/(I91)*C96)+(2.5/(I91)*C97)+(2.5/(I91)*C98)+(5/I91*C99)+(10/I91*C100)+(2.5/I91*C101)+(2.5/I91*C102)+(10/I91*C103)+(10/I91*C104))/100)</f>
        <v>0.71796875000000004</v>
      </c>
      <c r="G93" s="95"/>
      <c r="H93" s="95" t="str">
        <f ca="1">J90</f>
        <v>Excavation work Completed. Plinth work completed, RCC Slab, Brickwork, Internal Plaster upto 30 Floor, External Plaster upto 30 Floor, External Plumbing, Elevation and Waterproofing upto 24 Floor, Flooring &amp; Fitting upto 19 Floor, Wooden Work upto 17 Floor, Electrical &amp; Sanitary fittings upto 14 Floor Completed</v>
      </c>
      <c r="I93" s="95"/>
      <c r="J93" s="84" t="s">
        <v>155</v>
      </c>
      <c r="K93" s="85">
        <f ca="1">I91*50%</f>
        <v>16</v>
      </c>
    </row>
    <row r="94" spans="1:13" ht="20.25" x14ac:dyDescent="0.3">
      <c r="A94" s="95" t="s">
        <v>128</v>
      </c>
      <c r="B94" s="95"/>
      <c r="C94" s="169">
        <f>32</f>
        <v>32</v>
      </c>
      <c r="D94" s="96"/>
      <c r="E94" s="79">
        <f ca="1">((100/I91)*C94)/100</f>
        <v>1</v>
      </c>
      <c r="F94" s="95"/>
      <c r="G94" s="95"/>
      <c r="H94" s="95"/>
      <c r="I94" s="95"/>
      <c r="J94" s="84" t="s">
        <v>156</v>
      </c>
      <c r="K94" s="85">
        <f ca="1">I91</f>
        <v>32</v>
      </c>
    </row>
    <row r="95" spans="1:13" ht="21" customHeight="1" x14ac:dyDescent="0.35">
      <c r="A95" s="95" t="s">
        <v>262</v>
      </c>
      <c r="B95" s="95"/>
      <c r="C95" s="96">
        <v>33</v>
      </c>
      <c r="D95" s="96"/>
      <c r="E95" s="79">
        <f ca="1">((100/(F91+H91+I91))*C95)/100</f>
        <v>1</v>
      </c>
      <c r="F95" s="95"/>
      <c r="G95" s="95"/>
      <c r="H95" s="95"/>
      <c r="I95" s="95"/>
      <c r="J95" s="84" t="s">
        <v>157</v>
      </c>
      <c r="K95" s="73">
        <f ca="1">(IF(E91&gt;1,(I91/(E91+2)),I91/4))</f>
        <v>8</v>
      </c>
    </row>
    <row r="96" spans="1:13" ht="21" customHeight="1" x14ac:dyDescent="0.35">
      <c r="A96" s="95" t="s">
        <v>263</v>
      </c>
      <c r="B96" s="95"/>
      <c r="C96" s="96">
        <v>32</v>
      </c>
      <c r="D96" s="96"/>
      <c r="E96" s="79">
        <f ca="1">((100/I91)*C96)/100</f>
        <v>1</v>
      </c>
      <c r="F96" s="95"/>
      <c r="G96" s="95"/>
      <c r="H96" s="95"/>
      <c r="I96" s="95"/>
      <c r="J96" s="84" t="s">
        <v>158</v>
      </c>
      <c r="K96" s="73">
        <f ca="1">(IF(E91&gt;1,(I91/(E91+2)+K95),I91/4+K95))</f>
        <v>16</v>
      </c>
    </row>
    <row r="97" spans="1:13" ht="21" customHeight="1" x14ac:dyDescent="0.35">
      <c r="A97" s="106" t="s">
        <v>265</v>
      </c>
      <c r="B97" s="107"/>
      <c r="C97" s="96">
        <v>30</v>
      </c>
      <c r="D97" s="96"/>
      <c r="E97" s="79">
        <f ca="1">((100/I91)*C97)/100</f>
        <v>0.9375</v>
      </c>
      <c r="F97" s="95"/>
      <c r="G97" s="95"/>
      <c r="H97" s="95"/>
      <c r="I97" s="95"/>
      <c r="J97" s="84" t="s">
        <v>264</v>
      </c>
      <c r="K97" s="73">
        <f>(IF(E91&gt;1,(I91/(E91+2)+K96),0))</f>
        <v>0</v>
      </c>
    </row>
    <row r="98" spans="1:13" ht="21" customHeight="1" x14ac:dyDescent="0.35">
      <c r="A98" s="106" t="s">
        <v>279</v>
      </c>
      <c r="B98" s="107"/>
      <c r="C98" s="96">
        <v>30</v>
      </c>
      <c r="D98" s="96"/>
      <c r="E98" s="79">
        <f ca="1">((100/I91)*C98)/100</f>
        <v>0.9375</v>
      </c>
      <c r="F98" s="95"/>
      <c r="G98" s="95"/>
      <c r="H98" s="95"/>
      <c r="I98" s="95"/>
      <c r="J98" s="84" t="s">
        <v>266</v>
      </c>
      <c r="K98" s="73">
        <f>(IF(E91&gt;2,(I91/(E91+2)+K97),0))</f>
        <v>0</v>
      </c>
    </row>
    <row r="99" spans="1:13" ht="57.75" customHeight="1" x14ac:dyDescent="0.35">
      <c r="A99" s="106" t="s">
        <v>280</v>
      </c>
      <c r="B99" s="107"/>
      <c r="C99" s="96">
        <v>24</v>
      </c>
      <c r="D99" s="96"/>
      <c r="E99" s="79">
        <f ca="1">((100/(I91))*C99)/100</f>
        <v>0.75</v>
      </c>
      <c r="F99" s="95"/>
      <c r="G99" s="95"/>
      <c r="H99" s="95"/>
      <c r="I99" s="95"/>
      <c r="J99" s="84" t="s">
        <v>267</v>
      </c>
      <c r="K99" s="74">
        <f>(IF(E91&gt;3,(I91/(E91+2)+K98),0))</f>
        <v>0</v>
      </c>
    </row>
    <row r="100" spans="1:13" ht="21" x14ac:dyDescent="0.35">
      <c r="A100" s="95" t="s">
        <v>269</v>
      </c>
      <c r="B100" s="95"/>
      <c r="C100" s="96">
        <v>19</v>
      </c>
      <c r="D100" s="96"/>
      <c r="E100" s="79">
        <f ca="1">((100/(I91))*C100)/100</f>
        <v>0.59375</v>
      </c>
      <c r="F100" s="95"/>
      <c r="G100" s="95"/>
      <c r="H100" s="95"/>
      <c r="I100" s="95"/>
      <c r="J100" s="84" t="s">
        <v>268</v>
      </c>
      <c r="K100" s="73">
        <f>(IF(E91&gt;4,(I91/(E91+2)+K99),0))</f>
        <v>0</v>
      </c>
    </row>
    <row r="101" spans="1:13" ht="21" customHeight="1" x14ac:dyDescent="0.35">
      <c r="A101" s="95" t="s">
        <v>281</v>
      </c>
      <c r="B101" s="95"/>
      <c r="C101" s="96">
        <v>17</v>
      </c>
      <c r="D101" s="96"/>
      <c r="E101" s="79">
        <f ca="1">((100/I91)*C101)/100</f>
        <v>0.53125</v>
      </c>
      <c r="F101" s="95"/>
      <c r="G101" s="95"/>
      <c r="H101" s="95"/>
      <c r="I101" s="95"/>
      <c r="J101" s="84" t="s">
        <v>159</v>
      </c>
      <c r="K101" s="73">
        <f ca="1">(IF(E91=1,(I91/(E91+3)+K96),IF(E91=0,(I91/4+K96),IF(E91&gt;1,0))))</f>
        <v>24</v>
      </c>
    </row>
    <row r="102" spans="1:13" ht="33" customHeight="1" thickBot="1" x14ac:dyDescent="0.4">
      <c r="A102" s="95" t="s">
        <v>282</v>
      </c>
      <c r="B102" s="95"/>
      <c r="C102" s="96">
        <v>14</v>
      </c>
      <c r="D102" s="96"/>
      <c r="E102" s="79">
        <f ca="1">((100/I91)*C102)/100</f>
        <v>0.4375</v>
      </c>
      <c r="F102" s="95"/>
      <c r="G102" s="95"/>
      <c r="H102" s="95"/>
      <c r="I102" s="95"/>
      <c r="J102" s="86" t="s">
        <v>160</v>
      </c>
      <c r="K102" s="75">
        <f ca="1">(IF(E91&gt;1.5,(I91/(E91+2)+K95+MAX(0,K96-K95)+MAX(0,K97-K96)+MAX(0,K98-K97)+MAX(0,K99-K98)+MAX(0,K100-K99)),IF(E91=1,(I91/(E91+3)+K101),IF(E91=0,I91/4+K101))))</f>
        <v>32</v>
      </c>
      <c r="M102" s="10" t="e">
        <f>(IF(D90&gt;1.5,(H90/(D90+2)+J95+MAX(0,J96-J95)+MAX(0,J97-J96)+MAX(0,J98-J97)+MAX(0,J99-J98)+MAX(0,J100-J99)),IF(D90=1,(H90/(D90+3)+J100),IF(D90=0,H90*0.3+J100))))</f>
        <v>#VALUE!</v>
      </c>
    </row>
    <row r="103" spans="1:13" ht="20.25" x14ac:dyDescent="0.25">
      <c r="A103" s="95" t="s">
        <v>270</v>
      </c>
      <c r="B103" s="95"/>
      <c r="C103" s="96">
        <v>0</v>
      </c>
      <c r="D103" s="96"/>
      <c r="E103" s="79">
        <f ca="1">((100/(I91))*C103)/100</f>
        <v>0</v>
      </c>
      <c r="F103" s="95"/>
      <c r="G103" s="95"/>
      <c r="H103" s="95"/>
      <c r="I103" s="95"/>
    </row>
    <row r="104" spans="1:13" ht="20.25" x14ac:dyDescent="0.25">
      <c r="A104" s="95" t="s">
        <v>271</v>
      </c>
      <c r="B104" s="95"/>
      <c r="C104" s="96">
        <v>0</v>
      </c>
      <c r="D104" s="96"/>
      <c r="E104" s="79">
        <f ca="1">((100/(I91))*C104)/100</f>
        <v>0</v>
      </c>
      <c r="F104" s="95"/>
      <c r="G104" s="95"/>
      <c r="H104" s="95"/>
      <c r="I104" s="95"/>
    </row>
    <row r="105" spans="1:13" ht="21" thickBot="1" x14ac:dyDescent="0.3">
      <c r="A105" s="124" t="s">
        <v>218</v>
      </c>
      <c r="B105" s="124"/>
      <c r="C105" s="124"/>
      <c r="D105" s="124"/>
      <c r="E105" s="124"/>
      <c r="F105" s="124"/>
      <c r="G105" s="124"/>
      <c r="H105" s="124"/>
      <c r="I105" s="124"/>
    </row>
    <row r="106" spans="1:13" ht="20.25" customHeight="1" x14ac:dyDescent="0.3">
      <c r="A106" s="136" t="s">
        <v>286</v>
      </c>
      <c r="B106" s="136"/>
      <c r="C106" s="136"/>
      <c r="D106" s="137" t="s">
        <v>4</v>
      </c>
      <c r="E106" s="81" t="s">
        <v>250</v>
      </c>
      <c r="F106" s="96" t="s">
        <v>251</v>
      </c>
      <c r="G106" s="96"/>
      <c r="H106" s="81" t="s">
        <v>252</v>
      </c>
      <c r="I106" s="81" t="s">
        <v>253</v>
      </c>
      <c r="J106" s="82" t="str">
        <f ca="1">(IF(F109&gt;99%,"All work completed. Please provide OC.",IF(F109&gt;89.8%,"Plinth, RCC, Brick, Plaster, Flooring, Wooden, Plumbing, Electrification, etc., work Completed. Finishing work is in process.",IF(F109&lt;94%,(IF(C109=0,"Work not yet Started.",IF(E109=25%,"Piling work in process",IF(E109=50%,"Excavation work in process",IF(E109=100%,"Excavation work Completed. ","0")))&amp;(IF(C110=0%,"",IF(C110=K111,"Footing work is process",IF(C110=K112,"Footing work Completed",IF(C110=K113,"1st Basement Completed",IF(C110=K114,"1st &amp; 2nd Basement Completed",IF(C110=K115,"1st to 3rd Basement Completed",IF(C110=K116,"1st to 4th Basement Completed",IF(C110=K117,"Plinth work is process",IF(C110=K118,"Plinth work completed","0")))))))))))&amp;(IF(C111=(F107+H107+I107),", RCC Slab",IF(C111&gt;0,", RCC upto "&amp;C111&amp;" Slab",""))&amp;(IF(C112=I107,", Brickwork",IF(C112&gt;0,", Brickwork upto "&amp;C112&amp;" Floor",""))&amp;(IF(C113=I107,", Internal Plaster",IF(C113&gt;0,", Internal Plaster upto "&amp;C113&amp;" Floor",""))&amp;(IF(C114=I107,", External Plaster",IF(C114&gt;0,", External Plaster upto "&amp;C114&amp;" Floor",""))&amp;(IF(C115=I107,", External Plumbing, Elevation and Waterproofing",IF(C115&gt;0,", External Plumbing, Elevation and Waterproofing upto "&amp;C115&amp;" Floor",""))&amp;(IF(C116=I107,", Flooring &amp; Fitting",IF(C116&gt;0,", Flooring &amp; Fitting upto "&amp;C116&amp;" Floor",""))&amp;(IF(C117=I107,", Wooden Work",IF(C117&gt;0,", Wooden Work upto "&amp;C117&amp;" Floor",""))&amp;(IF(C118=I107,", Electrical &amp; Sanitary fittings",IF(C118&gt;0,", Electrical &amp; Sanitary fittings upto "&amp;C118&amp;" Floor",""))&amp;(IF(C119&gt;0,", Finishing upto "&amp;C119&amp;" Floor","")&amp;(IF(C111&gt;0.5," Completed",""))))))))))))))))</f>
        <v>Excavation work Completed. Plinth work completed, RCC Slab, Brickwork, Internal Plaster, External Plaster, External Plumbing, Elevation and Waterproofing upto 24 Floor, Flooring &amp; Fitting upto 23 Floor, Wooden Work upto 18 Floor, Electrical &amp; Sanitary fittings upto 12 Floor Completed</v>
      </c>
      <c r="K106" s="70"/>
    </row>
    <row r="107" spans="1:13" ht="20.25" x14ac:dyDescent="0.3">
      <c r="A107" s="136"/>
      <c r="B107" s="136"/>
      <c r="C107" s="136"/>
      <c r="D107" s="137"/>
      <c r="E107" s="81">
        <v>0</v>
      </c>
      <c r="F107" s="96">
        <v>1</v>
      </c>
      <c r="G107" s="96"/>
      <c r="H107" s="81">
        <v>0</v>
      </c>
      <c r="I107" s="81">
        <f ca="1">--TRIM(RIGHT(SUBSTITUTE(LEFT(A106,_xlfn.AGGREGATE(16,6,FIND({0,1,2,3,4,5,6,7,8,9},A106,ROW(INDIRECT("1:"&amp;LEN(A106)))),1))," ",REPT(" ",LEN(A106))),LEN(A106)))</f>
        <v>32</v>
      </c>
      <c r="J107" s="83" t="s">
        <v>254</v>
      </c>
      <c r="K107" s="70"/>
    </row>
    <row r="108" spans="1:13" ht="20.25" customHeight="1" x14ac:dyDescent="0.3">
      <c r="A108" s="138" t="s">
        <v>255</v>
      </c>
      <c r="B108" s="138"/>
      <c r="C108" s="138" t="s">
        <v>256</v>
      </c>
      <c r="D108" s="138"/>
      <c r="E108" s="78" t="s">
        <v>257</v>
      </c>
      <c r="F108" s="138" t="s">
        <v>258</v>
      </c>
      <c r="G108" s="138"/>
      <c r="H108" s="71" t="s">
        <v>259</v>
      </c>
      <c r="I108" s="71"/>
      <c r="J108" s="84" t="s">
        <v>260</v>
      </c>
      <c r="K108" s="72">
        <f ca="1">I107*25%</f>
        <v>8</v>
      </c>
    </row>
    <row r="109" spans="1:13" ht="20.25" customHeight="1" x14ac:dyDescent="0.3">
      <c r="A109" s="95" t="s">
        <v>261</v>
      </c>
      <c r="B109" s="95"/>
      <c r="C109" s="96">
        <f ca="1">K110</f>
        <v>32</v>
      </c>
      <c r="D109" s="96"/>
      <c r="E109" s="79">
        <f ca="1">((100/I107)*C109)/100</f>
        <v>1</v>
      </c>
      <c r="F109" s="95">
        <f ca="1">(((C109/I107*5)+(C110/I107*20)+(25/(F107+H107+I107)*C111)+(5/(I107)*C112)+(2.5/(I107)*C113)+(2.5/(I107)*C114)+(5/I107*C115)+(10/I107*C116)+(2.5/I107*C117)+(2.5/I107*C118)+(10/I107*C119)+(10/I107*C120))/100)</f>
        <v>0.73281249999999998</v>
      </c>
      <c r="G109" s="95"/>
      <c r="H109" s="95" t="str">
        <f ca="1">J106</f>
        <v>Excavation work Completed. Plinth work completed, RCC Slab, Brickwork, Internal Plaster, External Plaster, External Plumbing, Elevation and Waterproofing upto 24 Floor, Flooring &amp; Fitting upto 23 Floor, Wooden Work upto 18 Floor, Electrical &amp; Sanitary fittings upto 12 Floor Completed</v>
      </c>
      <c r="I109" s="95"/>
      <c r="J109" s="84" t="s">
        <v>155</v>
      </c>
      <c r="K109" s="85">
        <f ca="1">I107*50%</f>
        <v>16</v>
      </c>
    </row>
    <row r="110" spans="1:13" ht="20.25" x14ac:dyDescent="0.3">
      <c r="A110" s="95" t="s">
        <v>128</v>
      </c>
      <c r="B110" s="95"/>
      <c r="C110" s="169">
        <v>32</v>
      </c>
      <c r="D110" s="96"/>
      <c r="E110" s="79">
        <f ca="1">((100/I107)*C110)/100</f>
        <v>1</v>
      </c>
      <c r="F110" s="95"/>
      <c r="G110" s="95"/>
      <c r="H110" s="95"/>
      <c r="I110" s="95"/>
      <c r="J110" s="84" t="s">
        <v>156</v>
      </c>
      <c r="K110" s="85">
        <f ca="1">I107</f>
        <v>32</v>
      </c>
    </row>
    <row r="111" spans="1:13" ht="21" customHeight="1" x14ac:dyDescent="0.35">
      <c r="A111" s="95" t="s">
        <v>262</v>
      </c>
      <c r="B111" s="95"/>
      <c r="C111" s="96">
        <v>33</v>
      </c>
      <c r="D111" s="96"/>
      <c r="E111" s="79">
        <f ca="1">((100/(F107+H107+I107))*C111)/100</f>
        <v>1</v>
      </c>
      <c r="F111" s="95"/>
      <c r="G111" s="95"/>
      <c r="H111" s="95"/>
      <c r="I111" s="95"/>
      <c r="J111" s="84" t="s">
        <v>157</v>
      </c>
      <c r="K111" s="73">
        <f ca="1">(IF(E107&gt;1,(I107/(E107+2)),I107/4))</f>
        <v>8</v>
      </c>
    </row>
    <row r="112" spans="1:13" ht="21" customHeight="1" x14ac:dyDescent="0.35">
      <c r="A112" s="95" t="s">
        <v>263</v>
      </c>
      <c r="B112" s="95"/>
      <c r="C112" s="96">
        <v>32</v>
      </c>
      <c r="D112" s="96"/>
      <c r="E112" s="79">
        <f ca="1">((100/I107)*C112)/100</f>
        <v>1</v>
      </c>
      <c r="F112" s="95"/>
      <c r="G112" s="95"/>
      <c r="H112" s="95"/>
      <c r="I112" s="95"/>
      <c r="J112" s="84" t="s">
        <v>158</v>
      </c>
      <c r="K112" s="73">
        <f ca="1">(IF(E107&gt;1,(I107/(E107+2)+K111),I107/4+K111))</f>
        <v>16</v>
      </c>
    </row>
    <row r="113" spans="1:11" ht="21" customHeight="1" x14ac:dyDescent="0.35">
      <c r="A113" s="106" t="s">
        <v>265</v>
      </c>
      <c r="B113" s="107"/>
      <c r="C113" s="96">
        <v>32</v>
      </c>
      <c r="D113" s="96"/>
      <c r="E113" s="79">
        <f ca="1">((100/I107)*C113)/100</f>
        <v>1</v>
      </c>
      <c r="F113" s="95"/>
      <c r="G113" s="95"/>
      <c r="H113" s="95"/>
      <c r="I113" s="95"/>
      <c r="J113" s="84" t="s">
        <v>264</v>
      </c>
      <c r="K113" s="73">
        <f>(IF(E107&gt;1,(I107/(E107+2)+K112),0))</f>
        <v>0</v>
      </c>
    </row>
    <row r="114" spans="1:11" ht="21" customHeight="1" x14ac:dyDescent="0.35">
      <c r="A114" s="106" t="s">
        <v>279</v>
      </c>
      <c r="B114" s="107"/>
      <c r="C114" s="96">
        <v>32</v>
      </c>
      <c r="D114" s="96"/>
      <c r="E114" s="79">
        <f ca="1">((100/I107)*C114)/100</f>
        <v>1</v>
      </c>
      <c r="F114" s="95"/>
      <c r="G114" s="95"/>
      <c r="H114" s="95"/>
      <c r="I114" s="95"/>
      <c r="J114" s="84" t="s">
        <v>266</v>
      </c>
      <c r="K114" s="73">
        <f>(IF(E107&gt;2,(I107/(E107+2)+K113),0))</f>
        <v>0</v>
      </c>
    </row>
    <row r="115" spans="1:11" ht="57.75" customHeight="1" x14ac:dyDescent="0.35">
      <c r="A115" s="106" t="s">
        <v>280</v>
      </c>
      <c r="B115" s="107"/>
      <c r="C115" s="96">
        <v>24</v>
      </c>
      <c r="D115" s="96"/>
      <c r="E115" s="79">
        <f ca="1">((100/(I107))*C115)/100</f>
        <v>0.75</v>
      </c>
      <c r="F115" s="95"/>
      <c r="G115" s="95"/>
      <c r="H115" s="95"/>
      <c r="I115" s="95"/>
      <c r="J115" s="84" t="s">
        <v>267</v>
      </c>
      <c r="K115" s="74">
        <f>(IF(E107&gt;3,(I107/(E107+2)+K114),0))</f>
        <v>0</v>
      </c>
    </row>
    <row r="116" spans="1:11" ht="21" x14ac:dyDescent="0.35">
      <c r="A116" s="95" t="s">
        <v>269</v>
      </c>
      <c r="B116" s="95"/>
      <c r="C116" s="96">
        <v>23</v>
      </c>
      <c r="D116" s="96"/>
      <c r="E116" s="79">
        <f ca="1">((100/(I107))*C116)/100</f>
        <v>0.71875</v>
      </c>
      <c r="F116" s="95"/>
      <c r="G116" s="95"/>
      <c r="H116" s="95"/>
      <c r="I116" s="95"/>
      <c r="J116" s="84" t="s">
        <v>268</v>
      </c>
      <c r="K116" s="73">
        <f>(IF(E107&gt;4,(I107/(E107+2)+K115),0))</f>
        <v>0</v>
      </c>
    </row>
    <row r="117" spans="1:11" ht="21" customHeight="1" x14ac:dyDescent="0.35">
      <c r="A117" s="95" t="s">
        <v>281</v>
      </c>
      <c r="B117" s="95"/>
      <c r="C117" s="96">
        <v>18</v>
      </c>
      <c r="D117" s="96"/>
      <c r="E117" s="79">
        <f ca="1">((100/I107)*C117)/100</f>
        <v>0.5625</v>
      </c>
      <c r="F117" s="95"/>
      <c r="G117" s="95"/>
      <c r="H117" s="95"/>
      <c r="I117" s="95"/>
      <c r="J117" s="84" t="s">
        <v>159</v>
      </c>
      <c r="K117" s="73">
        <f ca="1">(IF(E107=1,(I107/(E107+3)+K112),IF(E107=0,(I107/4+K112),IF(E107&gt;1,0))))</f>
        <v>24</v>
      </c>
    </row>
    <row r="118" spans="1:11" ht="31.5" customHeight="1" thickBot="1" x14ac:dyDescent="0.4">
      <c r="A118" s="95" t="s">
        <v>282</v>
      </c>
      <c r="B118" s="95"/>
      <c r="C118" s="96">
        <v>12</v>
      </c>
      <c r="D118" s="96"/>
      <c r="E118" s="79">
        <f ca="1">((100/I107)*C118)/100</f>
        <v>0.375</v>
      </c>
      <c r="F118" s="95"/>
      <c r="G118" s="95"/>
      <c r="H118" s="95"/>
      <c r="I118" s="95"/>
      <c r="J118" s="86" t="s">
        <v>160</v>
      </c>
      <c r="K118" s="75">
        <f ca="1">(IF(E107&gt;1.5,(I107/(E107+2)+K111+MAX(0,K112-K111)+MAX(0,K113-K112)+MAX(0,K114-K113)+MAX(0,K115-K114)+MAX(0,K116-K115)),IF(E107=1,(I107/(E107+3)+K117),IF(E107=0,I107/4+K117))))</f>
        <v>32</v>
      </c>
    </row>
    <row r="119" spans="1:11" ht="20.25" x14ac:dyDescent="0.25">
      <c r="A119" s="95" t="s">
        <v>270</v>
      </c>
      <c r="B119" s="95"/>
      <c r="C119" s="96">
        <v>0</v>
      </c>
      <c r="D119" s="96"/>
      <c r="E119" s="79">
        <f ca="1">((100/(I107))*C119)/100</f>
        <v>0</v>
      </c>
      <c r="F119" s="95"/>
      <c r="G119" s="95"/>
      <c r="H119" s="95"/>
      <c r="I119" s="95"/>
    </row>
    <row r="120" spans="1:11" ht="20.25" x14ac:dyDescent="0.25">
      <c r="A120" s="95" t="s">
        <v>271</v>
      </c>
      <c r="B120" s="95"/>
      <c r="C120" s="96">
        <v>0</v>
      </c>
      <c r="D120" s="96"/>
      <c r="E120" s="79">
        <f ca="1">((100/(I107))*C120)/100</f>
        <v>0</v>
      </c>
      <c r="F120" s="95"/>
      <c r="G120" s="95"/>
      <c r="H120" s="95"/>
      <c r="I120" s="95"/>
    </row>
    <row r="121" spans="1:11" ht="21" thickBot="1" x14ac:dyDescent="0.3">
      <c r="A121" s="124" t="s">
        <v>218</v>
      </c>
      <c r="B121" s="124"/>
      <c r="C121" s="124"/>
      <c r="D121" s="124"/>
      <c r="E121" s="124"/>
      <c r="F121" s="124"/>
      <c r="G121" s="124"/>
      <c r="H121" s="124"/>
      <c r="I121" s="124"/>
    </row>
    <row r="122" spans="1:11" ht="20.25" customHeight="1" x14ac:dyDescent="0.3">
      <c r="A122" s="136" t="s">
        <v>287</v>
      </c>
      <c r="B122" s="136"/>
      <c r="C122" s="136"/>
      <c r="D122" s="137" t="s">
        <v>4</v>
      </c>
      <c r="E122" s="81" t="s">
        <v>250</v>
      </c>
      <c r="F122" s="96" t="s">
        <v>251</v>
      </c>
      <c r="G122" s="96"/>
      <c r="H122" s="81" t="s">
        <v>252</v>
      </c>
      <c r="I122" s="81" t="s">
        <v>253</v>
      </c>
      <c r="J122" s="82" t="str">
        <f ca="1">(IF(F125&gt;99%,"All work completed. Please provide OC.",IF(F125&gt;89.8%,"Plinth, RCC, Brick, Plaster, Flooring, Wooden, Plumbing, Electrification, etc., work Completed. Finishing work is in process.",IF(F125&lt;94%,(IF(C125=0,"Work not yet Started.",IF(E125=25%,"Piling work in process",IF(E125=50%,"Excavation work in process",IF(E125=100%,"Excavation work Completed. ","0")))&amp;(IF(C126=0%,"",IF(C126=K127,"Footing work is process",IF(C126=K128,"Footing work Completed",IF(C126=K129,"1st Basement Completed",IF(C126=K130,"1st &amp; 2nd Basement Completed",IF(C126=K131,"1st to 3rd Basement Completed",IF(C126=K132,"1st to 4th Basement Completed",IF(C126=K133,"Plinth work is process",IF(C126=K134,"Plinth work completed","0")))))))))))&amp;(IF(C127=(F123+H123+I123),", RCC Slab",IF(C127&gt;0,", RCC upto "&amp;C127&amp;" Slab",""))&amp;(IF(C128=I123,", Brickwork",IF(C128&gt;0,", Brickwork upto "&amp;C128&amp;" Floor",""))&amp;(IF(C129=I123,", Internal Plaster",IF(C129&gt;0,", Internal Plaster upto "&amp;C129&amp;" Floor",""))&amp;(IF(C130=I123,", External Plaster",IF(C130&gt;0,", External Plaster upto "&amp;C130&amp;" Floor",""))&amp;(IF(C131=I123,", External Plumbing, Elevation and Waterproofing",IF(C131&gt;0,", External Plumbing, Elevation and Waterproofing upto "&amp;C131&amp;" Floor",""))&amp;(IF(C132=I123,", Flooring &amp; Fitting",IF(C132&gt;0,", Flooring &amp; Fitting upto "&amp;C132&amp;" Floor",""))&amp;(IF(C133=I123,", Wooden Work",IF(C133&gt;0,", Wooden Work upto "&amp;C133&amp;" Floor",""))&amp;(IF(C134=I123,", Electrical &amp; Sanitary fittings",IF(C134&gt;0,", Electrical &amp; Sanitary fittings upto "&amp;C134&amp;" Floor",""))&amp;(IF(C135&gt;0,", Finishing upto "&amp;C135&amp;" Floor","")&amp;(IF(C127&gt;0.5," Completed",""))))))))))))))))</f>
        <v>Excavation work Completed. Plinth work completed, RCC Slab, Brickwork, Internal Plaster, External Plaster, External Plumbing, Elevation and Waterproofing, Flooring &amp; Fitting upto 28 Floor, Wooden Work upto 25 Floor, Electrical &amp; Sanitary fittings upto 24 Floor Completed</v>
      </c>
      <c r="K122" s="70"/>
    </row>
    <row r="123" spans="1:11" ht="20.25" x14ac:dyDescent="0.3">
      <c r="A123" s="136"/>
      <c r="B123" s="136"/>
      <c r="C123" s="136"/>
      <c r="D123" s="137"/>
      <c r="E123" s="81">
        <v>0</v>
      </c>
      <c r="F123" s="96">
        <v>1</v>
      </c>
      <c r="G123" s="96"/>
      <c r="H123" s="81">
        <v>0</v>
      </c>
      <c r="I123" s="81">
        <f ca="1">--TRIM(RIGHT(SUBSTITUTE(LEFT(A122,_xlfn.AGGREGATE(16,6,FIND({0,1,2,3,4,5,6,7,8,9},A122,ROW(INDIRECT("1:"&amp;LEN(A122)))),1))," ",REPT(" ",LEN(A122))),LEN(A122)))</f>
        <v>32</v>
      </c>
      <c r="J123" s="83" t="s">
        <v>254</v>
      </c>
      <c r="K123" s="70"/>
    </row>
    <row r="124" spans="1:11" ht="20.25" customHeight="1" x14ac:dyDescent="0.3">
      <c r="A124" s="138" t="s">
        <v>255</v>
      </c>
      <c r="B124" s="138"/>
      <c r="C124" s="138" t="s">
        <v>256</v>
      </c>
      <c r="D124" s="138"/>
      <c r="E124" s="78" t="s">
        <v>257</v>
      </c>
      <c r="F124" s="138" t="s">
        <v>258</v>
      </c>
      <c r="G124" s="138"/>
      <c r="H124" s="71" t="s">
        <v>259</v>
      </c>
      <c r="I124" s="71"/>
      <c r="J124" s="84" t="s">
        <v>260</v>
      </c>
      <c r="K124" s="72">
        <f ca="1">I123*25%</f>
        <v>8</v>
      </c>
    </row>
    <row r="125" spans="1:11" ht="20.25" customHeight="1" x14ac:dyDescent="0.3">
      <c r="A125" s="95" t="s">
        <v>261</v>
      </c>
      <c r="B125" s="95"/>
      <c r="C125" s="96">
        <f ca="1">K126</f>
        <v>32</v>
      </c>
      <c r="D125" s="96"/>
      <c r="E125" s="79">
        <f ca="1">((100/I123)*C125)/100</f>
        <v>1</v>
      </c>
      <c r="F125" s="95">
        <f ca="1">(((C125/I123*5)+(C126/I123*20)+(25/(F123+H123+I123)*C127)+(5/(I123)*C128)+(2.5/(I123)*C129)+(2.5/(I123)*C130)+(5/I123*C131)+(10/I123*C132)+(2.5/I123*C133)+(2.5/I123*C134)+(10/I123*C135)+(10/I123*C136))/100)</f>
        <v>0.77578124999999998</v>
      </c>
      <c r="G125" s="95"/>
      <c r="H125" s="95" t="str">
        <f ca="1">J122</f>
        <v>Excavation work Completed. Plinth work completed, RCC Slab, Brickwork, Internal Plaster, External Plaster, External Plumbing, Elevation and Waterproofing, Flooring &amp; Fitting upto 28 Floor, Wooden Work upto 25 Floor, Electrical &amp; Sanitary fittings upto 24 Floor Completed</v>
      </c>
      <c r="I125" s="95"/>
      <c r="J125" s="84" t="s">
        <v>155</v>
      </c>
      <c r="K125" s="85">
        <f ca="1">I123*50%</f>
        <v>16</v>
      </c>
    </row>
    <row r="126" spans="1:11" ht="20.25" x14ac:dyDescent="0.3">
      <c r="A126" s="95" t="s">
        <v>128</v>
      </c>
      <c r="B126" s="95"/>
      <c r="C126" s="169">
        <v>32</v>
      </c>
      <c r="D126" s="96"/>
      <c r="E126" s="79">
        <f ca="1">((100/I123)*C126)/100</f>
        <v>1</v>
      </c>
      <c r="F126" s="95"/>
      <c r="G126" s="95"/>
      <c r="H126" s="95"/>
      <c r="I126" s="95"/>
      <c r="J126" s="84" t="s">
        <v>156</v>
      </c>
      <c r="K126" s="85">
        <f ca="1">I123</f>
        <v>32</v>
      </c>
    </row>
    <row r="127" spans="1:11" ht="21" customHeight="1" x14ac:dyDescent="0.35">
      <c r="A127" s="95" t="s">
        <v>262</v>
      </c>
      <c r="B127" s="95"/>
      <c r="C127" s="96">
        <v>33</v>
      </c>
      <c r="D127" s="96"/>
      <c r="E127" s="79">
        <f ca="1">((100/(F123+H123+I123))*C127)/100</f>
        <v>1</v>
      </c>
      <c r="F127" s="95"/>
      <c r="G127" s="95"/>
      <c r="H127" s="95"/>
      <c r="I127" s="95"/>
      <c r="J127" s="84" t="s">
        <v>157</v>
      </c>
      <c r="K127" s="73">
        <f ca="1">(IF(E123&gt;1,(I123/(E123+2)),I123/4))</f>
        <v>8</v>
      </c>
    </row>
    <row r="128" spans="1:11" ht="21" customHeight="1" x14ac:dyDescent="0.35">
      <c r="A128" s="95" t="s">
        <v>263</v>
      </c>
      <c r="B128" s="95"/>
      <c r="C128" s="96">
        <v>32</v>
      </c>
      <c r="D128" s="96"/>
      <c r="E128" s="79">
        <f ca="1">((100/I123)*C128)/100</f>
        <v>1</v>
      </c>
      <c r="F128" s="95"/>
      <c r="G128" s="95"/>
      <c r="H128" s="95"/>
      <c r="I128" s="95"/>
      <c r="J128" s="84" t="s">
        <v>158</v>
      </c>
      <c r="K128" s="73">
        <f ca="1">(IF(E123&gt;1,(I123/(E123+2)+K127),I123/4+K127))</f>
        <v>16</v>
      </c>
    </row>
    <row r="129" spans="1:11" ht="21" customHeight="1" x14ac:dyDescent="0.35">
      <c r="A129" s="106" t="s">
        <v>265</v>
      </c>
      <c r="B129" s="107"/>
      <c r="C129" s="96">
        <v>32</v>
      </c>
      <c r="D129" s="96"/>
      <c r="E129" s="79">
        <f ca="1">((100/I123)*C129)/100</f>
        <v>1</v>
      </c>
      <c r="F129" s="95"/>
      <c r="G129" s="95"/>
      <c r="H129" s="95"/>
      <c r="I129" s="95"/>
      <c r="J129" s="84" t="s">
        <v>264</v>
      </c>
      <c r="K129" s="73">
        <f>(IF(E123&gt;1,(I123/(E123+2)+K128),0))</f>
        <v>0</v>
      </c>
    </row>
    <row r="130" spans="1:11" ht="21" customHeight="1" x14ac:dyDescent="0.35">
      <c r="A130" s="106" t="s">
        <v>279</v>
      </c>
      <c r="B130" s="107"/>
      <c r="C130" s="96">
        <v>32</v>
      </c>
      <c r="D130" s="96"/>
      <c r="E130" s="79">
        <f ca="1">((100/I123)*C130)/100</f>
        <v>1</v>
      </c>
      <c r="F130" s="95"/>
      <c r="G130" s="95"/>
      <c r="H130" s="95"/>
      <c r="I130" s="95"/>
      <c r="J130" s="84" t="s">
        <v>266</v>
      </c>
      <c r="K130" s="73">
        <f>(IF(E123&gt;2,(I123/(E123+2)+K129),0))</f>
        <v>0</v>
      </c>
    </row>
    <row r="131" spans="1:11" ht="57.75" customHeight="1" x14ac:dyDescent="0.35">
      <c r="A131" s="106" t="s">
        <v>280</v>
      </c>
      <c r="B131" s="107"/>
      <c r="C131" s="96">
        <v>32</v>
      </c>
      <c r="D131" s="96"/>
      <c r="E131" s="79">
        <f ca="1">((100/(I123))*C131)/100</f>
        <v>1</v>
      </c>
      <c r="F131" s="95"/>
      <c r="G131" s="95"/>
      <c r="H131" s="95"/>
      <c r="I131" s="95"/>
      <c r="J131" s="84" t="s">
        <v>267</v>
      </c>
      <c r="K131" s="74">
        <f>(IF(E123&gt;3,(I123/(E123+2)+K130),0))</f>
        <v>0</v>
      </c>
    </row>
    <row r="132" spans="1:11" ht="21" x14ac:dyDescent="0.35">
      <c r="A132" s="95" t="s">
        <v>269</v>
      </c>
      <c r="B132" s="95"/>
      <c r="C132" s="96">
        <v>28</v>
      </c>
      <c r="D132" s="96"/>
      <c r="E132" s="79">
        <f ca="1">((100/(I123))*C132)/100</f>
        <v>0.875</v>
      </c>
      <c r="F132" s="95"/>
      <c r="G132" s="95"/>
      <c r="H132" s="95"/>
      <c r="I132" s="95"/>
      <c r="J132" s="84" t="s">
        <v>268</v>
      </c>
      <c r="K132" s="73">
        <f>(IF(E123&gt;4,(I123/(E123+2)+K131),0))</f>
        <v>0</v>
      </c>
    </row>
    <row r="133" spans="1:11" ht="21" customHeight="1" x14ac:dyDescent="0.35">
      <c r="A133" s="95" t="s">
        <v>281</v>
      </c>
      <c r="B133" s="95"/>
      <c r="C133" s="96">
        <v>25</v>
      </c>
      <c r="D133" s="96"/>
      <c r="E133" s="79">
        <f ca="1">((100/I123)*C133)/100</f>
        <v>0.78125</v>
      </c>
      <c r="F133" s="95"/>
      <c r="G133" s="95"/>
      <c r="H133" s="95"/>
      <c r="I133" s="95"/>
      <c r="J133" s="84" t="s">
        <v>159</v>
      </c>
      <c r="K133" s="73">
        <f ca="1">(IF(E123=1,(I123/(E123+3)+K128),IF(E123=0,(I123/4+K128),IF(E123&gt;1,0))))</f>
        <v>24</v>
      </c>
    </row>
    <row r="134" spans="1:11" ht="36" customHeight="1" thickBot="1" x14ac:dyDescent="0.4">
      <c r="A134" s="95" t="s">
        <v>282</v>
      </c>
      <c r="B134" s="95"/>
      <c r="C134" s="96">
        <v>24</v>
      </c>
      <c r="D134" s="96"/>
      <c r="E134" s="79">
        <f ca="1">((100/I123)*C134)/100</f>
        <v>0.75</v>
      </c>
      <c r="F134" s="95"/>
      <c r="G134" s="95"/>
      <c r="H134" s="95"/>
      <c r="I134" s="95"/>
      <c r="J134" s="86" t="s">
        <v>160</v>
      </c>
      <c r="K134" s="75">
        <f ca="1">(IF(E123&gt;1.5,(I123/(E123+2)+K127+MAX(0,K128-K127)+MAX(0,K129-K128)+MAX(0,K130-K129)+MAX(0,K131-K130)+MAX(0,K132-K131)),IF(E123=1,(I123/(E123+3)+K133),IF(E123=0,I123/4+K133))))</f>
        <v>32</v>
      </c>
    </row>
    <row r="135" spans="1:11" ht="20.25" x14ac:dyDescent="0.25">
      <c r="A135" s="95" t="s">
        <v>270</v>
      </c>
      <c r="B135" s="95"/>
      <c r="C135" s="96">
        <v>0</v>
      </c>
      <c r="D135" s="96"/>
      <c r="E135" s="79">
        <f ca="1">((100/(I123))*C135)/100</f>
        <v>0</v>
      </c>
      <c r="F135" s="95"/>
      <c r="G135" s="95"/>
      <c r="H135" s="95"/>
      <c r="I135" s="95"/>
    </row>
    <row r="136" spans="1:11" ht="20.25" x14ac:dyDescent="0.25">
      <c r="A136" s="95" t="s">
        <v>271</v>
      </c>
      <c r="B136" s="95"/>
      <c r="C136" s="96">
        <v>0</v>
      </c>
      <c r="D136" s="96"/>
      <c r="E136" s="79">
        <f ca="1">((100/(I123))*C136)/100</f>
        <v>0</v>
      </c>
      <c r="F136" s="95"/>
      <c r="G136" s="95"/>
      <c r="H136" s="95"/>
      <c r="I136" s="95"/>
    </row>
    <row r="137" spans="1:11" ht="34.5" customHeight="1" x14ac:dyDescent="0.25">
      <c r="A137" s="156" t="s">
        <v>219</v>
      </c>
      <c r="B137" s="157"/>
      <c r="C137" s="157"/>
      <c r="D137" s="157"/>
      <c r="E137" s="157"/>
      <c r="F137" s="157"/>
      <c r="G137" s="157"/>
      <c r="H137" s="131">
        <f ca="1">AVERAGE(F61,F61,F61,F77,F93,F109,F125)</f>
        <v>0.79854910714285698</v>
      </c>
      <c r="I137" s="132" t="e">
        <f>(#REF!+#REF!+#REF!)/3</f>
        <v>#REF!</v>
      </c>
    </row>
    <row r="138" spans="1:11" ht="20.25" x14ac:dyDescent="0.25">
      <c r="A138" s="124" t="s">
        <v>142</v>
      </c>
      <c r="B138" s="124"/>
      <c r="C138" s="124"/>
      <c r="D138" s="124"/>
      <c r="E138" s="124"/>
      <c r="F138" s="124"/>
      <c r="G138" s="124"/>
      <c r="H138" s="124"/>
      <c r="I138" s="124"/>
    </row>
    <row r="139" spans="1:11" ht="40.5" customHeight="1" x14ac:dyDescent="0.25">
      <c r="A139" s="122" t="s">
        <v>72</v>
      </c>
      <c r="B139" s="122"/>
      <c r="C139" s="122"/>
      <c r="D139" s="13" t="s">
        <v>4</v>
      </c>
      <c r="E139" s="13" t="s">
        <v>208</v>
      </c>
      <c r="F139" s="61" t="s">
        <v>73</v>
      </c>
      <c r="G139" s="13" t="s">
        <v>4</v>
      </c>
      <c r="H139" s="125" t="s">
        <v>152</v>
      </c>
      <c r="I139" s="125"/>
    </row>
    <row r="140" spans="1:11" ht="60.75" x14ac:dyDescent="0.25">
      <c r="A140" s="122" t="s">
        <v>153</v>
      </c>
      <c r="B140" s="122"/>
      <c r="C140" s="122"/>
      <c r="D140" s="63" t="s">
        <v>4</v>
      </c>
      <c r="E140" s="60" t="s">
        <v>247</v>
      </c>
      <c r="F140" s="61" t="s">
        <v>235</v>
      </c>
      <c r="G140" s="63" t="s">
        <v>4</v>
      </c>
      <c r="H140" s="113" t="s">
        <v>248</v>
      </c>
      <c r="I140" s="113"/>
    </row>
    <row r="141" spans="1:11" ht="21.75" customHeight="1" x14ac:dyDescent="0.25">
      <c r="A141" s="125" t="s">
        <v>74</v>
      </c>
      <c r="B141" s="125"/>
      <c r="C141" s="125"/>
      <c r="D141" s="13" t="s">
        <v>4</v>
      </c>
      <c r="E141" s="60" t="s">
        <v>177</v>
      </c>
      <c r="F141" s="13" t="s">
        <v>75</v>
      </c>
      <c r="G141" s="13" t="s">
        <v>4</v>
      </c>
      <c r="H141" s="113" t="s">
        <v>143</v>
      </c>
      <c r="I141" s="113"/>
    </row>
    <row r="142" spans="1:11" ht="20.25" x14ac:dyDescent="0.25">
      <c r="A142" s="124" t="s">
        <v>144</v>
      </c>
      <c r="B142" s="124"/>
      <c r="C142" s="124"/>
      <c r="D142" s="124"/>
      <c r="E142" s="124"/>
      <c r="F142" s="124"/>
      <c r="G142" s="124"/>
      <c r="H142" s="124"/>
      <c r="I142" s="124"/>
    </row>
    <row r="143" spans="1:11" ht="20.25" x14ac:dyDescent="0.25">
      <c r="A143" s="122" t="s">
        <v>236</v>
      </c>
      <c r="B143" s="122"/>
      <c r="C143" s="122"/>
      <c r="D143" s="122"/>
      <c r="E143" s="122"/>
      <c r="F143" s="122"/>
      <c r="G143" s="63" t="s">
        <v>4</v>
      </c>
      <c r="H143" s="158">
        <f>7500/10.764</f>
        <v>696.76700111482728</v>
      </c>
      <c r="I143" s="158"/>
    </row>
    <row r="144" spans="1:11" ht="20.25" x14ac:dyDescent="0.25">
      <c r="A144" s="122" t="s">
        <v>237</v>
      </c>
      <c r="B144" s="122"/>
      <c r="C144" s="122"/>
      <c r="D144" s="122"/>
      <c r="E144" s="122"/>
      <c r="F144" s="122"/>
      <c r="G144" s="63" t="s">
        <v>4</v>
      </c>
      <c r="H144" s="158">
        <f>36900/10.764</f>
        <v>3428.0936454849502</v>
      </c>
      <c r="I144" s="158"/>
    </row>
    <row r="145" spans="1:9" ht="20.25" x14ac:dyDescent="0.25">
      <c r="A145" s="122" t="s">
        <v>238</v>
      </c>
      <c r="B145" s="122"/>
      <c r="C145" s="122"/>
      <c r="D145" s="122"/>
      <c r="E145" s="122"/>
      <c r="F145" s="122"/>
      <c r="G145" s="63" t="s">
        <v>4</v>
      </c>
      <c r="H145" s="158">
        <f>6200/10.764</f>
        <v>575.99405425492387</v>
      </c>
      <c r="I145" s="158"/>
    </row>
    <row r="146" spans="1:9" ht="20.25" x14ac:dyDescent="0.25">
      <c r="A146" s="122" t="s">
        <v>239</v>
      </c>
      <c r="B146" s="122"/>
      <c r="C146" s="122"/>
      <c r="D146" s="122"/>
      <c r="E146" s="122"/>
      <c r="F146" s="122"/>
      <c r="G146" s="63" t="s">
        <v>4</v>
      </c>
      <c r="H146" s="158">
        <f>41000/10.764</f>
        <v>3808.9929394277224</v>
      </c>
      <c r="I146" s="158"/>
    </row>
    <row r="147" spans="1:9" ht="20.25" x14ac:dyDescent="0.25">
      <c r="A147" s="122" t="s">
        <v>145</v>
      </c>
      <c r="B147" s="122"/>
      <c r="C147" s="122"/>
      <c r="D147" s="122"/>
      <c r="E147" s="122"/>
      <c r="F147" s="122"/>
      <c r="G147" s="63" t="s">
        <v>4</v>
      </c>
      <c r="H147" s="158">
        <f>H146*0.8</f>
        <v>3047.1943515421781</v>
      </c>
      <c r="I147" s="158"/>
    </row>
    <row r="148" spans="1:9" ht="20.25" x14ac:dyDescent="0.25">
      <c r="A148" s="123" t="s">
        <v>79</v>
      </c>
      <c r="B148" s="123"/>
      <c r="C148" s="123"/>
      <c r="D148" s="123"/>
      <c r="E148" s="123"/>
      <c r="F148" s="123"/>
      <c r="G148" s="123"/>
      <c r="H148" s="123"/>
      <c r="I148" s="123"/>
    </row>
    <row r="149" spans="1:9" ht="66.75" customHeight="1" x14ac:dyDescent="0.25">
      <c r="A149" s="139" t="s">
        <v>146</v>
      </c>
      <c r="B149" s="139"/>
      <c r="C149" s="139" t="s">
        <v>132</v>
      </c>
      <c r="D149" s="139"/>
      <c r="E149" s="21" t="s">
        <v>133</v>
      </c>
      <c r="F149" s="139" t="s">
        <v>134</v>
      </c>
      <c r="G149" s="139"/>
      <c r="H149" s="21" t="s">
        <v>135</v>
      </c>
      <c r="I149" s="21" t="s">
        <v>240</v>
      </c>
    </row>
    <row r="150" spans="1:9" s="17" customFormat="1" ht="21" x14ac:dyDescent="0.25">
      <c r="A150" s="93" t="s">
        <v>246</v>
      </c>
      <c r="B150" s="93"/>
      <c r="C150" s="93"/>
      <c r="D150" s="93"/>
      <c r="E150" s="93"/>
      <c r="F150" s="93"/>
      <c r="G150" s="93"/>
      <c r="H150" s="93"/>
      <c r="I150" s="93"/>
    </row>
    <row r="151" spans="1:9" s="17" customFormat="1" ht="21" x14ac:dyDescent="0.25">
      <c r="A151" s="119" t="s">
        <v>183</v>
      </c>
      <c r="B151" s="93"/>
      <c r="C151" s="93"/>
      <c r="D151" s="93"/>
      <c r="E151" s="93"/>
      <c r="F151" s="93"/>
      <c r="G151" s="93"/>
      <c r="H151" s="93"/>
      <c r="I151" s="93"/>
    </row>
    <row r="152" spans="1:9" s="17" customFormat="1" ht="21" x14ac:dyDescent="0.25">
      <c r="A152" s="119" t="s">
        <v>182</v>
      </c>
      <c r="B152" s="93"/>
      <c r="C152" s="93"/>
      <c r="D152" s="93"/>
      <c r="E152" s="93"/>
      <c r="F152" s="93"/>
      <c r="G152" s="93"/>
      <c r="H152" s="93"/>
      <c r="I152" s="93"/>
    </row>
    <row r="153" spans="1:9" s="17" customFormat="1" ht="21" x14ac:dyDescent="0.25">
      <c r="A153" s="119" t="s">
        <v>180</v>
      </c>
      <c r="B153" s="93"/>
      <c r="C153" s="93"/>
      <c r="D153" s="93"/>
      <c r="E153" s="93"/>
      <c r="F153" s="93"/>
      <c r="G153" s="93"/>
      <c r="H153" s="93"/>
      <c r="I153" s="93"/>
    </row>
    <row r="154" spans="1:9" s="17" customFormat="1" ht="21" x14ac:dyDescent="0.25">
      <c r="A154" s="93" t="s">
        <v>137</v>
      </c>
      <c r="B154" s="93"/>
      <c r="C154" s="93"/>
      <c r="D154" s="93"/>
      <c r="E154" s="93"/>
      <c r="F154" s="93"/>
      <c r="G154" s="93"/>
      <c r="H154" s="93"/>
      <c r="I154" s="93"/>
    </row>
    <row r="155" spans="1:9" s="17" customFormat="1" ht="21" customHeight="1" x14ac:dyDescent="0.25">
      <c r="A155" s="100" t="str">
        <f>A154</f>
        <v>1st Floor</v>
      </c>
      <c r="B155" s="101"/>
      <c r="C155" s="91">
        <v>1</v>
      </c>
      <c r="D155" s="92"/>
      <c r="E155" s="55" t="s">
        <v>170</v>
      </c>
      <c r="F155" s="91">
        <f>39.23*10.764</f>
        <v>422.27171999999996</v>
      </c>
      <c r="G155" s="92"/>
      <c r="H155" s="55">
        <v>0</v>
      </c>
      <c r="I155" s="55">
        <f t="shared" ref="I155:I157" si="0">F155*1.5+H155</f>
        <v>633.40757999999994</v>
      </c>
    </row>
    <row r="156" spans="1:9" s="17" customFormat="1" ht="21" x14ac:dyDescent="0.25">
      <c r="A156" s="102"/>
      <c r="B156" s="103"/>
      <c r="C156" s="91">
        <v>2</v>
      </c>
      <c r="D156" s="92"/>
      <c r="E156" s="55" t="s">
        <v>150</v>
      </c>
      <c r="F156" s="91">
        <f>51.77*10.764</f>
        <v>557.25228000000004</v>
      </c>
      <c r="G156" s="92"/>
      <c r="H156" s="55">
        <v>0</v>
      </c>
      <c r="I156" s="55">
        <f t="shared" si="0"/>
        <v>835.87842000000001</v>
      </c>
    </row>
    <row r="157" spans="1:9" s="17" customFormat="1" ht="21" customHeight="1" x14ac:dyDescent="0.25">
      <c r="A157" s="102"/>
      <c r="B157" s="103"/>
      <c r="C157" s="91">
        <v>3</v>
      </c>
      <c r="D157" s="92"/>
      <c r="E157" s="55" t="s">
        <v>150</v>
      </c>
      <c r="F157" s="91">
        <f>60.5*10.764</f>
        <v>651.22199999999998</v>
      </c>
      <c r="G157" s="92"/>
      <c r="H157" s="55">
        <v>0</v>
      </c>
      <c r="I157" s="55">
        <f t="shared" si="0"/>
        <v>976.83299999999997</v>
      </c>
    </row>
    <row r="158" spans="1:9" s="17" customFormat="1" ht="21" customHeight="1" x14ac:dyDescent="0.25">
      <c r="A158" s="102"/>
      <c r="B158" s="103"/>
      <c r="C158" s="91">
        <v>4</v>
      </c>
      <c r="D158" s="92"/>
      <c r="E158" s="91" t="s">
        <v>181</v>
      </c>
      <c r="F158" s="94"/>
      <c r="G158" s="94"/>
      <c r="H158" s="94"/>
      <c r="I158" s="92"/>
    </row>
    <row r="159" spans="1:9" s="17" customFormat="1" ht="21" x14ac:dyDescent="0.25">
      <c r="A159" s="102"/>
      <c r="B159" s="103"/>
      <c r="C159" s="91">
        <v>5</v>
      </c>
      <c r="D159" s="92"/>
      <c r="E159" s="55" t="s">
        <v>170</v>
      </c>
      <c r="F159" s="91">
        <f>42.89*10.764</f>
        <v>461.66795999999999</v>
      </c>
      <c r="G159" s="92"/>
      <c r="H159" s="55">
        <v>0</v>
      </c>
      <c r="I159" s="55">
        <f t="shared" ref="I159:I162" si="1">F159*1.5+H159</f>
        <v>692.50193999999999</v>
      </c>
    </row>
    <row r="160" spans="1:9" s="17" customFormat="1" ht="21" customHeight="1" x14ac:dyDescent="0.25">
      <c r="A160" s="102"/>
      <c r="B160" s="103"/>
      <c r="C160" s="91">
        <v>6</v>
      </c>
      <c r="D160" s="92"/>
      <c r="E160" s="55" t="s">
        <v>170</v>
      </c>
      <c r="F160" s="91">
        <f>39.02*10.764</f>
        <v>420.01128</v>
      </c>
      <c r="G160" s="92"/>
      <c r="H160" s="55">
        <v>0</v>
      </c>
      <c r="I160" s="55">
        <f t="shared" si="1"/>
        <v>630.01692000000003</v>
      </c>
    </row>
    <row r="161" spans="1:9" s="17" customFormat="1" ht="21" x14ac:dyDescent="0.25">
      <c r="A161" s="102"/>
      <c r="B161" s="103"/>
      <c r="C161" s="91">
        <v>7</v>
      </c>
      <c r="D161" s="92"/>
      <c r="E161" s="55" t="s">
        <v>150</v>
      </c>
      <c r="F161" s="91">
        <f>48.92*10.764</f>
        <v>526.57488000000001</v>
      </c>
      <c r="G161" s="92"/>
      <c r="H161" s="55">
        <v>0</v>
      </c>
      <c r="I161" s="55">
        <f t="shared" si="1"/>
        <v>789.86231999999995</v>
      </c>
    </row>
    <row r="162" spans="1:9" s="17" customFormat="1" ht="21" customHeight="1" x14ac:dyDescent="0.25">
      <c r="A162" s="102"/>
      <c r="B162" s="103"/>
      <c r="C162" s="91">
        <v>8</v>
      </c>
      <c r="D162" s="92"/>
      <c r="E162" s="55" t="s">
        <v>150</v>
      </c>
      <c r="F162" s="91">
        <f>48.92*10.764</f>
        <v>526.57488000000001</v>
      </c>
      <c r="G162" s="92"/>
      <c r="H162" s="55">
        <v>0</v>
      </c>
      <c r="I162" s="55">
        <f t="shared" si="1"/>
        <v>789.86231999999995</v>
      </c>
    </row>
    <row r="163" spans="1:9" s="17" customFormat="1" ht="21" customHeight="1" x14ac:dyDescent="0.25">
      <c r="A163" s="102"/>
      <c r="B163" s="103"/>
      <c r="C163" s="91">
        <v>9</v>
      </c>
      <c r="D163" s="92"/>
      <c r="E163" s="55" t="s">
        <v>150</v>
      </c>
      <c r="F163" s="91">
        <f>46.05*10.764</f>
        <v>495.68219999999997</v>
      </c>
      <c r="G163" s="92"/>
      <c r="H163" s="55">
        <v>0</v>
      </c>
      <c r="I163" s="55">
        <f t="shared" ref="I163:I165" si="2">F163*1.5+H163</f>
        <v>743.52329999999995</v>
      </c>
    </row>
    <row r="164" spans="1:9" s="17" customFormat="1" ht="21" x14ac:dyDescent="0.25">
      <c r="A164" s="102"/>
      <c r="B164" s="103"/>
      <c r="C164" s="91">
        <v>10</v>
      </c>
      <c r="D164" s="92"/>
      <c r="E164" s="55" t="s">
        <v>149</v>
      </c>
      <c r="F164" s="91">
        <f>64.01*10.764</f>
        <v>689.00364000000002</v>
      </c>
      <c r="G164" s="92"/>
      <c r="H164" s="55">
        <v>0</v>
      </c>
      <c r="I164" s="55">
        <f t="shared" si="2"/>
        <v>1033.5054600000001</v>
      </c>
    </row>
    <row r="165" spans="1:9" s="17" customFormat="1" ht="21" customHeight="1" x14ac:dyDescent="0.25">
      <c r="A165" s="117"/>
      <c r="B165" s="118"/>
      <c r="C165" s="91">
        <v>11</v>
      </c>
      <c r="D165" s="92"/>
      <c r="E165" s="55" t="s">
        <v>170</v>
      </c>
      <c r="F165" s="91">
        <f>39.23*10.764</f>
        <v>422.27171999999996</v>
      </c>
      <c r="G165" s="92"/>
      <c r="H165" s="55">
        <v>0</v>
      </c>
      <c r="I165" s="55">
        <f t="shared" si="2"/>
        <v>633.40757999999994</v>
      </c>
    </row>
    <row r="166" spans="1:9" s="17" customFormat="1" ht="21" x14ac:dyDescent="0.25">
      <c r="A166" s="93" t="s">
        <v>184</v>
      </c>
      <c r="B166" s="93"/>
      <c r="C166" s="93"/>
      <c r="D166" s="93"/>
      <c r="E166" s="93"/>
      <c r="F166" s="93"/>
      <c r="G166" s="93"/>
      <c r="H166" s="93"/>
      <c r="I166" s="93"/>
    </row>
    <row r="167" spans="1:9" s="17" customFormat="1" ht="21" customHeight="1" x14ac:dyDescent="0.25">
      <c r="A167" s="100" t="str">
        <f>A166</f>
        <v>2nd to 7th, 9th to 13th, 15th to 18th, 20th to 23rd, 25th to 28th, 30th to 32nd Floor</v>
      </c>
      <c r="B167" s="101"/>
      <c r="C167" s="91">
        <v>1</v>
      </c>
      <c r="D167" s="92"/>
      <c r="E167" s="55" t="s">
        <v>170</v>
      </c>
      <c r="F167" s="91">
        <f>39.23*10.764</f>
        <v>422.27171999999996</v>
      </c>
      <c r="G167" s="92"/>
      <c r="H167" s="55">
        <v>0</v>
      </c>
      <c r="I167" s="55">
        <f t="shared" ref="I167:I169" si="3">F167*1.5+H167</f>
        <v>633.40757999999994</v>
      </c>
    </row>
    <row r="168" spans="1:9" s="17" customFormat="1" ht="21" x14ac:dyDescent="0.25">
      <c r="A168" s="102"/>
      <c r="B168" s="103"/>
      <c r="C168" s="91">
        <v>2</v>
      </c>
      <c r="D168" s="92"/>
      <c r="E168" s="55" t="s">
        <v>150</v>
      </c>
      <c r="F168" s="91">
        <f>51.77*10.764</f>
        <v>557.25228000000004</v>
      </c>
      <c r="G168" s="92"/>
      <c r="H168" s="55">
        <v>0</v>
      </c>
      <c r="I168" s="55">
        <f t="shared" si="3"/>
        <v>835.87842000000001</v>
      </c>
    </row>
    <row r="169" spans="1:9" s="17" customFormat="1" ht="21" customHeight="1" x14ac:dyDescent="0.25">
      <c r="A169" s="102"/>
      <c r="B169" s="103"/>
      <c r="C169" s="91">
        <v>3</v>
      </c>
      <c r="D169" s="92"/>
      <c r="E169" s="55" t="s">
        <v>150</v>
      </c>
      <c r="F169" s="91">
        <f>60.5*10.764</f>
        <v>651.22199999999998</v>
      </c>
      <c r="G169" s="92"/>
      <c r="H169" s="55">
        <v>0</v>
      </c>
      <c r="I169" s="55">
        <f t="shared" si="3"/>
        <v>976.83299999999997</v>
      </c>
    </row>
    <row r="170" spans="1:9" s="17" customFormat="1" ht="21" customHeight="1" x14ac:dyDescent="0.25">
      <c r="A170" s="102"/>
      <c r="B170" s="103"/>
      <c r="C170" s="91">
        <v>4</v>
      </c>
      <c r="D170" s="92"/>
      <c r="E170" s="55" t="s">
        <v>170</v>
      </c>
      <c r="F170" s="91">
        <f>42.89*10.764</f>
        <v>461.66795999999999</v>
      </c>
      <c r="G170" s="92"/>
      <c r="H170" s="58">
        <v>0</v>
      </c>
      <c r="I170" s="58">
        <f t="shared" ref="I170" si="4">F170*1.5+H170</f>
        <v>692.50193999999999</v>
      </c>
    </row>
    <row r="171" spans="1:9" s="17" customFormat="1" ht="21" x14ac:dyDescent="0.25">
      <c r="A171" s="102"/>
      <c r="B171" s="103"/>
      <c r="C171" s="91">
        <v>5</v>
      </c>
      <c r="D171" s="92"/>
      <c r="E171" s="55" t="s">
        <v>170</v>
      </c>
      <c r="F171" s="91">
        <f>42.89*10.764</f>
        <v>461.66795999999999</v>
      </c>
      <c r="G171" s="92"/>
      <c r="H171" s="55">
        <v>0</v>
      </c>
      <c r="I171" s="55">
        <f t="shared" ref="I171:I177" si="5">F171*1.5+H171</f>
        <v>692.50193999999999</v>
      </c>
    </row>
    <row r="172" spans="1:9" s="17" customFormat="1" ht="21" customHeight="1" x14ac:dyDescent="0.25">
      <c r="A172" s="102"/>
      <c r="B172" s="103"/>
      <c r="C172" s="91">
        <v>6</v>
      </c>
      <c r="D172" s="92"/>
      <c r="E172" s="55" t="s">
        <v>170</v>
      </c>
      <c r="F172" s="91">
        <f>39.02*10.764</f>
        <v>420.01128</v>
      </c>
      <c r="G172" s="92"/>
      <c r="H172" s="55">
        <v>0</v>
      </c>
      <c r="I172" s="55">
        <f t="shared" si="5"/>
        <v>630.01692000000003</v>
      </c>
    </row>
    <row r="173" spans="1:9" s="17" customFormat="1" ht="21" x14ac:dyDescent="0.25">
      <c r="A173" s="102"/>
      <c r="B173" s="103"/>
      <c r="C173" s="91">
        <v>7</v>
      </c>
      <c r="D173" s="92"/>
      <c r="E173" s="55" t="s">
        <v>150</v>
      </c>
      <c r="F173" s="91">
        <f>48.92*10.764</f>
        <v>526.57488000000001</v>
      </c>
      <c r="G173" s="92"/>
      <c r="H173" s="55">
        <v>0</v>
      </c>
      <c r="I173" s="55">
        <f t="shared" si="5"/>
        <v>789.86231999999995</v>
      </c>
    </row>
    <row r="174" spans="1:9" s="17" customFormat="1" ht="21" customHeight="1" x14ac:dyDescent="0.25">
      <c r="A174" s="102"/>
      <c r="B174" s="103"/>
      <c r="C174" s="91">
        <v>8</v>
      </c>
      <c r="D174" s="92"/>
      <c r="E174" s="55" t="s">
        <v>150</v>
      </c>
      <c r="F174" s="91">
        <f>48.92*10.764</f>
        <v>526.57488000000001</v>
      </c>
      <c r="G174" s="92"/>
      <c r="H174" s="55">
        <v>0</v>
      </c>
      <c r="I174" s="55">
        <f t="shared" si="5"/>
        <v>789.86231999999995</v>
      </c>
    </row>
    <row r="175" spans="1:9" s="17" customFormat="1" ht="21" customHeight="1" x14ac:dyDescent="0.25">
      <c r="A175" s="102"/>
      <c r="B175" s="103"/>
      <c r="C175" s="91">
        <v>9</v>
      </c>
      <c r="D175" s="92"/>
      <c r="E175" s="55" t="s">
        <v>150</v>
      </c>
      <c r="F175" s="91">
        <f>46.05*10.764</f>
        <v>495.68219999999997</v>
      </c>
      <c r="G175" s="92"/>
      <c r="H175" s="55">
        <v>0</v>
      </c>
      <c r="I175" s="55">
        <f t="shared" si="5"/>
        <v>743.52329999999995</v>
      </c>
    </row>
    <row r="176" spans="1:9" s="17" customFormat="1" ht="21" x14ac:dyDescent="0.25">
      <c r="A176" s="102"/>
      <c r="B176" s="103"/>
      <c r="C176" s="91">
        <v>10</v>
      </c>
      <c r="D176" s="92"/>
      <c r="E176" s="55" t="s">
        <v>149</v>
      </c>
      <c r="F176" s="91">
        <f>64.01*10.764</f>
        <v>689.00364000000002</v>
      </c>
      <c r="G176" s="92"/>
      <c r="H176" s="55">
        <v>0</v>
      </c>
      <c r="I176" s="55">
        <f t="shared" si="5"/>
        <v>1033.5054600000001</v>
      </c>
    </row>
    <row r="177" spans="1:9" s="17" customFormat="1" ht="21" customHeight="1" x14ac:dyDescent="0.25">
      <c r="A177" s="117"/>
      <c r="B177" s="118"/>
      <c r="C177" s="91">
        <v>11</v>
      </c>
      <c r="D177" s="92"/>
      <c r="E177" s="55" t="s">
        <v>170</v>
      </c>
      <c r="F177" s="91">
        <f>39.23*10.764</f>
        <v>422.27171999999996</v>
      </c>
      <c r="G177" s="92"/>
      <c r="H177" s="55">
        <v>0</v>
      </c>
      <c r="I177" s="55">
        <f t="shared" si="5"/>
        <v>633.40757999999994</v>
      </c>
    </row>
    <row r="178" spans="1:9" s="17" customFormat="1" ht="21" x14ac:dyDescent="0.25">
      <c r="A178" s="93" t="s">
        <v>178</v>
      </c>
      <c r="B178" s="93"/>
      <c r="C178" s="93"/>
      <c r="D178" s="93"/>
      <c r="E178" s="93"/>
      <c r="F178" s="93"/>
      <c r="G178" s="93"/>
      <c r="H178" s="93"/>
      <c r="I178" s="93"/>
    </row>
    <row r="179" spans="1:9" s="17" customFormat="1" ht="21" customHeight="1" x14ac:dyDescent="0.25">
      <c r="A179" s="100" t="str">
        <f>A178</f>
        <v>8th Floor (Part Refuge Area)</v>
      </c>
      <c r="B179" s="101"/>
      <c r="C179" s="91">
        <v>1</v>
      </c>
      <c r="D179" s="92"/>
      <c r="E179" s="55" t="s">
        <v>170</v>
      </c>
      <c r="F179" s="91">
        <f>39.23*10.764</f>
        <v>422.27171999999996</v>
      </c>
      <c r="G179" s="92"/>
      <c r="H179" s="55">
        <v>0</v>
      </c>
      <c r="I179" s="55">
        <f t="shared" ref="I179:I180" si="6">F179*1.5+H179</f>
        <v>633.40757999999994</v>
      </c>
    </row>
    <row r="180" spans="1:9" s="17" customFormat="1" ht="21" x14ac:dyDescent="0.25">
      <c r="A180" s="102"/>
      <c r="B180" s="103"/>
      <c r="C180" s="91">
        <v>2</v>
      </c>
      <c r="D180" s="92"/>
      <c r="E180" s="55" t="s">
        <v>150</v>
      </c>
      <c r="F180" s="91">
        <f>51.77*10.764</f>
        <v>557.25228000000004</v>
      </c>
      <c r="G180" s="92"/>
      <c r="H180" s="55">
        <v>0</v>
      </c>
      <c r="I180" s="55">
        <f t="shared" si="6"/>
        <v>835.87842000000001</v>
      </c>
    </row>
    <row r="181" spans="1:9" s="17" customFormat="1" ht="21" customHeight="1" x14ac:dyDescent="0.25">
      <c r="A181" s="102"/>
      <c r="B181" s="103"/>
      <c r="C181" s="91">
        <v>3</v>
      </c>
      <c r="D181" s="92"/>
      <c r="E181" s="55" t="s">
        <v>150</v>
      </c>
      <c r="F181" s="91">
        <f>60.5*10.764</f>
        <v>651.22199999999998</v>
      </c>
      <c r="G181" s="92"/>
      <c r="H181" s="55">
        <v>0</v>
      </c>
      <c r="I181" s="55">
        <f t="shared" ref="I181:I187" si="7">F181*1.5+H181</f>
        <v>976.83299999999997</v>
      </c>
    </row>
    <row r="182" spans="1:9" s="17" customFormat="1" ht="21" customHeight="1" x14ac:dyDescent="0.25">
      <c r="A182" s="102"/>
      <c r="B182" s="103"/>
      <c r="C182" s="91">
        <v>4</v>
      </c>
      <c r="D182" s="92"/>
      <c r="E182" s="55" t="s">
        <v>170</v>
      </c>
      <c r="F182" s="91">
        <f>42.89*10.764</f>
        <v>461.66795999999999</v>
      </c>
      <c r="G182" s="92"/>
      <c r="H182" s="55">
        <v>0</v>
      </c>
      <c r="I182" s="55">
        <f t="shared" si="7"/>
        <v>692.50193999999999</v>
      </c>
    </row>
    <row r="183" spans="1:9" s="17" customFormat="1" ht="21" x14ac:dyDescent="0.25">
      <c r="A183" s="102"/>
      <c r="B183" s="103"/>
      <c r="C183" s="91">
        <v>5</v>
      </c>
      <c r="D183" s="92"/>
      <c r="E183" s="55" t="s">
        <v>170</v>
      </c>
      <c r="F183" s="91">
        <f>42.89*10.764</f>
        <v>461.66795999999999</v>
      </c>
      <c r="G183" s="92"/>
      <c r="H183" s="55">
        <v>0</v>
      </c>
      <c r="I183" s="55">
        <f t="shared" si="7"/>
        <v>692.50193999999999</v>
      </c>
    </row>
    <row r="184" spans="1:9" s="17" customFormat="1" ht="21" customHeight="1" x14ac:dyDescent="0.25">
      <c r="A184" s="102"/>
      <c r="B184" s="103"/>
      <c r="C184" s="91">
        <v>6</v>
      </c>
      <c r="D184" s="92"/>
      <c r="E184" s="55" t="s">
        <v>170</v>
      </c>
      <c r="F184" s="91">
        <f>39.02*10.764</f>
        <v>420.01128</v>
      </c>
      <c r="G184" s="92"/>
      <c r="H184" s="55">
        <v>0</v>
      </c>
      <c r="I184" s="55">
        <f t="shared" si="7"/>
        <v>630.01692000000003</v>
      </c>
    </row>
    <row r="185" spans="1:9" s="17" customFormat="1" ht="21" x14ac:dyDescent="0.25">
      <c r="A185" s="102"/>
      <c r="B185" s="103"/>
      <c r="C185" s="91">
        <v>7</v>
      </c>
      <c r="D185" s="92"/>
      <c r="E185" s="55" t="s">
        <v>150</v>
      </c>
      <c r="F185" s="91">
        <f>48.92*10.764</f>
        <v>526.57488000000001</v>
      </c>
      <c r="G185" s="92"/>
      <c r="H185" s="55">
        <v>0</v>
      </c>
      <c r="I185" s="55">
        <f t="shared" si="7"/>
        <v>789.86231999999995</v>
      </c>
    </row>
    <row r="186" spans="1:9" s="17" customFormat="1" ht="21" customHeight="1" x14ac:dyDescent="0.25">
      <c r="A186" s="102"/>
      <c r="B186" s="103"/>
      <c r="C186" s="91">
        <v>8</v>
      </c>
      <c r="D186" s="92"/>
      <c r="E186" s="55" t="s">
        <v>150</v>
      </c>
      <c r="F186" s="91">
        <f>48.92*10.764</f>
        <v>526.57488000000001</v>
      </c>
      <c r="G186" s="92"/>
      <c r="H186" s="55">
        <v>0</v>
      </c>
      <c r="I186" s="55">
        <f t="shared" si="7"/>
        <v>789.86231999999995</v>
      </c>
    </row>
    <row r="187" spans="1:9" s="17" customFormat="1" ht="21" customHeight="1" x14ac:dyDescent="0.25">
      <c r="A187" s="102"/>
      <c r="B187" s="103"/>
      <c r="C187" s="91">
        <v>9</v>
      </c>
      <c r="D187" s="92"/>
      <c r="E187" s="55" t="s">
        <v>150</v>
      </c>
      <c r="F187" s="91">
        <f>46.05*10.764</f>
        <v>495.68219999999997</v>
      </c>
      <c r="G187" s="92"/>
      <c r="H187" s="55">
        <v>0</v>
      </c>
      <c r="I187" s="55">
        <f t="shared" si="7"/>
        <v>743.52329999999995</v>
      </c>
    </row>
    <row r="188" spans="1:9" s="17" customFormat="1" ht="21" x14ac:dyDescent="0.25">
      <c r="A188" s="102"/>
      <c r="B188" s="103"/>
      <c r="C188" s="91">
        <v>10</v>
      </c>
      <c r="D188" s="92"/>
      <c r="E188" s="91" t="s">
        <v>151</v>
      </c>
      <c r="F188" s="94"/>
      <c r="G188" s="94"/>
      <c r="H188" s="94"/>
      <c r="I188" s="92"/>
    </row>
    <row r="189" spans="1:9" s="17" customFormat="1" ht="21" customHeight="1" x14ac:dyDescent="0.25">
      <c r="A189" s="117"/>
      <c r="B189" s="118"/>
      <c r="C189" s="91">
        <v>11</v>
      </c>
      <c r="D189" s="92"/>
      <c r="E189" s="55" t="s">
        <v>170</v>
      </c>
      <c r="F189" s="91">
        <f>39.23*10.764</f>
        <v>422.27171999999996</v>
      </c>
      <c r="G189" s="92"/>
      <c r="H189" s="55">
        <v>0</v>
      </c>
      <c r="I189" s="55">
        <f t="shared" ref="I189" si="8">F189*1.5+H189</f>
        <v>633.40757999999994</v>
      </c>
    </row>
    <row r="190" spans="1:9" s="17" customFormat="1" ht="21" x14ac:dyDescent="0.25">
      <c r="A190" s="93" t="s">
        <v>185</v>
      </c>
      <c r="B190" s="93"/>
      <c r="C190" s="93"/>
      <c r="D190" s="93"/>
      <c r="E190" s="93"/>
      <c r="F190" s="93"/>
      <c r="G190" s="93"/>
      <c r="H190" s="93"/>
      <c r="I190" s="93"/>
    </row>
    <row r="191" spans="1:9" s="17" customFormat="1" ht="21" x14ac:dyDescent="0.25">
      <c r="A191" s="93" t="s">
        <v>186</v>
      </c>
      <c r="B191" s="93"/>
      <c r="C191" s="93"/>
      <c r="D191" s="93"/>
      <c r="E191" s="93"/>
      <c r="F191" s="93"/>
      <c r="G191" s="93"/>
      <c r="H191" s="93"/>
      <c r="I191" s="93"/>
    </row>
    <row r="192" spans="1:9" s="17" customFormat="1" ht="21" customHeight="1" x14ac:dyDescent="0.25">
      <c r="A192" s="100" t="str">
        <f>A191</f>
        <v>14th, 19th &amp; 24th Floor (Part Refuge Area)</v>
      </c>
      <c r="B192" s="101"/>
      <c r="C192" s="91">
        <v>1</v>
      </c>
      <c r="D192" s="92"/>
      <c r="E192" s="55" t="s">
        <v>170</v>
      </c>
      <c r="F192" s="91">
        <f>39.23*10.764</f>
        <v>422.27171999999996</v>
      </c>
      <c r="G192" s="92"/>
      <c r="H192" s="55">
        <v>0</v>
      </c>
      <c r="I192" s="55">
        <f t="shared" ref="I192:I200" si="9">F192*1.5+H192</f>
        <v>633.40757999999994</v>
      </c>
    </row>
    <row r="193" spans="1:9" s="17" customFormat="1" ht="21" x14ac:dyDescent="0.25">
      <c r="A193" s="102"/>
      <c r="B193" s="103"/>
      <c r="C193" s="91">
        <v>2</v>
      </c>
      <c r="D193" s="92"/>
      <c r="E193" s="55" t="s">
        <v>150</v>
      </c>
      <c r="F193" s="91">
        <f>51.77*10.764</f>
        <v>557.25228000000004</v>
      </c>
      <c r="G193" s="92"/>
      <c r="H193" s="55">
        <v>0</v>
      </c>
      <c r="I193" s="55">
        <f t="shared" si="9"/>
        <v>835.87842000000001</v>
      </c>
    </row>
    <row r="194" spans="1:9" s="17" customFormat="1" ht="21" customHeight="1" x14ac:dyDescent="0.25">
      <c r="A194" s="102"/>
      <c r="B194" s="103"/>
      <c r="C194" s="91">
        <v>3</v>
      </c>
      <c r="D194" s="92"/>
      <c r="E194" s="55" t="s">
        <v>150</v>
      </c>
      <c r="F194" s="91">
        <f>60.5*10.764</f>
        <v>651.22199999999998</v>
      </c>
      <c r="G194" s="92"/>
      <c r="H194" s="55">
        <v>0</v>
      </c>
      <c r="I194" s="55">
        <f t="shared" si="9"/>
        <v>976.83299999999997</v>
      </c>
    </row>
    <row r="195" spans="1:9" s="17" customFormat="1" ht="21" customHeight="1" x14ac:dyDescent="0.25">
      <c r="A195" s="102"/>
      <c r="B195" s="103"/>
      <c r="C195" s="91">
        <v>4</v>
      </c>
      <c r="D195" s="92"/>
      <c r="E195" s="55" t="s">
        <v>170</v>
      </c>
      <c r="F195" s="91">
        <f>42.89*10.764</f>
        <v>461.66795999999999</v>
      </c>
      <c r="G195" s="92"/>
      <c r="H195" s="55">
        <v>0</v>
      </c>
      <c r="I195" s="55">
        <f t="shared" si="9"/>
        <v>692.50193999999999</v>
      </c>
    </row>
    <row r="196" spans="1:9" s="17" customFormat="1" ht="21" x14ac:dyDescent="0.25">
      <c r="A196" s="102"/>
      <c r="B196" s="103"/>
      <c r="C196" s="91">
        <v>5</v>
      </c>
      <c r="D196" s="92"/>
      <c r="E196" s="55" t="s">
        <v>170</v>
      </c>
      <c r="F196" s="91">
        <f>42.89*10.764</f>
        <v>461.66795999999999</v>
      </c>
      <c r="G196" s="92"/>
      <c r="H196" s="55">
        <v>0</v>
      </c>
      <c r="I196" s="55">
        <f t="shared" si="9"/>
        <v>692.50193999999999</v>
      </c>
    </row>
    <row r="197" spans="1:9" s="17" customFormat="1" ht="21" customHeight="1" x14ac:dyDescent="0.25">
      <c r="A197" s="102"/>
      <c r="B197" s="103"/>
      <c r="C197" s="91">
        <v>6</v>
      </c>
      <c r="D197" s="92"/>
      <c r="E197" s="55" t="s">
        <v>170</v>
      </c>
      <c r="F197" s="91">
        <f>39.02*10.764</f>
        <v>420.01128</v>
      </c>
      <c r="G197" s="92"/>
      <c r="H197" s="55">
        <v>0</v>
      </c>
      <c r="I197" s="55">
        <f t="shared" si="9"/>
        <v>630.01692000000003</v>
      </c>
    </row>
    <row r="198" spans="1:9" s="17" customFormat="1" ht="21" x14ac:dyDescent="0.25">
      <c r="A198" s="102"/>
      <c r="B198" s="103"/>
      <c r="C198" s="91">
        <v>7</v>
      </c>
      <c r="D198" s="92"/>
      <c r="E198" s="55" t="s">
        <v>150</v>
      </c>
      <c r="F198" s="91">
        <f>48.92*10.764</f>
        <v>526.57488000000001</v>
      </c>
      <c r="G198" s="92"/>
      <c r="H198" s="55">
        <v>0</v>
      </c>
      <c r="I198" s="55">
        <f t="shared" si="9"/>
        <v>789.86231999999995</v>
      </c>
    </row>
    <row r="199" spans="1:9" s="17" customFormat="1" ht="21" customHeight="1" x14ac:dyDescent="0.25">
      <c r="A199" s="102"/>
      <c r="B199" s="103"/>
      <c r="C199" s="91">
        <v>8</v>
      </c>
      <c r="D199" s="92"/>
      <c r="E199" s="55" t="s">
        <v>150</v>
      </c>
      <c r="F199" s="91">
        <f>48.92*10.764</f>
        <v>526.57488000000001</v>
      </c>
      <c r="G199" s="92"/>
      <c r="H199" s="55">
        <v>0</v>
      </c>
      <c r="I199" s="55">
        <f t="shared" si="9"/>
        <v>789.86231999999995</v>
      </c>
    </row>
    <row r="200" spans="1:9" s="17" customFormat="1" ht="21" customHeight="1" x14ac:dyDescent="0.25">
      <c r="A200" s="102"/>
      <c r="B200" s="103"/>
      <c r="C200" s="91">
        <v>9</v>
      </c>
      <c r="D200" s="92"/>
      <c r="E200" s="55" t="s">
        <v>150</v>
      </c>
      <c r="F200" s="91">
        <f>46.05*10.764</f>
        <v>495.68219999999997</v>
      </c>
      <c r="G200" s="92"/>
      <c r="H200" s="55">
        <v>0</v>
      </c>
      <c r="I200" s="55">
        <f t="shared" si="9"/>
        <v>743.52329999999995</v>
      </c>
    </row>
    <row r="201" spans="1:9" s="17" customFormat="1" ht="21" x14ac:dyDescent="0.25">
      <c r="A201" s="102"/>
      <c r="B201" s="103"/>
      <c r="C201" s="91">
        <v>10</v>
      </c>
      <c r="D201" s="92"/>
      <c r="E201" s="91" t="s">
        <v>151</v>
      </c>
      <c r="F201" s="94"/>
      <c r="G201" s="94"/>
      <c r="H201" s="94"/>
      <c r="I201" s="92"/>
    </row>
    <row r="202" spans="1:9" s="17" customFormat="1" ht="21" customHeight="1" x14ac:dyDescent="0.25">
      <c r="A202" s="117"/>
      <c r="B202" s="118"/>
      <c r="C202" s="91">
        <v>11</v>
      </c>
      <c r="D202" s="92"/>
      <c r="E202" s="55" t="s">
        <v>170</v>
      </c>
      <c r="F202" s="91">
        <f>39.23*10.764</f>
        <v>422.27171999999996</v>
      </c>
      <c r="G202" s="92"/>
      <c r="H202" s="55">
        <v>0</v>
      </c>
      <c r="I202" s="55">
        <f t="shared" ref="I202" si="10">F202*1.5+H202</f>
        <v>633.40757999999994</v>
      </c>
    </row>
    <row r="203" spans="1:9" s="17" customFormat="1" ht="21" x14ac:dyDescent="0.25">
      <c r="A203" s="93" t="s">
        <v>187</v>
      </c>
      <c r="B203" s="93"/>
      <c r="C203" s="93"/>
      <c r="D203" s="93"/>
      <c r="E203" s="93"/>
      <c r="F203" s="93"/>
      <c r="G203" s="93"/>
      <c r="H203" s="93"/>
      <c r="I203" s="93"/>
    </row>
    <row r="204" spans="1:9" s="17" customFormat="1" ht="21" customHeight="1" x14ac:dyDescent="0.25">
      <c r="A204" s="100" t="str">
        <f>A203</f>
        <v>29th Floor (Part Refuge Area)</v>
      </c>
      <c r="B204" s="101"/>
      <c r="C204" s="91">
        <v>1</v>
      </c>
      <c r="D204" s="92"/>
      <c r="E204" s="55" t="s">
        <v>170</v>
      </c>
      <c r="F204" s="91">
        <f>39.23*10.764</f>
        <v>422.27171999999996</v>
      </c>
      <c r="G204" s="92"/>
      <c r="H204" s="55">
        <v>0</v>
      </c>
      <c r="I204" s="55">
        <f t="shared" ref="I204:I212" si="11">F204*1.5+H204</f>
        <v>633.40757999999994</v>
      </c>
    </row>
    <row r="205" spans="1:9" s="17" customFormat="1" ht="21" x14ac:dyDescent="0.25">
      <c r="A205" s="102"/>
      <c r="B205" s="103"/>
      <c r="C205" s="91">
        <v>2</v>
      </c>
      <c r="D205" s="92"/>
      <c r="E205" s="55" t="s">
        <v>150</v>
      </c>
      <c r="F205" s="91">
        <f>51.77*10.764</f>
        <v>557.25228000000004</v>
      </c>
      <c r="G205" s="92"/>
      <c r="H205" s="55">
        <v>0</v>
      </c>
      <c r="I205" s="55">
        <f t="shared" si="11"/>
        <v>835.87842000000001</v>
      </c>
    </row>
    <row r="206" spans="1:9" s="17" customFormat="1" ht="21" customHeight="1" x14ac:dyDescent="0.25">
      <c r="A206" s="102"/>
      <c r="B206" s="103"/>
      <c r="C206" s="91">
        <v>3</v>
      </c>
      <c r="D206" s="92"/>
      <c r="E206" s="55" t="s">
        <v>150</v>
      </c>
      <c r="F206" s="91">
        <f>60.5*10.764</f>
        <v>651.22199999999998</v>
      </c>
      <c r="G206" s="92"/>
      <c r="H206" s="55">
        <v>0</v>
      </c>
      <c r="I206" s="55">
        <f t="shared" si="11"/>
        <v>976.83299999999997</v>
      </c>
    </row>
    <row r="207" spans="1:9" s="17" customFormat="1" ht="21" customHeight="1" x14ac:dyDescent="0.25">
      <c r="A207" s="102"/>
      <c r="B207" s="103"/>
      <c r="C207" s="91">
        <v>4</v>
      </c>
      <c r="D207" s="92"/>
      <c r="E207" s="55" t="s">
        <v>170</v>
      </c>
      <c r="F207" s="91">
        <f>42.89*10.764</f>
        <v>461.66795999999999</v>
      </c>
      <c r="G207" s="92"/>
      <c r="H207" s="55">
        <v>0</v>
      </c>
      <c r="I207" s="55">
        <f t="shared" si="11"/>
        <v>692.50193999999999</v>
      </c>
    </row>
    <row r="208" spans="1:9" s="17" customFormat="1" ht="21" x14ac:dyDescent="0.25">
      <c r="A208" s="102"/>
      <c r="B208" s="103"/>
      <c r="C208" s="91">
        <v>5</v>
      </c>
      <c r="D208" s="92"/>
      <c r="E208" s="55" t="s">
        <v>170</v>
      </c>
      <c r="F208" s="91">
        <f>42.89*10.764</f>
        <v>461.66795999999999</v>
      </c>
      <c r="G208" s="92"/>
      <c r="H208" s="55">
        <v>0</v>
      </c>
      <c r="I208" s="55">
        <f t="shared" si="11"/>
        <v>692.50193999999999</v>
      </c>
    </row>
    <row r="209" spans="1:9" s="17" customFormat="1" ht="21" customHeight="1" x14ac:dyDescent="0.25">
      <c r="A209" s="102"/>
      <c r="B209" s="103"/>
      <c r="C209" s="91">
        <v>6</v>
      </c>
      <c r="D209" s="92"/>
      <c r="E209" s="55" t="s">
        <v>170</v>
      </c>
      <c r="F209" s="91">
        <f>39.02*10.764</f>
        <v>420.01128</v>
      </c>
      <c r="G209" s="92"/>
      <c r="H209" s="55">
        <v>0</v>
      </c>
      <c r="I209" s="55">
        <f t="shared" si="11"/>
        <v>630.01692000000003</v>
      </c>
    </row>
    <row r="210" spans="1:9" s="17" customFormat="1" ht="21" x14ac:dyDescent="0.25">
      <c r="A210" s="102"/>
      <c r="B210" s="103"/>
      <c r="C210" s="91">
        <v>7</v>
      </c>
      <c r="D210" s="92"/>
      <c r="E210" s="55" t="s">
        <v>150</v>
      </c>
      <c r="F210" s="91">
        <f>48.92*10.764</f>
        <v>526.57488000000001</v>
      </c>
      <c r="G210" s="92"/>
      <c r="H210" s="55">
        <v>0</v>
      </c>
      <c r="I210" s="55">
        <f t="shared" si="11"/>
        <v>789.86231999999995</v>
      </c>
    </row>
    <row r="211" spans="1:9" s="17" customFormat="1" ht="21" customHeight="1" x14ac:dyDescent="0.25">
      <c r="A211" s="102"/>
      <c r="B211" s="103"/>
      <c r="C211" s="91">
        <v>8</v>
      </c>
      <c r="D211" s="92"/>
      <c r="E211" s="55" t="s">
        <v>150</v>
      </c>
      <c r="F211" s="91">
        <f>48.92*10.764</f>
        <v>526.57488000000001</v>
      </c>
      <c r="G211" s="92"/>
      <c r="H211" s="55">
        <v>0</v>
      </c>
      <c r="I211" s="55">
        <f t="shared" si="11"/>
        <v>789.86231999999995</v>
      </c>
    </row>
    <row r="212" spans="1:9" s="17" customFormat="1" ht="21" customHeight="1" x14ac:dyDescent="0.25">
      <c r="A212" s="102"/>
      <c r="B212" s="103"/>
      <c r="C212" s="91">
        <v>9</v>
      </c>
      <c r="D212" s="92"/>
      <c r="E212" s="55" t="s">
        <v>150</v>
      </c>
      <c r="F212" s="91">
        <f>46.05*10.764</f>
        <v>495.68219999999997</v>
      </c>
      <c r="G212" s="92"/>
      <c r="H212" s="55">
        <v>0</v>
      </c>
      <c r="I212" s="55">
        <f t="shared" si="11"/>
        <v>743.52329999999995</v>
      </c>
    </row>
    <row r="213" spans="1:9" s="17" customFormat="1" ht="21" x14ac:dyDescent="0.25">
      <c r="A213" s="102"/>
      <c r="B213" s="103"/>
      <c r="C213" s="91">
        <v>10</v>
      </c>
      <c r="D213" s="92"/>
      <c r="E213" s="91" t="s">
        <v>151</v>
      </c>
      <c r="F213" s="94"/>
      <c r="G213" s="94"/>
      <c r="H213" s="94"/>
      <c r="I213" s="92"/>
    </row>
    <row r="214" spans="1:9" s="17" customFormat="1" ht="21" customHeight="1" x14ac:dyDescent="0.25">
      <c r="A214" s="117"/>
      <c r="B214" s="118"/>
      <c r="C214" s="91">
        <v>11</v>
      </c>
      <c r="D214" s="92"/>
      <c r="E214" s="55" t="s">
        <v>170</v>
      </c>
      <c r="F214" s="91">
        <f>39.23*10.764</f>
        <v>422.27171999999996</v>
      </c>
      <c r="G214" s="92"/>
      <c r="H214" s="55">
        <v>0</v>
      </c>
      <c r="I214" s="55">
        <f t="shared" ref="I214" si="12">F214*1.5+H214</f>
        <v>633.40757999999994</v>
      </c>
    </row>
    <row r="215" spans="1:9" s="17" customFormat="1" ht="21" x14ac:dyDescent="0.25">
      <c r="A215" s="119" t="s">
        <v>188</v>
      </c>
      <c r="B215" s="93"/>
      <c r="C215" s="93"/>
      <c r="D215" s="93"/>
      <c r="E215" s="93"/>
      <c r="F215" s="93"/>
      <c r="G215" s="93"/>
      <c r="H215" s="93"/>
      <c r="I215" s="93"/>
    </row>
    <row r="216" spans="1:9" s="17" customFormat="1" ht="21" x14ac:dyDescent="0.25">
      <c r="A216" s="119" t="s">
        <v>180</v>
      </c>
      <c r="B216" s="93"/>
      <c r="C216" s="93"/>
      <c r="D216" s="93"/>
      <c r="E216" s="93"/>
      <c r="F216" s="93"/>
      <c r="G216" s="93"/>
      <c r="H216" s="93"/>
      <c r="I216" s="93"/>
    </row>
    <row r="217" spans="1:9" s="17" customFormat="1" ht="21" x14ac:dyDescent="0.25">
      <c r="A217" s="93" t="s">
        <v>137</v>
      </c>
      <c r="B217" s="93"/>
      <c r="C217" s="93"/>
      <c r="D217" s="93"/>
      <c r="E217" s="93"/>
      <c r="F217" s="93"/>
      <c r="G217" s="93"/>
      <c r="H217" s="93"/>
      <c r="I217" s="93"/>
    </row>
    <row r="218" spans="1:9" s="17" customFormat="1" ht="21" customHeight="1" x14ac:dyDescent="0.25">
      <c r="A218" s="100" t="str">
        <f>A217</f>
        <v>1st Floor</v>
      </c>
      <c r="B218" s="101"/>
      <c r="C218" s="91">
        <v>1</v>
      </c>
      <c r="D218" s="92"/>
      <c r="E218" s="55" t="s">
        <v>170</v>
      </c>
      <c r="F218" s="91">
        <f>41.89*10.764</f>
        <v>450.90395999999998</v>
      </c>
      <c r="G218" s="92"/>
      <c r="H218" s="55">
        <v>0</v>
      </c>
      <c r="I218" s="55">
        <f t="shared" ref="I218" si="13">F218*1.5+H218</f>
        <v>676.35593999999992</v>
      </c>
    </row>
    <row r="219" spans="1:9" s="17" customFormat="1" ht="21" x14ac:dyDescent="0.25">
      <c r="A219" s="102"/>
      <c r="B219" s="103"/>
      <c r="C219" s="91">
        <v>2</v>
      </c>
      <c r="D219" s="92"/>
      <c r="E219" s="55" t="s">
        <v>170</v>
      </c>
      <c r="F219" s="91">
        <f>30.98*10.764</f>
        <v>333.46871999999996</v>
      </c>
      <c r="G219" s="92"/>
      <c r="H219" s="55">
        <v>0</v>
      </c>
      <c r="I219" s="55">
        <f t="shared" ref="I219:I226" si="14">F219*1.5+H219</f>
        <v>500.20307999999994</v>
      </c>
    </row>
    <row r="220" spans="1:9" s="17" customFormat="1" ht="21" customHeight="1" x14ac:dyDescent="0.25">
      <c r="A220" s="102"/>
      <c r="B220" s="103"/>
      <c r="C220" s="91">
        <v>3</v>
      </c>
      <c r="D220" s="92"/>
      <c r="E220" s="55" t="s">
        <v>170</v>
      </c>
      <c r="F220" s="91">
        <f>30.98*10.764</f>
        <v>333.46871999999996</v>
      </c>
      <c r="G220" s="92"/>
      <c r="H220" s="55">
        <v>0</v>
      </c>
      <c r="I220" s="55">
        <f t="shared" si="14"/>
        <v>500.20307999999994</v>
      </c>
    </row>
    <row r="221" spans="1:9" s="17" customFormat="1" ht="21" customHeight="1" x14ac:dyDescent="0.25">
      <c r="A221" s="102"/>
      <c r="B221" s="103"/>
      <c r="C221" s="91">
        <v>4</v>
      </c>
      <c r="D221" s="92"/>
      <c r="E221" s="55" t="s">
        <v>150</v>
      </c>
      <c r="F221" s="91">
        <f>44.89*10.764</f>
        <v>483.19595999999996</v>
      </c>
      <c r="G221" s="92"/>
      <c r="H221" s="55">
        <v>0</v>
      </c>
      <c r="I221" s="55">
        <f t="shared" si="14"/>
        <v>724.79393999999991</v>
      </c>
    </row>
    <row r="222" spans="1:9" s="17" customFormat="1" ht="21" x14ac:dyDescent="0.25">
      <c r="A222" s="102"/>
      <c r="B222" s="103"/>
      <c r="C222" s="91">
        <v>5</v>
      </c>
      <c r="D222" s="92"/>
      <c r="E222" s="55" t="s">
        <v>150</v>
      </c>
      <c r="F222" s="91">
        <f>51.86*10.764</f>
        <v>558.22104000000002</v>
      </c>
      <c r="G222" s="92"/>
      <c r="H222" s="55">
        <v>0</v>
      </c>
      <c r="I222" s="55">
        <f t="shared" si="14"/>
        <v>837.33156000000008</v>
      </c>
    </row>
    <row r="223" spans="1:9" s="17" customFormat="1" ht="21" customHeight="1" x14ac:dyDescent="0.25">
      <c r="A223" s="102"/>
      <c r="B223" s="103"/>
      <c r="C223" s="91">
        <v>6</v>
      </c>
      <c r="D223" s="92"/>
      <c r="E223" s="55" t="s">
        <v>170</v>
      </c>
      <c r="F223" s="91">
        <f>42.89*10.764</f>
        <v>461.66795999999999</v>
      </c>
      <c r="G223" s="92"/>
      <c r="H223" s="55">
        <v>0</v>
      </c>
      <c r="I223" s="55">
        <f t="shared" si="14"/>
        <v>692.50193999999999</v>
      </c>
    </row>
    <row r="224" spans="1:9" s="17" customFormat="1" ht="21" x14ac:dyDescent="0.25">
      <c r="A224" s="102"/>
      <c r="B224" s="103"/>
      <c r="C224" s="91">
        <v>7</v>
      </c>
      <c r="D224" s="92"/>
      <c r="E224" s="55" t="s">
        <v>170</v>
      </c>
      <c r="F224" s="91">
        <f>42.89*10.764</f>
        <v>461.66795999999999</v>
      </c>
      <c r="G224" s="92"/>
      <c r="H224" s="55">
        <v>0</v>
      </c>
      <c r="I224" s="55">
        <f t="shared" si="14"/>
        <v>692.50193999999999</v>
      </c>
    </row>
    <row r="225" spans="1:9" s="17" customFormat="1" ht="21" customHeight="1" x14ac:dyDescent="0.25">
      <c r="A225" s="102"/>
      <c r="B225" s="103"/>
      <c r="C225" s="91">
        <v>8</v>
      </c>
      <c r="D225" s="92"/>
      <c r="E225" s="55" t="s">
        <v>150</v>
      </c>
      <c r="F225" s="91">
        <f>49.07*10.764</f>
        <v>528.18948</v>
      </c>
      <c r="G225" s="92"/>
      <c r="H225" s="55">
        <v>0</v>
      </c>
      <c r="I225" s="55">
        <f t="shared" si="14"/>
        <v>792.28422</v>
      </c>
    </row>
    <row r="226" spans="1:9" s="17" customFormat="1" ht="21" customHeight="1" x14ac:dyDescent="0.25">
      <c r="A226" s="102"/>
      <c r="B226" s="103"/>
      <c r="C226" s="91">
        <v>9</v>
      </c>
      <c r="D226" s="92"/>
      <c r="E226" s="55" t="s">
        <v>150</v>
      </c>
      <c r="F226" s="91">
        <f>49.07*10.764</f>
        <v>528.18948</v>
      </c>
      <c r="G226" s="92"/>
      <c r="H226" s="55">
        <v>0</v>
      </c>
      <c r="I226" s="55">
        <f t="shared" si="14"/>
        <v>792.28422</v>
      </c>
    </row>
    <row r="227" spans="1:9" s="17" customFormat="1" ht="21" x14ac:dyDescent="0.25">
      <c r="A227" s="102"/>
      <c r="B227" s="103"/>
      <c r="C227" s="91">
        <v>10</v>
      </c>
      <c r="D227" s="92"/>
      <c r="E227" s="91" t="s">
        <v>179</v>
      </c>
      <c r="F227" s="94"/>
      <c r="G227" s="94"/>
      <c r="H227" s="94"/>
      <c r="I227" s="92"/>
    </row>
    <row r="228" spans="1:9" s="17" customFormat="1" ht="21" x14ac:dyDescent="0.25">
      <c r="A228" s="93" t="s">
        <v>184</v>
      </c>
      <c r="B228" s="93"/>
      <c r="C228" s="93"/>
      <c r="D228" s="93"/>
      <c r="E228" s="93"/>
      <c r="F228" s="93"/>
      <c r="G228" s="93"/>
      <c r="H228" s="93"/>
      <c r="I228" s="93"/>
    </row>
    <row r="229" spans="1:9" s="17" customFormat="1" ht="21" customHeight="1" x14ac:dyDescent="0.25">
      <c r="A229" s="100" t="str">
        <f>A228</f>
        <v>2nd to 7th, 9th to 13th, 15th to 18th, 20th to 23rd, 25th to 28th, 30th to 32nd Floor</v>
      </c>
      <c r="B229" s="101"/>
      <c r="C229" s="91">
        <v>1</v>
      </c>
      <c r="D229" s="92"/>
      <c r="E229" s="55" t="s">
        <v>170</v>
      </c>
      <c r="F229" s="91">
        <f>41.89*10.764</f>
        <v>450.90395999999998</v>
      </c>
      <c r="G229" s="92"/>
      <c r="H229" s="55">
        <v>0</v>
      </c>
      <c r="I229" s="55">
        <f t="shared" ref="I229:I235" si="15">F229*1.5+H229</f>
        <v>676.35593999999992</v>
      </c>
    </row>
    <row r="230" spans="1:9" s="17" customFormat="1" ht="21" x14ac:dyDescent="0.25">
      <c r="A230" s="102"/>
      <c r="B230" s="103"/>
      <c r="C230" s="91">
        <v>2</v>
      </c>
      <c r="D230" s="92"/>
      <c r="E230" s="55" t="s">
        <v>170</v>
      </c>
      <c r="F230" s="91">
        <f>30.98*10.764</f>
        <v>333.46871999999996</v>
      </c>
      <c r="G230" s="92"/>
      <c r="H230" s="55">
        <v>0</v>
      </c>
      <c r="I230" s="55">
        <f t="shared" si="15"/>
        <v>500.20307999999994</v>
      </c>
    </row>
    <row r="231" spans="1:9" s="17" customFormat="1" ht="21" customHeight="1" x14ac:dyDescent="0.25">
      <c r="A231" s="102"/>
      <c r="B231" s="103"/>
      <c r="C231" s="91">
        <v>3</v>
      </c>
      <c r="D231" s="92"/>
      <c r="E231" s="55" t="s">
        <v>170</v>
      </c>
      <c r="F231" s="91">
        <f>30.98*10.764</f>
        <v>333.46871999999996</v>
      </c>
      <c r="G231" s="92"/>
      <c r="H231" s="55">
        <v>0</v>
      </c>
      <c r="I231" s="55">
        <f t="shared" si="15"/>
        <v>500.20307999999994</v>
      </c>
    </row>
    <row r="232" spans="1:9" s="17" customFormat="1" ht="21" customHeight="1" x14ac:dyDescent="0.25">
      <c r="A232" s="102"/>
      <c r="B232" s="103"/>
      <c r="C232" s="91">
        <v>4</v>
      </c>
      <c r="D232" s="92"/>
      <c r="E232" s="55" t="s">
        <v>150</v>
      </c>
      <c r="F232" s="91">
        <f>44.89*10.764</f>
        <v>483.19595999999996</v>
      </c>
      <c r="G232" s="92"/>
      <c r="H232" s="55">
        <v>0</v>
      </c>
      <c r="I232" s="55">
        <f t="shared" si="15"/>
        <v>724.79393999999991</v>
      </c>
    </row>
    <row r="233" spans="1:9" s="17" customFormat="1" ht="21" x14ac:dyDescent="0.25">
      <c r="A233" s="102"/>
      <c r="B233" s="103"/>
      <c r="C233" s="91">
        <v>5</v>
      </c>
      <c r="D233" s="92"/>
      <c r="E233" s="55" t="s">
        <v>150</v>
      </c>
      <c r="F233" s="91">
        <f>51.86*10.764</f>
        <v>558.22104000000002</v>
      </c>
      <c r="G233" s="92"/>
      <c r="H233" s="55">
        <v>0</v>
      </c>
      <c r="I233" s="55">
        <f t="shared" si="15"/>
        <v>837.33156000000008</v>
      </c>
    </row>
    <row r="234" spans="1:9" s="17" customFormat="1" ht="21" customHeight="1" x14ac:dyDescent="0.25">
      <c r="A234" s="102"/>
      <c r="B234" s="103"/>
      <c r="C234" s="91">
        <v>6</v>
      </c>
      <c r="D234" s="92"/>
      <c r="E234" s="55" t="s">
        <v>170</v>
      </c>
      <c r="F234" s="91">
        <f>42.89*10.764</f>
        <v>461.66795999999999</v>
      </c>
      <c r="G234" s="92"/>
      <c r="H234" s="55">
        <v>0</v>
      </c>
      <c r="I234" s="55">
        <f t="shared" si="15"/>
        <v>692.50193999999999</v>
      </c>
    </row>
    <row r="235" spans="1:9" s="17" customFormat="1" ht="21" x14ac:dyDescent="0.25">
      <c r="A235" s="102"/>
      <c r="B235" s="103"/>
      <c r="C235" s="91">
        <v>7</v>
      </c>
      <c r="D235" s="92"/>
      <c r="E235" s="55" t="s">
        <v>170</v>
      </c>
      <c r="F235" s="91">
        <f>42.89*10.764</f>
        <v>461.66795999999999</v>
      </c>
      <c r="G235" s="92"/>
      <c r="H235" s="55">
        <v>0</v>
      </c>
      <c r="I235" s="55">
        <f t="shared" si="15"/>
        <v>692.50193999999999</v>
      </c>
    </row>
    <row r="236" spans="1:9" s="17" customFormat="1" ht="21" customHeight="1" x14ac:dyDescent="0.25">
      <c r="A236" s="102"/>
      <c r="B236" s="103"/>
      <c r="C236" s="91">
        <v>8</v>
      </c>
      <c r="D236" s="92"/>
      <c r="E236" s="55" t="s">
        <v>150</v>
      </c>
      <c r="F236" s="91">
        <f>49.07*10.764</f>
        <v>528.18948</v>
      </c>
      <c r="G236" s="92"/>
      <c r="H236" s="55">
        <v>0</v>
      </c>
      <c r="I236" s="55">
        <f t="shared" ref="I236:I238" si="16">F236*1.5+H236</f>
        <v>792.28422</v>
      </c>
    </row>
    <row r="237" spans="1:9" s="17" customFormat="1" ht="21" customHeight="1" x14ac:dyDescent="0.25">
      <c r="A237" s="102"/>
      <c r="B237" s="103"/>
      <c r="C237" s="91">
        <v>9</v>
      </c>
      <c r="D237" s="92"/>
      <c r="E237" s="55" t="s">
        <v>150</v>
      </c>
      <c r="F237" s="91">
        <f>49.07*10.764</f>
        <v>528.18948</v>
      </c>
      <c r="G237" s="92"/>
      <c r="H237" s="55">
        <v>0</v>
      </c>
      <c r="I237" s="55">
        <f t="shared" si="16"/>
        <v>792.28422</v>
      </c>
    </row>
    <row r="238" spans="1:9" s="17" customFormat="1" ht="21" customHeight="1" x14ac:dyDescent="0.25">
      <c r="A238" s="102"/>
      <c r="B238" s="103"/>
      <c r="C238" s="91">
        <v>10</v>
      </c>
      <c r="D238" s="92"/>
      <c r="E238" s="55" t="s">
        <v>170</v>
      </c>
      <c r="F238" s="91">
        <f>41.03*10.764</f>
        <v>441.64691999999997</v>
      </c>
      <c r="G238" s="92"/>
      <c r="H238" s="55">
        <v>0</v>
      </c>
      <c r="I238" s="55">
        <f t="shared" si="16"/>
        <v>662.47037999999998</v>
      </c>
    </row>
    <row r="239" spans="1:9" s="17" customFormat="1" ht="21" x14ac:dyDescent="0.25">
      <c r="A239" s="93" t="s">
        <v>178</v>
      </c>
      <c r="B239" s="93"/>
      <c r="C239" s="93"/>
      <c r="D239" s="93"/>
      <c r="E239" s="93"/>
      <c r="F239" s="93"/>
      <c r="G239" s="93"/>
      <c r="H239" s="93"/>
      <c r="I239" s="93"/>
    </row>
    <row r="240" spans="1:9" s="17" customFormat="1" ht="21" customHeight="1" x14ac:dyDescent="0.25">
      <c r="A240" s="100" t="str">
        <f>A239</f>
        <v>8th Floor (Part Refuge Area)</v>
      </c>
      <c r="B240" s="101"/>
      <c r="C240" s="91">
        <v>1</v>
      </c>
      <c r="D240" s="92"/>
      <c r="E240" s="55" t="s">
        <v>170</v>
      </c>
      <c r="F240" s="91">
        <f>41.89*10.764</f>
        <v>450.90395999999998</v>
      </c>
      <c r="G240" s="92"/>
      <c r="H240" s="55">
        <v>0</v>
      </c>
      <c r="I240" s="55">
        <f t="shared" ref="I240:I249" si="17">F240*1.5+H240</f>
        <v>676.35593999999992</v>
      </c>
    </row>
    <row r="241" spans="1:9" s="17" customFormat="1" ht="21" x14ac:dyDescent="0.25">
      <c r="A241" s="102"/>
      <c r="B241" s="103"/>
      <c r="C241" s="91">
        <v>2</v>
      </c>
      <c r="D241" s="92"/>
      <c r="E241" s="55" t="s">
        <v>170</v>
      </c>
      <c r="F241" s="91">
        <f>30.98*10.764</f>
        <v>333.46871999999996</v>
      </c>
      <c r="G241" s="92"/>
      <c r="H241" s="55">
        <v>0</v>
      </c>
      <c r="I241" s="55">
        <f t="shared" si="17"/>
        <v>500.20307999999994</v>
      </c>
    </row>
    <row r="242" spans="1:9" s="17" customFormat="1" ht="21" customHeight="1" x14ac:dyDescent="0.25">
      <c r="A242" s="102"/>
      <c r="B242" s="103"/>
      <c r="C242" s="91">
        <v>3</v>
      </c>
      <c r="D242" s="92"/>
      <c r="E242" s="55" t="s">
        <v>170</v>
      </c>
      <c r="F242" s="91">
        <f>30.98*10.764</f>
        <v>333.46871999999996</v>
      </c>
      <c r="G242" s="92"/>
      <c r="H242" s="55">
        <v>0</v>
      </c>
      <c r="I242" s="55">
        <f t="shared" si="17"/>
        <v>500.20307999999994</v>
      </c>
    </row>
    <row r="243" spans="1:9" s="17" customFormat="1" ht="21" customHeight="1" x14ac:dyDescent="0.25">
      <c r="A243" s="102"/>
      <c r="B243" s="103"/>
      <c r="C243" s="91">
        <v>4</v>
      </c>
      <c r="D243" s="92"/>
      <c r="E243" s="55" t="s">
        <v>150</v>
      </c>
      <c r="F243" s="91">
        <f>44.89*10.764</f>
        <v>483.19595999999996</v>
      </c>
      <c r="G243" s="92"/>
      <c r="H243" s="55">
        <v>0</v>
      </c>
      <c r="I243" s="55">
        <f t="shared" si="17"/>
        <v>724.79393999999991</v>
      </c>
    </row>
    <row r="244" spans="1:9" s="17" customFormat="1" ht="21" x14ac:dyDescent="0.25">
      <c r="A244" s="102"/>
      <c r="B244" s="103"/>
      <c r="C244" s="91">
        <v>5</v>
      </c>
      <c r="D244" s="92"/>
      <c r="E244" s="91" t="s">
        <v>151</v>
      </c>
      <c r="F244" s="94"/>
      <c r="G244" s="94"/>
      <c r="H244" s="94"/>
      <c r="I244" s="92"/>
    </row>
    <row r="245" spans="1:9" s="17" customFormat="1" ht="21" customHeight="1" x14ac:dyDescent="0.25">
      <c r="A245" s="102"/>
      <c r="B245" s="103"/>
      <c r="C245" s="91">
        <v>6</v>
      </c>
      <c r="D245" s="92"/>
      <c r="E245" s="55" t="s">
        <v>170</v>
      </c>
      <c r="F245" s="91">
        <f>42.89*10.764</f>
        <v>461.66795999999999</v>
      </c>
      <c r="G245" s="92"/>
      <c r="H245" s="55">
        <v>0</v>
      </c>
      <c r="I245" s="55">
        <f t="shared" si="17"/>
        <v>692.50193999999999</v>
      </c>
    </row>
    <row r="246" spans="1:9" s="17" customFormat="1" ht="21" x14ac:dyDescent="0.25">
      <c r="A246" s="102"/>
      <c r="B246" s="103"/>
      <c r="C246" s="91">
        <v>7</v>
      </c>
      <c r="D246" s="92"/>
      <c r="E246" s="55" t="s">
        <v>170</v>
      </c>
      <c r="F246" s="91">
        <f>42.89*10.764</f>
        <v>461.66795999999999</v>
      </c>
      <c r="G246" s="92"/>
      <c r="H246" s="55">
        <v>0</v>
      </c>
      <c r="I246" s="55">
        <f t="shared" si="17"/>
        <v>692.50193999999999</v>
      </c>
    </row>
    <row r="247" spans="1:9" s="17" customFormat="1" ht="21" customHeight="1" x14ac:dyDescent="0.25">
      <c r="A247" s="102"/>
      <c r="B247" s="103"/>
      <c r="C247" s="91">
        <v>8</v>
      </c>
      <c r="D247" s="92"/>
      <c r="E247" s="55" t="s">
        <v>150</v>
      </c>
      <c r="F247" s="91">
        <f>49.07*10.764</f>
        <v>528.18948</v>
      </c>
      <c r="G247" s="92"/>
      <c r="H247" s="55">
        <v>0</v>
      </c>
      <c r="I247" s="55">
        <f t="shared" si="17"/>
        <v>792.28422</v>
      </c>
    </row>
    <row r="248" spans="1:9" s="17" customFormat="1" ht="21" customHeight="1" x14ac:dyDescent="0.25">
      <c r="A248" s="102"/>
      <c r="B248" s="103"/>
      <c r="C248" s="91">
        <v>9</v>
      </c>
      <c r="D248" s="92"/>
      <c r="E248" s="55" t="s">
        <v>150</v>
      </c>
      <c r="F248" s="91">
        <f>49.07*10.764</f>
        <v>528.18948</v>
      </c>
      <c r="G248" s="92"/>
      <c r="H248" s="55">
        <v>0</v>
      </c>
      <c r="I248" s="55">
        <f t="shared" si="17"/>
        <v>792.28422</v>
      </c>
    </row>
    <row r="249" spans="1:9" s="17" customFormat="1" ht="21" customHeight="1" x14ac:dyDescent="0.25">
      <c r="A249" s="102"/>
      <c r="B249" s="103"/>
      <c r="C249" s="91">
        <v>10</v>
      </c>
      <c r="D249" s="92"/>
      <c r="E249" s="55" t="s">
        <v>170</v>
      </c>
      <c r="F249" s="91">
        <f>41.03*10.764</f>
        <v>441.64691999999997</v>
      </c>
      <c r="G249" s="92"/>
      <c r="H249" s="55">
        <v>0</v>
      </c>
      <c r="I249" s="55">
        <f t="shared" si="17"/>
        <v>662.47037999999998</v>
      </c>
    </row>
    <row r="250" spans="1:9" s="17" customFormat="1" ht="21" x14ac:dyDescent="0.25">
      <c r="A250" s="93" t="s">
        <v>185</v>
      </c>
      <c r="B250" s="93"/>
      <c r="C250" s="93"/>
      <c r="D250" s="93"/>
      <c r="E250" s="93"/>
      <c r="F250" s="93"/>
      <c r="G250" s="93"/>
      <c r="H250" s="93"/>
      <c r="I250" s="93"/>
    </row>
    <row r="251" spans="1:9" s="17" customFormat="1" ht="21" x14ac:dyDescent="0.25">
      <c r="A251" s="93" t="s">
        <v>186</v>
      </c>
      <c r="B251" s="93"/>
      <c r="C251" s="93"/>
      <c r="D251" s="93"/>
      <c r="E251" s="93"/>
      <c r="F251" s="93"/>
      <c r="G251" s="93"/>
      <c r="H251" s="93"/>
      <c r="I251" s="93"/>
    </row>
    <row r="252" spans="1:9" s="17" customFormat="1" ht="21" customHeight="1" x14ac:dyDescent="0.25">
      <c r="A252" s="100" t="str">
        <f>A251</f>
        <v>14th, 19th &amp; 24th Floor (Part Refuge Area)</v>
      </c>
      <c r="B252" s="101"/>
      <c r="C252" s="91">
        <v>1</v>
      </c>
      <c r="D252" s="92"/>
      <c r="E252" s="55" t="s">
        <v>170</v>
      </c>
      <c r="F252" s="91">
        <f>41.89*10.764</f>
        <v>450.90395999999998</v>
      </c>
      <c r="G252" s="92"/>
      <c r="H252" s="55">
        <v>0</v>
      </c>
      <c r="I252" s="55">
        <f t="shared" ref="I252:I255" si="18">F252*1.5+H252</f>
        <v>676.35593999999992</v>
      </c>
    </row>
    <row r="253" spans="1:9" s="17" customFormat="1" ht="21" x14ac:dyDescent="0.25">
      <c r="A253" s="102"/>
      <c r="B253" s="103"/>
      <c r="C253" s="91">
        <v>2</v>
      </c>
      <c r="D253" s="92"/>
      <c r="E253" s="55" t="s">
        <v>170</v>
      </c>
      <c r="F253" s="91">
        <f>30.98*10.764</f>
        <v>333.46871999999996</v>
      </c>
      <c r="G253" s="92"/>
      <c r="H253" s="55">
        <v>0</v>
      </c>
      <c r="I253" s="55">
        <f t="shared" si="18"/>
        <v>500.20307999999994</v>
      </c>
    </row>
    <row r="254" spans="1:9" s="17" customFormat="1" ht="21" customHeight="1" x14ac:dyDescent="0.25">
      <c r="A254" s="102"/>
      <c r="B254" s="103"/>
      <c r="C254" s="91">
        <v>3</v>
      </c>
      <c r="D254" s="92"/>
      <c r="E254" s="55" t="s">
        <v>170</v>
      </c>
      <c r="F254" s="91">
        <f>30.98*10.764</f>
        <v>333.46871999999996</v>
      </c>
      <c r="G254" s="92"/>
      <c r="H254" s="55">
        <v>0</v>
      </c>
      <c r="I254" s="55">
        <f t="shared" si="18"/>
        <v>500.20307999999994</v>
      </c>
    </row>
    <row r="255" spans="1:9" s="17" customFormat="1" ht="21" customHeight="1" x14ac:dyDescent="0.25">
      <c r="A255" s="102"/>
      <c r="B255" s="103"/>
      <c r="C255" s="91">
        <v>4</v>
      </c>
      <c r="D255" s="92"/>
      <c r="E255" s="55" t="s">
        <v>150</v>
      </c>
      <c r="F255" s="91">
        <f>44.89*10.764</f>
        <v>483.19595999999996</v>
      </c>
      <c r="G255" s="92"/>
      <c r="H255" s="55">
        <v>0</v>
      </c>
      <c r="I255" s="55">
        <f t="shared" si="18"/>
        <v>724.79393999999991</v>
      </c>
    </row>
    <row r="256" spans="1:9" s="17" customFormat="1" ht="21" x14ac:dyDescent="0.25">
      <c r="A256" s="102"/>
      <c r="B256" s="103"/>
      <c r="C256" s="91">
        <v>5</v>
      </c>
      <c r="D256" s="92"/>
      <c r="E256" s="91" t="s">
        <v>151</v>
      </c>
      <c r="F256" s="94"/>
      <c r="G256" s="94"/>
      <c r="H256" s="94"/>
      <c r="I256" s="92"/>
    </row>
    <row r="257" spans="1:9" s="17" customFormat="1" ht="21" customHeight="1" x14ac:dyDescent="0.25">
      <c r="A257" s="102"/>
      <c r="B257" s="103"/>
      <c r="C257" s="91">
        <v>6</v>
      </c>
      <c r="D257" s="92"/>
      <c r="E257" s="55" t="s">
        <v>170</v>
      </c>
      <c r="F257" s="91">
        <f>42.89*10.764</f>
        <v>461.66795999999999</v>
      </c>
      <c r="G257" s="92"/>
      <c r="H257" s="55">
        <v>0</v>
      </c>
      <c r="I257" s="55">
        <f t="shared" ref="I257:I261" si="19">F257*1.5+H257</f>
        <v>692.50193999999999</v>
      </c>
    </row>
    <row r="258" spans="1:9" s="17" customFormat="1" ht="21" x14ac:dyDescent="0.25">
      <c r="A258" s="102"/>
      <c r="B258" s="103"/>
      <c r="C258" s="91">
        <v>7</v>
      </c>
      <c r="D258" s="92"/>
      <c r="E258" s="55" t="s">
        <v>170</v>
      </c>
      <c r="F258" s="91">
        <f>42.89*10.764</f>
        <v>461.66795999999999</v>
      </c>
      <c r="G258" s="92"/>
      <c r="H258" s="55">
        <v>0</v>
      </c>
      <c r="I258" s="55">
        <f t="shared" si="19"/>
        <v>692.50193999999999</v>
      </c>
    </row>
    <row r="259" spans="1:9" s="17" customFormat="1" ht="21" customHeight="1" x14ac:dyDescent="0.25">
      <c r="A259" s="102"/>
      <c r="B259" s="103"/>
      <c r="C259" s="91">
        <v>8</v>
      </c>
      <c r="D259" s="92"/>
      <c r="E259" s="55" t="s">
        <v>150</v>
      </c>
      <c r="F259" s="91">
        <f>49.07*10.764</f>
        <v>528.18948</v>
      </c>
      <c r="G259" s="92"/>
      <c r="H259" s="55">
        <v>0</v>
      </c>
      <c r="I259" s="55">
        <f t="shared" si="19"/>
        <v>792.28422</v>
      </c>
    </row>
    <row r="260" spans="1:9" s="17" customFormat="1" ht="21" customHeight="1" x14ac:dyDescent="0.25">
      <c r="A260" s="102"/>
      <c r="B260" s="103"/>
      <c r="C260" s="91">
        <v>9</v>
      </c>
      <c r="D260" s="92"/>
      <c r="E260" s="55" t="s">
        <v>150</v>
      </c>
      <c r="F260" s="91">
        <f>49.07*10.764</f>
        <v>528.18948</v>
      </c>
      <c r="G260" s="92"/>
      <c r="H260" s="55">
        <v>0</v>
      </c>
      <c r="I260" s="55">
        <f t="shared" si="19"/>
        <v>792.28422</v>
      </c>
    </row>
    <row r="261" spans="1:9" s="17" customFormat="1" ht="21" customHeight="1" x14ac:dyDescent="0.25">
      <c r="A261" s="102"/>
      <c r="B261" s="103"/>
      <c r="C261" s="91">
        <v>10</v>
      </c>
      <c r="D261" s="92"/>
      <c r="E261" s="55" t="s">
        <v>170</v>
      </c>
      <c r="F261" s="91">
        <f>41.03*10.764</f>
        <v>441.64691999999997</v>
      </c>
      <c r="G261" s="92"/>
      <c r="H261" s="55">
        <v>0</v>
      </c>
      <c r="I261" s="55">
        <f t="shared" si="19"/>
        <v>662.47037999999998</v>
      </c>
    </row>
    <row r="262" spans="1:9" s="17" customFormat="1" ht="21" x14ac:dyDescent="0.25">
      <c r="A262" s="93" t="s">
        <v>187</v>
      </c>
      <c r="B262" s="93"/>
      <c r="C262" s="93"/>
      <c r="D262" s="93"/>
      <c r="E262" s="93"/>
      <c r="F262" s="93"/>
      <c r="G262" s="93"/>
      <c r="H262" s="93"/>
      <c r="I262" s="93"/>
    </row>
    <row r="263" spans="1:9" s="17" customFormat="1" ht="21" customHeight="1" x14ac:dyDescent="0.25">
      <c r="A263" s="100" t="str">
        <f>A262</f>
        <v>29th Floor (Part Refuge Area)</v>
      </c>
      <c r="B263" s="101"/>
      <c r="C263" s="91">
        <v>1</v>
      </c>
      <c r="D263" s="92"/>
      <c r="E263" s="55" t="s">
        <v>170</v>
      </c>
      <c r="F263" s="91">
        <f>41.89*10.764</f>
        <v>450.90395999999998</v>
      </c>
      <c r="G263" s="92"/>
      <c r="H263" s="55">
        <v>0</v>
      </c>
      <c r="I263" s="55">
        <f t="shared" ref="I263:I266" si="20">F263*1.5+H263</f>
        <v>676.35593999999992</v>
      </c>
    </row>
    <row r="264" spans="1:9" s="17" customFormat="1" ht="21" x14ac:dyDescent="0.25">
      <c r="A264" s="102"/>
      <c r="B264" s="103"/>
      <c r="C264" s="91">
        <v>2</v>
      </c>
      <c r="D264" s="92"/>
      <c r="E264" s="55" t="s">
        <v>170</v>
      </c>
      <c r="F264" s="91">
        <f>30.98*10.764</f>
        <v>333.46871999999996</v>
      </c>
      <c r="G264" s="92"/>
      <c r="H264" s="55">
        <v>0</v>
      </c>
      <c r="I264" s="55">
        <f t="shared" si="20"/>
        <v>500.20307999999994</v>
      </c>
    </row>
    <row r="265" spans="1:9" s="17" customFormat="1" ht="21" customHeight="1" x14ac:dyDescent="0.25">
      <c r="A265" s="102"/>
      <c r="B265" s="103"/>
      <c r="C265" s="91">
        <v>3</v>
      </c>
      <c r="D265" s="92"/>
      <c r="E265" s="55" t="s">
        <v>170</v>
      </c>
      <c r="F265" s="91">
        <f>30.98*10.764</f>
        <v>333.46871999999996</v>
      </c>
      <c r="G265" s="92"/>
      <c r="H265" s="55">
        <v>0</v>
      </c>
      <c r="I265" s="55">
        <f t="shared" si="20"/>
        <v>500.20307999999994</v>
      </c>
    </row>
    <row r="266" spans="1:9" s="17" customFormat="1" ht="21" customHeight="1" x14ac:dyDescent="0.25">
      <c r="A266" s="102"/>
      <c r="B266" s="103"/>
      <c r="C266" s="91">
        <v>4</v>
      </c>
      <c r="D266" s="92"/>
      <c r="E266" s="55" t="s">
        <v>150</v>
      </c>
      <c r="F266" s="91">
        <f>44.89*10.764</f>
        <v>483.19595999999996</v>
      </c>
      <c r="G266" s="92"/>
      <c r="H266" s="55">
        <v>0</v>
      </c>
      <c r="I266" s="55">
        <f t="shared" si="20"/>
        <v>724.79393999999991</v>
      </c>
    </row>
    <row r="267" spans="1:9" s="17" customFormat="1" ht="21" x14ac:dyDescent="0.25">
      <c r="A267" s="102"/>
      <c r="B267" s="103"/>
      <c r="C267" s="91">
        <v>5</v>
      </c>
      <c r="D267" s="92"/>
      <c r="E267" s="91" t="s">
        <v>151</v>
      </c>
      <c r="F267" s="94"/>
      <c r="G267" s="94"/>
      <c r="H267" s="94"/>
      <c r="I267" s="92"/>
    </row>
    <row r="268" spans="1:9" s="17" customFormat="1" ht="21" customHeight="1" x14ac:dyDescent="0.25">
      <c r="A268" s="102"/>
      <c r="B268" s="103"/>
      <c r="C268" s="91">
        <v>6</v>
      </c>
      <c r="D268" s="92"/>
      <c r="E268" s="55" t="s">
        <v>170</v>
      </c>
      <c r="F268" s="91">
        <f>42.89*10.764</f>
        <v>461.66795999999999</v>
      </c>
      <c r="G268" s="92"/>
      <c r="H268" s="55">
        <v>0</v>
      </c>
      <c r="I268" s="55">
        <f t="shared" ref="I268:I272" si="21">F268*1.5+H268</f>
        <v>692.50193999999999</v>
      </c>
    </row>
    <row r="269" spans="1:9" s="17" customFormat="1" ht="21" x14ac:dyDescent="0.25">
      <c r="A269" s="102"/>
      <c r="B269" s="103"/>
      <c r="C269" s="91">
        <v>7</v>
      </c>
      <c r="D269" s="92"/>
      <c r="E269" s="55" t="s">
        <v>170</v>
      </c>
      <c r="F269" s="91">
        <f>42.89*10.764</f>
        <v>461.66795999999999</v>
      </c>
      <c r="G269" s="92"/>
      <c r="H269" s="55">
        <v>0</v>
      </c>
      <c r="I269" s="55">
        <f t="shared" si="21"/>
        <v>692.50193999999999</v>
      </c>
    </row>
    <row r="270" spans="1:9" s="17" customFormat="1" ht="21" customHeight="1" x14ac:dyDescent="0.25">
      <c r="A270" s="102"/>
      <c r="B270" s="103"/>
      <c r="C270" s="91">
        <v>8</v>
      </c>
      <c r="D270" s="92"/>
      <c r="E270" s="55" t="s">
        <v>150</v>
      </c>
      <c r="F270" s="91">
        <f>49.07*10.764</f>
        <v>528.18948</v>
      </c>
      <c r="G270" s="92"/>
      <c r="H270" s="55">
        <v>0</v>
      </c>
      <c r="I270" s="55">
        <f t="shared" si="21"/>
        <v>792.28422</v>
      </c>
    </row>
    <row r="271" spans="1:9" s="17" customFormat="1" ht="21" customHeight="1" x14ac:dyDescent="0.25">
      <c r="A271" s="102"/>
      <c r="B271" s="103"/>
      <c r="C271" s="91">
        <v>9</v>
      </c>
      <c r="D271" s="92"/>
      <c r="E271" s="55" t="s">
        <v>150</v>
      </c>
      <c r="F271" s="91">
        <f>49.07*10.764</f>
        <v>528.18948</v>
      </c>
      <c r="G271" s="92"/>
      <c r="H271" s="55">
        <v>0</v>
      </c>
      <c r="I271" s="55">
        <f t="shared" si="21"/>
        <v>792.28422</v>
      </c>
    </row>
    <row r="272" spans="1:9" s="17" customFormat="1" ht="21" customHeight="1" x14ac:dyDescent="0.25">
      <c r="A272" s="102"/>
      <c r="B272" s="103"/>
      <c r="C272" s="91">
        <v>10</v>
      </c>
      <c r="D272" s="92"/>
      <c r="E272" s="55" t="s">
        <v>170</v>
      </c>
      <c r="F272" s="91">
        <f>41.03*10.764</f>
        <v>441.64691999999997</v>
      </c>
      <c r="G272" s="92"/>
      <c r="H272" s="55">
        <v>0</v>
      </c>
      <c r="I272" s="55">
        <f t="shared" si="21"/>
        <v>662.47037999999998</v>
      </c>
    </row>
    <row r="273" spans="1:9" s="17" customFormat="1" ht="20.25" customHeight="1" x14ac:dyDescent="0.25">
      <c r="A273" s="119" t="s">
        <v>189</v>
      </c>
      <c r="B273" s="93"/>
      <c r="C273" s="93"/>
      <c r="D273" s="93"/>
      <c r="E273" s="93"/>
      <c r="F273" s="93"/>
      <c r="G273" s="93"/>
      <c r="H273" s="93"/>
      <c r="I273" s="93"/>
    </row>
    <row r="274" spans="1:9" s="17" customFormat="1" ht="21" x14ac:dyDescent="0.25">
      <c r="A274" s="119" t="s">
        <v>180</v>
      </c>
      <c r="B274" s="93"/>
      <c r="C274" s="93"/>
      <c r="D274" s="93"/>
      <c r="E274" s="93"/>
      <c r="F274" s="93"/>
      <c r="G274" s="93"/>
      <c r="H274" s="93"/>
      <c r="I274" s="93"/>
    </row>
    <row r="275" spans="1:9" s="17" customFormat="1" ht="21" x14ac:dyDescent="0.25">
      <c r="A275" s="93" t="s">
        <v>137</v>
      </c>
      <c r="B275" s="93"/>
      <c r="C275" s="93"/>
      <c r="D275" s="93"/>
      <c r="E275" s="93"/>
      <c r="F275" s="93"/>
      <c r="G275" s="93"/>
      <c r="H275" s="93"/>
      <c r="I275" s="93"/>
    </row>
    <row r="276" spans="1:9" s="17" customFormat="1" ht="21" customHeight="1" x14ac:dyDescent="0.25">
      <c r="A276" s="100" t="str">
        <f>A275</f>
        <v>1st Floor</v>
      </c>
      <c r="B276" s="101"/>
      <c r="C276" s="91">
        <v>1</v>
      </c>
      <c r="D276" s="92"/>
      <c r="E276" s="55" t="s">
        <v>170</v>
      </c>
      <c r="F276" s="91">
        <f>41.89*10.764</f>
        <v>450.90395999999998</v>
      </c>
      <c r="G276" s="92"/>
      <c r="H276" s="55">
        <v>0</v>
      </c>
      <c r="I276" s="55">
        <f t="shared" ref="I276:I285" si="22">F276*1.5+H276</f>
        <v>676.35593999999992</v>
      </c>
    </row>
    <row r="277" spans="1:9" s="17" customFormat="1" ht="21" x14ac:dyDescent="0.25">
      <c r="A277" s="102"/>
      <c r="B277" s="103"/>
      <c r="C277" s="91">
        <v>2</v>
      </c>
      <c r="D277" s="92"/>
      <c r="E277" s="100" t="s">
        <v>179</v>
      </c>
      <c r="F277" s="120"/>
      <c r="G277" s="120"/>
      <c r="H277" s="120"/>
      <c r="I277" s="101"/>
    </row>
    <row r="278" spans="1:9" s="17" customFormat="1" ht="21" customHeight="1" x14ac:dyDescent="0.25">
      <c r="A278" s="102"/>
      <c r="B278" s="103"/>
      <c r="C278" s="91">
        <v>3</v>
      </c>
      <c r="D278" s="92"/>
      <c r="E278" s="117"/>
      <c r="F278" s="121"/>
      <c r="G278" s="121"/>
      <c r="H278" s="121"/>
      <c r="I278" s="118"/>
    </row>
    <row r="279" spans="1:9" s="17" customFormat="1" ht="21" customHeight="1" x14ac:dyDescent="0.25">
      <c r="A279" s="102"/>
      <c r="B279" s="103"/>
      <c r="C279" s="91">
        <v>4</v>
      </c>
      <c r="D279" s="92"/>
      <c r="E279" s="55" t="s">
        <v>150</v>
      </c>
      <c r="F279" s="91">
        <f>44.89*10.764</f>
        <v>483.19595999999996</v>
      </c>
      <c r="G279" s="92"/>
      <c r="H279" s="55">
        <v>0</v>
      </c>
      <c r="I279" s="55">
        <f t="shared" si="22"/>
        <v>724.79393999999991</v>
      </c>
    </row>
    <row r="280" spans="1:9" s="17" customFormat="1" ht="21" x14ac:dyDescent="0.25">
      <c r="A280" s="102"/>
      <c r="B280" s="103"/>
      <c r="C280" s="91">
        <v>5</v>
      </c>
      <c r="D280" s="92"/>
      <c r="E280" s="55" t="s">
        <v>150</v>
      </c>
      <c r="F280" s="91">
        <f>51.86*10.764</f>
        <v>558.22104000000002</v>
      </c>
      <c r="G280" s="92"/>
      <c r="H280" s="55">
        <v>0</v>
      </c>
      <c r="I280" s="55">
        <f t="shared" si="22"/>
        <v>837.33156000000008</v>
      </c>
    </row>
    <row r="281" spans="1:9" s="17" customFormat="1" ht="21" customHeight="1" x14ac:dyDescent="0.25">
      <c r="A281" s="102"/>
      <c r="B281" s="103"/>
      <c r="C281" s="91">
        <v>6</v>
      </c>
      <c r="D281" s="92"/>
      <c r="E281" s="100" t="s">
        <v>179</v>
      </c>
      <c r="F281" s="120"/>
      <c r="G281" s="120"/>
      <c r="H281" s="120"/>
      <c r="I281" s="101"/>
    </row>
    <row r="282" spans="1:9" s="17" customFormat="1" ht="21" x14ac:dyDescent="0.25">
      <c r="A282" s="102"/>
      <c r="B282" s="103"/>
      <c r="C282" s="91">
        <v>7</v>
      </c>
      <c r="D282" s="92"/>
      <c r="E282" s="117"/>
      <c r="F282" s="121"/>
      <c r="G282" s="121"/>
      <c r="H282" s="121"/>
      <c r="I282" s="118"/>
    </row>
    <row r="283" spans="1:9" s="17" customFormat="1" ht="21" customHeight="1" x14ac:dyDescent="0.25">
      <c r="A283" s="102"/>
      <c r="B283" s="103"/>
      <c r="C283" s="91">
        <v>8</v>
      </c>
      <c r="D283" s="92"/>
      <c r="E283" s="55" t="s">
        <v>150</v>
      </c>
      <c r="F283" s="91">
        <f>49.07*10.764</f>
        <v>528.18948</v>
      </c>
      <c r="G283" s="92"/>
      <c r="H283" s="55">
        <v>0</v>
      </c>
      <c r="I283" s="55">
        <f t="shared" si="22"/>
        <v>792.28422</v>
      </c>
    </row>
    <row r="284" spans="1:9" s="17" customFormat="1" ht="21" customHeight="1" x14ac:dyDescent="0.25">
      <c r="A284" s="102"/>
      <c r="B284" s="103"/>
      <c r="C284" s="91">
        <v>9</v>
      </c>
      <c r="D284" s="92"/>
      <c r="E284" s="55" t="s">
        <v>150</v>
      </c>
      <c r="F284" s="91">
        <f>49.07*10.764</f>
        <v>528.18948</v>
      </c>
      <c r="G284" s="92"/>
      <c r="H284" s="55">
        <v>0</v>
      </c>
      <c r="I284" s="55">
        <f t="shared" si="22"/>
        <v>792.28422</v>
      </c>
    </row>
    <row r="285" spans="1:9" s="17" customFormat="1" ht="21" customHeight="1" x14ac:dyDescent="0.25">
      <c r="A285" s="102"/>
      <c r="B285" s="103"/>
      <c r="C285" s="91">
        <v>10</v>
      </c>
      <c r="D285" s="92"/>
      <c r="E285" s="55" t="s">
        <v>170</v>
      </c>
      <c r="F285" s="91">
        <f>41.03*10.764</f>
        <v>441.64691999999997</v>
      </c>
      <c r="G285" s="92"/>
      <c r="H285" s="55">
        <v>0</v>
      </c>
      <c r="I285" s="55">
        <f t="shared" si="22"/>
        <v>662.47037999999998</v>
      </c>
    </row>
    <row r="286" spans="1:9" s="17" customFormat="1" ht="21" customHeight="1" x14ac:dyDescent="0.25">
      <c r="A286" s="114" t="s">
        <v>184</v>
      </c>
      <c r="B286" s="115"/>
      <c r="C286" s="115"/>
      <c r="D286" s="115"/>
      <c r="E286" s="115"/>
      <c r="F286" s="115"/>
      <c r="G286" s="115"/>
      <c r="H286" s="115"/>
      <c r="I286" s="116"/>
    </row>
    <row r="287" spans="1:9" s="17" customFormat="1" ht="21" customHeight="1" x14ac:dyDescent="0.25">
      <c r="A287" s="100" t="str">
        <f>A286</f>
        <v>2nd to 7th, 9th to 13th, 15th to 18th, 20th to 23rd, 25th to 28th, 30th to 32nd Floor</v>
      </c>
      <c r="B287" s="101"/>
      <c r="C287" s="91">
        <v>1</v>
      </c>
      <c r="D287" s="92"/>
      <c r="E287" s="55" t="s">
        <v>170</v>
      </c>
      <c r="F287" s="91">
        <f>41.89*10.764</f>
        <v>450.90395999999998</v>
      </c>
      <c r="G287" s="92"/>
      <c r="H287" s="55">
        <v>0</v>
      </c>
      <c r="I287" s="55">
        <f t="shared" ref="I287" si="23">F287*1.5+H287</f>
        <v>676.35593999999992</v>
      </c>
    </row>
    <row r="288" spans="1:9" s="17" customFormat="1" ht="21" customHeight="1" x14ac:dyDescent="0.25">
      <c r="A288" s="102"/>
      <c r="B288" s="103"/>
      <c r="C288" s="91">
        <v>2</v>
      </c>
      <c r="D288" s="92"/>
      <c r="E288" s="55" t="s">
        <v>170</v>
      </c>
      <c r="F288" s="91">
        <f>30.98*10.764</f>
        <v>333.46871999999996</v>
      </c>
      <c r="G288" s="92"/>
      <c r="H288" s="55">
        <v>0</v>
      </c>
      <c r="I288" s="55">
        <f t="shared" ref="I288:I296" si="24">F288*1.5+H288</f>
        <v>500.20307999999994</v>
      </c>
    </row>
    <row r="289" spans="1:9" s="17" customFormat="1" ht="21" customHeight="1" x14ac:dyDescent="0.25">
      <c r="A289" s="102"/>
      <c r="B289" s="103"/>
      <c r="C289" s="91">
        <v>3</v>
      </c>
      <c r="D289" s="92"/>
      <c r="E289" s="55" t="s">
        <v>170</v>
      </c>
      <c r="F289" s="91">
        <f>30.98*10.764</f>
        <v>333.46871999999996</v>
      </c>
      <c r="G289" s="92"/>
      <c r="H289" s="55">
        <v>0</v>
      </c>
      <c r="I289" s="55">
        <f t="shared" si="24"/>
        <v>500.20307999999994</v>
      </c>
    </row>
    <row r="290" spans="1:9" s="17" customFormat="1" ht="21" customHeight="1" x14ac:dyDescent="0.25">
      <c r="A290" s="102"/>
      <c r="B290" s="103"/>
      <c r="C290" s="91">
        <v>4</v>
      </c>
      <c r="D290" s="92"/>
      <c r="E290" s="55" t="s">
        <v>150</v>
      </c>
      <c r="F290" s="91">
        <f>44.89*10.764</f>
        <v>483.19595999999996</v>
      </c>
      <c r="G290" s="92"/>
      <c r="H290" s="55">
        <v>0</v>
      </c>
      <c r="I290" s="55">
        <f t="shared" si="24"/>
        <v>724.79393999999991</v>
      </c>
    </row>
    <row r="291" spans="1:9" s="17" customFormat="1" ht="21" x14ac:dyDescent="0.25">
      <c r="A291" s="102"/>
      <c r="B291" s="103"/>
      <c r="C291" s="91">
        <v>5</v>
      </c>
      <c r="D291" s="92"/>
      <c r="E291" s="55" t="s">
        <v>150</v>
      </c>
      <c r="F291" s="91">
        <f>51.86*10.764</f>
        <v>558.22104000000002</v>
      </c>
      <c r="G291" s="92"/>
      <c r="H291" s="55">
        <v>0</v>
      </c>
      <c r="I291" s="55">
        <f t="shared" si="24"/>
        <v>837.33156000000008</v>
      </c>
    </row>
    <row r="292" spans="1:9" s="17" customFormat="1" ht="21" customHeight="1" x14ac:dyDescent="0.25">
      <c r="A292" s="102"/>
      <c r="B292" s="103"/>
      <c r="C292" s="91">
        <v>6</v>
      </c>
      <c r="D292" s="92"/>
      <c r="E292" s="55" t="s">
        <v>170</v>
      </c>
      <c r="F292" s="91">
        <f>42.89*10.764</f>
        <v>461.66795999999999</v>
      </c>
      <c r="G292" s="92"/>
      <c r="H292" s="55">
        <v>0</v>
      </c>
      <c r="I292" s="55">
        <f t="shared" si="24"/>
        <v>692.50193999999999</v>
      </c>
    </row>
    <row r="293" spans="1:9" s="17" customFormat="1" ht="21" x14ac:dyDescent="0.25">
      <c r="A293" s="102"/>
      <c r="B293" s="103"/>
      <c r="C293" s="91">
        <v>7</v>
      </c>
      <c r="D293" s="92"/>
      <c r="E293" s="55" t="s">
        <v>170</v>
      </c>
      <c r="F293" s="91">
        <f>42.89*10.764</f>
        <v>461.66795999999999</v>
      </c>
      <c r="G293" s="92"/>
      <c r="H293" s="55">
        <v>0</v>
      </c>
      <c r="I293" s="55">
        <f t="shared" si="24"/>
        <v>692.50193999999999</v>
      </c>
    </row>
    <row r="294" spans="1:9" s="17" customFormat="1" ht="21" customHeight="1" x14ac:dyDescent="0.25">
      <c r="A294" s="102"/>
      <c r="B294" s="103"/>
      <c r="C294" s="91">
        <v>8</v>
      </c>
      <c r="D294" s="92"/>
      <c r="E294" s="55" t="s">
        <v>150</v>
      </c>
      <c r="F294" s="91">
        <f>49.07*10.764</f>
        <v>528.18948</v>
      </c>
      <c r="G294" s="92"/>
      <c r="H294" s="55">
        <v>0</v>
      </c>
      <c r="I294" s="55">
        <f t="shared" si="24"/>
        <v>792.28422</v>
      </c>
    </row>
    <row r="295" spans="1:9" s="17" customFormat="1" ht="21" customHeight="1" x14ac:dyDescent="0.25">
      <c r="A295" s="102"/>
      <c r="B295" s="103"/>
      <c r="C295" s="91">
        <v>9</v>
      </c>
      <c r="D295" s="92"/>
      <c r="E295" s="55" t="s">
        <v>150</v>
      </c>
      <c r="F295" s="91">
        <f>49.07*10.764</f>
        <v>528.18948</v>
      </c>
      <c r="G295" s="92"/>
      <c r="H295" s="55">
        <v>0</v>
      </c>
      <c r="I295" s="55">
        <f t="shared" si="24"/>
        <v>792.28422</v>
      </c>
    </row>
    <row r="296" spans="1:9" s="17" customFormat="1" ht="21" customHeight="1" x14ac:dyDescent="0.25">
      <c r="A296" s="117"/>
      <c r="B296" s="118"/>
      <c r="C296" s="91">
        <v>10</v>
      </c>
      <c r="D296" s="92"/>
      <c r="E296" s="55" t="s">
        <v>170</v>
      </c>
      <c r="F296" s="91">
        <f>41.03*10.764</f>
        <v>441.64691999999997</v>
      </c>
      <c r="G296" s="92"/>
      <c r="H296" s="55">
        <v>0</v>
      </c>
      <c r="I296" s="55">
        <f t="shared" si="24"/>
        <v>662.47037999999998</v>
      </c>
    </row>
    <row r="297" spans="1:9" s="17" customFormat="1" ht="21" x14ac:dyDescent="0.25">
      <c r="A297" s="93" t="s">
        <v>178</v>
      </c>
      <c r="B297" s="93"/>
      <c r="C297" s="93"/>
      <c r="D297" s="93"/>
      <c r="E297" s="93"/>
      <c r="F297" s="93"/>
      <c r="G297" s="93"/>
      <c r="H297" s="93"/>
      <c r="I297" s="93"/>
    </row>
    <row r="298" spans="1:9" s="17" customFormat="1" ht="21" customHeight="1" x14ac:dyDescent="0.25">
      <c r="A298" s="100" t="str">
        <f>A297</f>
        <v>8th Floor (Part Refuge Area)</v>
      </c>
      <c r="B298" s="101"/>
      <c r="C298" s="91">
        <v>1</v>
      </c>
      <c r="D298" s="92"/>
      <c r="E298" s="55" t="s">
        <v>170</v>
      </c>
      <c r="F298" s="91">
        <f>41.89*10.764</f>
        <v>450.90395999999998</v>
      </c>
      <c r="G298" s="92"/>
      <c r="H298" s="55">
        <v>0</v>
      </c>
      <c r="I298" s="55">
        <f t="shared" ref="I298:I307" si="25">F298*1.5+H298</f>
        <v>676.35593999999992</v>
      </c>
    </row>
    <row r="299" spans="1:9" s="17" customFormat="1" ht="21" customHeight="1" x14ac:dyDescent="0.25">
      <c r="A299" s="102"/>
      <c r="B299" s="103"/>
      <c r="C299" s="91">
        <v>2</v>
      </c>
      <c r="D299" s="92"/>
      <c r="E299" s="55" t="s">
        <v>170</v>
      </c>
      <c r="F299" s="91">
        <f>30.98*10.764</f>
        <v>333.46871999999996</v>
      </c>
      <c r="G299" s="92"/>
      <c r="H299" s="55">
        <v>0</v>
      </c>
      <c r="I299" s="55">
        <f t="shared" si="25"/>
        <v>500.20307999999994</v>
      </c>
    </row>
    <row r="300" spans="1:9" s="17" customFormat="1" ht="21" customHeight="1" x14ac:dyDescent="0.25">
      <c r="A300" s="102"/>
      <c r="B300" s="103"/>
      <c r="C300" s="91">
        <v>3</v>
      </c>
      <c r="D300" s="92"/>
      <c r="E300" s="55" t="s">
        <v>170</v>
      </c>
      <c r="F300" s="91">
        <f>30.98*10.764</f>
        <v>333.46871999999996</v>
      </c>
      <c r="G300" s="92"/>
      <c r="H300" s="55">
        <v>0</v>
      </c>
      <c r="I300" s="55">
        <f t="shared" si="25"/>
        <v>500.20307999999994</v>
      </c>
    </row>
    <row r="301" spans="1:9" s="17" customFormat="1" ht="21" customHeight="1" x14ac:dyDescent="0.25">
      <c r="A301" s="102"/>
      <c r="B301" s="103"/>
      <c r="C301" s="91">
        <v>4</v>
      </c>
      <c r="D301" s="92"/>
      <c r="E301" s="55" t="s">
        <v>150</v>
      </c>
      <c r="F301" s="91">
        <f>44.89*10.764</f>
        <v>483.19595999999996</v>
      </c>
      <c r="G301" s="92"/>
      <c r="H301" s="55">
        <v>0</v>
      </c>
      <c r="I301" s="55">
        <f t="shared" si="25"/>
        <v>724.79393999999991</v>
      </c>
    </row>
    <row r="302" spans="1:9" s="17" customFormat="1" ht="21" x14ac:dyDescent="0.25">
      <c r="A302" s="102"/>
      <c r="B302" s="103"/>
      <c r="C302" s="91">
        <v>5</v>
      </c>
      <c r="D302" s="92"/>
      <c r="E302" s="91" t="s">
        <v>151</v>
      </c>
      <c r="F302" s="94"/>
      <c r="G302" s="94"/>
      <c r="H302" s="94"/>
      <c r="I302" s="92"/>
    </row>
    <row r="303" spans="1:9" s="17" customFormat="1" ht="21" customHeight="1" x14ac:dyDescent="0.25">
      <c r="A303" s="102"/>
      <c r="B303" s="103"/>
      <c r="C303" s="91">
        <v>6</v>
      </c>
      <c r="D303" s="92"/>
      <c r="E303" s="55" t="s">
        <v>170</v>
      </c>
      <c r="F303" s="91">
        <f>42.89*10.764</f>
        <v>461.66795999999999</v>
      </c>
      <c r="G303" s="92"/>
      <c r="H303" s="55">
        <v>0</v>
      </c>
      <c r="I303" s="55">
        <f t="shared" si="25"/>
        <v>692.50193999999999</v>
      </c>
    </row>
    <row r="304" spans="1:9" s="17" customFormat="1" ht="21" x14ac:dyDescent="0.25">
      <c r="A304" s="102"/>
      <c r="B304" s="103"/>
      <c r="C304" s="91">
        <v>7</v>
      </c>
      <c r="D304" s="92"/>
      <c r="E304" s="55" t="s">
        <v>170</v>
      </c>
      <c r="F304" s="91">
        <f>42.89*10.764</f>
        <v>461.66795999999999</v>
      </c>
      <c r="G304" s="92"/>
      <c r="H304" s="55">
        <v>0</v>
      </c>
      <c r="I304" s="55">
        <f t="shared" si="25"/>
        <v>692.50193999999999</v>
      </c>
    </row>
    <row r="305" spans="1:9" s="17" customFormat="1" ht="21" customHeight="1" x14ac:dyDescent="0.25">
      <c r="A305" s="102"/>
      <c r="B305" s="103"/>
      <c r="C305" s="91">
        <v>8</v>
      </c>
      <c r="D305" s="92"/>
      <c r="E305" s="55" t="s">
        <v>150</v>
      </c>
      <c r="F305" s="91">
        <f>49.07*10.764</f>
        <v>528.18948</v>
      </c>
      <c r="G305" s="92"/>
      <c r="H305" s="55">
        <v>0</v>
      </c>
      <c r="I305" s="55">
        <f t="shared" si="25"/>
        <v>792.28422</v>
      </c>
    </row>
    <row r="306" spans="1:9" s="17" customFormat="1" ht="21" customHeight="1" x14ac:dyDescent="0.25">
      <c r="A306" s="102"/>
      <c r="B306" s="103"/>
      <c r="C306" s="91">
        <v>9</v>
      </c>
      <c r="D306" s="92"/>
      <c r="E306" s="55" t="s">
        <v>150</v>
      </c>
      <c r="F306" s="91">
        <f>49.07*10.764</f>
        <v>528.18948</v>
      </c>
      <c r="G306" s="92"/>
      <c r="H306" s="55">
        <v>0</v>
      </c>
      <c r="I306" s="55">
        <f t="shared" si="25"/>
        <v>792.28422</v>
      </c>
    </row>
    <row r="307" spans="1:9" s="17" customFormat="1" ht="21" customHeight="1" x14ac:dyDescent="0.25">
      <c r="A307" s="102"/>
      <c r="B307" s="103"/>
      <c r="C307" s="91">
        <v>10</v>
      </c>
      <c r="D307" s="92"/>
      <c r="E307" s="55" t="s">
        <v>170</v>
      </c>
      <c r="F307" s="91">
        <f>41.03*10.764</f>
        <v>441.64691999999997</v>
      </c>
      <c r="G307" s="92"/>
      <c r="H307" s="55">
        <v>0</v>
      </c>
      <c r="I307" s="55">
        <f t="shared" si="25"/>
        <v>662.47037999999998</v>
      </c>
    </row>
    <row r="308" spans="1:9" s="17" customFormat="1" ht="21" x14ac:dyDescent="0.25">
      <c r="A308" s="93" t="s">
        <v>185</v>
      </c>
      <c r="B308" s="93"/>
      <c r="C308" s="93"/>
      <c r="D308" s="93"/>
      <c r="E308" s="93"/>
      <c r="F308" s="93"/>
      <c r="G308" s="93"/>
      <c r="H308" s="93"/>
      <c r="I308" s="93"/>
    </row>
    <row r="309" spans="1:9" s="17" customFormat="1" ht="21" x14ac:dyDescent="0.25">
      <c r="A309" s="93" t="s">
        <v>186</v>
      </c>
      <c r="B309" s="93"/>
      <c r="C309" s="93"/>
      <c r="D309" s="93"/>
      <c r="E309" s="93"/>
      <c r="F309" s="93"/>
      <c r="G309" s="93"/>
      <c r="H309" s="93"/>
      <c r="I309" s="93"/>
    </row>
    <row r="310" spans="1:9" s="17" customFormat="1" ht="21" customHeight="1" x14ac:dyDescent="0.25">
      <c r="A310" s="100" t="str">
        <f>A309</f>
        <v>14th, 19th &amp; 24th Floor (Part Refuge Area)</v>
      </c>
      <c r="B310" s="101"/>
      <c r="C310" s="91">
        <v>1</v>
      </c>
      <c r="D310" s="92"/>
      <c r="E310" s="55" t="s">
        <v>170</v>
      </c>
      <c r="F310" s="91">
        <f>41.89*10.764</f>
        <v>450.90395999999998</v>
      </c>
      <c r="G310" s="92"/>
      <c r="H310" s="55">
        <v>0</v>
      </c>
      <c r="I310" s="55">
        <f t="shared" ref="I310:I313" si="26">F310*1.5+H310</f>
        <v>676.35593999999992</v>
      </c>
    </row>
    <row r="311" spans="1:9" s="17" customFormat="1" ht="21" customHeight="1" x14ac:dyDescent="0.25">
      <c r="A311" s="102"/>
      <c r="B311" s="103"/>
      <c r="C311" s="91">
        <v>2</v>
      </c>
      <c r="D311" s="92"/>
      <c r="E311" s="55" t="s">
        <v>170</v>
      </c>
      <c r="F311" s="91">
        <f>30.98*10.764</f>
        <v>333.46871999999996</v>
      </c>
      <c r="G311" s="92"/>
      <c r="H311" s="55">
        <v>0</v>
      </c>
      <c r="I311" s="55">
        <f t="shared" si="26"/>
        <v>500.20307999999994</v>
      </c>
    </row>
    <row r="312" spans="1:9" s="17" customFormat="1" ht="21" customHeight="1" x14ac:dyDescent="0.25">
      <c r="A312" s="102"/>
      <c r="B312" s="103"/>
      <c r="C312" s="91">
        <v>3</v>
      </c>
      <c r="D312" s="92"/>
      <c r="E312" s="55" t="s">
        <v>170</v>
      </c>
      <c r="F312" s="91">
        <f>30.98*10.764</f>
        <v>333.46871999999996</v>
      </c>
      <c r="G312" s="92"/>
      <c r="H312" s="55">
        <v>0</v>
      </c>
      <c r="I312" s="55">
        <f t="shared" si="26"/>
        <v>500.20307999999994</v>
      </c>
    </row>
    <row r="313" spans="1:9" s="17" customFormat="1" ht="21" customHeight="1" x14ac:dyDescent="0.25">
      <c r="A313" s="102"/>
      <c r="B313" s="103"/>
      <c r="C313" s="91">
        <v>4</v>
      </c>
      <c r="D313" s="92"/>
      <c r="E313" s="55" t="s">
        <v>150</v>
      </c>
      <c r="F313" s="91">
        <f>44.89*10.764</f>
        <v>483.19595999999996</v>
      </c>
      <c r="G313" s="92"/>
      <c r="H313" s="55">
        <v>0</v>
      </c>
      <c r="I313" s="55">
        <f t="shared" si="26"/>
        <v>724.79393999999991</v>
      </c>
    </row>
    <row r="314" spans="1:9" s="17" customFormat="1" ht="21" x14ac:dyDescent="0.25">
      <c r="A314" s="102"/>
      <c r="B314" s="103"/>
      <c r="C314" s="91">
        <v>5</v>
      </c>
      <c r="D314" s="92"/>
      <c r="E314" s="91" t="s">
        <v>151</v>
      </c>
      <c r="F314" s="94"/>
      <c r="G314" s="94"/>
      <c r="H314" s="94"/>
      <c r="I314" s="92"/>
    </row>
    <row r="315" spans="1:9" s="17" customFormat="1" ht="21" customHeight="1" x14ac:dyDescent="0.25">
      <c r="A315" s="102"/>
      <c r="B315" s="103"/>
      <c r="C315" s="91">
        <v>6</v>
      </c>
      <c r="D315" s="92"/>
      <c r="E315" s="55" t="s">
        <v>170</v>
      </c>
      <c r="F315" s="91">
        <f>42.89*10.764</f>
        <v>461.66795999999999</v>
      </c>
      <c r="G315" s="92"/>
      <c r="H315" s="55">
        <v>0</v>
      </c>
      <c r="I315" s="55">
        <f t="shared" ref="I315:I319" si="27">F315*1.5+H315</f>
        <v>692.50193999999999</v>
      </c>
    </row>
    <row r="316" spans="1:9" s="17" customFormat="1" ht="21" x14ac:dyDescent="0.25">
      <c r="A316" s="102"/>
      <c r="B316" s="103"/>
      <c r="C316" s="91">
        <v>7</v>
      </c>
      <c r="D316" s="92"/>
      <c r="E316" s="55" t="s">
        <v>170</v>
      </c>
      <c r="F316" s="91">
        <f>42.89*10.764</f>
        <v>461.66795999999999</v>
      </c>
      <c r="G316" s="92"/>
      <c r="H316" s="55">
        <v>0</v>
      </c>
      <c r="I316" s="55">
        <f t="shared" si="27"/>
        <v>692.50193999999999</v>
      </c>
    </row>
    <row r="317" spans="1:9" s="17" customFormat="1" ht="21" customHeight="1" x14ac:dyDescent="0.25">
      <c r="A317" s="102"/>
      <c r="B317" s="103"/>
      <c r="C317" s="91">
        <v>8</v>
      </c>
      <c r="D317" s="92"/>
      <c r="E317" s="55" t="s">
        <v>150</v>
      </c>
      <c r="F317" s="91">
        <f>49.07*10.764</f>
        <v>528.18948</v>
      </c>
      <c r="G317" s="92"/>
      <c r="H317" s="55">
        <v>0</v>
      </c>
      <c r="I317" s="55">
        <f t="shared" si="27"/>
        <v>792.28422</v>
      </c>
    </row>
    <row r="318" spans="1:9" s="17" customFormat="1" ht="21" customHeight="1" x14ac:dyDescent="0.25">
      <c r="A318" s="102"/>
      <c r="B318" s="103"/>
      <c r="C318" s="91">
        <v>9</v>
      </c>
      <c r="D318" s="92"/>
      <c r="E318" s="55" t="s">
        <v>150</v>
      </c>
      <c r="F318" s="91">
        <f>49.07*10.764</f>
        <v>528.18948</v>
      </c>
      <c r="G318" s="92"/>
      <c r="H318" s="55">
        <v>0</v>
      </c>
      <c r="I318" s="55">
        <f t="shared" si="27"/>
        <v>792.28422</v>
      </c>
    </row>
    <row r="319" spans="1:9" s="17" customFormat="1" ht="21" customHeight="1" x14ac:dyDescent="0.25">
      <c r="A319" s="102"/>
      <c r="B319" s="103"/>
      <c r="C319" s="91">
        <v>10</v>
      </c>
      <c r="D319" s="92"/>
      <c r="E319" s="55" t="s">
        <v>170</v>
      </c>
      <c r="F319" s="91">
        <f>41.03*10.764</f>
        <v>441.64691999999997</v>
      </c>
      <c r="G319" s="92"/>
      <c r="H319" s="55">
        <v>0</v>
      </c>
      <c r="I319" s="55">
        <f t="shared" si="27"/>
        <v>662.47037999999998</v>
      </c>
    </row>
    <row r="320" spans="1:9" s="17" customFormat="1" ht="21" x14ac:dyDescent="0.25">
      <c r="A320" s="93" t="s">
        <v>187</v>
      </c>
      <c r="B320" s="93"/>
      <c r="C320" s="93"/>
      <c r="D320" s="93"/>
      <c r="E320" s="93"/>
      <c r="F320" s="93"/>
      <c r="G320" s="93"/>
      <c r="H320" s="93"/>
      <c r="I320" s="93"/>
    </row>
    <row r="321" spans="1:9" s="17" customFormat="1" ht="21" customHeight="1" x14ac:dyDescent="0.25">
      <c r="A321" s="100" t="str">
        <f>A320</f>
        <v>29th Floor (Part Refuge Area)</v>
      </c>
      <c r="B321" s="101"/>
      <c r="C321" s="91">
        <v>1</v>
      </c>
      <c r="D321" s="92"/>
      <c r="E321" s="55" t="s">
        <v>170</v>
      </c>
      <c r="F321" s="91">
        <f>41.89*10.764</f>
        <v>450.90395999999998</v>
      </c>
      <c r="G321" s="92"/>
      <c r="H321" s="55">
        <v>0</v>
      </c>
      <c r="I321" s="55">
        <f t="shared" ref="I321:I324" si="28">F321*1.5+H321</f>
        <v>676.35593999999992</v>
      </c>
    </row>
    <row r="322" spans="1:9" s="17" customFormat="1" ht="21" customHeight="1" x14ac:dyDescent="0.25">
      <c r="A322" s="102"/>
      <c r="B322" s="103"/>
      <c r="C322" s="91">
        <v>2</v>
      </c>
      <c r="D322" s="92"/>
      <c r="E322" s="55" t="s">
        <v>170</v>
      </c>
      <c r="F322" s="91">
        <f>30.98*10.764</f>
        <v>333.46871999999996</v>
      </c>
      <c r="G322" s="92"/>
      <c r="H322" s="55">
        <v>0</v>
      </c>
      <c r="I322" s="55">
        <f t="shared" si="28"/>
        <v>500.20307999999994</v>
      </c>
    </row>
    <row r="323" spans="1:9" s="17" customFormat="1" ht="21" customHeight="1" x14ac:dyDescent="0.25">
      <c r="A323" s="102"/>
      <c r="B323" s="103"/>
      <c r="C323" s="91">
        <v>3</v>
      </c>
      <c r="D323" s="92"/>
      <c r="E323" s="55" t="s">
        <v>170</v>
      </c>
      <c r="F323" s="91">
        <f>30.98*10.764</f>
        <v>333.46871999999996</v>
      </c>
      <c r="G323" s="92"/>
      <c r="H323" s="55">
        <v>0</v>
      </c>
      <c r="I323" s="55">
        <f t="shared" si="28"/>
        <v>500.20307999999994</v>
      </c>
    </row>
    <row r="324" spans="1:9" s="17" customFormat="1" ht="21" customHeight="1" x14ac:dyDescent="0.25">
      <c r="A324" s="102"/>
      <c r="B324" s="103"/>
      <c r="C324" s="91">
        <v>4</v>
      </c>
      <c r="D324" s="92"/>
      <c r="E324" s="55" t="s">
        <v>150</v>
      </c>
      <c r="F324" s="91">
        <f>44.89*10.764</f>
        <v>483.19595999999996</v>
      </c>
      <c r="G324" s="92"/>
      <c r="H324" s="55">
        <v>0</v>
      </c>
      <c r="I324" s="55">
        <f t="shared" si="28"/>
        <v>724.79393999999991</v>
      </c>
    </row>
    <row r="325" spans="1:9" s="17" customFormat="1" ht="21" x14ac:dyDescent="0.25">
      <c r="A325" s="102"/>
      <c r="B325" s="103"/>
      <c r="C325" s="91">
        <v>5</v>
      </c>
      <c r="D325" s="92"/>
      <c r="E325" s="91" t="s">
        <v>151</v>
      </c>
      <c r="F325" s="94"/>
      <c r="G325" s="94"/>
      <c r="H325" s="94"/>
      <c r="I325" s="92"/>
    </row>
    <row r="326" spans="1:9" s="17" customFormat="1" ht="21" customHeight="1" x14ac:dyDescent="0.25">
      <c r="A326" s="102"/>
      <c r="B326" s="103"/>
      <c r="C326" s="91">
        <v>6</v>
      </c>
      <c r="D326" s="92"/>
      <c r="E326" s="55" t="s">
        <v>170</v>
      </c>
      <c r="F326" s="91">
        <f>42.89*10.764</f>
        <v>461.66795999999999</v>
      </c>
      <c r="G326" s="92"/>
      <c r="H326" s="55">
        <v>0</v>
      </c>
      <c r="I326" s="55">
        <f t="shared" ref="I326:I330" si="29">F326*1.5+H326</f>
        <v>692.50193999999999</v>
      </c>
    </row>
    <row r="327" spans="1:9" s="17" customFormat="1" ht="21" x14ac:dyDescent="0.25">
      <c r="A327" s="102"/>
      <c r="B327" s="103"/>
      <c r="C327" s="91">
        <v>7</v>
      </c>
      <c r="D327" s="92"/>
      <c r="E327" s="55" t="s">
        <v>170</v>
      </c>
      <c r="F327" s="91">
        <f>42.89*10.764</f>
        <v>461.66795999999999</v>
      </c>
      <c r="G327" s="92"/>
      <c r="H327" s="55">
        <v>0</v>
      </c>
      <c r="I327" s="55">
        <f t="shared" si="29"/>
        <v>692.50193999999999</v>
      </c>
    </row>
    <row r="328" spans="1:9" s="17" customFormat="1" ht="21" customHeight="1" x14ac:dyDescent="0.25">
      <c r="A328" s="102"/>
      <c r="B328" s="103"/>
      <c r="C328" s="91">
        <v>8</v>
      </c>
      <c r="D328" s="92"/>
      <c r="E328" s="55" t="s">
        <v>150</v>
      </c>
      <c r="F328" s="91">
        <f>49.07*10.764</f>
        <v>528.18948</v>
      </c>
      <c r="G328" s="92"/>
      <c r="H328" s="55">
        <v>0</v>
      </c>
      <c r="I328" s="55">
        <f t="shared" si="29"/>
        <v>792.28422</v>
      </c>
    </row>
    <row r="329" spans="1:9" s="17" customFormat="1" ht="21" customHeight="1" x14ac:dyDescent="0.25">
      <c r="A329" s="102"/>
      <c r="B329" s="103"/>
      <c r="C329" s="91">
        <v>9</v>
      </c>
      <c r="D329" s="92"/>
      <c r="E329" s="55" t="s">
        <v>150</v>
      </c>
      <c r="F329" s="91">
        <f>49.07*10.764</f>
        <v>528.18948</v>
      </c>
      <c r="G329" s="92"/>
      <c r="H329" s="55">
        <v>0</v>
      </c>
      <c r="I329" s="55">
        <f t="shared" si="29"/>
        <v>792.28422</v>
      </c>
    </row>
    <row r="330" spans="1:9" s="17" customFormat="1" ht="21" customHeight="1" x14ac:dyDescent="0.25">
      <c r="A330" s="102"/>
      <c r="B330" s="103"/>
      <c r="C330" s="91">
        <v>10</v>
      </c>
      <c r="D330" s="92"/>
      <c r="E330" s="55" t="s">
        <v>170</v>
      </c>
      <c r="F330" s="91">
        <f>41.03*10.764</f>
        <v>441.64691999999997</v>
      </c>
      <c r="G330" s="92"/>
      <c r="H330" s="55">
        <v>0</v>
      </c>
      <c r="I330" s="55">
        <f t="shared" si="29"/>
        <v>662.47037999999998</v>
      </c>
    </row>
    <row r="331" spans="1:9" s="17" customFormat="1" ht="21" x14ac:dyDescent="0.25">
      <c r="A331" s="119" t="s">
        <v>190</v>
      </c>
      <c r="B331" s="93"/>
      <c r="C331" s="93"/>
      <c r="D331" s="93"/>
      <c r="E331" s="93"/>
      <c r="F331" s="93"/>
      <c r="G331" s="93"/>
      <c r="H331" s="93"/>
      <c r="I331" s="93"/>
    </row>
    <row r="332" spans="1:9" s="17" customFormat="1" ht="21" x14ac:dyDescent="0.25">
      <c r="A332" s="119" t="s">
        <v>180</v>
      </c>
      <c r="B332" s="93"/>
      <c r="C332" s="93"/>
      <c r="D332" s="93"/>
      <c r="E332" s="93"/>
      <c r="F332" s="93"/>
      <c r="G332" s="93"/>
      <c r="H332" s="93"/>
      <c r="I332" s="93"/>
    </row>
    <row r="333" spans="1:9" s="17" customFormat="1" ht="21" x14ac:dyDescent="0.25">
      <c r="A333" s="93" t="s">
        <v>137</v>
      </c>
      <c r="B333" s="93"/>
      <c r="C333" s="93"/>
      <c r="D333" s="93"/>
      <c r="E333" s="93"/>
      <c r="F333" s="93"/>
      <c r="G333" s="93"/>
      <c r="H333" s="93"/>
      <c r="I333" s="93"/>
    </row>
    <row r="334" spans="1:9" s="17" customFormat="1" ht="21" customHeight="1" x14ac:dyDescent="0.25">
      <c r="A334" s="100" t="str">
        <f>A333</f>
        <v>1st Floor</v>
      </c>
      <c r="B334" s="101"/>
      <c r="C334" s="91">
        <v>1</v>
      </c>
      <c r="D334" s="92"/>
      <c r="E334" s="55" t="s">
        <v>170</v>
      </c>
      <c r="F334" s="91">
        <f>41.89*10.764</f>
        <v>450.90395999999998</v>
      </c>
      <c r="G334" s="92"/>
      <c r="H334" s="55">
        <v>0</v>
      </c>
      <c r="I334" s="55">
        <f t="shared" ref="I334" si="30">F334*1.5+H334</f>
        <v>676.35593999999992</v>
      </c>
    </row>
    <row r="335" spans="1:9" s="17" customFormat="1" ht="21" x14ac:dyDescent="0.25">
      <c r="A335" s="102"/>
      <c r="B335" s="103"/>
      <c r="C335" s="91">
        <v>2</v>
      </c>
      <c r="D335" s="92"/>
      <c r="E335" s="100" t="s">
        <v>179</v>
      </c>
      <c r="F335" s="120"/>
      <c r="G335" s="120"/>
      <c r="H335" s="120"/>
      <c r="I335" s="101"/>
    </row>
    <row r="336" spans="1:9" s="17" customFormat="1" ht="21" customHeight="1" x14ac:dyDescent="0.25">
      <c r="A336" s="102"/>
      <c r="B336" s="103"/>
      <c r="C336" s="91">
        <v>3</v>
      </c>
      <c r="D336" s="92"/>
      <c r="E336" s="117"/>
      <c r="F336" s="121"/>
      <c r="G336" s="121"/>
      <c r="H336" s="121"/>
      <c r="I336" s="118"/>
    </row>
    <row r="337" spans="1:9" s="17" customFormat="1" ht="21" customHeight="1" x14ac:dyDescent="0.25">
      <c r="A337" s="102"/>
      <c r="B337" s="103"/>
      <c r="C337" s="91">
        <v>4</v>
      </c>
      <c r="D337" s="92"/>
      <c r="E337" s="55" t="s">
        <v>150</v>
      </c>
      <c r="F337" s="91">
        <f>44.89*10.764</f>
        <v>483.19595999999996</v>
      </c>
      <c r="G337" s="92"/>
      <c r="H337" s="55">
        <v>0</v>
      </c>
      <c r="I337" s="55">
        <f t="shared" ref="I337:I338" si="31">F337*1.5+H337</f>
        <v>724.79393999999991</v>
      </c>
    </row>
    <row r="338" spans="1:9" s="17" customFormat="1" ht="21" x14ac:dyDescent="0.25">
      <c r="A338" s="102"/>
      <c r="B338" s="103"/>
      <c r="C338" s="91">
        <v>5</v>
      </c>
      <c r="D338" s="92"/>
      <c r="E338" s="55" t="s">
        <v>150</v>
      </c>
      <c r="F338" s="91">
        <f>51.86*10.764</f>
        <v>558.22104000000002</v>
      </c>
      <c r="G338" s="92"/>
      <c r="H338" s="55">
        <v>0</v>
      </c>
      <c r="I338" s="55">
        <f t="shared" si="31"/>
        <v>837.33156000000008</v>
      </c>
    </row>
    <row r="339" spans="1:9" s="17" customFormat="1" ht="21" customHeight="1" x14ac:dyDescent="0.25">
      <c r="A339" s="102"/>
      <c r="B339" s="103"/>
      <c r="C339" s="91">
        <v>6</v>
      </c>
      <c r="D339" s="92"/>
      <c r="E339" s="100" t="s">
        <v>179</v>
      </c>
      <c r="F339" s="120"/>
      <c r="G339" s="120"/>
      <c r="H339" s="120"/>
      <c r="I339" s="101"/>
    </row>
    <row r="340" spans="1:9" s="17" customFormat="1" ht="21" x14ac:dyDescent="0.25">
      <c r="A340" s="102"/>
      <c r="B340" s="103"/>
      <c r="C340" s="91">
        <v>7</v>
      </c>
      <c r="D340" s="92"/>
      <c r="E340" s="117"/>
      <c r="F340" s="121"/>
      <c r="G340" s="121"/>
      <c r="H340" s="121"/>
      <c r="I340" s="118"/>
    </row>
    <row r="341" spans="1:9" s="17" customFormat="1" ht="21" customHeight="1" x14ac:dyDescent="0.25">
      <c r="A341" s="102"/>
      <c r="B341" s="103"/>
      <c r="C341" s="91">
        <v>8</v>
      </c>
      <c r="D341" s="92"/>
      <c r="E341" s="55" t="s">
        <v>150</v>
      </c>
      <c r="F341" s="91">
        <f>49.07*10.764</f>
        <v>528.18948</v>
      </c>
      <c r="G341" s="92"/>
      <c r="H341" s="55">
        <v>0</v>
      </c>
      <c r="I341" s="55">
        <f t="shared" ref="I341:I343" si="32">F341*1.5+H341</f>
        <v>792.28422</v>
      </c>
    </row>
    <row r="342" spans="1:9" s="17" customFormat="1" ht="21" customHeight="1" x14ac:dyDescent="0.25">
      <c r="A342" s="102"/>
      <c r="B342" s="103"/>
      <c r="C342" s="91">
        <v>9</v>
      </c>
      <c r="D342" s="92"/>
      <c r="E342" s="55" t="s">
        <v>150</v>
      </c>
      <c r="F342" s="91">
        <f>49.07*10.764</f>
        <v>528.18948</v>
      </c>
      <c r="G342" s="92"/>
      <c r="H342" s="55">
        <v>0</v>
      </c>
      <c r="I342" s="55">
        <f t="shared" si="32"/>
        <v>792.28422</v>
      </c>
    </row>
    <row r="343" spans="1:9" s="17" customFormat="1" ht="21" customHeight="1" x14ac:dyDescent="0.25">
      <c r="A343" s="102"/>
      <c r="B343" s="103"/>
      <c r="C343" s="91">
        <v>10</v>
      </c>
      <c r="D343" s="92"/>
      <c r="E343" s="55" t="s">
        <v>170</v>
      </c>
      <c r="F343" s="91">
        <f>41.03*10.764</f>
        <v>441.64691999999997</v>
      </c>
      <c r="G343" s="92"/>
      <c r="H343" s="55">
        <v>0</v>
      </c>
      <c r="I343" s="55">
        <f t="shared" si="32"/>
        <v>662.47037999999998</v>
      </c>
    </row>
    <row r="344" spans="1:9" s="17" customFormat="1" ht="21" customHeight="1" x14ac:dyDescent="0.25">
      <c r="A344" s="114" t="s">
        <v>184</v>
      </c>
      <c r="B344" s="115"/>
      <c r="C344" s="115"/>
      <c r="D344" s="115"/>
      <c r="E344" s="115"/>
      <c r="F344" s="115"/>
      <c r="G344" s="115"/>
      <c r="H344" s="115"/>
      <c r="I344" s="116"/>
    </row>
    <row r="345" spans="1:9" s="17" customFormat="1" ht="21" customHeight="1" x14ac:dyDescent="0.25">
      <c r="A345" s="100" t="str">
        <f>A344</f>
        <v>2nd to 7th, 9th to 13th, 15th to 18th, 20th to 23rd, 25th to 28th, 30th to 32nd Floor</v>
      </c>
      <c r="B345" s="101"/>
      <c r="C345" s="91">
        <v>1</v>
      </c>
      <c r="D345" s="92"/>
      <c r="E345" s="55" t="s">
        <v>170</v>
      </c>
      <c r="F345" s="91">
        <f>41.89*10.764</f>
        <v>450.90395999999998</v>
      </c>
      <c r="G345" s="92"/>
      <c r="H345" s="55">
        <v>0</v>
      </c>
      <c r="I345" s="55">
        <f t="shared" ref="I345:I354" si="33">F345*1.5+H345</f>
        <v>676.35593999999992</v>
      </c>
    </row>
    <row r="346" spans="1:9" s="17" customFormat="1" ht="21" customHeight="1" x14ac:dyDescent="0.25">
      <c r="A346" s="102"/>
      <c r="B346" s="103"/>
      <c r="C346" s="91">
        <v>2</v>
      </c>
      <c r="D346" s="92"/>
      <c r="E346" s="55" t="s">
        <v>170</v>
      </c>
      <c r="F346" s="91">
        <f>30.98*10.764</f>
        <v>333.46871999999996</v>
      </c>
      <c r="G346" s="92"/>
      <c r="H346" s="55">
        <v>0</v>
      </c>
      <c r="I346" s="55">
        <f t="shared" si="33"/>
        <v>500.20307999999994</v>
      </c>
    </row>
    <row r="347" spans="1:9" s="17" customFormat="1" ht="21" customHeight="1" x14ac:dyDescent="0.25">
      <c r="A347" s="102"/>
      <c r="B347" s="103"/>
      <c r="C347" s="91">
        <v>3</v>
      </c>
      <c r="D347" s="92"/>
      <c r="E347" s="55" t="s">
        <v>170</v>
      </c>
      <c r="F347" s="91">
        <f>30.98*10.764</f>
        <v>333.46871999999996</v>
      </c>
      <c r="G347" s="92"/>
      <c r="H347" s="55">
        <v>0</v>
      </c>
      <c r="I347" s="55">
        <f t="shared" si="33"/>
        <v>500.20307999999994</v>
      </c>
    </row>
    <row r="348" spans="1:9" s="17" customFormat="1" ht="21" customHeight="1" x14ac:dyDescent="0.25">
      <c r="A348" s="102"/>
      <c r="B348" s="103"/>
      <c r="C348" s="91">
        <v>4</v>
      </c>
      <c r="D348" s="92"/>
      <c r="E348" s="55" t="s">
        <v>150</v>
      </c>
      <c r="F348" s="91">
        <f>44.89*10.764</f>
        <v>483.19595999999996</v>
      </c>
      <c r="G348" s="92"/>
      <c r="H348" s="55">
        <v>0</v>
      </c>
      <c r="I348" s="55">
        <f t="shared" si="33"/>
        <v>724.79393999999991</v>
      </c>
    </row>
    <row r="349" spans="1:9" s="17" customFormat="1" ht="21" x14ac:dyDescent="0.25">
      <c r="A349" s="102"/>
      <c r="B349" s="103"/>
      <c r="C349" s="91">
        <v>5</v>
      </c>
      <c r="D349" s="92"/>
      <c r="E349" s="55" t="s">
        <v>150</v>
      </c>
      <c r="F349" s="91">
        <f>51.86*10.764</f>
        <v>558.22104000000002</v>
      </c>
      <c r="G349" s="92"/>
      <c r="H349" s="55">
        <v>0</v>
      </c>
      <c r="I349" s="55">
        <f t="shared" si="33"/>
        <v>837.33156000000008</v>
      </c>
    </row>
    <row r="350" spans="1:9" s="17" customFormat="1" ht="21" customHeight="1" x14ac:dyDescent="0.25">
      <c r="A350" s="102"/>
      <c r="B350" s="103"/>
      <c r="C350" s="91">
        <v>6</v>
      </c>
      <c r="D350" s="92"/>
      <c r="E350" s="55" t="s">
        <v>170</v>
      </c>
      <c r="F350" s="91">
        <f>42.89*10.764</f>
        <v>461.66795999999999</v>
      </c>
      <c r="G350" s="92"/>
      <c r="H350" s="55">
        <v>0</v>
      </c>
      <c r="I350" s="55">
        <f t="shared" si="33"/>
        <v>692.50193999999999</v>
      </c>
    </row>
    <row r="351" spans="1:9" s="17" customFormat="1" ht="21" x14ac:dyDescent="0.25">
      <c r="A351" s="102"/>
      <c r="B351" s="103"/>
      <c r="C351" s="91">
        <v>7</v>
      </c>
      <c r="D351" s="92"/>
      <c r="E351" s="55" t="s">
        <v>170</v>
      </c>
      <c r="F351" s="91">
        <f>42.89*10.764</f>
        <v>461.66795999999999</v>
      </c>
      <c r="G351" s="92"/>
      <c r="H351" s="55">
        <v>0</v>
      </c>
      <c r="I351" s="55">
        <f t="shared" si="33"/>
        <v>692.50193999999999</v>
      </c>
    </row>
    <row r="352" spans="1:9" s="17" customFormat="1" ht="21" customHeight="1" x14ac:dyDescent="0.25">
      <c r="A352" s="102"/>
      <c r="B352" s="103"/>
      <c r="C352" s="91">
        <v>8</v>
      </c>
      <c r="D352" s="92"/>
      <c r="E352" s="55" t="s">
        <v>150</v>
      </c>
      <c r="F352" s="91">
        <f>49.07*10.764</f>
        <v>528.18948</v>
      </c>
      <c r="G352" s="92"/>
      <c r="H352" s="55">
        <v>0</v>
      </c>
      <c r="I352" s="55">
        <f t="shared" si="33"/>
        <v>792.28422</v>
      </c>
    </row>
    <row r="353" spans="1:9" s="17" customFormat="1" ht="21" customHeight="1" x14ac:dyDescent="0.25">
      <c r="A353" s="102"/>
      <c r="B353" s="103"/>
      <c r="C353" s="91">
        <v>9</v>
      </c>
      <c r="D353" s="92"/>
      <c r="E353" s="55" t="s">
        <v>150</v>
      </c>
      <c r="F353" s="91">
        <f>49.07*10.764</f>
        <v>528.18948</v>
      </c>
      <c r="G353" s="92"/>
      <c r="H353" s="55">
        <v>0</v>
      </c>
      <c r="I353" s="55">
        <f t="shared" si="33"/>
        <v>792.28422</v>
      </c>
    </row>
    <row r="354" spans="1:9" s="17" customFormat="1" ht="21" customHeight="1" x14ac:dyDescent="0.25">
      <c r="A354" s="117"/>
      <c r="B354" s="118"/>
      <c r="C354" s="91">
        <v>10</v>
      </c>
      <c r="D354" s="92"/>
      <c r="E354" s="55" t="s">
        <v>170</v>
      </c>
      <c r="F354" s="91">
        <f>41.03*10.764</f>
        <v>441.64691999999997</v>
      </c>
      <c r="G354" s="92"/>
      <c r="H354" s="55">
        <v>0</v>
      </c>
      <c r="I354" s="55">
        <f t="shared" si="33"/>
        <v>662.47037999999998</v>
      </c>
    </row>
    <row r="355" spans="1:9" s="17" customFormat="1" ht="21" customHeight="1" x14ac:dyDescent="0.25">
      <c r="A355" s="114" t="s">
        <v>178</v>
      </c>
      <c r="B355" s="115"/>
      <c r="C355" s="115"/>
      <c r="D355" s="115"/>
      <c r="E355" s="115"/>
      <c r="F355" s="115"/>
      <c r="G355" s="115"/>
      <c r="H355" s="115"/>
      <c r="I355" s="116"/>
    </row>
    <row r="356" spans="1:9" s="17" customFormat="1" ht="21" customHeight="1" x14ac:dyDescent="0.25">
      <c r="A356" s="100" t="str">
        <f>A355</f>
        <v>8th Floor (Part Refuge Area)</v>
      </c>
      <c r="B356" s="101"/>
      <c r="C356" s="91">
        <v>1</v>
      </c>
      <c r="D356" s="92"/>
      <c r="E356" s="55" t="s">
        <v>170</v>
      </c>
      <c r="F356" s="91">
        <f>41.89*10.764</f>
        <v>450.90395999999998</v>
      </c>
      <c r="G356" s="92"/>
      <c r="H356" s="55">
        <v>0</v>
      </c>
      <c r="I356" s="55">
        <f t="shared" ref="I356:I365" si="34">F356*1.5+H356</f>
        <v>676.35593999999992</v>
      </c>
    </row>
    <row r="357" spans="1:9" s="17" customFormat="1" ht="21" customHeight="1" x14ac:dyDescent="0.25">
      <c r="A357" s="102"/>
      <c r="B357" s="103"/>
      <c r="C357" s="91">
        <v>2</v>
      </c>
      <c r="D357" s="92"/>
      <c r="E357" s="55" t="s">
        <v>170</v>
      </c>
      <c r="F357" s="91">
        <f>30.98*10.764</f>
        <v>333.46871999999996</v>
      </c>
      <c r="G357" s="92"/>
      <c r="H357" s="55">
        <v>0</v>
      </c>
      <c r="I357" s="55">
        <f t="shared" si="34"/>
        <v>500.20307999999994</v>
      </c>
    </row>
    <row r="358" spans="1:9" s="17" customFormat="1" ht="21" customHeight="1" x14ac:dyDescent="0.25">
      <c r="A358" s="102"/>
      <c r="B358" s="103"/>
      <c r="C358" s="91">
        <v>3</v>
      </c>
      <c r="D358" s="92"/>
      <c r="E358" s="55" t="s">
        <v>170</v>
      </c>
      <c r="F358" s="91">
        <f>30.98*10.764</f>
        <v>333.46871999999996</v>
      </c>
      <c r="G358" s="92"/>
      <c r="H358" s="55">
        <v>0</v>
      </c>
      <c r="I358" s="55">
        <f t="shared" si="34"/>
        <v>500.20307999999994</v>
      </c>
    </row>
    <row r="359" spans="1:9" s="17" customFormat="1" ht="21" customHeight="1" x14ac:dyDescent="0.25">
      <c r="A359" s="102"/>
      <c r="B359" s="103"/>
      <c r="C359" s="91">
        <v>4</v>
      </c>
      <c r="D359" s="92"/>
      <c r="E359" s="55" t="s">
        <v>150</v>
      </c>
      <c r="F359" s="91">
        <f>44.89*10.764</f>
        <v>483.19595999999996</v>
      </c>
      <c r="G359" s="92"/>
      <c r="H359" s="55">
        <v>0</v>
      </c>
      <c r="I359" s="55">
        <f t="shared" si="34"/>
        <v>724.79393999999991</v>
      </c>
    </row>
    <row r="360" spans="1:9" s="17" customFormat="1" ht="21" x14ac:dyDescent="0.25">
      <c r="A360" s="102"/>
      <c r="B360" s="103"/>
      <c r="C360" s="91">
        <v>5</v>
      </c>
      <c r="D360" s="92"/>
      <c r="E360" s="91" t="s">
        <v>151</v>
      </c>
      <c r="F360" s="94"/>
      <c r="G360" s="94"/>
      <c r="H360" s="94"/>
      <c r="I360" s="92"/>
    </row>
    <row r="361" spans="1:9" s="17" customFormat="1" ht="21" customHeight="1" x14ac:dyDescent="0.25">
      <c r="A361" s="102"/>
      <c r="B361" s="103"/>
      <c r="C361" s="91">
        <v>6</v>
      </c>
      <c r="D361" s="92"/>
      <c r="E361" s="55" t="s">
        <v>170</v>
      </c>
      <c r="F361" s="91">
        <f>42.89*10.764</f>
        <v>461.66795999999999</v>
      </c>
      <c r="G361" s="92"/>
      <c r="H361" s="55">
        <v>0</v>
      </c>
      <c r="I361" s="55">
        <f t="shared" si="34"/>
        <v>692.50193999999999</v>
      </c>
    </row>
    <row r="362" spans="1:9" s="17" customFormat="1" ht="21" x14ac:dyDescent="0.25">
      <c r="A362" s="102"/>
      <c r="B362" s="103"/>
      <c r="C362" s="91">
        <v>7</v>
      </c>
      <c r="D362" s="92"/>
      <c r="E362" s="55" t="s">
        <v>170</v>
      </c>
      <c r="F362" s="91">
        <f>42.89*10.764</f>
        <v>461.66795999999999</v>
      </c>
      <c r="G362" s="92"/>
      <c r="H362" s="55">
        <v>0</v>
      </c>
      <c r="I362" s="55">
        <f t="shared" si="34"/>
        <v>692.50193999999999</v>
      </c>
    </row>
    <row r="363" spans="1:9" s="17" customFormat="1" ht="21" customHeight="1" x14ac:dyDescent="0.25">
      <c r="A363" s="102"/>
      <c r="B363" s="103"/>
      <c r="C363" s="91">
        <v>8</v>
      </c>
      <c r="D363" s="92"/>
      <c r="E363" s="55" t="s">
        <v>150</v>
      </c>
      <c r="F363" s="91">
        <f>49.07*10.764</f>
        <v>528.18948</v>
      </c>
      <c r="G363" s="92"/>
      <c r="H363" s="55">
        <v>0</v>
      </c>
      <c r="I363" s="55">
        <f t="shared" si="34"/>
        <v>792.28422</v>
      </c>
    </row>
    <row r="364" spans="1:9" s="17" customFormat="1" ht="21" customHeight="1" x14ac:dyDescent="0.25">
      <c r="A364" s="102"/>
      <c r="B364" s="103"/>
      <c r="C364" s="91">
        <v>9</v>
      </c>
      <c r="D364" s="92"/>
      <c r="E364" s="55" t="s">
        <v>150</v>
      </c>
      <c r="F364" s="91">
        <f>49.07*10.764</f>
        <v>528.18948</v>
      </c>
      <c r="G364" s="92"/>
      <c r="H364" s="55">
        <v>0</v>
      </c>
      <c r="I364" s="55">
        <f t="shared" si="34"/>
        <v>792.28422</v>
      </c>
    </row>
    <row r="365" spans="1:9" s="17" customFormat="1" ht="21" customHeight="1" x14ac:dyDescent="0.25">
      <c r="A365" s="117"/>
      <c r="B365" s="118"/>
      <c r="C365" s="91">
        <v>10</v>
      </c>
      <c r="D365" s="92"/>
      <c r="E365" s="55" t="s">
        <v>170</v>
      </c>
      <c r="F365" s="91">
        <f>41.03*10.764</f>
        <v>441.64691999999997</v>
      </c>
      <c r="G365" s="92"/>
      <c r="H365" s="55">
        <v>0</v>
      </c>
      <c r="I365" s="55">
        <f t="shared" si="34"/>
        <v>662.47037999999998</v>
      </c>
    </row>
    <row r="366" spans="1:9" s="17" customFormat="1" ht="21" x14ac:dyDescent="0.25">
      <c r="A366" s="93" t="s">
        <v>185</v>
      </c>
      <c r="B366" s="93"/>
      <c r="C366" s="93"/>
      <c r="D366" s="93"/>
      <c r="E366" s="93"/>
      <c r="F366" s="93"/>
      <c r="G366" s="93"/>
      <c r="H366" s="93"/>
      <c r="I366" s="93"/>
    </row>
    <row r="367" spans="1:9" s="17" customFormat="1" ht="21" x14ac:dyDescent="0.25">
      <c r="A367" s="93" t="s">
        <v>186</v>
      </c>
      <c r="B367" s="93"/>
      <c r="C367" s="93"/>
      <c r="D367" s="93"/>
      <c r="E367" s="93"/>
      <c r="F367" s="93"/>
      <c r="G367" s="93"/>
      <c r="H367" s="93"/>
      <c r="I367" s="93"/>
    </row>
    <row r="368" spans="1:9" s="17" customFormat="1" ht="21" customHeight="1" x14ac:dyDescent="0.25">
      <c r="A368" s="100" t="str">
        <f>A367</f>
        <v>14th, 19th &amp; 24th Floor (Part Refuge Area)</v>
      </c>
      <c r="B368" s="101"/>
      <c r="C368" s="91">
        <v>1</v>
      </c>
      <c r="D368" s="92"/>
      <c r="E368" s="55" t="s">
        <v>170</v>
      </c>
      <c r="F368" s="91">
        <f>41.89*10.764</f>
        <v>450.90395999999998</v>
      </c>
      <c r="G368" s="92"/>
      <c r="H368" s="55">
        <v>0</v>
      </c>
      <c r="I368" s="55">
        <f t="shared" ref="I368:I371" si="35">F368*1.5+H368</f>
        <v>676.35593999999992</v>
      </c>
    </row>
    <row r="369" spans="1:9" s="17" customFormat="1" ht="21" customHeight="1" x14ac:dyDescent="0.25">
      <c r="A369" s="102"/>
      <c r="B369" s="103"/>
      <c r="C369" s="91">
        <v>2</v>
      </c>
      <c r="D369" s="92"/>
      <c r="E369" s="55" t="s">
        <v>170</v>
      </c>
      <c r="F369" s="91">
        <f>30.98*10.764</f>
        <v>333.46871999999996</v>
      </c>
      <c r="G369" s="92"/>
      <c r="H369" s="55">
        <v>0</v>
      </c>
      <c r="I369" s="55">
        <f t="shared" si="35"/>
        <v>500.20307999999994</v>
      </c>
    </row>
    <row r="370" spans="1:9" s="17" customFormat="1" ht="21" customHeight="1" x14ac:dyDescent="0.25">
      <c r="A370" s="102"/>
      <c r="B370" s="103"/>
      <c r="C370" s="91">
        <v>3</v>
      </c>
      <c r="D370" s="92"/>
      <c r="E370" s="55" t="s">
        <v>170</v>
      </c>
      <c r="F370" s="91">
        <f>30.98*10.764</f>
        <v>333.46871999999996</v>
      </c>
      <c r="G370" s="92"/>
      <c r="H370" s="55">
        <v>0</v>
      </c>
      <c r="I370" s="55">
        <f t="shared" si="35"/>
        <v>500.20307999999994</v>
      </c>
    </row>
    <row r="371" spans="1:9" s="17" customFormat="1" ht="21" customHeight="1" x14ac:dyDescent="0.25">
      <c r="A371" s="102"/>
      <c r="B371" s="103"/>
      <c r="C371" s="91">
        <v>4</v>
      </c>
      <c r="D371" s="92"/>
      <c r="E371" s="55" t="s">
        <v>150</v>
      </c>
      <c r="F371" s="91">
        <f>44.89*10.764</f>
        <v>483.19595999999996</v>
      </c>
      <c r="G371" s="92"/>
      <c r="H371" s="55">
        <v>0</v>
      </c>
      <c r="I371" s="55">
        <f t="shared" si="35"/>
        <v>724.79393999999991</v>
      </c>
    </row>
    <row r="372" spans="1:9" s="17" customFormat="1" ht="21" x14ac:dyDescent="0.25">
      <c r="A372" s="102"/>
      <c r="B372" s="103"/>
      <c r="C372" s="91">
        <v>5</v>
      </c>
      <c r="D372" s="92"/>
      <c r="E372" s="91" t="s">
        <v>151</v>
      </c>
      <c r="F372" s="94"/>
      <c r="G372" s="94"/>
      <c r="H372" s="94"/>
      <c r="I372" s="92"/>
    </row>
    <row r="373" spans="1:9" s="17" customFormat="1" ht="21" customHeight="1" x14ac:dyDescent="0.25">
      <c r="A373" s="102"/>
      <c r="B373" s="103"/>
      <c r="C373" s="91">
        <v>6</v>
      </c>
      <c r="D373" s="92"/>
      <c r="E373" s="55" t="s">
        <v>170</v>
      </c>
      <c r="F373" s="91">
        <f>42.89*10.764</f>
        <v>461.66795999999999</v>
      </c>
      <c r="G373" s="92"/>
      <c r="H373" s="55">
        <v>0</v>
      </c>
      <c r="I373" s="55">
        <f t="shared" ref="I373:I377" si="36">F373*1.5+H373</f>
        <v>692.50193999999999</v>
      </c>
    </row>
    <row r="374" spans="1:9" s="17" customFormat="1" ht="21" x14ac:dyDescent="0.25">
      <c r="A374" s="102"/>
      <c r="B374" s="103"/>
      <c r="C374" s="91">
        <v>7</v>
      </c>
      <c r="D374" s="92"/>
      <c r="E374" s="55" t="s">
        <v>170</v>
      </c>
      <c r="F374" s="91">
        <f>42.89*10.764</f>
        <v>461.66795999999999</v>
      </c>
      <c r="G374" s="92"/>
      <c r="H374" s="55">
        <v>0</v>
      </c>
      <c r="I374" s="55">
        <f t="shared" si="36"/>
        <v>692.50193999999999</v>
      </c>
    </row>
    <row r="375" spans="1:9" s="17" customFormat="1" ht="21" customHeight="1" x14ac:dyDescent="0.25">
      <c r="A375" s="102"/>
      <c r="B375" s="103"/>
      <c r="C375" s="91">
        <v>8</v>
      </c>
      <c r="D375" s="92"/>
      <c r="E375" s="55" t="s">
        <v>150</v>
      </c>
      <c r="F375" s="91">
        <f>49.07*10.764</f>
        <v>528.18948</v>
      </c>
      <c r="G375" s="92"/>
      <c r="H375" s="55">
        <v>0</v>
      </c>
      <c r="I375" s="55">
        <f t="shared" si="36"/>
        <v>792.28422</v>
      </c>
    </row>
    <row r="376" spans="1:9" s="17" customFormat="1" ht="21" customHeight="1" x14ac:dyDescent="0.25">
      <c r="A376" s="102"/>
      <c r="B376" s="103"/>
      <c r="C376" s="91">
        <v>9</v>
      </c>
      <c r="D376" s="92"/>
      <c r="E376" s="55" t="s">
        <v>150</v>
      </c>
      <c r="F376" s="91">
        <f>49.07*10.764</f>
        <v>528.18948</v>
      </c>
      <c r="G376" s="92"/>
      <c r="H376" s="55">
        <v>0</v>
      </c>
      <c r="I376" s="55">
        <f t="shared" si="36"/>
        <v>792.28422</v>
      </c>
    </row>
    <row r="377" spans="1:9" s="17" customFormat="1" ht="21" customHeight="1" x14ac:dyDescent="0.25">
      <c r="A377" s="102"/>
      <c r="B377" s="103"/>
      <c r="C377" s="91">
        <v>10</v>
      </c>
      <c r="D377" s="92"/>
      <c r="E377" s="55" t="s">
        <v>170</v>
      </c>
      <c r="F377" s="91">
        <f>41.03*10.764</f>
        <v>441.64691999999997</v>
      </c>
      <c r="G377" s="92"/>
      <c r="H377" s="55">
        <v>0</v>
      </c>
      <c r="I377" s="55">
        <f t="shared" si="36"/>
        <v>662.47037999999998</v>
      </c>
    </row>
    <row r="378" spans="1:9" s="17" customFormat="1" ht="21" x14ac:dyDescent="0.25">
      <c r="A378" s="93" t="s">
        <v>187</v>
      </c>
      <c r="B378" s="93"/>
      <c r="C378" s="93"/>
      <c r="D378" s="93"/>
      <c r="E378" s="93"/>
      <c r="F378" s="93"/>
      <c r="G378" s="93"/>
      <c r="H378" s="93"/>
      <c r="I378" s="93"/>
    </row>
    <row r="379" spans="1:9" s="17" customFormat="1" ht="21" customHeight="1" x14ac:dyDescent="0.25">
      <c r="A379" s="100" t="str">
        <f>A378</f>
        <v>29th Floor (Part Refuge Area)</v>
      </c>
      <c r="B379" s="101"/>
      <c r="C379" s="91">
        <v>1</v>
      </c>
      <c r="D379" s="92"/>
      <c r="E379" s="55" t="s">
        <v>170</v>
      </c>
      <c r="F379" s="91">
        <f>41.89*10.764</f>
        <v>450.90395999999998</v>
      </c>
      <c r="G379" s="92"/>
      <c r="H379" s="55">
        <v>0</v>
      </c>
      <c r="I379" s="55">
        <f t="shared" ref="I379:I382" si="37">F379*1.5+H379</f>
        <v>676.35593999999992</v>
      </c>
    </row>
    <row r="380" spans="1:9" s="17" customFormat="1" ht="21" customHeight="1" x14ac:dyDescent="0.25">
      <c r="A380" s="102"/>
      <c r="B380" s="103"/>
      <c r="C380" s="91">
        <v>2</v>
      </c>
      <c r="D380" s="92"/>
      <c r="E380" s="55" t="s">
        <v>170</v>
      </c>
      <c r="F380" s="91">
        <f>30.98*10.764</f>
        <v>333.46871999999996</v>
      </c>
      <c r="G380" s="92"/>
      <c r="H380" s="55">
        <v>0</v>
      </c>
      <c r="I380" s="55">
        <f t="shared" si="37"/>
        <v>500.20307999999994</v>
      </c>
    </row>
    <row r="381" spans="1:9" s="17" customFormat="1" ht="21" customHeight="1" x14ac:dyDescent="0.25">
      <c r="A381" s="102"/>
      <c r="B381" s="103"/>
      <c r="C381" s="91">
        <v>3</v>
      </c>
      <c r="D381" s="92"/>
      <c r="E381" s="55" t="s">
        <v>170</v>
      </c>
      <c r="F381" s="91">
        <f>30.98*10.764</f>
        <v>333.46871999999996</v>
      </c>
      <c r="G381" s="92"/>
      <c r="H381" s="55">
        <v>0</v>
      </c>
      <c r="I381" s="55">
        <f t="shared" si="37"/>
        <v>500.20307999999994</v>
      </c>
    </row>
    <row r="382" spans="1:9" s="17" customFormat="1" ht="21" customHeight="1" x14ac:dyDescent="0.25">
      <c r="A382" s="102"/>
      <c r="B382" s="103"/>
      <c r="C382" s="91">
        <v>4</v>
      </c>
      <c r="D382" s="92"/>
      <c r="E382" s="55" t="s">
        <v>150</v>
      </c>
      <c r="F382" s="91">
        <f>44.89*10.764</f>
        <v>483.19595999999996</v>
      </c>
      <c r="G382" s="92"/>
      <c r="H382" s="55">
        <v>0</v>
      </c>
      <c r="I382" s="55">
        <f t="shared" si="37"/>
        <v>724.79393999999991</v>
      </c>
    </row>
    <row r="383" spans="1:9" s="17" customFormat="1" ht="21" x14ac:dyDescent="0.25">
      <c r="A383" s="102"/>
      <c r="B383" s="103"/>
      <c r="C383" s="91">
        <v>5</v>
      </c>
      <c r="D383" s="92"/>
      <c r="E383" s="91" t="s">
        <v>151</v>
      </c>
      <c r="F383" s="94"/>
      <c r="G383" s="94"/>
      <c r="H383" s="94"/>
      <c r="I383" s="92"/>
    </row>
    <row r="384" spans="1:9" s="17" customFormat="1" ht="21" customHeight="1" x14ac:dyDescent="0.25">
      <c r="A384" s="102"/>
      <c r="B384" s="103"/>
      <c r="C384" s="91">
        <v>6</v>
      </c>
      <c r="D384" s="92"/>
      <c r="E384" s="55" t="s">
        <v>170</v>
      </c>
      <c r="F384" s="91">
        <f>42.89*10.764</f>
        <v>461.66795999999999</v>
      </c>
      <c r="G384" s="92"/>
      <c r="H384" s="55">
        <v>0</v>
      </c>
      <c r="I384" s="55">
        <f t="shared" ref="I384:I388" si="38">F384*1.5+H384</f>
        <v>692.50193999999999</v>
      </c>
    </row>
    <row r="385" spans="1:9" s="17" customFormat="1" ht="21" x14ac:dyDescent="0.25">
      <c r="A385" s="102"/>
      <c r="B385" s="103"/>
      <c r="C385" s="91">
        <v>7</v>
      </c>
      <c r="D385" s="92"/>
      <c r="E385" s="55" t="s">
        <v>170</v>
      </c>
      <c r="F385" s="91">
        <f>42.89*10.764</f>
        <v>461.66795999999999</v>
      </c>
      <c r="G385" s="92"/>
      <c r="H385" s="55">
        <v>0</v>
      </c>
      <c r="I385" s="55">
        <f t="shared" si="38"/>
        <v>692.50193999999999</v>
      </c>
    </row>
    <row r="386" spans="1:9" s="17" customFormat="1" ht="21" customHeight="1" x14ac:dyDescent="0.25">
      <c r="A386" s="102"/>
      <c r="B386" s="103"/>
      <c r="C386" s="91">
        <v>8</v>
      </c>
      <c r="D386" s="92"/>
      <c r="E386" s="55" t="s">
        <v>150</v>
      </c>
      <c r="F386" s="91">
        <f>49.07*10.764</f>
        <v>528.18948</v>
      </c>
      <c r="G386" s="92"/>
      <c r="H386" s="55">
        <v>0</v>
      </c>
      <c r="I386" s="55">
        <f t="shared" si="38"/>
        <v>792.28422</v>
      </c>
    </row>
    <row r="387" spans="1:9" s="17" customFormat="1" ht="21" customHeight="1" x14ac:dyDescent="0.25">
      <c r="A387" s="102"/>
      <c r="B387" s="103"/>
      <c r="C387" s="91">
        <v>9</v>
      </c>
      <c r="D387" s="92"/>
      <c r="E387" s="55" t="s">
        <v>150</v>
      </c>
      <c r="F387" s="91">
        <f>49.07*10.764</f>
        <v>528.18948</v>
      </c>
      <c r="G387" s="92"/>
      <c r="H387" s="55">
        <v>0</v>
      </c>
      <c r="I387" s="55">
        <f t="shared" si="38"/>
        <v>792.28422</v>
      </c>
    </row>
    <row r="388" spans="1:9" s="17" customFormat="1" ht="21" customHeight="1" x14ac:dyDescent="0.25">
      <c r="A388" s="102"/>
      <c r="B388" s="103"/>
      <c r="C388" s="91">
        <v>10</v>
      </c>
      <c r="D388" s="92"/>
      <c r="E388" s="55" t="s">
        <v>170</v>
      </c>
      <c r="F388" s="91">
        <f>41.03*10.764</f>
        <v>441.64691999999997</v>
      </c>
      <c r="G388" s="92"/>
      <c r="H388" s="55">
        <v>0</v>
      </c>
      <c r="I388" s="55">
        <f t="shared" si="38"/>
        <v>662.47037999999998</v>
      </c>
    </row>
    <row r="389" spans="1:9" s="17" customFormat="1" ht="21" x14ac:dyDescent="0.25">
      <c r="A389" s="119" t="s">
        <v>191</v>
      </c>
      <c r="B389" s="93"/>
      <c r="C389" s="93"/>
      <c r="D389" s="93"/>
      <c r="E389" s="93"/>
      <c r="F389" s="93"/>
      <c r="G389" s="93"/>
      <c r="H389" s="93"/>
      <c r="I389" s="93"/>
    </row>
    <row r="390" spans="1:9" s="17" customFormat="1" ht="21" x14ac:dyDescent="0.25">
      <c r="A390" s="119" t="s">
        <v>180</v>
      </c>
      <c r="B390" s="93"/>
      <c r="C390" s="93"/>
      <c r="D390" s="93"/>
      <c r="E390" s="93"/>
      <c r="F390" s="93"/>
      <c r="G390" s="93"/>
      <c r="H390" s="93"/>
      <c r="I390" s="93"/>
    </row>
    <row r="391" spans="1:9" s="17" customFormat="1" ht="21" x14ac:dyDescent="0.25">
      <c r="A391" s="93" t="s">
        <v>137</v>
      </c>
      <c r="B391" s="93"/>
      <c r="C391" s="93"/>
      <c r="D391" s="93"/>
      <c r="E391" s="93"/>
      <c r="F391" s="93"/>
      <c r="G391" s="93"/>
      <c r="H391" s="93"/>
      <c r="I391" s="93"/>
    </row>
    <row r="392" spans="1:9" s="17" customFormat="1" ht="21" customHeight="1" x14ac:dyDescent="0.25">
      <c r="A392" s="100" t="str">
        <f>A391</f>
        <v>1st Floor</v>
      </c>
      <c r="B392" s="101"/>
      <c r="C392" s="91">
        <v>1</v>
      </c>
      <c r="D392" s="92"/>
      <c r="E392" s="55" t="s">
        <v>170</v>
      </c>
      <c r="F392" s="91">
        <f>41.89*10.764</f>
        <v>450.90395999999998</v>
      </c>
      <c r="G392" s="92"/>
      <c r="H392" s="55">
        <v>0</v>
      </c>
      <c r="I392" s="55">
        <f t="shared" ref="I392" si="39">F392*1.5+H392</f>
        <v>676.35593999999992</v>
      </c>
    </row>
    <row r="393" spans="1:9" s="17" customFormat="1" ht="21" customHeight="1" x14ac:dyDescent="0.25">
      <c r="A393" s="102"/>
      <c r="B393" s="103"/>
      <c r="C393" s="91">
        <v>2</v>
      </c>
      <c r="D393" s="92"/>
      <c r="E393" s="55" t="s">
        <v>170</v>
      </c>
      <c r="F393" s="91">
        <f t="shared" ref="F393:F394" si="40">30.98*10.764</f>
        <v>333.46871999999996</v>
      </c>
      <c r="G393" s="92"/>
      <c r="H393" s="55">
        <v>0</v>
      </c>
      <c r="I393" s="55">
        <f t="shared" ref="I393:I400" si="41">F393*1.5+H393</f>
        <v>500.20307999999994</v>
      </c>
    </row>
    <row r="394" spans="1:9" s="17" customFormat="1" ht="21" customHeight="1" x14ac:dyDescent="0.25">
      <c r="A394" s="102"/>
      <c r="B394" s="103"/>
      <c r="C394" s="91">
        <v>3</v>
      </c>
      <c r="D394" s="92"/>
      <c r="E394" s="55" t="s">
        <v>170</v>
      </c>
      <c r="F394" s="91">
        <f t="shared" si="40"/>
        <v>333.46871999999996</v>
      </c>
      <c r="G394" s="92"/>
      <c r="H394" s="55">
        <v>0</v>
      </c>
      <c r="I394" s="55">
        <f t="shared" si="41"/>
        <v>500.20307999999994</v>
      </c>
    </row>
    <row r="395" spans="1:9" s="17" customFormat="1" ht="21" customHeight="1" x14ac:dyDescent="0.25">
      <c r="A395" s="102"/>
      <c r="B395" s="103"/>
      <c r="C395" s="91">
        <v>4</v>
      </c>
      <c r="D395" s="92"/>
      <c r="E395" s="55" t="s">
        <v>150</v>
      </c>
      <c r="F395" s="91">
        <f>44.89*10.764</f>
        <v>483.19595999999996</v>
      </c>
      <c r="G395" s="92"/>
      <c r="H395" s="55">
        <v>0</v>
      </c>
      <c r="I395" s="55">
        <f t="shared" si="41"/>
        <v>724.79393999999991</v>
      </c>
    </row>
    <row r="396" spans="1:9" s="17" customFormat="1" ht="21" x14ac:dyDescent="0.25">
      <c r="A396" s="102"/>
      <c r="B396" s="103"/>
      <c r="C396" s="91">
        <v>5</v>
      </c>
      <c r="D396" s="92"/>
      <c r="E396" s="55" t="s">
        <v>150</v>
      </c>
      <c r="F396" s="91">
        <f>51.86*10.764</f>
        <v>558.22104000000002</v>
      </c>
      <c r="G396" s="92"/>
      <c r="H396" s="55">
        <v>0</v>
      </c>
      <c r="I396" s="55">
        <f t="shared" si="41"/>
        <v>837.33156000000008</v>
      </c>
    </row>
    <row r="397" spans="1:9" s="17" customFormat="1" ht="21" customHeight="1" x14ac:dyDescent="0.25">
      <c r="A397" s="102"/>
      <c r="B397" s="103"/>
      <c r="C397" s="91">
        <v>6</v>
      </c>
      <c r="D397" s="92"/>
      <c r="E397" s="55" t="s">
        <v>170</v>
      </c>
      <c r="F397" s="91">
        <f t="shared" ref="F397:F398" si="42">42.89*10.764</f>
        <v>461.66795999999999</v>
      </c>
      <c r="G397" s="92"/>
      <c r="H397" s="55">
        <v>0</v>
      </c>
      <c r="I397" s="55">
        <f t="shared" si="41"/>
        <v>692.50193999999999</v>
      </c>
    </row>
    <row r="398" spans="1:9" s="17" customFormat="1" ht="21" x14ac:dyDescent="0.25">
      <c r="A398" s="102"/>
      <c r="B398" s="103"/>
      <c r="C398" s="91">
        <v>7</v>
      </c>
      <c r="D398" s="92"/>
      <c r="E398" s="55" t="s">
        <v>170</v>
      </c>
      <c r="F398" s="91">
        <f t="shared" si="42"/>
        <v>461.66795999999999</v>
      </c>
      <c r="G398" s="92"/>
      <c r="H398" s="55">
        <v>0</v>
      </c>
      <c r="I398" s="55">
        <f t="shared" si="41"/>
        <v>692.50193999999999</v>
      </c>
    </row>
    <row r="399" spans="1:9" s="17" customFormat="1" ht="21" customHeight="1" x14ac:dyDescent="0.25">
      <c r="A399" s="102"/>
      <c r="B399" s="103"/>
      <c r="C399" s="91">
        <v>8</v>
      </c>
      <c r="D399" s="92"/>
      <c r="E399" s="55" t="s">
        <v>150</v>
      </c>
      <c r="F399" s="91">
        <f>49.07*10.764</f>
        <v>528.18948</v>
      </c>
      <c r="G399" s="92"/>
      <c r="H399" s="55">
        <v>0</v>
      </c>
      <c r="I399" s="55">
        <f t="shared" si="41"/>
        <v>792.28422</v>
      </c>
    </row>
    <row r="400" spans="1:9" s="17" customFormat="1" ht="21" customHeight="1" x14ac:dyDescent="0.25">
      <c r="A400" s="102"/>
      <c r="B400" s="103"/>
      <c r="C400" s="91">
        <v>9</v>
      </c>
      <c r="D400" s="92"/>
      <c r="E400" s="55" t="s">
        <v>150</v>
      </c>
      <c r="F400" s="91">
        <f>49.07*10.764</f>
        <v>528.18948</v>
      </c>
      <c r="G400" s="92"/>
      <c r="H400" s="55">
        <v>0</v>
      </c>
      <c r="I400" s="55">
        <f t="shared" si="41"/>
        <v>792.28422</v>
      </c>
    </row>
    <row r="401" spans="1:9" s="17" customFormat="1" ht="21" customHeight="1" x14ac:dyDescent="0.25">
      <c r="A401" s="102"/>
      <c r="B401" s="103"/>
      <c r="C401" s="91">
        <v>10</v>
      </c>
      <c r="D401" s="92"/>
      <c r="E401" s="91" t="s">
        <v>179</v>
      </c>
      <c r="F401" s="94"/>
      <c r="G401" s="94"/>
      <c r="H401" s="94"/>
      <c r="I401" s="92"/>
    </row>
    <row r="402" spans="1:9" s="17" customFormat="1" ht="21" customHeight="1" x14ac:dyDescent="0.25">
      <c r="A402" s="114" t="s">
        <v>184</v>
      </c>
      <c r="B402" s="115"/>
      <c r="C402" s="115"/>
      <c r="D402" s="115"/>
      <c r="E402" s="115"/>
      <c r="F402" s="115"/>
      <c r="G402" s="115"/>
      <c r="H402" s="115"/>
      <c r="I402" s="116"/>
    </row>
    <row r="403" spans="1:9" s="17" customFormat="1" ht="21" customHeight="1" x14ac:dyDescent="0.25">
      <c r="A403" s="100" t="str">
        <f>A402</f>
        <v>2nd to 7th, 9th to 13th, 15th to 18th, 20th to 23rd, 25th to 28th, 30th to 32nd Floor</v>
      </c>
      <c r="B403" s="101"/>
      <c r="C403" s="91">
        <v>1</v>
      </c>
      <c r="D403" s="92"/>
      <c r="E403" s="55" t="s">
        <v>170</v>
      </c>
      <c r="F403" s="91">
        <f>41.89*10.764</f>
        <v>450.90395999999998</v>
      </c>
      <c r="G403" s="92"/>
      <c r="H403" s="55">
        <v>0</v>
      </c>
      <c r="I403" s="55">
        <f t="shared" ref="I403:I412" si="43">F403*1.5+H403</f>
        <v>676.35593999999992</v>
      </c>
    </row>
    <row r="404" spans="1:9" s="17" customFormat="1" ht="21" customHeight="1" x14ac:dyDescent="0.25">
      <c r="A404" s="102"/>
      <c r="B404" s="103"/>
      <c r="C404" s="91">
        <v>2</v>
      </c>
      <c r="D404" s="92"/>
      <c r="E404" s="55" t="s">
        <v>170</v>
      </c>
      <c r="F404" s="91">
        <f>30.98*10.764</f>
        <v>333.46871999999996</v>
      </c>
      <c r="G404" s="92"/>
      <c r="H404" s="55">
        <v>0</v>
      </c>
      <c r="I404" s="55">
        <f t="shared" si="43"/>
        <v>500.20307999999994</v>
      </c>
    </row>
    <row r="405" spans="1:9" s="17" customFormat="1" ht="21" customHeight="1" x14ac:dyDescent="0.25">
      <c r="A405" s="102"/>
      <c r="B405" s="103"/>
      <c r="C405" s="91">
        <v>3</v>
      </c>
      <c r="D405" s="92"/>
      <c r="E405" s="55" t="s">
        <v>170</v>
      </c>
      <c r="F405" s="91">
        <f>30.98*10.764</f>
        <v>333.46871999999996</v>
      </c>
      <c r="G405" s="92"/>
      <c r="H405" s="55">
        <v>0</v>
      </c>
      <c r="I405" s="55">
        <f t="shared" si="43"/>
        <v>500.20307999999994</v>
      </c>
    </row>
    <row r="406" spans="1:9" s="17" customFormat="1" ht="21" customHeight="1" x14ac:dyDescent="0.25">
      <c r="A406" s="102"/>
      <c r="B406" s="103"/>
      <c r="C406" s="91">
        <v>4</v>
      </c>
      <c r="D406" s="92"/>
      <c r="E406" s="55" t="s">
        <v>150</v>
      </c>
      <c r="F406" s="91">
        <f>44.89*10.764</f>
        <v>483.19595999999996</v>
      </c>
      <c r="G406" s="92"/>
      <c r="H406" s="55">
        <v>0</v>
      </c>
      <c r="I406" s="55">
        <f t="shared" si="43"/>
        <v>724.79393999999991</v>
      </c>
    </row>
    <row r="407" spans="1:9" s="17" customFormat="1" ht="21" x14ac:dyDescent="0.25">
      <c r="A407" s="102"/>
      <c r="B407" s="103"/>
      <c r="C407" s="91">
        <v>5</v>
      </c>
      <c r="D407" s="92"/>
      <c r="E407" s="55" t="s">
        <v>150</v>
      </c>
      <c r="F407" s="91">
        <f>51.86*10.764</f>
        <v>558.22104000000002</v>
      </c>
      <c r="G407" s="92"/>
      <c r="H407" s="55">
        <v>0</v>
      </c>
      <c r="I407" s="55">
        <f t="shared" si="43"/>
        <v>837.33156000000008</v>
      </c>
    </row>
    <row r="408" spans="1:9" s="17" customFormat="1" ht="21" customHeight="1" x14ac:dyDescent="0.25">
      <c r="A408" s="102"/>
      <c r="B408" s="103"/>
      <c r="C408" s="91">
        <v>6</v>
      </c>
      <c r="D408" s="92"/>
      <c r="E408" s="55" t="s">
        <v>170</v>
      </c>
      <c r="F408" s="91">
        <f>42.89*10.764</f>
        <v>461.66795999999999</v>
      </c>
      <c r="G408" s="92"/>
      <c r="H408" s="55">
        <v>0</v>
      </c>
      <c r="I408" s="55">
        <f t="shared" si="43"/>
        <v>692.50193999999999</v>
      </c>
    </row>
    <row r="409" spans="1:9" s="17" customFormat="1" ht="21" x14ac:dyDescent="0.25">
      <c r="A409" s="102"/>
      <c r="B409" s="103"/>
      <c r="C409" s="91">
        <v>7</v>
      </c>
      <c r="D409" s="92"/>
      <c r="E409" s="55" t="s">
        <v>170</v>
      </c>
      <c r="F409" s="91">
        <f>42.89*10.764</f>
        <v>461.66795999999999</v>
      </c>
      <c r="G409" s="92"/>
      <c r="H409" s="55">
        <v>0</v>
      </c>
      <c r="I409" s="55">
        <f t="shared" si="43"/>
        <v>692.50193999999999</v>
      </c>
    </row>
    <row r="410" spans="1:9" s="17" customFormat="1" ht="21" customHeight="1" x14ac:dyDescent="0.25">
      <c r="A410" s="102"/>
      <c r="B410" s="103"/>
      <c r="C410" s="91">
        <v>8</v>
      </c>
      <c r="D410" s="92"/>
      <c r="E410" s="55" t="s">
        <v>150</v>
      </c>
      <c r="F410" s="91">
        <f>49.07*10.764</f>
        <v>528.18948</v>
      </c>
      <c r="G410" s="92"/>
      <c r="H410" s="55">
        <v>0</v>
      </c>
      <c r="I410" s="55">
        <f t="shared" si="43"/>
        <v>792.28422</v>
      </c>
    </row>
    <row r="411" spans="1:9" s="17" customFormat="1" ht="21" customHeight="1" x14ac:dyDescent="0.25">
      <c r="A411" s="102"/>
      <c r="B411" s="103"/>
      <c r="C411" s="91">
        <v>9</v>
      </c>
      <c r="D411" s="92"/>
      <c r="E411" s="55" t="s">
        <v>150</v>
      </c>
      <c r="F411" s="91">
        <f>49.07*10.764</f>
        <v>528.18948</v>
      </c>
      <c r="G411" s="92"/>
      <c r="H411" s="55">
        <v>0</v>
      </c>
      <c r="I411" s="55">
        <f t="shared" si="43"/>
        <v>792.28422</v>
      </c>
    </row>
    <row r="412" spans="1:9" s="17" customFormat="1" ht="21" customHeight="1" x14ac:dyDescent="0.25">
      <c r="A412" s="117"/>
      <c r="B412" s="118"/>
      <c r="C412" s="91">
        <v>10</v>
      </c>
      <c r="D412" s="92"/>
      <c r="E412" s="55" t="s">
        <v>170</v>
      </c>
      <c r="F412" s="91">
        <f>41.03*10.764</f>
        <v>441.64691999999997</v>
      </c>
      <c r="G412" s="92"/>
      <c r="H412" s="55">
        <v>0</v>
      </c>
      <c r="I412" s="55">
        <f t="shared" si="43"/>
        <v>662.47037999999998</v>
      </c>
    </row>
    <row r="413" spans="1:9" s="17" customFormat="1" ht="21" customHeight="1" x14ac:dyDescent="0.25">
      <c r="A413" s="114" t="s">
        <v>178</v>
      </c>
      <c r="B413" s="115"/>
      <c r="C413" s="115"/>
      <c r="D413" s="115"/>
      <c r="E413" s="115"/>
      <c r="F413" s="115"/>
      <c r="G413" s="115"/>
      <c r="H413" s="115"/>
      <c r="I413" s="116"/>
    </row>
    <row r="414" spans="1:9" s="17" customFormat="1" ht="21" customHeight="1" x14ac:dyDescent="0.25">
      <c r="A414" s="100" t="str">
        <f>A413</f>
        <v>8th Floor (Part Refuge Area)</v>
      </c>
      <c r="B414" s="101"/>
      <c r="C414" s="91">
        <v>1</v>
      </c>
      <c r="D414" s="92"/>
      <c r="E414" s="55" t="s">
        <v>170</v>
      </c>
      <c r="F414" s="91">
        <f>41.89*10.764</f>
        <v>450.90395999999998</v>
      </c>
      <c r="G414" s="92"/>
      <c r="H414" s="55">
        <v>0</v>
      </c>
      <c r="I414" s="55">
        <f t="shared" ref="I414:I423" si="44">F414*1.5+H414</f>
        <v>676.35593999999992</v>
      </c>
    </row>
    <row r="415" spans="1:9" s="17" customFormat="1" ht="21" customHeight="1" x14ac:dyDescent="0.25">
      <c r="A415" s="102"/>
      <c r="B415" s="103"/>
      <c r="C415" s="91">
        <v>2</v>
      </c>
      <c r="D415" s="92"/>
      <c r="E415" s="55" t="s">
        <v>170</v>
      </c>
      <c r="F415" s="91">
        <f>30.98*10.764</f>
        <v>333.46871999999996</v>
      </c>
      <c r="G415" s="92"/>
      <c r="H415" s="55">
        <v>0</v>
      </c>
      <c r="I415" s="55">
        <f t="shared" si="44"/>
        <v>500.20307999999994</v>
      </c>
    </row>
    <row r="416" spans="1:9" s="17" customFormat="1" ht="21" customHeight="1" x14ac:dyDescent="0.25">
      <c r="A416" s="102"/>
      <c r="B416" s="103"/>
      <c r="C416" s="91">
        <v>3</v>
      </c>
      <c r="D416" s="92"/>
      <c r="E416" s="55" t="s">
        <v>170</v>
      </c>
      <c r="F416" s="91">
        <f>30.98*10.764</f>
        <v>333.46871999999996</v>
      </c>
      <c r="G416" s="92"/>
      <c r="H416" s="55">
        <v>0</v>
      </c>
      <c r="I416" s="55">
        <f t="shared" si="44"/>
        <v>500.20307999999994</v>
      </c>
    </row>
    <row r="417" spans="1:9" s="17" customFormat="1" ht="21" customHeight="1" x14ac:dyDescent="0.25">
      <c r="A417" s="102"/>
      <c r="B417" s="103"/>
      <c r="C417" s="91">
        <v>4</v>
      </c>
      <c r="D417" s="92"/>
      <c r="E417" s="55" t="s">
        <v>150</v>
      </c>
      <c r="F417" s="91">
        <f>44.89*10.764</f>
        <v>483.19595999999996</v>
      </c>
      <c r="G417" s="92"/>
      <c r="H417" s="55">
        <v>0</v>
      </c>
      <c r="I417" s="55">
        <f t="shared" si="44"/>
        <v>724.79393999999991</v>
      </c>
    </row>
    <row r="418" spans="1:9" s="17" customFormat="1" ht="21" x14ac:dyDescent="0.25">
      <c r="A418" s="102"/>
      <c r="B418" s="103"/>
      <c r="C418" s="91">
        <v>5</v>
      </c>
      <c r="D418" s="92"/>
      <c r="E418" s="91" t="s">
        <v>151</v>
      </c>
      <c r="F418" s="94"/>
      <c r="G418" s="94"/>
      <c r="H418" s="94"/>
      <c r="I418" s="92"/>
    </row>
    <row r="419" spans="1:9" s="17" customFormat="1" ht="21" customHeight="1" x14ac:dyDescent="0.25">
      <c r="A419" s="102"/>
      <c r="B419" s="103"/>
      <c r="C419" s="91">
        <v>6</v>
      </c>
      <c r="D419" s="92"/>
      <c r="E419" s="55" t="s">
        <v>170</v>
      </c>
      <c r="F419" s="91">
        <f>42.89*10.764</f>
        <v>461.66795999999999</v>
      </c>
      <c r="G419" s="92"/>
      <c r="H419" s="55">
        <v>0</v>
      </c>
      <c r="I419" s="55">
        <f t="shared" si="44"/>
        <v>692.50193999999999</v>
      </c>
    </row>
    <row r="420" spans="1:9" s="17" customFormat="1" ht="21" x14ac:dyDescent="0.25">
      <c r="A420" s="102"/>
      <c r="B420" s="103"/>
      <c r="C420" s="91">
        <v>7</v>
      </c>
      <c r="D420" s="92"/>
      <c r="E420" s="55" t="s">
        <v>170</v>
      </c>
      <c r="F420" s="91">
        <f>42.89*10.764</f>
        <v>461.66795999999999</v>
      </c>
      <c r="G420" s="92"/>
      <c r="H420" s="55">
        <v>0</v>
      </c>
      <c r="I420" s="55">
        <f t="shared" si="44"/>
        <v>692.50193999999999</v>
      </c>
    </row>
    <row r="421" spans="1:9" s="17" customFormat="1" ht="21" customHeight="1" x14ac:dyDescent="0.25">
      <c r="A421" s="102"/>
      <c r="B421" s="103"/>
      <c r="C421" s="91">
        <v>8</v>
      </c>
      <c r="D421" s="92"/>
      <c r="E421" s="55" t="s">
        <v>150</v>
      </c>
      <c r="F421" s="91">
        <f>49.07*10.764</f>
        <v>528.18948</v>
      </c>
      <c r="G421" s="92"/>
      <c r="H421" s="55">
        <v>0</v>
      </c>
      <c r="I421" s="55">
        <f t="shared" si="44"/>
        <v>792.28422</v>
      </c>
    </row>
    <row r="422" spans="1:9" s="17" customFormat="1" ht="21" customHeight="1" x14ac:dyDescent="0.25">
      <c r="A422" s="102"/>
      <c r="B422" s="103"/>
      <c r="C422" s="91">
        <v>9</v>
      </c>
      <c r="D422" s="92"/>
      <c r="E422" s="55" t="s">
        <v>150</v>
      </c>
      <c r="F422" s="91">
        <f>49.07*10.764</f>
        <v>528.18948</v>
      </c>
      <c r="G422" s="92"/>
      <c r="H422" s="55">
        <v>0</v>
      </c>
      <c r="I422" s="55">
        <f t="shared" si="44"/>
        <v>792.28422</v>
      </c>
    </row>
    <row r="423" spans="1:9" s="17" customFormat="1" ht="21" customHeight="1" x14ac:dyDescent="0.25">
      <c r="A423" s="117"/>
      <c r="B423" s="118"/>
      <c r="C423" s="91">
        <v>10</v>
      </c>
      <c r="D423" s="92"/>
      <c r="E423" s="55" t="s">
        <v>170</v>
      </c>
      <c r="F423" s="91">
        <f>41.03*10.764</f>
        <v>441.64691999999997</v>
      </c>
      <c r="G423" s="92"/>
      <c r="H423" s="55">
        <v>0</v>
      </c>
      <c r="I423" s="55">
        <f t="shared" si="44"/>
        <v>662.47037999999998</v>
      </c>
    </row>
    <row r="424" spans="1:9" s="17" customFormat="1" ht="21" customHeight="1" x14ac:dyDescent="0.25">
      <c r="A424" s="114" t="s">
        <v>185</v>
      </c>
      <c r="B424" s="115"/>
      <c r="C424" s="115"/>
      <c r="D424" s="115"/>
      <c r="E424" s="115"/>
      <c r="F424" s="115"/>
      <c r="G424" s="115"/>
      <c r="H424" s="115"/>
      <c r="I424" s="116"/>
    </row>
    <row r="425" spans="1:9" s="17" customFormat="1" ht="21" customHeight="1" x14ac:dyDescent="0.25">
      <c r="A425" s="114" t="s">
        <v>186</v>
      </c>
      <c r="B425" s="115"/>
      <c r="C425" s="115"/>
      <c r="D425" s="115"/>
      <c r="E425" s="115"/>
      <c r="F425" s="115"/>
      <c r="G425" s="115"/>
      <c r="H425" s="115"/>
      <c r="I425" s="116"/>
    </row>
    <row r="426" spans="1:9" s="17" customFormat="1" ht="21" customHeight="1" x14ac:dyDescent="0.25">
      <c r="A426" s="100" t="str">
        <f>A425</f>
        <v>14th, 19th &amp; 24th Floor (Part Refuge Area)</v>
      </c>
      <c r="B426" s="101"/>
      <c r="C426" s="91">
        <v>1</v>
      </c>
      <c r="D426" s="92"/>
      <c r="E426" s="55" t="s">
        <v>170</v>
      </c>
      <c r="F426" s="91">
        <f>41.89*10.764</f>
        <v>450.90395999999998</v>
      </c>
      <c r="G426" s="92"/>
      <c r="H426" s="55">
        <v>0</v>
      </c>
      <c r="I426" s="55">
        <f t="shared" ref="I426:I429" si="45">F426*1.5+H426</f>
        <v>676.35593999999992</v>
      </c>
    </row>
    <row r="427" spans="1:9" s="17" customFormat="1" ht="21" customHeight="1" x14ac:dyDescent="0.25">
      <c r="A427" s="102"/>
      <c r="B427" s="103"/>
      <c r="C427" s="91">
        <v>2</v>
      </c>
      <c r="D427" s="92"/>
      <c r="E427" s="55" t="s">
        <v>170</v>
      </c>
      <c r="F427" s="91">
        <f>30.98*10.764</f>
        <v>333.46871999999996</v>
      </c>
      <c r="G427" s="92"/>
      <c r="H427" s="55">
        <v>0</v>
      </c>
      <c r="I427" s="55">
        <f t="shared" si="45"/>
        <v>500.20307999999994</v>
      </c>
    </row>
    <row r="428" spans="1:9" s="17" customFormat="1" ht="21" customHeight="1" x14ac:dyDescent="0.25">
      <c r="A428" s="102"/>
      <c r="B428" s="103"/>
      <c r="C428" s="91">
        <v>3</v>
      </c>
      <c r="D428" s="92"/>
      <c r="E428" s="55" t="s">
        <v>170</v>
      </c>
      <c r="F428" s="91">
        <f>30.98*10.764</f>
        <v>333.46871999999996</v>
      </c>
      <c r="G428" s="92"/>
      <c r="H428" s="55">
        <v>0</v>
      </c>
      <c r="I428" s="55">
        <f t="shared" si="45"/>
        <v>500.20307999999994</v>
      </c>
    </row>
    <row r="429" spans="1:9" s="17" customFormat="1" ht="21" customHeight="1" x14ac:dyDescent="0.25">
      <c r="A429" s="102"/>
      <c r="B429" s="103"/>
      <c r="C429" s="91">
        <v>4</v>
      </c>
      <c r="D429" s="92"/>
      <c r="E429" s="55" t="s">
        <v>150</v>
      </c>
      <c r="F429" s="91">
        <f>44.89*10.764</f>
        <v>483.19595999999996</v>
      </c>
      <c r="G429" s="92"/>
      <c r="H429" s="55">
        <v>0</v>
      </c>
      <c r="I429" s="55">
        <f t="shared" si="45"/>
        <v>724.79393999999991</v>
      </c>
    </row>
    <row r="430" spans="1:9" s="17" customFormat="1" ht="21" x14ac:dyDescent="0.25">
      <c r="A430" s="102"/>
      <c r="B430" s="103"/>
      <c r="C430" s="91">
        <v>5</v>
      </c>
      <c r="D430" s="92"/>
      <c r="E430" s="91" t="s">
        <v>151</v>
      </c>
      <c r="F430" s="94"/>
      <c r="G430" s="94"/>
      <c r="H430" s="94"/>
      <c r="I430" s="92"/>
    </row>
    <row r="431" spans="1:9" s="17" customFormat="1" ht="21" customHeight="1" x14ac:dyDescent="0.25">
      <c r="A431" s="102"/>
      <c r="B431" s="103"/>
      <c r="C431" s="91">
        <v>6</v>
      </c>
      <c r="D431" s="92"/>
      <c r="E431" s="55" t="s">
        <v>170</v>
      </c>
      <c r="F431" s="91">
        <f>42.89*10.764</f>
        <v>461.66795999999999</v>
      </c>
      <c r="G431" s="92"/>
      <c r="H431" s="55">
        <v>0</v>
      </c>
      <c r="I431" s="55">
        <f t="shared" ref="I431:I435" si="46">F431*1.5+H431</f>
        <v>692.50193999999999</v>
      </c>
    </row>
    <row r="432" spans="1:9" s="17" customFormat="1" ht="21" x14ac:dyDescent="0.25">
      <c r="A432" s="102"/>
      <c r="B432" s="103"/>
      <c r="C432" s="91">
        <v>7</v>
      </c>
      <c r="D432" s="92"/>
      <c r="E432" s="55" t="s">
        <v>170</v>
      </c>
      <c r="F432" s="91">
        <f>42.89*10.764</f>
        <v>461.66795999999999</v>
      </c>
      <c r="G432" s="92"/>
      <c r="H432" s="55">
        <v>0</v>
      </c>
      <c r="I432" s="55">
        <f t="shared" si="46"/>
        <v>692.50193999999999</v>
      </c>
    </row>
    <row r="433" spans="1:9" s="17" customFormat="1" ht="21" customHeight="1" x14ac:dyDescent="0.25">
      <c r="A433" s="102"/>
      <c r="B433" s="103"/>
      <c r="C433" s="91">
        <v>8</v>
      </c>
      <c r="D433" s="92"/>
      <c r="E433" s="55" t="s">
        <v>150</v>
      </c>
      <c r="F433" s="91">
        <f>49.07*10.764</f>
        <v>528.18948</v>
      </c>
      <c r="G433" s="92"/>
      <c r="H433" s="55">
        <v>0</v>
      </c>
      <c r="I433" s="55">
        <f t="shared" si="46"/>
        <v>792.28422</v>
      </c>
    </row>
    <row r="434" spans="1:9" s="17" customFormat="1" ht="21" customHeight="1" x14ac:dyDescent="0.25">
      <c r="A434" s="102"/>
      <c r="B434" s="103"/>
      <c r="C434" s="91">
        <v>9</v>
      </c>
      <c r="D434" s="92"/>
      <c r="E434" s="55" t="s">
        <v>150</v>
      </c>
      <c r="F434" s="91">
        <f>49.07*10.764</f>
        <v>528.18948</v>
      </c>
      <c r="G434" s="92"/>
      <c r="H434" s="55">
        <v>0</v>
      </c>
      <c r="I434" s="55">
        <f t="shared" si="46"/>
        <v>792.28422</v>
      </c>
    </row>
    <row r="435" spans="1:9" s="17" customFormat="1" ht="21" customHeight="1" x14ac:dyDescent="0.25">
      <c r="A435" s="117"/>
      <c r="B435" s="118"/>
      <c r="C435" s="91">
        <v>10</v>
      </c>
      <c r="D435" s="92"/>
      <c r="E435" s="55" t="s">
        <v>170</v>
      </c>
      <c r="F435" s="91">
        <f>41.03*10.764</f>
        <v>441.64691999999997</v>
      </c>
      <c r="G435" s="92"/>
      <c r="H435" s="55">
        <v>0</v>
      </c>
      <c r="I435" s="55">
        <f t="shared" si="46"/>
        <v>662.47037999999998</v>
      </c>
    </row>
    <row r="436" spans="1:9" s="17" customFormat="1" ht="21" customHeight="1" x14ac:dyDescent="0.25">
      <c r="A436" s="114" t="s">
        <v>187</v>
      </c>
      <c r="B436" s="115"/>
      <c r="C436" s="115"/>
      <c r="D436" s="115"/>
      <c r="E436" s="115"/>
      <c r="F436" s="115"/>
      <c r="G436" s="115"/>
      <c r="H436" s="115"/>
      <c r="I436" s="116"/>
    </row>
    <row r="437" spans="1:9" s="17" customFormat="1" ht="21" customHeight="1" x14ac:dyDescent="0.25">
      <c r="A437" s="100" t="str">
        <f>A436</f>
        <v>29th Floor (Part Refuge Area)</v>
      </c>
      <c r="B437" s="101"/>
      <c r="C437" s="91">
        <v>1</v>
      </c>
      <c r="D437" s="92"/>
      <c r="E437" s="55" t="s">
        <v>170</v>
      </c>
      <c r="F437" s="91">
        <f>41.89*10.764</f>
        <v>450.90395999999998</v>
      </c>
      <c r="G437" s="92"/>
      <c r="H437" s="55">
        <v>0</v>
      </c>
      <c r="I437" s="55">
        <f t="shared" ref="I437:I440" si="47">F437*1.5+H437</f>
        <v>676.35593999999992</v>
      </c>
    </row>
    <row r="438" spans="1:9" s="17" customFormat="1" ht="21" customHeight="1" x14ac:dyDescent="0.25">
      <c r="A438" s="102"/>
      <c r="B438" s="103"/>
      <c r="C438" s="91">
        <v>2</v>
      </c>
      <c r="D438" s="92"/>
      <c r="E438" s="55" t="s">
        <v>170</v>
      </c>
      <c r="F438" s="91">
        <f>30.98*10.764</f>
        <v>333.46871999999996</v>
      </c>
      <c r="G438" s="92"/>
      <c r="H438" s="55">
        <v>0</v>
      </c>
      <c r="I438" s="55">
        <f t="shared" si="47"/>
        <v>500.20307999999994</v>
      </c>
    </row>
    <row r="439" spans="1:9" s="17" customFormat="1" ht="21" customHeight="1" x14ac:dyDescent="0.25">
      <c r="A439" s="102"/>
      <c r="B439" s="103"/>
      <c r="C439" s="91">
        <v>3</v>
      </c>
      <c r="D439" s="92"/>
      <c r="E439" s="55" t="s">
        <v>170</v>
      </c>
      <c r="F439" s="91">
        <f>30.98*10.764</f>
        <v>333.46871999999996</v>
      </c>
      <c r="G439" s="92"/>
      <c r="H439" s="55">
        <v>0</v>
      </c>
      <c r="I439" s="55">
        <f t="shared" si="47"/>
        <v>500.20307999999994</v>
      </c>
    </row>
    <row r="440" spans="1:9" s="17" customFormat="1" ht="21" customHeight="1" x14ac:dyDescent="0.25">
      <c r="A440" s="102"/>
      <c r="B440" s="103"/>
      <c r="C440" s="91">
        <v>4</v>
      </c>
      <c r="D440" s="92"/>
      <c r="E440" s="55" t="s">
        <v>150</v>
      </c>
      <c r="F440" s="91">
        <f>44.89*10.764</f>
        <v>483.19595999999996</v>
      </c>
      <c r="G440" s="92"/>
      <c r="H440" s="55">
        <v>0</v>
      </c>
      <c r="I440" s="55">
        <f t="shared" si="47"/>
        <v>724.79393999999991</v>
      </c>
    </row>
    <row r="441" spans="1:9" s="17" customFormat="1" ht="21" x14ac:dyDescent="0.25">
      <c r="A441" s="102"/>
      <c r="B441" s="103"/>
      <c r="C441" s="91">
        <v>5</v>
      </c>
      <c r="D441" s="92"/>
      <c r="E441" s="91" t="s">
        <v>151</v>
      </c>
      <c r="F441" s="94"/>
      <c r="G441" s="94"/>
      <c r="H441" s="94"/>
      <c r="I441" s="92"/>
    </row>
    <row r="442" spans="1:9" s="17" customFormat="1" ht="21" customHeight="1" x14ac:dyDescent="0.25">
      <c r="A442" s="102"/>
      <c r="B442" s="103"/>
      <c r="C442" s="91">
        <v>6</v>
      </c>
      <c r="D442" s="92"/>
      <c r="E442" s="55" t="s">
        <v>170</v>
      </c>
      <c r="F442" s="91">
        <f>42.89*10.764</f>
        <v>461.66795999999999</v>
      </c>
      <c r="G442" s="92"/>
      <c r="H442" s="55">
        <v>0</v>
      </c>
      <c r="I442" s="55">
        <f t="shared" ref="I442:I446" si="48">F442*1.5+H442</f>
        <v>692.50193999999999</v>
      </c>
    </row>
    <row r="443" spans="1:9" s="17" customFormat="1" ht="21" x14ac:dyDescent="0.25">
      <c r="A443" s="102"/>
      <c r="B443" s="103"/>
      <c r="C443" s="91">
        <v>7</v>
      </c>
      <c r="D443" s="92"/>
      <c r="E443" s="55" t="s">
        <v>170</v>
      </c>
      <c r="F443" s="91">
        <f>42.89*10.764</f>
        <v>461.66795999999999</v>
      </c>
      <c r="G443" s="92"/>
      <c r="H443" s="55">
        <v>0</v>
      </c>
      <c r="I443" s="55">
        <f t="shared" si="48"/>
        <v>692.50193999999999</v>
      </c>
    </row>
    <row r="444" spans="1:9" s="17" customFormat="1" ht="21" customHeight="1" x14ac:dyDescent="0.25">
      <c r="A444" s="102"/>
      <c r="B444" s="103"/>
      <c r="C444" s="91">
        <v>8</v>
      </c>
      <c r="D444" s="92"/>
      <c r="E444" s="55" t="s">
        <v>150</v>
      </c>
      <c r="F444" s="91">
        <f>49.07*10.764</f>
        <v>528.18948</v>
      </c>
      <c r="G444" s="92"/>
      <c r="H444" s="55">
        <v>0</v>
      </c>
      <c r="I444" s="55">
        <f t="shared" si="48"/>
        <v>792.28422</v>
      </c>
    </row>
    <row r="445" spans="1:9" s="17" customFormat="1" ht="21" customHeight="1" x14ac:dyDescent="0.25">
      <c r="A445" s="102"/>
      <c r="B445" s="103"/>
      <c r="C445" s="91">
        <v>9</v>
      </c>
      <c r="D445" s="92"/>
      <c r="E445" s="55" t="s">
        <v>150</v>
      </c>
      <c r="F445" s="91">
        <f>49.07*10.764</f>
        <v>528.18948</v>
      </c>
      <c r="G445" s="92"/>
      <c r="H445" s="55">
        <v>0</v>
      </c>
      <c r="I445" s="55">
        <f t="shared" si="48"/>
        <v>792.28422</v>
      </c>
    </row>
    <row r="446" spans="1:9" s="17" customFormat="1" ht="21" customHeight="1" x14ac:dyDescent="0.25">
      <c r="A446" s="117"/>
      <c r="B446" s="118"/>
      <c r="C446" s="91">
        <v>10</v>
      </c>
      <c r="D446" s="92"/>
      <c r="E446" s="55" t="s">
        <v>170</v>
      </c>
      <c r="F446" s="91">
        <f>41.03*10.764</f>
        <v>441.64691999999997</v>
      </c>
      <c r="G446" s="92"/>
      <c r="H446" s="55">
        <v>0</v>
      </c>
      <c r="I446" s="55">
        <f t="shared" si="48"/>
        <v>662.47037999999998</v>
      </c>
    </row>
    <row r="447" spans="1:9" s="66" customFormat="1" ht="21" customHeight="1" x14ac:dyDescent="0.25">
      <c r="A447" s="153" t="s">
        <v>192</v>
      </c>
      <c r="B447" s="153"/>
      <c r="C447" s="153"/>
      <c r="D447" s="153"/>
      <c r="E447" s="153"/>
      <c r="F447" s="153"/>
      <c r="G447" s="153"/>
      <c r="H447" s="153"/>
      <c r="I447" s="153"/>
    </row>
    <row r="448" spans="1:9" s="66" customFormat="1" ht="21" customHeight="1" x14ac:dyDescent="0.25">
      <c r="A448" s="153" t="s">
        <v>136</v>
      </c>
      <c r="B448" s="153"/>
      <c r="C448" s="153"/>
      <c r="D448" s="153"/>
      <c r="E448" s="153"/>
      <c r="F448" s="153"/>
      <c r="G448" s="153"/>
      <c r="H448" s="153"/>
      <c r="I448" s="153"/>
    </row>
    <row r="449" spans="1:9" s="66" customFormat="1" ht="21" customHeight="1" x14ac:dyDescent="0.25">
      <c r="A449" s="153" t="s">
        <v>137</v>
      </c>
      <c r="B449" s="153"/>
      <c r="C449" s="153"/>
      <c r="D449" s="153"/>
      <c r="E449" s="153"/>
      <c r="F449" s="153"/>
      <c r="G449" s="153"/>
      <c r="H449" s="153"/>
      <c r="I449" s="153"/>
    </row>
    <row r="450" spans="1:9" s="66" customFormat="1" ht="21" customHeight="1" x14ac:dyDescent="0.25">
      <c r="A450" s="155" t="str">
        <f>A449</f>
        <v>1st Floor</v>
      </c>
      <c r="B450" s="155"/>
      <c r="C450" s="154">
        <v>1</v>
      </c>
      <c r="D450" s="154"/>
      <c r="E450" s="68" t="s">
        <v>170</v>
      </c>
      <c r="F450" s="155">
        <f>30.94*10.764</f>
        <v>333.03816</v>
      </c>
      <c r="G450" s="155"/>
      <c r="H450" s="68">
        <v>0</v>
      </c>
      <c r="I450" s="68">
        <f t="shared" ref="I450:I460" si="49">F450*1.5+H450</f>
        <v>499.55723999999998</v>
      </c>
    </row>
    <row r="451" spans="1:9" s="66" customFormat="1" ht="21" customHeight="1" x14ac:dyDescent="0.25">
      <c r="A451" s="155"/>
      <c r="B451" s="155"/>
      <c r="C451" s="154">
        <v>2</v>
      </c>
      <c r="D451" s="154"/>
      <c r="E451" s="68" t="s">
        <v>170</v>
      </c>
      <c r="F451" s="155">
        <f>30.94*10.764</f>
        <v>333.03816</v>
      </c>
      <c r="G451" s="155"/>
      <c r="H451" s="68">
        <v>0</v>
      </c>
      <c r="I451" s="68">
        <f t="shared" si="49"/>
        <v>499.55723999999998</v>
      </c>
    </row>
    <row r="452" spans="1:9" s="66" customFormat="1" ht="21" customHeight="1" x14ac:dyDescent="0.25">
      <c r="A452" s="155"/>
      <c r="B452" s="155"/>
      <c r="C452" s="154">
        <v>3</v>
      </c>
      <c r="D452" s="154"/>
      <c r="E452" s="155" t="s">
        <v>243</v>
      </c>
      <c r="F452" s="155"/>
      <c r="G452" s="155"/>
      <c r="H452" s="155"/>
      <c r="I452" s="155"/>
    </row>
    <row r="453" spans="1:9" s="66" customFormat="1" ht="21" customHeight="1" x14ac:dyDescent="0.25">
      <c r="A453" s="155"/>
      <c r="B453" s="155"/>
      <c r="C453" s="154">
        <v>4</v>
      </c>
      <c r="D453" s="154"/>
      <c r="E453" s="155" t="s">
        <v>243</v>
      </c>
      <c r="F453" s="155"/>
      <c r="G453" s="155"/>
      <c r="H453" s="155"/>
      <c r="I453" s="155"/>
    </row>
    <row r="454" spans="1:9" s="66" customFormat="1" ht="21" customHeight="1" x14ac:dyDescent="0.25">
      <c r="A454" s="155"/>
      <c r="B454" s="155"/>
      <c r="C454" s="154">
        <v>5</v>
      </c>
      <c r="D454" s="154"/>
      <c r="E454" s="68" t="s">
        <v>170</v>
      </c>
      <c r="F454" s="155">
        <f>30.94*10.764</f>
        <v>333.03816</v>
      </c>
      <c r="G454" s="155"/>
      <c r="H454" s="68">
        <v>0</v>
      </c>
      <c r="I454" s="68">
        <f t="shared" si="49"/>
        <v>499.55723999999998</v>
      </c>
    </row>
    <row r="455" spans="1:9" s="66" customFormat="1" ht="21" customHeight="1" x14ac:dyDescent="0.25">
      <c r="A455" s="155"/>
      <c r="B455" s="155"/>
      <c r="C455" s="154">
        <v>6</v>
      </c>
      <c r="D455" s="154"/>
      <c r="E455" s="68" t="s">
        <v>170</v>
      </c>
      <c r="F455" s="155">
        <f>40.85*10.764</f>
        <v>439.70940000000002</v>
      </c>
      <c r="G455" s="155"/>
      <c r="H455" s="68">
        <v>0</v>
      </c>
      <c r="I455" s="68">
        <f t="shared" si="49"/>
        <v>659.56410000000005</v>
      </c>
    </row>
    <row r="456" spans="1:9" s="66" customFormat="1" ht="21" customHeight="1" x14ac:dyDescent="0.25">
      <c r="A456" s="155"/>
      <c r="B456" s="155"/>
      <c r="C456" s="154">
        <v>7</v>
      </c>
      <c r="D456" s="154"/>
      <c r="E456" s="68" t="s">
        <v>150</v>
      </c>
      <c r="F456" s="155">
        <f>51.84*10.764</f>
        <v>558.00576000000001</v>
      </c>
      <c r="G456" s="155"/>
      <c r="H456" s="68">
        <v>0</v>
      </c>
      <c r="I456" s="68">
        <f t="shared" si="49"/>
        <v>837.00864000000001</v>
      </c>
    </row>
    <row r="457" spans="1:9" s="66" customFormat="1" ht="21" customHeight="1" x14ac:dyDescent="0.25">
      <c r="A457" s="155"/>
      <c r="B457" s="155"/>
      <c r="C457" s="154">
        <v>8</v>
      </c>
      <c r="D457" s="154"/>
      <c r="E457" s="68" t="s">
        <v>170</v>
      </c>
      <c r="F457" s="155">
        <f>31.22*10.764</f>
        <v>336.05207999999999</v>
      </c>
      <c r="G457" s="155"/>
      <c r="H457" s="68">
        <v>0</v>
      </c>
      <c r="I457" s="68">
        <f t="shared" si="49"/>
        <v>504.07812000000001</v>
      </c>
    </row>
    <row r="458" spans="1:9" s="66" customFormat="1" ht="21" customHeight="1" x14ac:dyDescent="0.25">
      <c r="A458" s="155"/>
      <c r="B458" s="155"/>
      <c r="C458" s="154">
        <v>9</v>
      </c>
      <c r="D458" s="154"/>
      <c r="E458" s="68" t="s">
        <v>170</v>
      </c>
      <c r="F458" s="155">
        <f>31.22*10.764</f>
        <v>336.05207999999999</v>
      </c>
      <c r="G458" s="155"/>
      <c r="H458" s="68">
        <v>0</v>
      </c>
      <c r="I458" s="68">
        <f t="shared" si="49"/>
        <v>504.07812000000001</v>
      </c>
    </row>
    <row r="459" spans="1:9" s="66" customFormat="1" ht="21" customHeight="1" x14ac:dyDescent="0.25">
      <c r="A459" s="155"/>
      <c r="B459" s="155"/>
      <c r="C459" s="154">
        <v>10</v>
      </c>
      <c r="D459" s="154"/>
      <c r="E459" s="68" t="s">
        <v>150</v>
      </c>
      <c r="F459" s="155">
        <f>49.14*10.764</f>
        <v>528.94295999999997</v>
      </c>
      <c r="G459" s="155"/>
      <c r="H459" s="68">
        <v>0</v>
      </c>
      <c r="I459" s="68">
        <f t="shared" si="49"/>
        <v>793.41444000000001</v>
      </c>
    </row>
    <row r="460" spans="1:9" s="66" customFormat="1" ht="21" customHeight="1" x14ac:dyDescent="0.25">
      <c r="A460" s="155"/>
      <c r="B460" s="155"/>
      <c r="C460" s="154">
        <v>11</v>
      </c>
      <c r="D460" s="154"/>
      <c r="E460" s="68" t="s">
        <v>150</v>
      </c>
      <c r="F460" s="155">
        <f>49.14*10.764</f>
        <v>528.94295999999997</v>
      </c>
      <c r="G460" s="155"/>
      <c r="H460" s="68">
        <v>0</v>
      </c>
      <c r="I460" s="68">
        <f t="shared" si="49"/>
        <v>793.41444000000001</v>
      </c>
    </row>
    <row r="461" spans="1:9" s="66" customFormat="1" ht="21" customHeight="1" x14ac:dyDescent="0.25">
      <c r="A461" s="155"/>
      <c r="B461" s="155"/>
      <c r="C461" s="154">
        <v>12</v>
      </c>
      <c r="D461" s="154"/>
      <c r="E461" s="155" t="s">
        <v>243</v>
      </c>
      <c r="F461" s="155"/>
      <c r="G461" s="155"/>
      <c r="H461" s="155"/>
      <c r="I461" s="155"/>
    </row>
    <row r="462" spans="1:9" s="66" customFormat="1" ht="21" customHeight="1" x14ac:dyDescent="0.25">
      <c r="A462" s="153" t="s">
        <v>184</v>
      </c>
      <c r="B462" s="153"/>
      <c r="C462" s="153"/>
      <c r="D462" s="153"/>
      <c r="E462" s="153"/>
      <c r="F462" s="153"/>
      <c r="G462" s="153"/>
      <c r="H462" s="153"/>
      <c r="I462" s="153"/>
    </row>
    <row r="463" spans="1:9" s="66" customFormat="1" ht="21" customHeight="1" x14ac:dyDescent="0.25">
      <c r="A463" s="155" t="str">
        <f>A462</f>
        <v>2nd to 7th, 9th to 13th, 15th to 18th, 20th to 23rd, 25th to 28th, 30th to 32nd Floor</v>
      </c>
      <c r="B463" s="155"/>
      <c r="C463" s="154">
        <v>1</v>
      </c>
      <c r="D463" s="154"/>
      <c r="E463" s="68" t="s">
        <v>170</v>
      </c>
      <c r="F463" s="155">
        <f>30.94*10.764</f>
        <v>333.03816</v>
      </c>
      <c r="G463" s="155"/>
      <c r="H463" s="68">
        <v>0</v>
      </c>
      <c r="I463" s="68">
        <f t="shared" ref="I463:I474" si="50">F463*1.5+H463</f>
        <v>499.55723999999998</v>
      </c>
    </row>
    <row r="464" spans="1:9" s="66" customFormat="1" ht="21" customHeight="1" x14ac:dyDescent="0.25">
      <c r="A464" s="155"/>
      <c r="B464" s="155"/>
      <c r="C464" s="154">
        <v>2</v>
      </c>
      <c r="D464" s="154"/>
      <c r="E464" s="68" t="s">
        <v>170</v>
      </c>
      <c r="F464" s="155">
        <f>30.94*10.764</f>
        <v>333.03816</v>
      </c>
      <c r="G464" s="155"/>
      <c r="H464" s="68">
        <v>0</v>
      </c>
      <c r="I464" s="68">
        <f t="shared" si="50"/>
        <v>499.55723999999998</v>
      </c>
    </row>
    <row r="465" spans="1:9" s="66" customFormat="1" ht="21" customHeight="1" x14ac:dyDescent="0.25">
      <c r="A465" s="155"/>
      <c r="B465" s="155"/>
      <c r="C465" s="154">
        <v>3</v>
      </c>
      <c r="D465" s="154"/>
      <c r="E465" s="68" t="s">
        <v>170</v>
      </c>
      <c r="F465" s="155">
        <f>31.02*10.764</f>
        <v>333.89927999999998</v>
      </c>
      <c r="G465" s="155"/>
      <c r="H465" s="68">
        <v>0</v>
      </c>
      <c r="I465" s="68">
        <f t="shared" si="50"/>
        <v>500.84891999999996</v>
      </c>
    </row>
    <row r="466" spans="1:9" s="66" customFormat="1" ht="21" customHeight="1" x14ac:dyDescent="0.25">
      <c r="A466" s="155"/>
      <c r="B466" s="155"/>
      <c r="C466" s="154">
        <v>4</v>
      </c>
      <c r="D466" s="154"/>
      <c r="E466" s="68" t="s">
        <v>170</v>
      </c>
      <c r="F466" s="155">
        <f>31.02*10.764</f>
        <v>333.89927999999998</v>
      </c>
      <c r="G466" s="155"/>
      <c r="H466" s="68">
        <v>0</v>
      </c>
      <c r="I466" s="68">
        <f t="shared" si="50"/>
        <v>500.84891999999996</v>
      </c>
    </row>
    <row r="467" spans="1:9" s="66" customFormat="1" ht="21" customHeight="1" x14ac:dyDescent="0.25">
      <c r="A467" s="155"/>
      <c r="B467" s="155"/>
      <c r="C467" s="154">
        <v>5</v>
      </c>
      <c r="D467" s="154"/>
      <c r="E467" s="68" t="s">
        <v>170</v>
      </c>
      <c r="F467" s="155">
        <f>30.94*10.764</f>
        <v>333.03816</v>
      </c>
      <c r="G467" s="155"/>
      <c r="H467" s="68">
        <v>0</v>
      </c>
      <c r="I467" s="68">
        <f t="shared" si="50"/>
        <v>499.55723999999998</v>
      </c>
    </row>
    <row r="468" spans="1:9" s="66" customFormat="1" ht="21" customHeight="1" x14ac:dyDescent="0.25">
      <c r="A468" s="155"/>
      <c r="B468" s="155"/>
      <c r="C468" s="154">
        <v>6</v>
      </c>
      <c r="D468" s="154"/>
      <c r="E468" s="68" t="s">
        <v>170</v>
      </c>
      <c r="F468" s="155">
        <f>40.85*10.764</f>
        <v>439.70940000000002</v>
      </c>
      <c r="G468" s="155"/>
      <c r="H468" s="68">
        <v>0</v>
      </c>
      <c r="I468" s="68">
        <f t="shared" si="50"/>
        <v>659.56410000000005</v>
      </c>
    </row>
    <row r="469" spans="1:9" s="66" customFormat="1" ht="21" customHeight="1" x14ac:dyDescent="0.25">
      <c r="A469" s="155"/>
      <c r="B469" s="155"/>
      <c r="C469" s="154">
        <v>7</v>
      </c>
      <c r="D469" s="154"/>
      <c r="E469" s="68" t="s">
        <v>150</v>
      </c>
      <c r="F469" s="155">
        <f>51.84*10.764</f>
        <v>558.00576000000001</v>
      </c>
      <c r="G469" s="155"/>
      <c r="H469" s="68">
        <v>0</v>
      </c>
      <c r="I469" s="68">
        <f t="shared" si="50"/>
        <v>837.00864000000001</v>
      </c>
    </row>
    <row r="470" spans="1:9" s="66" customFormat="1" ht="21" customHeight="1" x14ac:dyDescent="0.25">
      <c r="A470" s="155"/>
      <c r="B470" s="155"/>
      <c r="C470" s="154">
        <v>8</v>
      </c>
      <c r="D470" s="154"/>
      <c r="E470" s="68" t="s">
        <v>170</v>
      </c>
      <c r="F470" s="155">
        <f>31.22*10.764</f>
        <v>336.05207999999999</v>
      </c>
      <c r="G470" s="155"/>
      <c r="H470" s="68">
        <v>0</v>
      </c>
      <c r="I470" s="68">
        <f t="shared" si="50"/>
        <v>504.07812000000001</v>
      </c>
    </row>
    <row r="471" spans="1:9" s="66" customFormat="1" ht="21" customHeight="1" x14ac:dyDescent="0.25">
      <c r="A471" s="155"/>
      <c r="B471" s="155"/>
      <c r="C471" s="154">
        <v>9</v>
      </c>
      <c r="D471" s="154"/>
      <c r="E471" s="68" t="s">
        <v>170</v>
      </c>
      <c r="F471" s="155">
        <f>31.22*10.764</f>
        <v>336.05207999999999</v>
      </c>
      <c r="G471" s="155"/>
      <c r="H471" s="68">
        <v>0</v>
      </c>
      <c r="I471" s="68">
        <f t="shared" si="50"/>
        <v>504.07812000000001</v>
      </c>
    </row>
    <row r="472" spans="1:9" s="66" customFormat="1" ht="21" customHeight="1" x14ac:dyDescent="0.25">
      <c r="A472" s="155"/>
      <c r="B472" s="155"/>
      <c r="C472" s="154">
        <v>10</v>
      </c>
      <c r="D472" s="154"/>
      <c r="E472" s="68" t="s">
        <v>150</v>
      </c>
      <c r="F472" s="155">
        <f>49.14*10.764</f>
        <v>528.94295999999997</v>
      </c>
      <c r="G472" s="155"/>
      <c r="H472" s="68">
        <v>0</v>
      </c>
      <c r="I472" s="68">
        <f t="shared" si="50"/>
        <v>793.41444000000001</v>
      </c>
    </row>
    <row r="473" spans="1:9" s="66" customFormat="1" ht="21" customHeight="1" x14ac:dyDescent="0.25">
      <c r="A473" s="155"/>
      <c r="B473" s="155"/>
      <c r="C473" s="154">
        <v>11</v>
      </c>
      <c r="D473" s="154"/>
      <c r="E473" s="68" t="s">
        <v>150</v>
      </c>
      <c r="F473" s="155">
        <f>49.14*10.764</f>
        <v>528.94295999999997</v>
      </c>
      <c r="G473" s="155"/>
      <c r="H473" s="68">
        <v>0</v>
      </c>
      <c r="I473" s="68">
        <f t="shared" si="50"/>
        <v>793.41444000000001</v>
      </c>
    </row>
    <row r="474" spans="1:9" s="66" customFormat="1" ht="21" customHeight="1" x14ac:dyDescent="0.25">
      <c r="A474" s="155"/>
      <c r="B474" s="155"/>
      <c r="C474" s="154">
        <v>12</v>
      </c>
      <c r="D474" s="154"/>
      <c r="E474" s="68" t="s">
        <v>170</v>
      </c>
      <c r="F474" s="155">
        <f>41.02*10.764</f>
        <v>441.53928000000002</v>
      </c>
      <c r="G474" s="155"/>
      <c r="H474" s="68">
        <v>0</v>
      </c>
      <c r="I474" s="68">
        <f t="shared" si="50"/>
        <v>662.30892000000006</v>
      </c>
    </row>
    <row r="475" spans="1:9" s="66" customFormat="1" ht="21" customHeight="1" x14ac:dyDescent="0.25">
      <c r="A475" s="153" t="s">
        <v>178</v>
      </c>
      <c r="B475" s="153"/>
      <c r="C475" s="153"/>
      <c r="D475" s="153"/>
      <c r="E475" s="153"/>
      <c r="F475" s="153"/>
      <c r="G475" s="153"/>
      <c r="H475" s="153"/>
      <c r="I475" s="153"/>
    </row>
    <row r="476" spans="1:9" s="66" customFormat="1" ht="21" customHeight="1" x14ac:dyDescent="0.25">
      <c r="A476" s="155" t="str">
        <f>A475</f>
        <v>8th Floor (Part Refuge Area)</v>
      </c>
      <c r="B476" s="155"/>
      <c r="C476" s="154">
        <v>1</v>
      </c>
      <c r="D476" s="154"/>
      <c r="E476" s="68" t="s">
        <v>170</v>
      </c>
      <c r="F476" s="155">
        <f>30.94*10.764</f>
        <v>333.03816</v>
      </c>
      <c r="G476" s="155"/>
      <c r="H476" s="68">
        <v>0</v>
      </c>
      <c r="I476" s="68">
        <f t="shared" ref="I476:I481" si="51">F476*1.5+H476</f>
        <v>499.55723999999998</v>
      </c>
    </row>
    <row r="477" spans="1:9" s="66" customFormat="1" ht="21" customHeight="1" x14ac:dyDescent="0.25">
      <c r="A477" s="155"/>
      <c r="B477" s="155"/>
      <c r="C477" s="154">
        <v>2</v>
      </c>
      <c r="D477" s="154"/>
      <c r="E477" s="68" t="s">
        <v>170</v>
      </c>
      <c r="F477" s="155">
        <f>30.94*10.764</f>
        <v>333.03816</v>
      </c>
      <c r="G477" s="155"/>
      <c r="H477" s="68">
        <v>0</v>
      </c>
      <c r="I477" s="68">
        <f t="shared" si="51"/>
        <v>499.55723999999998</v>
      </c>
    </row>
    <row r="478" spans="1:9" s="66" customFormat="1" ht="21" customHeight="1" x14ac:dyDescent="0.25">
      <c r="A478" s="155"/>
      <c r="B478" s="155"/>
      <c r="C478" s="154">
        <v>3</v>
      </c>
      <c r="D478" s="154"/>
      <c r="E478" s="68" t="s">
        <v>170</v>
      </c>
      <c r="F478" s="155">
        <f>31.02*10.764</f>
        <v>333.89927999999998</v>
      </c>
      <c r="G478" s="155"/>
      <c r="H478" s="68">
        <v>0</v>
      </c>
      <c r="I478" s="68">
        <f t="shared" si="51"/>
        <v>500.84891999999996</v>
      </c>
    </row>
    <row r="479" spans="1:9" s="66" customFormat="1" ht="21" customHeight="1" x14ac:dyDescent="0.25">
      <c r="A479" s="155"/>
      <c r="B479" s="155"/>
      <c r="C479" s="154">
        <v>4</v>
      </c>
      <c r="D479" s="154"/>
      <c r="E479" s="68" t="s">
        <v>170</v>
      </c>
      <c r="F479" s="155">
        <f>31.02*10.764</f>
        <v>333.89927999999998</v>
      </c>
      <c r="G479" s="155"/>
      <c r="H479" s="68">
        <v>0</v>
      </c>
      <c r="I479" s="68">
        <f t="shared" si="51"/>
        <v>500.84891999999996</v>
      </c>
    </row>
    <row r="480" spans="1:9" s="66" customFormat="1" ht="21" customHeight="1" x14ac:dyDescent="0.25">
      <c r="A480" s="155"/>
      <c r="B480" s="155"/>
      <c r="C480" s="154">
        <v>5</v>
      </c>
      <c r="D480" s="154"/>
      <c r="E480" s="68" t="s">
        <v>170</v>
      </c>
      <c r="F480" s="155">
        <f>30.94*10.764</f>
        <v>333.03816</v>
      </c>
      <c r="G480" s="155"/>
      <c r="H480" s="68">
        <v>0</v>
      </c>
      <c r="I480" s="68">
        <f t="shared" si="51"/>
        <v>499.55723999999998</v>
      </c>
    </row>
    <row r="481" spans="1:9" s="66" customFormat="1" ht="21" customHeight="1" x14ac:dyDescent="0.25">
      <c r="A481" s="155"/>
      <c r="B481" s="155"/>
      <c r="C481" s="154">
        <v>6</v>
      </c>
      <c r="D481" s="154"/>
      <c r="E481" s="68" t="s">
        <v>170</v>
      </c>
      <c r="F481" s="155">
        <f>40.85*10.764</f>
        <v>439.70940000000002</v>
      </c>
      <c r="G481" s="155"/>
      <c r="H481" s="68">
        <v>0</v>
      </c>
      <c r="I481" s="68">
        <f t="shared" si="51"/>
        <v>659.56410000000005</v>
      </c>
    </row>
    <row r="482" spans="1:9" s="66" customFormat="1" ht="21" customHeight="1" x14ac:dyDescent="0.25">
      <c r="A482" s="155"/>
      <c r="B482" s="155"/>
      <c r="C482" s="154">
        <v>7</v>
      </c>
      <c r="D482" s="154"/>
      <c r="E482" s="155" t="s">
        <v>151</v>
      </c>
      <c r="F482" s="155"/>
      <c r="G482" s="155"/>
      <c r="H482" s="155"/>
      <c r="I482" s="155"/>
    </row>
    <row r="483" spans="1:9" s="66" customFormat="1" ht="21" customHeight="1" x14ac:dyDescent="0.25">
      <c r="A483" s="155"/>
      <c r="B483" s="155"/>
      <c r="C483" s="154">
        <v>8</v>
      </c>
      <c r="D483" s="154"/>
      <c r="E483" s="68" t="s">
        <v>170</v>
      </c>
      <c r="F483" s="155">
        <f>31.22*10.764</f>
        <v>336.05207999999999</v>
      </c>
      <c r="G483" s="155"/>
      <c r="H483" s="68">
        <v>0</v>
      </c>
      <c r="I483" s="68">
        <f t="shared" ref="I483:I487" si="52">F483*1.5+H483</f>
        <v>504.07812000000001</v>
      </c>
    </row>
    <row r="484" spans="1:9" s="66" customFormat="1" ht="21" customHeight="1" x14ac:dyDescent="0.25">
      <c r="A484" s="155"/>
      <c r="B484" s="155"/>
      <c r="C484" s="154">
        <v>9</v>
      </c>
      <c r="D484" s="154"/>
      <c r="E484" s="68" t="s">
        <v>170</v>
      </c>
      <c r="F484" s="155">
        <f>31.22*10.764</f>
        <v>336.05207999999999</v>
      </c>
      <c r="G484" s="155"/>
      <c r="H484" s="68">
        <v>0</v>
      </c>
      <c r="I484" s="68">
        <f t="shared" si="52"/>
        <v>504.07812000000001</v>
      </c>
    </row>
    <row r="485" spans="1:9" s="66" customFormat="1" ht="21" customHeight="1" x14ac:dyDescent="0.25">
      <c r="A485" s="155"/>
      <c r="B485" s="155"/>
      <c r="C485" s="154">
        <v>10</v>
      </c>
      <c r="D485" s="154"/>
      <c r="E485" s="68" t="s">
        <v>150</v>
      </c>
      <c r="F485" s="155">
        <f>49.14*10.764</f>
        <v>528.94295999999997</v>
      </c>
      <c r="G485" s="155"/>
      <c r="H485" s="68">
        <v>0</v>
      </c>
      <c r="I485" s="68">
        <f t="shared" si="52"/>
        <v>793.41444000000001</v>
      </c>
    </row>
    <row r="486" spans="1:9" s="66" customFormat="1" ht="21" customHeight="1" x14ac:dyDescent="0.25">
      <c r="A486" s="155"/>
      <c r="B486" s="155"/>
      <c r="C486" s="154">
        <v>11</v>
      </c>
      <c r="D486" s="154"/>
      <c r="E486" s="68" t="s">
        <v>150</v>
      </c>
      <c r="F486" s="155">
        <f>49.14*10.764</f>
        <v>528.94295999999997</v>
      </c>
      <c r="G486" s="155"/>
      <c r="H486" s="68">
        <v>0</v>
      </c>
      <c r="I486" s="68">
        <f t="shared" si="52"/>
        <v>793.41444000000001</v>
      </c>
    </row>
    <row r="487" spans="1:9" s="66" customFormat="1" ht="21" customHeight="1" x14ac:dyDescent="0.25">
      <c r="A487" s="155"/>
      <c r="B487" s="155"/>
      <c r="C487" s="154">
        <v>12</v>
      </c>
      <c r="D487" s="154"/>
      <c r="E487" s="68" t="s">
        <v>170</v>
      </c>
      <c r="F487" s="155">
        <f>41.02*10.764</f>
        <v>441.53928000000002</v>
      </c>
      <c r="G487" s="155"/>
      <c r="H487" s="68">
        <v>0</v>
      </c>
      <c r="I487" s="68">
        <f t="shared" si="52"/>
        <v>662.30892000000006</v>
      </c>
    </row>
    <row r="488" spans="1:9" s="66" customFormat="1" ht="21" customHeight="1" x14ac:dyDescent="0.25">
      <c r="A488" s="153" t="s">
        <v>185</v>
      </c>
      <c r="B488" s="153"/>
      <c r="C488" s="153"/>
      <c r="D488" s="153"/>
      <c r="E488" s="153"/>
      <c r="F488" s="153"/>
      <c r="G488" s="153"/>
      <c r="H488" s="153"/>
      <c r="I488" s="153"/>
    </row>
    <row r="489" spans="1:9" s="66" customFormat="1" ht="21" customHeight="1" x14ac:dyDescent="0.25">
      <c r="A489" s="153" t="s">
        <v>186</v>
      </c>
      <c r="B489" s="153"/>
      <c r="C489" s="153"/>
      <c r="D489" s="153"/>
      <c r="E489" s="153"/>
      <c r="F489" s="153"/>
      <c r="G489" s="153"/>
      <c r="H489" s="153"/>
      <c r="I489" s="153"/>
    </row>
    <row r="490" spans="1:9" s="66" customFormat="1" ht="21" customHeight="1" x14ac:dyDescent="0.25">
      <c r="A490" s="155" t="str">
        <f>A489</f>
        <v>14th, 19th &amp; 24th Floor (Part Refuge Area)</v>
      </c>
      <c r="B490" s="155"/>
      <c r="C490" s="154">
        <v>1</v>
      </c>
      <c r="D490" s="154"/>
      <c r="E490" s="68" t="s">
        <v>170</v>
      </c>
      <c r="F490" s="155">
        <f>30.94*10.764</f>
        <v>333.03816</v>
      </c>
      <c r="G490" s="155"/>
      <c r="H490" s="68">
        <v>0</v>
      </c>
      <c r="I490" s="68">
        <f t="shared" ref="I490:I495" si="53">F490*1.5+H490</f>
        <v>499.55723999999998</v>
      </c>
    </row>
    <row r="491" spans="1:9" s="66" customFormat="1" ht="21" customHeight="1" x14ac:dyDescent="0.25">
      <c r="A491" s="155"/>
      <c r="B491" s="155"/>
      <c r="C491" s="154">
        <v>2</v>
      </c>
      <c r="D491" s="154"/>
      <c r="E491" s="68" t="s">
        <v>170</v>
      </c>
      <c r="F491" s="155">
        <f>30.94*10.764</f>
        <v>333.03816</v>
      </c>
      <c r="G491" s="155"/>
      <c r="H491" s="68">
        <v>0</v>
      </c>
      <c r="I491" s="68">
        <f t="shared" si="53"/>
        <v>499.55723999999998</v>
      </c>
    </row>
    <row r="492" spans="1:9" s="66" customFormat="1" ht="21" customHeight="1" x14ac:dyDescent="0.25">
      <c r="A492" s="155"/>
      <c r="B492" s="155"/>
      <c r="C492" s="154">
        <v>3</v>
      </c>
      <c r="D492" s="154"/>
      <c r="E492" s="68" t="s">
        <v>170</v>
      </c>
      <c r="F492" s="155">
        <f>31.02*10.764</f>
        <v>333.89927999999998</v>
      </c>
      <c r="G492" s="155"/>
      <c r="H492" s="68">
        <v>0</v>
      </c>
      <c r="I492" s="68">
        <f t="shared" si="53"/>
        <v>500.84891999999996</v>
      </c>
    </row>
    <row r="493" spans="1:9" s="66" customFormat="1" ht="21" customHeight="1" x14ac:dyDescent="0.25">
      <c r="A493" s="155"/>
      <c r="B493" s="155"/>
      <c r="C493" s="154">
        <v>4</v>
      </c>
      <c r="D493" s="154"/>
      <c r="E493" s="68" t="s">
        <v>170</v>
      </c>
      <c r="F493" s="155">
        <f>31.02*10.764</f>
        <v>333.89927999999998</v>
      </c>
      <c r="G493" s="155"/>
      <c r="H493" s="68">
        <v>0</v>
      </c>
      <c r="I493" s="68">
        <f t="shared" si="53"/>
        <v>500.84891999999996</v>
      </c>
    </row>
    <row r="494" spans="1:9" s="66" customFormat="1" ht="21" customHeight="1" x14ac:dyDescent="0.25">
      <c r="A494" s="155"/>
      <c r="B494" s="155"/>
      <c r="C494" s="154">
        <v>5</v>
      </c>
      <c r="D494" s="154"/>
      <c r="E494" s="68" t="s">
        <v>170</v>
      </c>
      <c r="F494" s="155">
        <f>30.94*10.764</f>
        <v>333.03816</v>
      </c>
      <c r="G494" s="155"/>
      <c r="H494" s="68">
        <v>0</v>
      </c>
      <c r="I494" s="68">
        <f t="shared" si="53"/>
        <v>499.55723999999998</v>
      </c>
    </row>
    <row r="495" spans="1:9" s="66" customFormat="1" ht="21" customHeight="1" x14ac:dyDescent="0.25">
      <c r="A495" s="155"/>
      <c r="B495" s="155"/>
      <c r="C495" s="154">
        <v>6</v>
      </c>
      <c r="D495" s="154"/>
      <c r="E495" s="68" t="s">
        <v>170</v>
      </c>
      <c r="F495" s="155">
        <f>40.85*10.764</f>
        <v>439.70940000000002</v>
      </c>
      <c r="G495" s="155"/>
      <c r="H495" s="68">
        <v>0</v>
      </c>
      <c r="I495" s="68">
        <f t="shared" si="53"/>
        <v>659.56410000000005</v>
      </c>
    </row>
    <row r="496" spans="1:9" s="66" customFormat="1" ht="21" customHeight="1" x14ac:dyDescent="0.25">
      <c r="A496" s="155"/>
      <c r="B496" s="155"/>
      <c r="C496" s="154">
        <v>7</v>
      </c>
      <c r="D496" s="154"/>
      <c r="E496" s="155" t="s">
        <v>151</v>
      </c>
      <c r="F496" s="155"/>
      <c r="G496" s="155"/>
      <c r="H496" s="155"/>
      <c r="I496" s="155"/>
    </row>
    <row r="497" spans="1:9" s="66" customFormat="1" ht="21" customHeight="1" x14ac:dyDescent="0.25">
      <c r="A497" s="155"/>
      <c r="B497" s="155"/>
      <c r="C497" s="154">
        <v>8</v>
      </c>
      <c r="D497" s="154"/>
      <c r="E497" s="68" t="s">
        <v>170</v>
      </c>
      <c r="F497" s="155">
        <f>31.22*10.764</f>
        <v>336.05207999999999</v>
      </c>
      <c r="G497" s="155"/>
      <c r="H497" s="68">
        <v>0</v>
      </c>
      <c r="I497" s="68">
        <f t="shared" ref="I497:I501" si="54">F497*1.5+H497</f>
        <v>504.07812000000001</v>
      </c>
    </row>
    <row r="498" spans="1:9" s="66" customFormat="1" ht="21" customHeight="1" x14ac:dyDescent="0.25">
      <c r="A498" s="155"/>
      <c r="B498" s="155"/>
      <c r="C498" s="154">
        <v>9</v>
      </c>
      <c r="D498" s="154"/>
      <c r="E498" s="68" t="s">
        <v>170</v>
      </c>
      <c r="F498" s="155">
        <f>31.22*10.764</f>
        <v>336.05207999999999</v>
      </c>
      <c r="G498" s="155"/>
      <c r="H498" s="68">
        <v>0</v>
      </c>
      <c r="I498" s="68">
        <f t="shared" si="54"/>
        <v>504.07812000000001</v>
      </c>
    </row>
    <row r="499" spans="1:9" s="66" customFormat="1" ht="21" customHeight="1" x14ac:dyDescent="0.25">
      <c r="A499" s="155"/>
      <c r="B499" s="155"/>
      <c r="C499" s="154">
        <v>10</v>
      </c>
      <c r="D499" s="154"/>
      <c r="E499" s="68" t="s">
        <v>150</v>
      </c>
      <c r="F499" s="155">
        <f>49.14*10.764</f>
        <v>528.94295999999997</v>
      </c>
      <c r="G499" s="155"/>
      <c r="H499" s="68">
        <v>0</v>
      </c>
      <c r="I499" s="68">
        <f t="shared" si="54"/>
        <v>793.41444000000001</v>
      </c>
    </row>
    <row r="500" spans="1:9" s="66" customFormat="1" ht="21" customHeight="1" x14ac:dyDescent="0.25">
      <c r="A500" s="155"/>
      <c r="B500" s="155"/>
      <c r="C500" s="154">
        <v>11</v>
      </c>
      <c r="D500" s="154"/>
      <c r="E500" s="68" t="s">
        <v>150</v>
      </c>
      <c r="F500" s="155">
        <f>49.14*10.764</f>
        <v>528.94295999999997</v>
      </c>
      <c r="G500" s="155"/>
      <c r="H500" s="68">
        <v>0</v>
      </c>
      <c r="I500" s="68">
        <f t="shared" si="54"/>
        <v>793.41444000000001</v>
      </c>
    </row>
    <row r="501" spans="1:9" s="66" customFormat="1" ht="21" customHeight="1" x14ac:dyDescent="0.25">
      <c r="A501" s="155"/>
      <c r="B501" s="155"/>
      <c r="C501" s="154">
        <v>12</v>
      </c>
      <c r="D501" s="154"/>
      <c r="E501" s="68" t="s">
        <v>170</v>
      </c>
      <c r="F501" s="155">
        <f>41.02*10.764</f>
        <v>441.53928000000002</v>
      </c>
      <c r="G501" s="155"/>
      <c r="H501" s="68">
        <v>0</v>
      </c>
      <c r="I501" s="68">
        <f t="shared" si="54"/>
        <v>662.30892000000006</v>
      </c>
    </row>
    <row r="502" spans="1:9" s="66" customFormat="1" ht="21" customHeight="1" x14ac:dyDescent="0.25">
      <c r="A502" s="153" t="s">
        <v>187</v>
      </c>
      <c r="B502" s="153"/>
      <c r="C502" s="153"/>
      <c r="D502" s="153"/>
      <c r="E502" s="153"/>
      <c r="F502" s="153"/>
      <c r="G502" s="153"/>
      <c r="H502" s="153"/>
      <c r="I502" s="153"/>
    </row>
    <row r="503" spans="1:9" s="66" customFormat="1" ht="21" customHeight="1" x14ac:dyDescent="0.25">
      <c r="A503" s="155" t="str">
        <f>A502</f>
        <v>29th Floor (Part Refuge Area)</v>
      </c>
      <c r="B503" s="155"/>
      <c r="C503" s="154">
        <v>1</v>
      </c>
      <c r="D503" s="154"/>
      <c r="E503" s="68" t="s">
        <v>170</v>
      </c>
      <c r="F503" s="155">
        <f>30.94*10.764</f>
        <v>333.03816</v>
      </c>
      <c r="G503" s="155"/>
      <c r="H503" s="68">
        <v>0</v>
      </c>
      <c r="I503" s="68">
        <f t="shared" ref="I503:I508" si="55">F503*1.5+H503</f>
        <v>499.55723999999998</v>
      </c>
    </row>
    <row r="504" spans="1:9" s="66" customFormat="1" ht="21" customHeight="1" x14ac:dyDescent="0.25">
      <c r="A504" s="155"/>
      <c r="B504" s="155"/>
      <c r="C504" s="154">
        <v>2</v>
      </c>
      <c r="D504" s="154"/>
      <c r="E504" s="68" t="s">
        <v>170</v>
      </c>
      <c r="F504" s="155">
        <f>30.94*10.764</f>
        <v>333.03816</v>
      </c>
      <c r="G504" s="155"/>
      <c r="H504" s="68">
        <v>0</v>
      </c>
      <c r="I504" s="68">
        <f t="shared" si="55"/>
        <v>499.55723999999998</v>
      </c>
    </row>
    <row r="505" spans="1:9" s="66" customFormat="1" ht="21" customHeight="1" x14ac:dyDescent="0.25">
      <c r="A505" s="155"/>
      <c r="B505" s="155"/>
      <c r="C505" s="154">
        <v>3</v>
      </c>
      <c r="D505" s="154"/>
      <c r="E505" s="68" t="s">
        <v>170</v>
      </c>
      <c r="F505" s="155">
        <f>31.02*10.764</f>
        <v>333.89927999999998</v>
      </c>
      <c r="G505" s="155"/>
      <c r="H505" s="68">
        <v>0</v>
      </c>
      <c r="I505" s="68">
        <f t="shared" si="55"/>
        <v>500.84891999999996</v>
      </c>
    </row>
    <row r="506" spans="1:9" s="66" customFormat="1" ht="21" customHeight="1" x14ac:dyDescent="0.25">
      <c r="A506" s="155"/>
      <c r="B506" s="155"/>
      <c r="C506" s="154">
        <v>4</v>
      </c>
      <c r="D506" s="154"/>
      <c r="E506" s="68" t="s">
        <v>170</v>
      </c>
      <c r="F506" s="155">
        <f>31.02*10.764</f>
        <v>333.89927999999998</v>
      </c>
      <c r="G506" s="155"/>
      <c r="H506" s="68">
        <v>0</v>
      </c>
      <c r="I506" s="68">
        <f t="shared" si="55"/>
        <v>500.84891999999996</v>
      </c>
    </row>
    <row r="507" spans="1:9" s="66" customFormat="1" ht="21" customHeight="1" x14ac:dyDescent="0.25">
      <c r="A507" s="155"/>
      <c r="B507" s="155"/>
      <c r="C507" s="154">
        <v>5</v>
      </c>
      <c r="D507" s="154"/>
      <c r="E507" s="68" t="s">
        <v>170</v>
      </c>
      <c r="F507" s="155">
        <f>30.94*10.764</f>
        <v>333.03816</v>
      </c>
      <c r="G507" s="155"/>
      <c r="H507" s="68">
        <v>0</v>
      </c>
      <c r="I507" s="68">
        <f t="shared" si="55"/>
        <v>499.55723999999998</v>
      </c>
    </row>
    <row r="508" spans="1:9" s="66" customFormat="1" ht="21" customHeight="1" x14ac:dyDescent="0.25">
      <c r="A508" s="155"/>
      <c r="B508" s="155"/>
      <c r="C508" s="154">
        <v>6</v>
      </c>
      <c r="D508" s="154"/>
      <c r="E508" s="68" t="s">
        <v>170</v>
      </c>
      <c r="F508" s="155">
        <f>40.85*10.764</f>
        <v>439.70940000000002</v>
      </c>
      <c r="G508" s="155"/>
      <c r="H508" s="68">
        <v>0</v>
      </c>
      <c r="I508" s="68">
        <f t="shared" si="55"/>
        <v>659.56410000000005</v>
      </c>
    </row>
    <row r="509" spans="1:9" s="66" customFormat="1" ht="21" customHeight="1" x14ac:dyDescent="0.25">
      <c r="A509" s="155"/>
      <c r="B509" s="155"/>
      <c r="C509" s="154">
        <v>7</v>
      </c>
      <c r="D509" s="154"/>
      <c r="E509" s="155" t="s">
        <v>151</v>
      </c>
      <c r="F509" s="155"/>
      <c r="G509" s="155"/>
      <c r="H509" s="155"/>
      <c r="I509" s="155"/>
    </row>
    <row r="510" spans="1:9" s="66" customFormat="1" ht="21" customHeight="1" x14ac:dyDescent="0.25">
      <c r="A510" s="155"/>
      <c r="B510" s="155"/>
      <c r="C510" s="154">
        <v>8</v>
      </c>
      <c r="D510" s="154"/>
      <c r="E510" s="68" t="s">
        <v>170</v>
      </c>
      <c r="F510" s="155">
        <f>31.22*10.764</f>
        <v>336.05207999999999</v>
      </c>
      <c r="G510" s="155"/>
      <c r="H510" s="68">
        <v>0</v>
      </c>
      <c r="I510" s="68">
        <f t="shared" ref="I510:I514" si="56">F510*1.5+H510</f>
        <v>504.07812000000001</v>
      </c>
    </row>
    <row r="511" spans="1:9" s="66" customFormat="1" ht="21" customHeight="1" x14ac:dyDescent="0.25">
      <c r="A511" s="155"/>
      <c r="B511" s="155"/>
      <c r="C511" s="154">
        <v>9</v>
      </c>
      <c r="D511" s="154"/>
      <c r="E511" s="68" t="s">
        <v>170</v>
      </c>
      <c r="F511" s="155">
        <f>31.22*10.764</f>
        <v>336.05207999999999</v>
      </c>
      <c r="G511" s="155"/>
      <c r="H511" s="68">
        <v>0</v>
      </c>
      <c r="I511" s="68">
        <f t="shared" si="56"/>
        <v>504.07812000000001</v>
      </c>
    </row>
    <row r="512" spans="1:9" s="66" customFormat="1" ht="21" customHeight="1" x14ac:dyDescent="0.25">
      <c r="A512" s="155"/>
      <c r="B512" s="155"/>
      <c r="C512" s="154">
        <v>10</v>
      </c>
      <c r="D512" s="154"/>
      <c r="E512" s="68" t="s">
        <v>150</v>
      </c>
      <c r="F512" s="155">
        <f>49.14*10.764</f>
        <v>528.94295999999997</v>
      </c>
      <c r="G512" s="155"/>
      <c r="H512" s="68">
        <v>0</v>
      </c>
      <c r="I512" s="68">
        <f t="shared" si="56"/>
        <v>793.41444000000001</v>
      </c>
    </row>
    <row r="513" spans="1:9" s="66" customFormat="1" ht="21" customHeight="1" x14ac:dyDescent="0.25">
      <c r="A513" s="155"/>
      <c r="B513" s="155"/>
      <c r="C513" s="154">
        <v>11</v>
      </c>
      <c r="D513" s="154"/>
      <c r="E513" s="68" t="s">
        <v>150</v>
      </c>
      <c r="F513" s="155">
        <f>49.14*10.764</f>
        <v>528.94295999999997</v>
      </c>
      <c r="G513" s="155"/>
      <c r="H513" s="68">
        <v>0</v>
      </c>
      <c r="I513" s="68">
        <f t="shared" si="56"/>
        <v>793.41444000000001</v>
      </c>
    </row>
    <row r="514" spans="1:9" s="66" customFormat="1" ht="21" customHeight="1" x14ac:dyDescent="0.25">
      <c r="A514" s="155"/>
      <c r="B514" s="155"/>
      <c r="C514" s="154">
        <v>12</v>
      </c>
      <c r="D514" s="154"/>
      <c r="E514" s="68" t="s">
        <v>170</v>
      </c>
      <c r="F514" s="155">
        <f>41.02*10.764</f>
        <v>441.53928000000002</v>
      </c>
      <c r="G514" s="155"/>
      <c r="H514" s="68">
        <v>0</v>
      </c>
      <c r="I514" s="68">
        <f t="shared" si="56"/>
        <v>662.30892000000006</v>
      </c>
    </row>
    <row r="515" spans="1:9" s="66" customFormat="1" ht="21" customHeight="1" x14ac:dyDescent="0.25">
      <c r="A515" s="153" t="s">
        <v>193</v>
      </c>
      <c r="B515" s="153"/>
      <c r="C515" s="153"/>
      <c r="D515" s="153"/>
      <c r="E515" s="153"/>
      <c r="F515" s="153"/>
      <c r="G515" s="153"/>
      <c r="H515" s="153"/>
      <c r="I515" s="153"/>
    </row>
    <row r="516" spans="1:9" s="66" customFormat="1" ht="21" customHeight="1" x14ac:dyDescent="0.25">
      <c r="A516" s="153" t="s">
        <v>136</v>
      </c>
      <c r="B516" s="153"/>
      <c r="C516" s="153"/>
      <c r="D516" s="153"/>
      <c r="E516" s="153"/>
      <c r="F516" s="153"/>
      <c r="G516" s="153"/>
      <c r="H516" s="153"/>
      <c r="I516" s="153"/>
    </row>
    <row r="517" spans="1:9" s="66" customFormat="1" ht="21" customHeight="1" x14ac:dyDescent="0.25">
      <c r="A517" s="153" t="s">
        <v>137</v>
      </c>
      <c r="B517" s="153"/>
      <c r="C517" s="153"/>
      <c r="D517" s="153"/>
      <c r="E517" s="153"/>
      <c r="F517" s="153"/>
      <c r="G517" s="153"/>
      <c r="H517" s="153"/>
      <c r="I517" s="153"/>
    </row>
    <row r="518" spans="1:9" s="66" customFormat="1" ht="21" customHeight="1" x14ac:dyDescent="0.25">
      <c r="A518" s="155" t="str">
        <f>A517</f>
        <v>1st Floor</v>
      </c>
      <c r="B518" s="155"/>
      <c r="C518" s="154">
        <v>1</v>
      </c>
      <c r="D518" s="154"/>
      <c r="E518" s="68" t="s">
        <v>170</v>
      </c>
      <c r="F518" s="155">
        <f>31.22*10.764</f>
        <v>336.05207999999999</v>
      </c>
      <c r="G518" s="155"/>
      <c r="H518" s="68">
        <v>0</v>
      </c>
      <c r="I518" s="68">
        <f t="shared" ref="I518:I527" si="57">F518*1.5+H518</f>
        <v>504.07812000000001</v>
      </c>
    </row>
    <row r="519" spans="1:9" s="66" customFormat="1" ht="21" customHeight="1" x14ac:dyDescent="0.25">
      <c r="A519" s="155"/>
      <c r="B519" s="155"/>
      <c r="C519" s="154">
        <v>2</v>
      </c>
      <c r="D519" s="154"/>
      <c r="E519" s="68" t="s">
        <v>170</v>
      </c>
      <c r="F519" s="155">
        <f>31.02*10.764</f>
        <v>333.89927999999998</v>
      </c>
      <c r="G519" s="155"/>
      <c r="H519" s="68">
        <v>0</v>
      </c>
      <c r="I519" s="68">
        <f t="shared" si="57"/>
        <v>500.84891999999996</v>
      </c>
    </row>
    <row r="520" spans="1:9" s="66" customFormat="1" ht="21" customHeight="1" x14ac:dyDescent="0.25">
      <c r="A520" s="155"/>
      <c r="B520" s="155"/>
      <c r="C520" s="154">
        <v>3</v>
      </c>
      <c r="D520" s="154"/>
      <c r="E520" s="68" t="s">
        <v>170</v>
      </c>
      <c r="F520" s="155">
        <f>31.01*10.764</f>
        <v>333.79163999999997</v>
      </c>
      <c r="G520" s="155"/>
      <c r="H520" s="68">
        <v>0</v>
      </c>
      <c r="I520" s="68">
        <f t="shared" si="57"/>
        <v>500.68745999999999</v>
      </c>
    </row>
    <row r="521" spans="1:9" s="66" customFormat="1" ht="21" customHeight="1" x14ac:dyDescent="0.25">
      <c r="A521" s="155"/>
      <c r="B521" s="155"/>
      <c r="C521" s="154">
        <v>4</v>
      </c>
      <c r="D521" s="154"/>
      <c r="E521" s="155" t="s">
        <v>243</v>
      </c>
      <c r="F521" s="155"/>
      <c r="G521" s="155"/>
      <c r="H521" s="155"/>
      <c r="I521" s="155"/>
    </row>
    <row r="522" spans="1:9" s="66" customFormat="1" ht="21" customHeight="1" x14ac:dyDescent="0.25">
      <c r="A522" s="155"/>
      <c r="B522" s="155"/>
      <c r="C522" s="154">
        <v>5</v>
      </c>
      <c r="D522" s="154"/>
      <c r="E522" s="155" t="s">
        <v>243</v>
      </c>
      <c r="F522" s="155"/>
      <c r="G522" s="155"/>
      <c r="H522" s="155"/>
      <c r="I522" s="155"/>
    </row>
    <row r="523" spans="1:9" s="66" customFormat="1" ht="21" customHeight="1" x14ac:dyDescent="0.25">
      <c r="A523" s="155"/>
      <c r="B523" s="155"/>
      <c r="C523" s="154">
        <v>6</v>
      </c>
      <c r="D523" s="154"/>
      <c r="E523" s="68" t="s">
        <v>150</v>
      </c>
      <c r="F523" s="155">
        <f>51.86*10.764</f>
        <v>558.22104000000002</v>
      </c>
      <c r="G523" s="155"/>
      <c r="H523" s="68">
        <v>0</v>
      </c>
      <c r="I523" s="68">
        <f t="shared" si="57"/>
        <v>837.33156000000008</v>
      </c>
    </row>
    <row r="524" spans="1:9" s="66" customFormat="1" ht="21" customHeight="1" x14ac:dyDescent="0.25">
      <c r="A524" s="155"/>
      <c r="B524" s="155"/>
      <c r="C524" s="154">
        <v>7</v>
      </c>
      <c r="D524" s="154"/>
      <c r="E524" s="68" t="s">
        <v>170</v>
      </c>
      <c r="F524" s="155">
        <f>30.94*10.764</f>
        <v>333.03816</v>
      </c>
      <c r="G524" s="155"/>
      <c r="H524" s="68">
        <v>0</v>
      </c>
      <c r="I524" s="68">
        <f t="shared" si="57"/>
        <v>499.55723999999998</v>
      </c>
    </row>
    <row r="525" spans="1:9" s="66" customFormat="1" ht="21" customHeight="1" x14ac:dyDescent="0.25">
      <c r="A525" s="155"/>
      <c r="B525" s="155"/>
      <c r="C525" s="154">
        <v>8</v>
      </c>
      <c r="D525" s="154"/>
      <c r="E525" s="68" t="s">
        <v>149</v>
      </c>
      <c r="F525" s="155">
        <f>73.43*10.764</f>
        <v>790.40052000000003</v>
      </c>
      <c r="G525" s="155"/>
      <c r="H525" s="68">
        <v>0</v>
      </c>
      <c r="I525" s="68">
        <f t="shared" si="57"/>
        <v>1185.60078</v>
      </c>
    </row>
    <row r="526" spans="1:9" s="66" customFormat="1" ht="21" customHeight="1" x14ac:dyDescent="0.25">
      <c r="A526" s="155"/>
      <c r="B526" s="155"/>
      <c r="C526" s="154">
        <v>9</v>
      </c>
      <c r="D526" s="154"/>
      <c r="E526" s="68" t="s">
        <v>150</v>
      </c>
      <c r="F526" s="155">
        <f>60.09*10.764</f>
        <v>646.80876000000001</v>
      </c>
      <c r="G526" s="155"/>
      <c r="H526" s="68">
        <v>0</v>
      </c>
      <c r="I526" s="68">
        <f t="shared" si="57"/>
        <v>970.21314000000007</v>
      </c>
    </row>
    <row r="527" spans="1:9" s="66" customFormat="1" ht="21" customHeight="1" x14ac:dyDescent="0.25">
      <c r="A527" s="155"/>
      <c r="B527" s="155"/>
      <c r="C527" s="154">
        <v>10</v>
      </c>
      <c r="D527" s="154"/>
      <c r="E527" s="68" t="s">
        <v>170</v>
      </c>
      <c r="F527" s="155">
        <f>31.22*10.764</f>
        <v>336.05207999999999</v>
      </c>
      <c r="G527" s="155"/>
      <c r="H527" s="68">
        <v>0</v>
      </c>
      <c r="I527" s="68">
        <f t="shared" si="57"/>
        <v>504.07812000000001</v>
      </c>
    </row>
    <row r="528" spans="1:9" s="66" customFormat="1" ht="21" customHeight="1" x14ac:dyDescent="0.25">
      <c r="A528" s="153" t="s">
        <v>184</v>
      </c>
      <c r="B528" s="153"/>
      <c r="C528" s="153"/>
      <c r="D528" s="153"/>
      <c r="E528" s="153"/>
      <c r="F528" s="153"/>
      <c r="G528" s="153"/>
      <c r="H528" s="153"/>
      <c r="I528" s="153"/>
    </row>
    <row r="529" spans="1:9" s="66" customFormat="1" ht="21" customHeight="1" x14ac:dyDescent="0.25">
      <c r="A529" s="155" t="str">
        <f>A528</f>
        <v>2nd to 7th, 9th to 13th, 15th to 18th, 20th to 23rd, 25th to 28th, 30th to 32nd Floor</v>
      </c>
      <c r="B529" s="155"/>
      <c r="C529" s="154">
        <v>1</v>
      </c>
      <c r="D529" s="154"/>
      <c r="E529" s="68" t="s">
        <v>170</v>
      </c>
      <c r="F529" s="155">
        <f>31.22*10.764</f>
        <v>336.05207999999999</v>
      </c>
      <c r="G529" s="155"/>
      <c r="H529" s="68">
        <v>0</v>
      </c>
      <c r="I529" s="68">
        <f t="shared" ref="I529:I538" si="58">F529*1.5+H529</f>
        <v>504.07812000000001</v>
      </c>
    </row>
    <row r="530" spans="1:9" s="66" customFormat="1" ht="21" customHeight="1" x14ac:dyDescent="0.25">
      <c r="A530" s="155"/>
      <c r="B530" s="155"/>
      <c r="C530" s="154">
        <v>2</v>
      </c>
      <c r="D530" s="154"/>
      <c r="E530" s="68" t="s">
        <v>170</v>
      </c>
      <c r="F530" s="155">
        <f>31.02*10.764</f>
        <v>333.89927999999998</v>
      </c>
      <c r="G530" s="155"/>
      <c r="H530" s="68">
        <v>0</v>
      </c>
      <c r="I530" s="68">
        <f t="shared" si="58"/>
        <v>500.84891999999996</v>
      </c>
    </row>
    <row r="531" spans="1:9" s="66" customFormat="1" ht="21" customHeight="1" x14ac:dyDescent="0.25">
      <c r="A531" s="155"/>
      <c r="B531" s="155"/>
      <c r="C531" s="154">
        <v>3</v>
      </c>
      <c r="D531" s="154"/>
      <c r="E531" s="68" t="s">
        <v>170</v>
      </c>
      <c r="F531" s="155">
        <f>31.01*10.764</f>
        <v>333.79163999999997</v>
      </c>
      <c r="G531" s="155"/>
      <c r="H531" s="68">
        <v>0</v>
      </c>
      <c r="I531" s="68">
        <f t="shared" si="58"/>
        <v>500.68745999999999</v>
      </c>
    </row>
    <row r="532" spans="1:9" s="66" customFormat="1" ht="21" customHeight="1" x14ac:dyDescent="0.25">
      <c r="A532" s="155"/>
      <c r="B532" s="155"/>
      <c r="C532" s="154">
        <v>4</v>
      </c>
      <c r="D532" s="154"/>
      <c r="E532" s="68" t="s">
        <v>150</v>
      </c>
      <c r="F532" s="155">
        <f>45.94*10.764</f>
        <v>494.49815999999993</v>
      </c>
      <c r="G532" s="155"/>
      <c r="H532" s="68">
        <v>0</v>
      </c>
      <c r="I532" s="68">
        <f t="shared" si="58"/>
        <v>741.74723999999992</v>
      </c>
    </row>
    <row r="533" spans="1:9" s="66" customFormat="1" ht="21" customHeight="1" x14ac:dyDescent="0.25">
      <c r="A533" s="155"/>
      <c r="B533" s="155"/>
      <c r="C533" s="154">
        <v>5</v>
      </c>
      <c r="D533" s="154"/>
      <c r="E533" s="68" t="s">
        <v>170</v>
      </c>
      <c r="F533" s="155">
        <f>43*10.764</f>
        <v>462.85199999999998</v>
      </c>
      <c r="G533" s="155"/>
      <c r="H533" s="68">
        <v>0</v>
      </c>
      <c r="I533" s="68">
        <f t="shared" si="58"/>
        <v>694.27800000000002</v>
      </c>
    </row>
    <row r="534" spans="1:9" s="66" customFormat="1" ht="21" customHeight="1" x14ac:dyDescent="0.25">
      <c r="A534" s="155"/>
      <c r="B534" s="155"/>
      <c r="C534" s="154">
        <v>6</v>
      </c>
      <c r="D534" s="154"/>
      <c r="E534" s="68" t="s">
        <v>150</v>
      </c>
      <c r="F534" s="155">
        <f>51.86*10.764</f>
        <v>558.22104000000002</v>
      </c>
      <c r="G534" s="155"/>
      <c r="H534" s="68">
        <v>0</v>
      </c>
      <c r="I534" s="68">
        <f t="shared" si="58"/>
        <v>837.33156000000008</v>
      </c>
    </row>
    <row r="535" spans="1:9" s="66" customFormat="1" ht="21" customHeight="1" x14ac:dyDescent="0.25">
      <c r="A535" s="155"/>
      <c r="B535" s="155"/>
      <c r="C535" s="154">
        <v>7</v>
      </c>
      <c r="D535" s="154"/>
      <c r="E535" s="68" t="s">
        <v>170</v>
      </c>
      <c r="F535" s="155">
        <f>30.94*10.764</f>
        <v>333.03816</v>
      </c>
      <c r="G535" s="155"/>
      <c r="H535" s="68">
        <v>0</v>
      </c>
      <c r="I535" s="68">
        <f t="shared" si="58"/>
        <v>499.55723999999998</v>
      </c>
    </row>
    <row r="536" spans="1:9" s="66" customFormat="1" ht="21" customHeight="1" x14ac:dyDescent="0.25">
      <c r="A536" s="155"/>
      <c r="B536" s="155"/>
      <c r="C536" s="154">
        <v>8</v>
      </c>
      <c r="D536" s="154"/>
      <c r="E536" s="68" t="s">
        <v>149</v>
      </c>
      <c r="F536" s="155">
        <f>73.43*10.764</f>
        <v>790.40052000000003</v>
      </c>
      <c r="G536" s="155"/>
      <c r="H536" s="68">
        <v>0</v>
      </c>
      <c r="I536" s="68">
        <f t="shared" si="58"/>
        <v>1185.60078</v>
      </c>
    </row>
    <row r="537" spans="1:9" s="66" customFormat="1" ht="21" customHeight="1" x14ac:dyDescent="0.25">
      <c r="A537" s="155"/>
      <c r="B537" s="155"/>
      <c r="C537" s="154">
        <v>9</v>
      </c>
      <c r="D537" s="154"/>
      <c r="E537" s="68" t="s">
        <v>150</v>
      </c>
      <c r="F537" s="155">
        <f>60.09*10.764</f>
        <v>646.80876000000001</v>
      </c>
      <c r="G537" s="155"/>
      <c r="H537" s="68">
        <v>0</v>
      </c>
      <c r="I537" s="68">
        <f t="shared" si="58"/>
        <v>970.21314000000007</v>
      </c>
    </row>
    <row r="538" spans="1:9" s="66" customFormat="1" ht="21" customHeight="1" x14ac:dyDescent="0.25">
      <c r="A538" s="155"/>
      <c r="B538" s="155"/>
      <c r="C538" s="154">
        <v>10</v>
      </c>
      <c r="D538" s="154"/>
      <c r="E538" s="68" t="s">
        <v>170</v>
      </c>
      <c r="F538" s="155">
        <f>31.22*10.764</f>
        <v>336.05207999999999</v>
      </c>
      <c r="G538" s="155"/>
      <c r="H538" s="68">
        <v>0</v>
      </c>
      <c r="I538" s="68">
        <f t="shared" si="58"/>
        <v>504.07812000000001</v>
      </c>
    </row>
    <row r="539" spans="1:9" s="66" customFormat="1" ht="21" customHeight="1" x14ac:dyDescent="0.25">
      <c r="A539" s="153" t="s">
        <v>244</v>
      </c>
      <c r="B539" s="153"/>
      <c r="C539" s="153"/>
      <c r="D539" s="153"/>
      <c r="E539" s="153"/>
      <c r="F539" s="153"/>
      <c r="G539" s="153"/>
      <c r="H539" s="153"/>
      <c r="I539" s="153"/>
    </row>
    <row r="540" spans="1:9" s="66" customFormat="1" ht="21" customHeight="1" x14ac:dyDescent="0.25">
      <c r="A540" s="155" t="str">
        <f>A539</f>
        <v>8th Floor</v>
      </c>
      <c r="B540" s="155"/>
      <c r="C540" s="154">
        <v>1</v>
      </c>
      <c r="D540" s="154"/>
      <c r="E540" s="68" t="s">
        <v>170</v>
      </c>
      <c r="F540" s="155">
        <f>31.22*10.764</f>
        <v>336.05207999999999</v>
      </c>
      <c r="G540" s="155"/>
      <c r="H540" s="68">
        <v>0</v>
      </c>
      <c r="I540" s="68">
        <f t="shared" ref="I540:I544" si="59">F540*1.5+H540</f>
        <v>504.07812000000001</v>
      </c>
    </row>
    <row r="541" spans="1:9" s="66" customFormat="1" ht="21" customHeight="1" x14ac:dyDescent="0.25">
      <c r="A541" s="155"/>
      <c r="B541" s="155"/>
      <c r="C541" s="154">
        <v>2</v>
      </c>
      <c r="D541" s="154"/>
      <c r="E541" s="68" t="s">
        <v>170</v>
      </c>
      <c r="F541" s="155">
        <f>31.02*10.764</f>
        <v>333.89927999999998</v>
      </c>
      <c r="G541" s="155"/>
      <c r="H541" s="68">
        <v>0</v>
      </c>
      <c r="I541" s="68">
        <f t="shared" si="59"/>
        <v>500.84891999999996</v>
      </c>
    </row>
    <row r="542" spans="1:9" s="66" customFormat="1" ht="21" customHeight="1" x14ac:dyDescent="0.25">
      <c r="A542" s="155"/>
      <c r="B542" s="155"/>
      <c r="C542" s="154">
        <v>3</v>
      </c>
      <c r="D542" s="154"/>
      <c r="E542" s="68" t="s">
        <v>170</v>
      </c>
      <c r="F542" s="155">
        <f>31.01*10.764</f>
        <v>333.79163999999997</v>
      </c>
      <c r="G542" s="155"/>
      <c r="H542" s="68">
        <v>0</v>
      </c>
      <c r="I542" s="68">
        <f t="shared" si="59"/>
        <v>500.68745999999999</v>
      </c>
    </row>
    <row r="543" spans="1:9" s="66" customFormat="1" ht="21" customHeight="1" x14ac:dyDescent="0.25">
      <c r="A543" s="155"/>
      <c r="B543" s="155"/>
      <c r="C543" s="154">
        <v>4</v>
      </c>
      <c r="D543" s="154"/>
      <c r="E543" s="68" t="s">
        <v>150</v>
      </c>
      <c r="F543" s="155">
        <f>45.94*10.764</f>
        <v>494.49815999999993</v>
      </c>
      <c r="G543" s="155"/>
      <c r="H543" s="68">
        <v>0</v>
      </c>
      <c r="I543" s="68">
        <f t="shared" si="59"/>
        <v>741.74723999999992</v>
      </c>
    </row>
    <row r="544" spans="1:9" s="66" customFormat="1" ht="21" customHeight="1" x14ac:dyDescent="0.25">
      <c r="A544" s="155"/>
      <c r="B544" s="155"/>
      <c r="C544" s="154">
        <v>5</v>
      </c>
      <c r="D544" s="154"/>
      <c r="E544" s="68" t="s">
        <v>170</v>
      </c>
      <c r="F544" s="155">
        <f>43*10.764</f>
        <v>462.85199999999998</v>
      </c>
      <c r="G544" s="155"/>
      <c r="H544" s="68">
        <v>0</v>
      </c>
      <c r="I544" s="68">
        <f t="shared" si="59"/>
        <v>694.27800000000002</v>
      </c>
    </row>
    <row r="545" spans="1:9" s="66" customFormat="1" ht="21" customHeight="1" x14ac:dyDescent="0.25">
      <c r="A545" s="155"/>
      <c r="B545" s="155"/>
      <c r="C545" s="154">
        <v>6</v>
      </c>
      <c r="D545" s="154"/>
      <c r="E545" s="155" t="s">
        <v>151</v>
      </c>
      <c r="F545" s="155"/>
      <c r="G545" s="155"/>
      <c r="H545" s="155"/>
      <c r="I545" s="155"/>
    </row>
    <row r="546" spans="1:9" s="66" customFormat="1" ht="21" customHeight="1" x14ac:dyDescent="0.25">
      <c r="A546" s="155"/>
      <c r="B546" s="155"/>
      <c r="C546" s="154">
        <v>7</v>
      </c>
      <c r="D546" s="154"/>
      <c r="E546" s="68" t="s">
        <v>170</v>
      </c>
      <c r="F546" s="155">
        <f>30.94*10.764</f>
        <v>333.03816</v>
      </c>
      <c r="G546" s="155"/>
      <c r="H546" s="68">
        <v>0</v>
      </c>
      <c r="I546" s="68">
        <f t="shared" ref="I546:I549" si="60">F546*1.5+H546</f>
        <v>499.55723999999998</v>
      </c>
    </row>
    <row r="547" spans="1:9" s="66" customFormat="1" ht="21" customHeight="1" x14ac:dyDescent="0.25">
      <c r="A547" s="155"/>
      <c r="B547" s="155"/>
      <c r="C547" s="154">
        <v>8</v>
      </c>
      <c r="D547" s="154"/>
      <c r="E547" s="68" t="s">
        <v>149</v>
      </c>
      <c r="F547" s="155">
        <f>73.43*10.764</f>
        <v>790.40052000000003</v>
      </c>
      <c r="G547" s="155"/>
      <c r="H547" s="68">
        <v>0</v>
      </c>
      <c r="I547" s="68">
        <f t="shared" si="60"/>
        <v>1185.60078</v>
      </c>
    </row>
    <row r="548" spans="1:9" s="66" customFormat="1" ht="21" customHeight="1" x14ac:dyDescent="0.25">
      <c r="A548" s="155"/>
      <c r="B548" s="155"/>
      <c r="C548" s="154">
        <v>9</v>
      </c>
      <c r="D548" s="154"/>
      <c r="E548" s="68" t="s">
        <v>150</v>
      </c>
      <c r="F548" s="155">
        <f>60.09*10.764</f>
        <v>646.80876000000001</v>
      </c>
      <c r="G548" s="155"/>
      <c r="H548" s="68">
        <v>0</v>
      </c>
      <c r="I548" s="68">
        <f t="shared" si="60"/>
        <v>970.21314000000007</v>
      </c>
    </row>
    <row r="549" spans="1:9" s="66" customFormat="1" ht="21" customHeight="1" x14ac:dyDescent="0.25">
      <c r="A549" s="155"/>
      <c r="B549" s="155"/>
      <c r="C549" s="154">
        <v>10</v>
      </c>
      <c r="D549" s="154"/>
      <c r="E549" s="68" t="s">
        <v>170</v>
      </c>
      <c r="F549" s="155">
        <f>31.22*10.764</f>
        <v>336.05207999999999</v>
      </c>
      <c r="G549" s="155"/>
      <c r="H549" s="68">
        <v>0</v>
      </c>
      <c r="I549" s="68">
        <f t="shared" si="60"/>
        <v>504.07812000000001</v>
      </c>
    </row>
    <row r="550" spans="1:9" s="66" customFormat="1" ht="21" customHeight="1" x14ac:dyDescent="0.25">
      <c r="A550" s="153" t="s">
        <v>185</v>
      </c>
      <c r="B550" s="153"/>
      <c r="C550" s="153"/>
      <c r="D550" s="153"/>
      <c r="E550" s="153"/>
      <c r="F550" s="153"/>
      <c r="G550" s="153"/>
      <c r="H550" s="153"/>
      <c r="I550" s="153"/>
    </row>
    <row r="551" spans="1:9" s="66" customFormat="1" ht="21" customHeight="1" x14ac:dyDescent="0.25">
      <c r="A551" s="153" t="s">
        <v>186</v>
      </c>
      <c r="B551" s="153"/>
      <c r="C551" s="153"/>
      <c r="D551" s="153"/>
      <c r="E551" s="153"/>
      <c r="F551" s="153"/>
      <c r="G551" s="153"/>
      <c r="H551" s="153"/>
      <c r="I551" s="153"/>
    </row>
    <row r="552" spans="1:9" s="66" customFormat="1" ht="21" customHeight="1" x14ac:dyDescent="0.25">
      <c r="A552" s="155" t="str">
        <f>A551</f>
        <v>14th, 19th &amp; 24th Floor (Part Refuge Area)</v>
      </c>
      <c r="B552" s="155"/>
      <c r="C552" s="154">
        <v>1</v>
      </c>
      <c r="D552" s="154"/>
      <c r="E552" s="68" t="s">
        <v>170</v>
      </c>
      <c r="F552" s="155">
        <f>31.22*10.764</f>
        <v>336.05207999999999</v>
      </c>
      <c r="G552" s="155"/>
      <c r="H552" s="68">
        <v>0</v>
      </c>
      <c r="I552" s="68">
        <f t="shared" ref="I552:I556" si="61">F552*1.5+H552</f>
        <v>504.07812000000001</v>
      </c>
    </row>
    <row r="553" spans="1:9" s="66" customFormat="1" ht="21" customHeight="1" x14ac:dyDescent="0.25">
      <c r="A553" s="155"/>
      <c r="B553" s="155"/>
      <c r="C553" s="154">
        <v>2</v>
      </c>
      <c r="D553" s="154"/>
      <c r="E553" s="68" t="s">
        <v>170</v>
      </c>
      <c r="F553" s="155">
        <f>31.02*10.764</f>
        <v>333.89927999999998</v>
      </c>
      <c r="G553" s="155"/>
      <c r="H553" s="68">
        <v>0</v>
      </c>
      <c r="I553" s="68">
        <f t="shared" si="61"/>
        <v>500.84891999999996</v>
      </c>
    </row>
    <row r="554" spans="1:9" s="66" customFormat="1" ht="21" customHeight="1" x14ac:dyDescent="0.25">
      <c r="A554" s="155"/>
      <c r="B554" s="155"/>
      <c r="C554" s="154">
        <v>3</v>
      </c>
      <c r="D554" s="154"/>
      <c r="E554" s="68" t="s">
        <v>170</v>
      </c>
      <c r="F554" s="155">
        <f>31.01*10.764</f>
        <v>333.79163999999997</v>
      </c>
      <c r="G554" s="155"/>
      <c r="H554" s="68">
        <v>0</v>
      </c>
      <c r="I554" s="68">
        <f t="shared" si="61"/>
        <v>500.68745999999999</v>
      </c>
    </row>
    <row r="555" spans="1:9" s="66" customFormat="1" ht="21" customHeight="1" x14ac:dyDescent="0.25">
      <c r="A555" s="155"/>
      <c r="B555" s="155"/>
      <c r="C555" s="154">
        <v>4</v>
      </c>
      <c r="D555" s="154"/>
      <c r="E555" s="68" t="s">
        <v>150</v>
      </c>
      <c r="F555" s="155">
        <f>45.94*10.764</f>
        <v>494.49815999999993</v>
      </c>
      <c r="G555" s="155"/>
      <c r="H555" s="68">
        <v>0</v>
      </c>
      <c r="I555" s="68">
        <f t="shared" si="61"/>
        <v>741.74723999999992</v>
      </c>
    </row>
    <row r="556" spans="1:9" s="66" customFormat="1" ht="21" customHeight="1" x14ac:dyDescent="0.25">
      <c r="A556" s="155"/>
      <c r="B556" s="155"/>
      <c r="C556" s="154">
        <v>5</v>
      </c>
      <c r="D556" s="154"/>
      <c r="E556" s="68" t="s">
        <v>170</v>
      </c>
      <c r="F556" s="155">
        <f>43*10.764</f>
        <v>462.85199999999998</v>
      </c>
      <c r="G556" s="155"/>
      <c r="H556" s="68">
        <v>0</v>
      </c>
      <c r="I556" s="68">
        <f t="shared" si="61"/>
        <v>694.27800000000002</v>
      </c>
    </row>
    <row r="557" spans="1:9" s="66" customFormat="1" ht="21" customHeight="1" x14ac:dyDescent="0.25">
      <c r="A557" s="155"/>
      <c r="B557" s="155"/>
      <c r="C557" s="154">
        <v>6</v>
      </c>
      <c r="D557" s="154"/>
      <c r="E557" s="155" t="s">
        <v>151</v>
      </c>
      <c r="F557" s="155"/>
      <c r="G557" s="155"/>
      <c r="H557" s="155"/>
      <c r="I557" s="155"/>
    </row>
    <row r="558" spans="1:9" s="66" customFormat="1" ht="21" customHeight="1" x14ac:dyDescent="0.25">
      <c r="A558" s="155"/>
      <c r="B558" s="155"/>
      <c r="C558" s="154">
        <v>7</v>
      </c>
      <c r="D558" s="154"/>
      <c r="E558" s="68" t="s">
        <v>170</v>
      </c>
      <c r="F558" s="155">
        <f>30.94*10.764</f>
        <v>333.03816</v>
      </c>
      <c r="G558" s="155"/>
      <c r="H558" s="68">
        <v>0</v>
      </c>
      <c r="I558" s="68">
        <f t="shared" ref="I558:I561" si="62">F558*1.5+H558</f>
        <v>499.55723999999998</v>
      </c>
    </row>
    <row r="559" spans="1:9" s="66" customFormat="1" ht="21" customHeight="1" x14ac:dyDescent="0.25">
      <c r="A559" s="155"/>
      <c r="B559" s="155"/>
      <c r="C559" s="154">
        <v>8</v>
      </c>
      <c r="D559" s="154"/>
      <c r="E559" s="68" t="s">
        <v>149</v>
      </c>
      <c r="F559" s="155">
        <f>73.43*10.764</f>
        <v>790.40052000000003</v>
      </c>
      <c r="G559" s="155"/>
      <c r="H559" s="68">
        <v>0</v>
      </c>
      <c r="I559" s="68">
        <f t="shared" si="62"/>
        <v>1185.60078</v>
      </c>
    </row>
    <row r="560" spans="1:9" s="66" customFormat="1" ht="21" customHeight="1" x14ac:dyDescent="0.25">
      <c r="A560" s="155"/>
      <c r="B560" s="155"/>
      <c r="C560" s="154">
        <v>9</v>
      </c>
      <c r="D560" s="154"/>
      <c r="E560" s="68" t="s">
        <v>150</v>
      </c>
      <c r="F560" s="155">
        <f>60.09*10.764</f>
        <v>646.80876000000001</v>
      </c>
      <c r="G560" s="155"/>
      <c r="H560" s="68">
        <v>0</v>
      </c>
      <c r="I560" s="68">
        <f t="shared" si="62"/>
        <v>970.21314000000007</v>
      </c>
    </row>
    <row r="561" spans="1:11" s="66" customFormat="1" ht="21" customHeight="1" x14ac:dyDescent="0.25">
      <c r="A561" s="155"/>
      <c r="B561" s="155"/>
      <c r="C561" s="154">
        <v>10</v>
      </c>
      <c r="D561" s="154"/>
      <c r="E561" s="68" t="s">
        <v>170</v>
      </c>
      <c r="F561" s="155">
        <f>31.22*10.764</f>
        <v>336.05207999999999</v>
      </c>
      <c r="G561" s="155"/>
      <c r="H561" s="68">
        <v>0</v>
      </c>
      <c r="I561" s="68">
        <f t="shared" si="62"/>
        <v>504.07812000000001</v>
      </c>
    </row>
    <row r="562" spans="1:11" s="66" customFormat="1" ht="21" customHeight="1" x14ac:dyDescent="0.25">
      <c r="A562" s="153" t="s">
        <v>187</v>
      </c>
      <c r="B562" s="153"/>
      <c r="C562" s="153"/>
      <c r="D562" s="153"/>
      <c r="E562" s="153"/>
      <c r="F562" s="153"/>
      <c r="G562" s="153"/>
      <c r="H562" s="153"/>
      <c r="I562" s="153"/>
    </row>
    <row r="563" spans="1:11" s="66" customFormat="1" ht="21" customHeight="1" x14ac:dyDescent="0.25">
      <c r="A563" s="155" t="str">
        <f>A562</f>
        <v>29th Floor (Part Refuge Area)</v>
      </c>
      <c r="B563" s="155"/>
      <c r="C563" s="154">
        <v>1</v>
      </c>
      <c r="D563" s="154"/>
      <c r="E563" s="68" t="s">
        <v>170</v>
      </c>
      <c r="F563" s="155">
        <f>31.22*10.764</f>
        <v>336.05207999999999</v>
      </c>
      <c r="G563" s="155"/>
      <c r="H563" s="68">
        <v>0</v>
      </c>
      <c r="I563" s="68">
        <f t="shared" ref="I563:I567" si="63">F563*1.5+H563</f>
        <v>504.07812000000001</v>
      </c>
    </row>
    <row r="564" spans="1:11" s="66" customFormat="1" ht="21" customHeight="1" x14ac:dyDescent="0.25">
      <c r="A564" s="155"/>
      <c r="B564" s="155"/>
      <c r="C564" s="154">
        <v>2</v>
      </c>
      <c r="D564" s="154"/>
      <c r="E564" s="68" t="s">
        <v>170</v>
      </c>
      <c r="F564" s="155">
        <f>31.02*10.764</f>
        <v>333.89927999999998</v>
      </c>
      <c r="G564" s="155"/>
      <c r="H564" s="68">
        <v>0</v>
      </c>
      <c r="I564" s="68">
        <f t="shared" si="63"/>
        <v>500.84891999999996</v>
      </c>
    </row>
    <row r="565" spans="1:11" s="66" customFormat="1" ht="21" customHeight="1" x14ac:dyDescent="0.25">
      <c r="A565" s="155"/>
      <c r="B565" s="155"/>
      <c r="C565" s="154">
        <v>3</v>
      </c>
      <c r="D565" s="154"/>
      <c r="E565" s="68" t="s">
        <v>170</v>
      </c>
      <c r="F565" s="155">
        <f>31.01*10.764</f>
        <v>333.79163999999997</v>
      </c>
      <c r="G565" s="155"/>
      <c r="H565" s="68">
        <v>0</v>
      </c>
      <c r="I565" s="68">
        <f t="shared" si="63"/>
        <v>500.68745999999999</v>
      </c>
    </row>
    <row r="566" spans="1:11" s="66" customFormat="1" ht="21" customHeight="1" x14ac:dyDescent="0.25">
      <c r="A566" s="155"/>
      <c r="B566" s="155"/>
      <c r="C566" s="154">
        <v>4</v>
      </c>
      <c r="D566" s="154"/>
      <c r="E566" s="68" t="s">
        <v>150</v>
      </c>
      <c r="F566" s="155">
        <f>45.94*10.764</f>
        <v>494.49815999999993</v>
      </c>
      <c r="G566" s="155"/>
      <c r="H566" s="68">
        <v>0</v>
      </c>
      <c r="I566" s="68">
        <f t="shared" si="63"/>
        <v>741.74723999999992</v>
      </c>
    </row>
    <row r="567" spans="1:11" s="66" customFormat="1" ht="21" customHeight="1" x14ac:dyDescent="0.25">
      <c r="A567" s="155"/>
      <c r="B567" s="155"/>
      <c r="C567" s="154">
        <v>5</v>
      </c>
      <c r="D567" s="154"/>
      <c r="E567" s="68" t="s">
        <v>170</v>
      </c>
      <c r="F567" s="155">
        <f>43*10.764</f>
        <v>462.85199999999998</v>
      </c>
      <c r="G567" s="155"/>
      <c r="H567" s="68">
        <v>0</v>
      </c>
      <c r="I567" s="68">
        <f t="shared" si="63"/>
        <v>694.27800000000002</v>
      </c>
    </row>
    <row r="568" spans="1:11" s="66" customFormat="1" ht="21" customHeight="1" x14ac:dyDescent="0.25">
      <c r="A568" s="155"/>
      <c r="B568" s="155"/>
      <c r="C568" s="154">
        <v>6</v>
      </c>
      <c r="D568" s="154"/>
      <c r="E568" s="155" t="s">
        <v>151</v>
      </c>
      <c r="F568" s="155"/>
      <c r="G568" s="155"/>
      <c r="H568" s="155"/>
      <c r="I568" s="155"/>
    </row>
    <row r="569" spans="1:11" s="66" customFormat="1" ht="21" customHeight="1" x14ac:dyDescent="0.25">
      <c r="A569" s="155"/>
      <c r="B569" s="155"/>
      <c r="C569" s="154">
        <v>7</v>
      </c>
      <c r="D569" s="154"/>
      <c r="E569" s="68" t="s">
        <v>170</v>
      </c>
      <c r="F569" s="155">
        <f>30.94*10.764</f>
        <v>333.03816</v>
      </c>
      <c r="G569" s="155"/>
      <c r="H569" s="68">
        <v>0</v>
      </c>
      <c r="I569" s="68">
        <f t="shared" ref="I569:I572" si="64">F569*1.5+H569</f>
        <v>499.55723999999998</v>
      </c>
    </row>
    <row r="570" spans="1:11" s="66" customFormat="1" ht="21" customHeight="1" x14ac:dyDescent="0.25">
      <c r="A570" s="155"/>
      <c r="B570" s="155"/>
      <c r="C570" s="154">
        <v>8</v>
      </c>
      <c r="D570" s="154"/>
      <c r="E570" s="68" t="s">
        <v>149</v>
      </c>
      <c r="F570" s="155">
        <f>73.43*10.764</f>
        <v>790.40052000000003</v>
      </c>
      <c r="G570" s="155"/>
      <c r="H570" s="68">
        <v>0</v>
      </c>
      <c r="I570" s="68">
        <f t="shared" si="64"/>
        <v>1185.60078</v>
      </c>
    </row>
    <row r="571" spans="1:11" s="66" customFormat="1" ht="21" customHeight="1" x14ac:dyDescent="0.25">
      <c r="A571" s="155"/>
      <c r="B571" s="155"/>
      <c r="C571" s="154">
        <v>9</v>
      </c>
      <c r="D571" s="154"/>
      <c r="E571" s="68" t="s">
        <v>150</v>
      </c>
      <c r="F571" s="155">
        <f>60.09*10.764</f>
        <v>646.80876000000001</v>
      </c>
      <c r="G571" s="155"/>
      <c r="H571" s="68">
        <v>0</v>
      </c>
      <c r="I571" s="68">
        <f t="shared" si="64"/>
        <v>970.21314000000007</v>
      </c>
    </row>
    <row r="572" spans="1:11" s="66" customFormat="1" ht="21" customHeight="1" x14ac:dyDescent="0.25">
      <c r="A572" s="155"/>
      <c r="B572" s="155"/>
      <c r="C572" s="154">
        <v>10</v>
      </c>
      <c r="D572" s="154"/>
      <c r="E572" s="68" t="s">
        <v>170</v>
      </c>
      <c r="F572" s="155">
        <f>31.22*10.764</f>
        <v>336.05207999999999</v>
      </c>
      <c r="G572" s="155"/>
      <c r="H572" s="68">
        <v>0</v>
      </c>
      <c r="I572" s="68">
        <f t="shared" si="64"/>
        <v>504.07812000000001</v>
      </c>
    </row>
    <row r="573" spans="1:11" ht="22.5" customHeight="1" x14ac:dyDescent="0.25">
      <c r="A573" s="159" t="s">
        <v>70</v>
      </c>
      <c r="B573" s="160"/>
      <c r="C573" s="160"/>
      <c r="D573" s="160"/>
      <c r="E573" s="160"/>
      <c r="F573" s="160"/>
      <c r="G573" s="160"/>
      <c r="H573" s="160"/>
      <c r="I573" s="161"/>
    </row>
    <row r="574" spans="1:11" ht="125.25" customHeight="1" x14ac:dyDescent="0.25">
      <c r="A574" s="18" t="s">
        <v>76</v>
      </c>
      <c r="B574" s="22" t="s">
        <v>4</v>
      </c>
      <c r="C574" s="113" t="s">
        <v>278</v>
      </c>
      <c r="D574" s="113"/>
      <c r="E574" s="113"/>
      <c r="F574" s="113"/>
      <c r="G574" s="113"/>
      <c r="H574" s="113"/>
      <c r="I574" s="113"/>
      <c r="K574" s="11"/>
    </row>
    <row r="575" spans="1:11" ht="20.25" x14ac:dyDescent="0.25">
      <c r="A575" s="124" t="s">
        <v>77</v>
      </c>
      <c r="B575" s="124"/>
      <c r="C575" s="124"/>
      <c r="D575" s="124"/>
      <c r="E575" s="124"/>
      <c r="F575" s="124"/>
      <c r="G575" s="124"/>
      <c r="H575" s="124"/>
      <c r="I575" s="124"/>
    </row>
    <row r="576" spans="1:11" ht="20.25" x14ac:dyDescent="0.25">
      <c r="A576" s="122" t="s">
        <v>71</v>
      </c>
      <c r="B576" s="122"/>
      <c r="C576" s="122"/>
      <c r="D576" s="9" t="s">
        <v>4</v>
      </c>
      <c r="E576" s="140" t="str">
        <f>E3</f>
        <v>Runwal Gardens Phase III (Building 24 to 30)</v>
      </c>
      <c r="F576" s="141"/>
      <c r="G576" s="141"/>
      <c r="H576" s="141"/>
      <c r="I576" s="142"/>
    </row>
    <row r="577" spans="1:9" ht="45" customHeight="1" x14ac:dyDescent="0.25">
      <c r="A577" s="122" t="s">
        <v>138</v>
      </c>
      <c r="B577" s="122"/>
      <c r="C577" s="122"/>
      <c r="D577" s="9" t="s">
        <v>4</v>
      </c>
      <c r="E577" s="143" t="str">
        <f>E11</f>
        <v>Runwal Gardens Phase III, Village Usarghar, Kalyan Shilphata Road, Dombivli, Kalyan, Thane.</v>
      </c>
      <c r="F577" s="144"/>
      <c r="G577" s="144"/>
      <c r="H577" s="144"/>
      <c r="I577" s="145"/>
    </row>
    <row r="578" spans="1:9" ht="20.25" customHeight="1" x14ac:dyDescent="0.25">
      <c r="A578" s="148" t="s">
        <v>147</v>
      </c>
      <c r="B578" s="148"/>
      <c r="C578" s="148"/>
      <c r="D578" s="12" t="s">
        <v>4</v>
      </c>
      <c r="E578" s="149" t="str">
        <f>I3</f>
        <v>04/07/2025 at 03:05PM</v>
      </c>
      <c r="F578" s="150"/>
      <c r="G578" s="150"/>
      <c r="H578" s="150"/>
      <c r="I578" s="151"/>
    </row>
    <row r="579" spans="1:9" ht="65.25" customHeight="1" x14ac:dyDescent="0.25">
      <c r="A579" s="174"/>
      <c r="B579" s="175"/>
      <c r="C579" s="175"/>
      <c r="D579" s="175"/>
      <c r="E579" s="175"/>
      <c r="F579" s="175"/>
      <c r="G579" s="175"/>
      <c r="H579" s="175"/>
      <c r="I579" s="176"/>
    </row>
    <row r="580" spans="1:9" ht="65.25" customHeight="1" x14ac:dyDescent="0.25">
      <c r="A580" s="177"/>
      <c r="B580" s="178"/>
      <c r="C580" s="178"/>
      <c r="D580" s="178"/>
      <c r="E580" s="178"/>
      <c r="F580" s="178"/>
      <c r="G580" s="178"/>
      <c r="H580" s="178"/>
      <c r="I580" s="179"/>
    </row>
    <row r="581" spans="1:9" ht="65.25" customHeight="1" x14ac:dyDescent="0.25">
      <c r="A581" s="177"/>
      <c r="B581" s="178"/>
      <c r="C581" s="178"/>
      <c r="D581" s="178"/>
      <c r="E581" s="178"/>
      <c r="F581" s="178"/>
      <c r="G581" s="178"/>
      <c r="H581" s="178"/>
      <c r="I581" s="179"/>
    </row>
    <row r="582" spans="1:9" ht="65.25" customHeight="1" x14ac:dyDescent="0.25">
      <c r="A582" s="177"/>
      <c r="B582" s="178"/>
      <c r="C582" s="178"/>
      <c r="D582" s="178"/>
      <c r="E582" s="178"/>
      <c r="F582" s="178"/>
      <c r="G582" s="178"/>
      <c r="H582" s="178"/>
      <c r="I582" s="179"/>
    </row>
    <row r="583" spans="1:9" ht="65.25" customHeight="1" x14ac:dyDescent="0.25">
      <c r="A583" s="177"/>
      <c r="B583" s="178"/>
      <c r="C583" s="178"/>
      <c r="D583" s="178"/>
      <c r="E583" s="178"/>
      <c r="F583" s="178"/>
      <c r="G583" s="178"/>
      <c r="H583" s="178"/>
      <c r="I583" s="179"/>
    </row>
    <row r="584" spans="1:9" ht="65.25" customHeight="1" x14ac:dyDescent="0.25">
      <c r="A584" s="177"/>
      <c r="B584" s="178"/>
      <c r="C584" s="178"/>
      <c r="D584" s="178"/>
      <c r="E584" s="178"/>
      <c r="F584" s="178"/>
      <c r="G584" s="178"/>
      <c r="H584" s="178"/>
      <c r="I584" s="179"/>
    </row>
    <row r="585" spans="1:9" ht="65.25" customHeight="1" x14ac:dyDescent="0.25">
      <c r="A585" s="177"/>
      <c r="B585" s="178"/>
      <c r="C585" s="178"/>
      <c r="D585" s="178"/>
      <c r="E585" s="178"/>
      <c r="F585" s="178"/>
      <c r="G585" s="178"/>
      <c r="H585" s="178"/>
      <c r="I585" s="179"/>
    </row>
    <row r="586" spans="1:9" ht="408.75" customHeight="1" x14ac:dyDescent="0.25">
      <c r="A586" s="177"/>
      <c r="B586" s="178"/>
      <c r="C586" s="178"/>
      <c r="D586" s="178"/>
      <c r="E586" s="178"/>
      <c r="F586" s="178"/>
      <c r="G586" s="178"/>
      <c r="H586" s="178"/>
      <c r="I586" s="179"/>
    </row>
    <row r="587" spans="1:9" ht="24.75" hidden="1" customHeight="1" x14ac:dyDescent="0.25">
      <c r="A587" s="152"/>
      <c r="B587" s="152"/>
      <c r="C587" s="152"/>
      <c r="D587" s="152"/>
      <c r="E587" s="152"/>
      <c r="F587" s="152"/>
      <c r="G587" s="152"/>
      <c r="H587" s="152"/>
      <c r="I587" s="152"/>
    </row>
    <row r="588" spans="1:9" ht="20.25" x14ac:dyDescent="0.25">
      <c r="A588" s="124" t="s">
        <v>78</v>
      </c>
      <c r="B588" s="124"/>
      <c r="C588" s="124"/>
      <c r="D588" s="124"/>
      <c r="E588" s="124"/>
      <c r="F588" s="124"/>
      <c r="G588" s="124"/>
      <c r="H588" s="124"/>
      <c r="I588" s="124"/>
    </row>
    <row r="589" spans="1:9" ht="38.25" customHeight="1" x14ac:dyDescent="0.25">
      <c r="A589" s="147"/>
      <c r="B589" s="147"/>
      <c r="C589" s="147"/>
      <c r="D589" s="147"/>
      <c r="E589" s="147"/>
      <c r="F589" s="147"/>
      <c r="G589" s="147"/>
      <c r="H589" s="147"/>
      <c r="I589" s="147"/>
    </row>
    <row r="590" spans="1:9" ht="38.25" customHeight="1" x14ac:dyDescent="0.25">
      <c r="A590" s="147"/>
      <c r="B590" s="147"/>
      <c r="C590" s="147"/>
      <c r="D590" s="147"/>
      <c r="E590" s="147"/>
      <c r="F590" s="147"/>
      <c r="G590" s="147"/>
      <c r="H590" s="147"/>
      <c r="I590" s="147"/>
    </row>
    <row r="591" spans="1:9" ht="38.25" customHeight="1" x14ac:dyDescent="0.25">
      <c r="A591" s="147"/>
      <c r="B591" s="147"/>
      <c r="C591" s="147"/>
      <c r="D591" s="147"/>
      <c r="E591" s="147"/>
      <c r="F591" s="147"/>
      <c r="G591" s="147"/>
      <c r="H591" s="147"/>
      <c r="I591" s="147"/>
    </row>
    <row r="592" spans="1:9" ht="38.25" customHeight="1" x14ac:dyDescent="0.25">
      <c r="A592" s="147"/>
      <c r="B592" s="147"/>
      <c r="C592" s="147"/>
      <c r="D592" s="147"/>
      <c r="E592" s="147"/>
      <c r="F592" s="147"/>
      <c r="G592" s="147"/>
      <c r="H592" s="147"/>
      <c r="I592" s="147"/>
    </row>
    <row r="593" spans="1:9" ht="38.25" customHeight="1" x14ac:dyDescent="0.25">
      <c r="A593" s="147"/>
      <c r="B593" s="147"/>
      <c r="C593" s="147"/>
      <c r="D593" s="147"/>
      <c r="E593" s="147"/>
      <c r="F593" s="147"/>
      <c r="G593" s="147"/>
      <c r="H593" s="147"/>
      <c r="I593" s="147"/>
    </row>
    <row r="594" spans="1:9" ht="38.25" customHeight="1" x14ac:dyDescent="0.25">
      <c r="A594" s="147"/>
      <c r="B594" s="147"/>
      <c r="C594" s="147"/>
      <c r="D594" s="147"/>
      <c r="E594" s="147"/>
      <c r="F594" s="147"/>
      <c r="G594" s="147"/>
      <c r="H594" s="147"/>
      <c r="I594" s="147"/>
    </row>
    <row r="595" spans="1:9" ht="38.25" customHeight="1" x14ac:dyDescent="0.25">
      <c r="A595" s="147"/>
      <c r="B595" s="147"/>
      <c r="C595" s="147"/>
      <c r="D595" s="147"/>
      <c r="E595" s="147"/>
      <c r="F595" s="147"/>
      <c r="G595" s="147"/>
      <c r="H595" s="147"/>
      <c r="I595" s="147"/>
    </row>
    <row r="596" spans="1:9" ht="38.25" customHeight="1" x14ac:dyDescent="0.25">
      <c r="A596" s="147"/>
      <c r="B596" s="147"/>
      <c r="C596" s="147"/>
      <c r="D596" s="147"/>
      <c r="E596" s="147"/>
      <c r="F596" s="147"/>
      <c r="G596" s="147"/>
      <c r="H596" s="147"/>
      <c r="I596" s="147"/>
    </row>
    <row r="597" spans="1:9" ht="38.25" customHeight="1" x14ac:dyDescent="0.25">
      <c r="A597" s="147"/>
      <c r="B597" s="147"/>
      <c r="C597" s="147"/>
      <c r="D597" s="147"/>
      <c r="E597" s="147"/>
      <c r="F597" s="147"/>
      <c r="G597" s="147"/>
      <c r="H597" s="147"/>
      <c r="I597" s="147"/>
    </row>
    <row r="598" spans="1:9" ht="38.25" customHeight="1" x14ac:dyDescent="0.25">
      <c r="A598" s="147"/>
      <c r="B598" s="147"/>
      <c r="C598" s="147"/>
      <c r="D598" s="147"/>
      <c r="E598" s="147"/>
      <c r="F598" s="147"/>
      <c r="G598" s="147"/>
      <c r="H598" s="147"/>
      <c r="I598" s="147"/>
    </row>
    <row r="599" spans="1:9" ht="38.25" customHeight="1" x14ac:dyDescent="0.25">
      <c r="A599" s="147"/>
      <c r="B599" s="147"/>
      <c r="C599" s="147"/>
      <c r="D599" s="147"/>
      <c r="E599" s="147"/>
      <c r="F599" s="147"/>
      <c r="G599" s="147"/>
      <c r="H599" s="147"/>
      <c r="I599" s="147"/>
    </row>
    <row r="600" spans="1:9" ht="38.25" customHeight="1" x14ac:dyDescent="0.25">
      <c r="A600" s="147"/>
      <c r="B600" s="147"/>
      <c r="C600" s="147"/>
      <c r="D600" s="147"/>
      <c r="E600" s="147"/>
      <c r="F600" s="147"/>
      <c r="G600" s="147"/>
      <c r="H600" s="147"/>
      <c r="I600" s="147"/>
    </row>
    <row r="601" spans="1:9" ht="38.25" customHeight="1" x14ac:dyDescent="0.25">
      <c r="A601" s="147"/>
      <c r="B601" s="147"/>
      <c r="C601" s="147"/>
      <c r="D601" s="147"/>
      <c r="E601" s="147"/>
      <c r="F601" s="147"/>
      <c r="G601" s="147"/>
      <c r="H601" s="147"/>
      <c r="I601" s="147"/>
    </row>
    <row r="602" spans="1:9" ht="38.25" customHeight="1" x14ac:dyDescent="0.25">
      <c r="A602" s="147"/>
      <c r="B602" s="147"/>
      <c r="C602" s="147"/>
      <c r="D602" s="147"/>
      <c r="E602" s="147"/>
      <c r="F602" s="147"/>
      <c r="G602" s="147"/>
      <c r="H602" s="147"/>
      <c r="I602" s="147"/>
    </row>
    <row r="603" spans="1:9" ht="38.25" customHeight="1" x14ac:dyDescent="0.25">
      <c r="A603" s="147"/>
      <c r="B603" s="147"/>
      <c r="C603" s="147"/>
      <c r="D603" s="147"/>
      <c r="E603" s="147"/>
      <c r="F603" s="147"/>
      <c r="G603" s="147"/>
      <c r="H603" s="147"/>
      <c r="I603" s="147"/>
    </row>
    <row r="604" spans="1:9" ht="30" customHeight="1" x14ac:dyDescent="0.25">
      <c r="A604" s="147"/>
      <c r="B604" s="147"/>
      <c r="C604" s="147"/>
      <c r="D604" s="147"/>
      <c r="E604" s="147"/>
      <c r="F604" s="147"/>
      <c r="G604" s="147"/>
      <c r="H604" s="147"/>
      <c r="I604" s="147"/>
    </row>
    <row r="605" spans="1:9" ht="20.25" x14ac:dyDescent="0.25">
      <c r="A605" s="124" t="s">
        <v>27</v>
      </c>
      <c r="B605" s="124"/>
      <c r="C605" s="124"/>
      <c r="D605" s="124"/>
      <c r="E605" s="124"/>
      <c r="F605" s="124"/>
      <c r="G605" s="124"/>
      <c r="H605" s="124"/>
      <c r="I605" s="124"/>
    </row>
    <row r="606" spans="1:9" ht="20.25" x14ac:dyDescent="0.25">
      <c r="A606" s="122" t="s">
        <v>80</v>
      </c>
      <c r="B606" s="122"/>
      <c r="C606" s="122"/>
      <c r="D606" s="122"/>
      <c r="E606" s="122"/>
      <c r="F606" s="122"/>
      <c r="G606" s="122"/>
      <c r="H606" s="122"/>
      <c r="I606" s="122"/>
    </row>
    <row r="607" spans="1:9" ht="20.25" x14ac:dyDescent="0.25">
      <c r="A607" s="122" t="s">
        <v>81</v>
      </c>
      <c r="B607" s="122"/>
      <c r="C607" s="122"/>
      <c r="D607" s="122"/>
      <c r="E607" s="122"/>
      <c r="F607" s="122"/>
      <c r="G607" s="122"/>
      <c r="H607" s="122"/>
      <c r="I607" s="122"/>
    </row>
    <row r="608" spans="1:9" ht="39.75" customHeight="1" x14ac:dyDescent="0.25">
      <c r="A608" s="122" t="s">
        <v>82</v>
      </c>
      <c r="B608" s="122"/>
      <c r="C608" s="122"/>
      <c r="D608" s="122"/>
      <c r="E608" s="122"/>
      <c r="F608" s="122"/>
      <c r="G608" s="122"/>
      <c r="H608" s="122"/>
      <c r="I608" s="122"/>
    </row>
    <row r="609" spans="1:9" ht="39.75" customHeight="1" x14ac:dyDescent="0.25">
      <c r="A609" s="122" t="s">
        <v>83</v>
      </c>
      <c r="B609" s="122"/>
      <c r="C609" s="122"/>
      <c r="D609" s="122"/>
      <c r="E609" s="122"/>
      <c r="F609" s="122"/>
      <c r="G609" s="122"/>
      <c r="H609" s="122"/>
      <c r="I609" s="122"/>
    </row>
    <row r="610" spans="1:9" ht="20.25" x14ac:dyDescent="0.25">
      <c r="A610" s="122" t="s">
        <v>84</v>
      </c>
      <c r="B610" s="122"/>
      <c r="C610" s="122"/>
      <c r="D610" s="122"/>
      <c r="E610" s="122"/>
      <c r="F610" s="122"/>
      <c r="G610" s="122"/>
      <c r="H610" s="122"/>
      <c r="I610" s="122"/>
    </row>
    <row r="611" spans="1:9" ht="20.25" x14ac:dyDescent="0.25">
      <c r="A611" s="122" t="s">
        <v>85</v>
      </c>
      <c r="B611" s="122"/>
      <c r="C611" s="122"/>
      <c r="D611" s="122"/>
      <c r="E611" s="122"/>
      <c r="F611" s="122"/>
      <c r="G611" s="122"/>
      <c r="H611" s="122"/>
      <c r="I611" s="122"/>
    </row>
    <row r="612" spans="1:9" ht="60.75" customHeight="1" x14ac:dyDescent="0.25">
      <c r="A612" s="122" t="s">
        <v>86</v>
      </c>
      <c r="B612" s="122"/>
      <c r="C612" s="122"/>
      <c r="D612" s="122"/>
      <c r="E612" s="122"/>
      <c r="F612" s="122"/>
      <c r="G612" s="122"/>
      <c r="H612" s="122"/>
      <c r="I612" s="122"/>
    </row>
    <row r="613" spans="1:9" ht="42" customHeight="1" x14ac:dyDescent="0.25">
      <c r="A613" s="122" t="s">
        <v>87</v>
      </c>
      <c r="B613" s="122"/>
      <c r="C613" s="122"/>
      <c r="D613" s="122"/>
      <c r="E613" s="122"/>
      <c r="F613" s="122"/>
      <c r="G613" s="122"/>
      <c r="H613" s="122"/>
      <c r="I613" s="122"/>
    </row>
    <row r="614" spans="1:9" ht="20.25" x14ac:dyDescent="0.25">
      <c r="A614" s="122" t="s">
        <v>88</v>
      </c>
      <c r="B614" s="122"/>
      <c r="C614" s="122"/>
      <c r="D614" s="122"/>
      <c r="E614" s="122"/>
      <c r="F614" s="122"/>
      <c r="G614" s="122"/>
      <c r="H614" s="122"/>
      <c r="I614" s="122"/>
    </row>
    <row r="615" spans="1:9" ht="66.75" customHeight="1" x14ac:dyDescent="0.25">
      <c r="A615" s="146" t="s">
        <v>32</v>
      </c>
      <c r="B615" s="146"/>
      <c r="C615" s="146"/>
      <c r="D615" s="9" t="s">
        <v>4</v>
      </c>
      <c r="E615" s="14" t="s">
        <v>293</v>
      </c>
      <c r="F615" s="15" t="s">
        <v>9</v>
      </c>
      <c r="G615" s="9" t="s">
        <v>4</v>
      </c>
      <c r="H615" s="147"/>
      <c r="I615" s="147"/>
    </row>
  </sheetData>
  <mergeCells count="1160">
    <mergeCell ref="K6:L6"/>
    <mergeCell ref="K4:L4"/>
    <mergeCell ref="A102:B102"/>
    <mergeCell ref="C102:D102"/>
    <mergeCell ref="A103:B103"/>
    <mergeCell ref="C103:D103"/>
    <mergeCell ref="A104:B104"/>
    <mergeCell ref="C104:D104"/>
    <mergeCell ref="A119:B119"/>
    <mergeCell ref="C119:D119"/>
    <mergeCell ref="A120:B120"/>
    <mergeCell ref="C120:D120"/>
    <mergeCell ref="A89:I89"/>
    <mergeCell ref="A90:C91"/>
    <mergeCell ref="D90:D91"/>
    <mergeCell ref="F90:G90"/>
    <mergeCell ref="F91:G91"/>
    <mergeCell ref="A92:B92"/>
    <mergeCell ref="C92:D92"/>
    <mergeCell ref="F92:G92"/>
    <mergeCell ref="A93:B93"/>
    <mergeCell ref="C93:D93"/>
    <mergeCell ref="F93:G104"/>
    <mergeCell ref="H93:I104"/>
    <mergeCell ref="A94:B94"/>
    <mergeCell ref="C94:D94"/>
    <mergeCell ref="A95:B95"/>
    <mergeCell ref="C95:D95"/>
    <mergeCell ref="A96:B96"/>
    <mergeCell ref="C96:D96"/>
    <mergeCell ref="A97:B97"/>
    <mergeCell ref="C97:D97"/>
    <mergeCell ref="A101:B101"/>
    <mergeCell ref="C101:D101"/>
    <mergeCell ref="A136:B136"/>
    <mergeCell ref="C136:D136"/>
    <mergeCell ref="A105:I105"/>
    <mergeCell ref="A106:C107"/>
    <mergeCell ref="D106:D107"/>
    <mergeCell ref="F106:G106"/>
    <mergeCell ref="F107:G107"/>
    <mergeCell ref="A108:B108"/>
    <mergeCell ref="C108:D108"/>
    <mergeCell ref="F108:G108"/>
    <mergeCell ref="A109:B109"/>
    <mergeCell ref="C109:D109"/>
    <mergeCell ref="F109:G120"/>
    <mergeCell ref="H109:I120"/>
    <mergeCell ref="A110:B110"/>
    <mergeCell ref="C110:D110"/>
    <mergeCell ref="A111:B111"/>
    <mergeCell ref="C111:D111"/>
    <mergeCell ref="A112:B112"/>
    <mergeCell ref="C112:D112"/>
    <mergeCell ref="A113:B113"/>
    <mergeCell ref="C113:D113"/>
    <mergeCell ref="A114:B114"/>
    <mergeCell ref="C114:D114"/>
    <mergeCell ref="A117:B117"/>
    <mergeCell ref="C117:D117"/>
    <mergeCell ref="A118:B118"/>
    <mergeCell ref="C118:D118"/>
    <mergeCell ref="A121:I121"/>
    <mergeCell ref="A122:C123"/>
    <mergeCell ref="D122:D123"/>
    <mergeCell ref="F122:G122"/>
    <mergeCell ref="F123:G123"/>
    <mergeCell ref="A124:B124"/>
    <mergeCell ref="C124:D124"/>
    <mergeCell ref="F124:G124"/>
    <mergeCell ref="A125:B125"/>
    <mergeCell ref="C125:D125"/>
    <mergeCell ref="F125:G136"/>
    <mergeCell ref="H125:I136"/>
    <mergeCell ref="A126:B126"/>
    <mergeCell ref="C126:D126"/>
    <mergeCell ref="A127:B127"/>
    <mergeCell ref="C127:D127"/>
    <mergeCell ref="A128:B128"/>
    <mergeCell ref="C128:D128"/>
    <mergeCell ref="A129:B129"/>
    <mergeCell ref="C129:D129"/>
    <mergeCell ref="A130:B130"/>
    <mergeCell ref="C130:D130"/>
    <mergeCell ref="A131:B131"/>
    <mergeCell ref="C131:D131"/>
    <mergeCell ref="A132:B132"/>
    <mergeCell ref="C132:D132"/>
    <mergeCell ref="A133:B133"/>
    <mergeCell ref="C133:D133"/>
    <mergeCell ref="A134:B134"/>
    <mergeCell ref="C134:D134"/>
    <mergeCell ref="A135:B135"/>
    <mergeCell ref="C135:D135"/>
    <mergeCell ref="A72:B72"/>
    <mergeCell ref="C72:D72"/>
    <mergeCell ref="A73:I73"/>
    <mergeCell ref="A74:C75"/>
    <mergeCell ref="D74:D75"/>
    <mergeCell ref="F74:G74"/>
    <mergeCell ref="F75:G75"/>
    <mergeCell ref="A76:B76"/>
    <mergeCell ref="C76:D76"/>
    <mergeCell ref="F76:G76"/>
    <mergeCell ref="A77:B77"/>
    <mergeCell ref="C77:D77"/>
    <mergeCell ref="F77:G88"/>
    <mergeCell ref="H77:I88"/>
    <mergeCell ref="A78:B78"/>
    <mergeCell ref="C78:D78"/>
    <mergeCell ref="A79:B79"/>
    <mergeCell ref="C79:D79"/>
    <mergeCell ref="A80:B80"/>
    <mergeCell ref="C80:D80"/>
    <mergeCell ref="A81:B81"/>
    <mergeCell ref="C81:D81"/>
    <mergeCell ref="A82:B82"/>
    <mergeCell ref="A88:B88"/>
    <mergeCell ref="C88:D88"/>
    <mergeCell ref="A116:B116"/>
    <mergeCell ref="F61:G72"/>
    <mergeCell ref="H61:I72"/>
    <mergeCell ref="A62:B62"/>
    <mergeCell ref="C62:D62"/>
    <mergeCell ref="A63:B63"/>
    <mergeCell ref="C63:D63"/>
    <mergeCell ref="A64:B64"/>
    <mergeCell ref="C64:D64"/>
    <mergeCell ref="A65:B65"/>
    <mergeCell ref="C65:D65"/>
    <mergeCell ref="A66:B66"/>
    <mergeCell ref="C66:D66"/>
    <mergeCell ref="A67:B67"/>
    <mergeCell ref="C67:D67"/>
    <mergeCell ref="A68:B68"/>
    <mergeCell ref="C68:D68"/>
    <mergeCell ref="A69:B69"/>
    <mergeCell ref="C69:D69"/>
    <mergeCell ref="A70:B70"/>
    <mergeCell ref="C70:D70"/>
    <mergeCell ref="A71:B71"/>
    <mergeCell ref="C71:D71"/>
    <mergeCell ref="A115:B115"/>
    <mergeCell ref="C115:D115"/>
    <mergeCell ref="C116:D116"/>
    <mergeCell ref="A98:B98"/>
    <mergeCell ref="C98:D98"/>
    <mergeCell ref="A99:B99"/>
    <mergeCell ref="C99:D99"/>
    <mergeCell ref="A100:B100"/>
    <mergeCell ref="C100:D100"/>
    <mergeCell ref="A23:C23"/>
    <mergeCell ref="E23:I23"/>
    <mergeCell ref="A150:I150"/>
    <mergeCell ref="A562:I562"/>
    <mergeCell ref="A563:B572"/>
    <mergeCell ref="C563:D563"/>
    <mergeCell ref="F563:G563"/>
    <mergeCell ref="C564:D564"/>
    <mergeCell ref="F564:G564"/>
    <mergeCell ref="C565:D565"/>
    <mergeCell ref="F565:G565"/>
    <mergeCell ref="C566:D566"/>
    <mergeCell ref="F566:G566"/>
    <mergeCell ref="C567:D567"/>
    <mergeCell ref="F567:G567"/>
    <mergeCell ref="C568:D568"/>
    <mergeCell ref="E568:I568"/>
    <mergeCell ref="C569:D569"/>
    <mergeCell ref="F569:G569"/>
    <mergeCell ref="C570:D570"/>
    <mergeCell ref="F570:G570"/>
    <mergeCell ref="C571:D571"/>
    <mergeCell ref="F571:G571"/>
    <mergeCell ref="C572:D572"/>
    <mergeCell ref="F572:G572"/>
    <mergeCell ref="A550:I550"/>
    <mergeCell ref="A551:I551"/>
    <mergeCell ref="A552:B561"/>
    <mergeCell ref="C552:D552"/>
    <mergeCell ref="F552:G552"/>
    <mergeCell ref="C553:D553"/>
    <mergeCell ref="F553:G553"/>
    <mergeCell ref="C554:D554"/>
    <mergeCell ref="F554:G554"/>
    <mergeCell ref="C555:D555"/>
    <mergeCell ref="F555:G555"/>
    <mergeCell ref="C556:D556"/>
    <mergeCell ref="F556:G556"/>
    <mergeCell ref="C557:D557"/>
    <mergeCell ref="E557:I557"/>
    <mergeCell ref="C558:D558"/>
    <mergeCell ref="F558:G558"/>
    <mergeCell ref="C559:D559"/>
    <mergeCell ref="F559:G559"/>
    <mergeCell ref="C560:D560"/>
    <mergeCell ref="F560:G560"/>
    <mergeCell ref="C561:D561"/>
    <mergeCell ref="F561:G561"/>
    <mergeCell ref="A539:I539"/>
    <mergeCell ref="A540:B549"/>
    <mergeCell ref="C540:D540"/>
    <mergeCell ref="F540:G540"/>
    <mergeCell ref="C541:D541"/>
    <mergeCell ref="F541:G541"/>
    <mergeCell ref="C542:D542"/>
    <mergeCell ref="F542:G542"/>
    <mergeCell ref="C543:D543"/>
    <mergeCell ref="F543:G543"/>
    <mergeCell ref="C544:D544"/>
    <mergeCell ref="F544:G544"/>
    <mergeCell ref="C545:D545"/>
    <mergeCell ref="E545:I545"/>
    <mergeCell ref="C546:D546"/>
    <mergeCell ref="F546:G546"/>
    <mergeCell ref="C547:D547"/>
    <mergeCell ref="F547:G547"/>
    <mergeCell ref="C548:D548"/>
    <mergeCell ref="F548:G548"/>
    <mergeCell ref="C549:D549"/>
    <mergeCell ref="F549:G549"/>
    <mergeCell ref="A528:I528"/>
    <mergeCell ref="A529:B538"/>
    <mergeCell ref="C529:D529"/>
    <mergeCell ref="F529:G529"/>
    <mergeCell ref="C530:D530"/>
    <mergeCell ref="F530:G530"/>
    <mergeCell ref="C531:D531"/>
    <mergeCell ref="F531:G531"/>
    <mergeCell ref="C532:D532"/>
    <mergeCell ref="F532:G532"/>
    <mergeCell ref="C533:D533"/>
    <mergeCell ref="F533:G533"/>
    <mergeCell ref="C534:D534"/>
    <mergeCell ref="F534:G534"/>
    <mergeCell ref="C535:D535"/>
    <mergeCell ref="F535:G535"/>
    <mergeCell ref="C536:D536"/>
    <mergeCell ref="F536:G536"/>
    <mergeCell ref="C537:D537"/>
    <mergeCell ref="F537:G537"/>
    <mergeCell ref="C538:D538"/>
    <mergeCell ref="F538:G538"/>
    <mergeCell ref="A518:B527"/>
    <mergeCell ref="C518:D518"/>
    <mergeCell ref="F518:G518"/>
    <mergeCell ref="C519:D519"/>
    <mergeCell ref="F519:G519"/>
    <mergeCell ref="C520:D520"/>
    <mergeCell ref="F520:G520"/>
    <mergeCell ref="C521:D521"/>
    <mergeCell ref="E521:I521"/>
    <mergeCell ref="C522:D522"/>
    <mergeCell ref="E522:I522"/>
    <mergeCell ref="C523:D523"/>
    <mergeCell ref="F523:G523"/>
    <mergeCell ref="C524:D524"/>
    <mergeCell ref="F524:G524"/>
    <mergeCell ref="C525:D525"/>
    <mergeCell ref="F525:G525"/>
    <mergeCell ref="C526:D526"/>
    <mergeCell ref="F526:G526"/>
    <mergeCell ref="C527:D527"/>
    <mergeCell ref="F527:G527"/>
    <mergeCell ref="C512:D512"/>
    <mergeCell ref="F512:G512"/>
    <mergeCell ref="C513:D513"/>
    <mergeCell ref="F513:G513"/>
    <mergeCell ref="C514:D514"/>
    <mergeCell ref="F514:G514"/>
    <mergeCell ref="A515:I515"/>
    <mergeCell ref="A516:I516"/>
    <mergeCell ref="A517:I517"/>
    <mergeCell ref="C500:D500"/>
    <mergeCell ref="F500:G500"/>
    <mergeCell ref="C501:D501"/>
    <mergeCell ref="F501:G501"/>
    <mergeCell ref="A502:I502"/>
    <mergeCell ref="A503:B514"/>
    <mergeCell ref="C503:D503"/>
    <mergeCell ref="F503:G503"/>
    <mergeCell ref="C504:D504"/>
    <mergeCell ref="F504:G504"/>
    <mergeCell ref="C505:D505"/>
    <mergeCell ref="F505:G505"/>
    <mergeCell ref="C506:D506"/>
    <mergeCell ref="F506:G506"/>
    <mergeCell ref="C507:D507"/>
    <mergeCell ref="F507:G507"/>
    <mergeCell ref="C508:D508"/>
    <mergeCell ref="F508:G508"/>
    <mergeCell ref="C509:D509"/>
    <mergeCell ref="E509:I509"/>
    <mergeCell ref="C510:D510"/>
    <mergeCell ref="F510:G510"/>
    <mergeCell ref="C511:D511"/>
    <mergeCell ref="F511:G511"/>
    <mergeCell ref="F487:G487"/>
    <mergeCell ref="A488:I488"/>
    <mergeCell ref="A489:I489"/>
    <mergeCell ref="A490:B501"/>
    <mergeCell ref="C490:D490"/>
    <mergeCell ref="F490:G490"/>
    <mergeCell ref="C491:D491"/>
    <mergeCell ref="F491:G491"/>
    <mergeCell ref="C492:D492"/>
    <mergeCell ref="F492:G492"/>
    <mergeCell ref="C493:D493"/>
    <mergeCell ref="F493:G493"/>
    <mergeCell ref="C494:D494"/>
    <mergeCell ref="F494:G494"/>
    <mergeCell ref="C495:D495"/>
    <mergeCell ref="F495:G495"/>
    <mergeCell ref="C496:D496"/>
    <mergeCell ref="E496:I496"/>
    <mergeCell ref="C497:D497"/>
    <mergeCell ref="F497:G497"/>
    <mergeCell ref="C498:D498"/>
    <mergeCell ref="F498:G498"/>
    <mergeCell ref="C499:D499"/>
    <mergeCell ref="F499:G499"/>
    <mergeCell ref="A476:B487"/>
    <mergeCell ref="C476:D476"/>
    <mergeCell ref="F476:G476"/>
    <mergeCell ref="C477:D477"/>
    <mergeCell ref="F477:G477"/>
    <mergeCell ref="C478:D478"/>
    <mergeCell ref="F478:G478"/>
    <mergeCell ref="C479:D479"/>
    <mergeCell ref="F479:G479"/>
    <mergeCell ref="C480:D480"/>
    <mergeCell ref="F480:G480"/>
    <mergeCell ref="C481:D481"/>
    <mergeCell ref="F481:G481"/>
    <mergeCell ref="C482:D482"/>
    <mergeCell ref="E482:I482"/>
    <mergeCell ref="C483:D483"/>
    <mergeCell ref="F483:G483"/>
    <mergeCell ref="C484:D484"/>
    <mergeCell ref="F484:G484"/>
    <mergeCell ref="C485:D485"/>
    <mergeCell ref="F485:G485"/>
    <mergeCell ref="C486:D486"/>
    <mergeCell ref="F486:G486"/>
    <mergeCell ref="C487:D487"/>
    <mergeCell ref="A462:I462"/>
    <mergeCell ref="A463:B474"/>
    <mergeCell ref="C463:D463"/>
    <mergeCell ref="F463:G463"/>
    <mergeCell ref="C464:D464"/>
    <mergeCell ref="F464:G464"/>
    <mergeCell ref="C465:D465"/>
    <mergeCell ref="F465:G465"/>
    <mergeCell ref="C466:D466"/>
    <mergeCell ref="F466:G466"/>
    <mergeCell ref="C467:D467"/>
    <mergeCell ref="F467:G467"/>
    <mergeCell ref="C468:D468"/>
    <mergeCell ref="F468:G468"/>
    <mergeCell ref="C469:D469"/>
    <mergeCell ref="F469:G469"/>
    <mergeCell ref="C470:D470"/>
    <mergeCell ref="A31:C31"/>
    <mergeCell ref="H31:I31"/>
    <mergeCell ref="A32:C32"/>
    <mergeCell ref="E32:I32"/>
    <mergeCell ref="F470:G470"/>
    <mergeCell ref="A147:F147"/>
    <mergeCell ref="H147:I147"/>
    <mergeCell ref="A447:I447"/>
    <mergeCell ref="A448:I448"/>
    <mergeCell ref="A449:I449"/>
    <mergeCell ref="A450:B461"/>
    <mergeCell ref="C450:D450"/>
    <mergeCell ref="F450:G450"/>
    <mergeCell ref="C451:D451"/>
    <mergeCell ref="F451:G451"/>
    <mergeCell ref="C452:D452"/>
    <mergeCell ref="E452:I452"/>
    <mergeCell ref="C453:D453"/>
    <mergeCell ref="E453:I453"/>
    <mergeCell ref="C454:D454"/>
    <mergeCell ref="F454:G454"/>
    <mergeCell ref="C455:D455"/>
    <mergeCell ref="F455:G455"/>
    <mergeCell ref="C456:D456"/>
    <mergeCell ref="F456:G456"/>
    <mergeCell ref="C457:D457"/>
    <mergeCell ref="F457:G457"/>
    <mergeCell ref="C458:D458"/>
    <mergeCell ref="F458:G458"/>
    <mergeCell ref="A166:I166"/>
    <mergeCell ref="C167:D167"/>
    <mergeCell ref="F167:G167"/>
    <mergeCell ref="A142:I142"/>
    <mergeCell ref="A139:C139"/>
    <mergeCell ref="H139:I139"/>
    <mergeCell ref="A140:C140"/>
    <mergeCell ref="H140:I140"/>
    <mergeCell ref="A141:C141"/>
    <mergeCell ref="H141:I141"/>
    <mergeCell ref="A137:G137"/>
    <mergeCell ref="A143:F143"/>
    <mergeCell ref="H143:I143"/>
    <mergeCell ref="A144:F144"/>
    <mergeCell ref="H144:I144"/>
    <mergeCell ref="A145:F145"/>
    <mergeCell ref="H145:I145"/>
    <mergeCell ref="A146:F146"/>
    <mergeCell ref="H146:I146"/>
    <mergeCell ref="A613:I613"/>
    <mergeCell ref="A573:I573"/>
    <mergeCell ref="C574:I574"/>
    <mergeCell ref="A575:I575"/>
    <mergeCell ref="C168:D168"/>
    <mergeCell ref="F168:G168"/>
    <mergeCell ref="A167:B177"/>
    <mergeCell ref="F164:G164"/>
    <mergeCell ref="C471:D471"/>
    <mergeCell ref="F471:G471"/>
    <mergeCell ref="C472:D472"/>
    <mergeCell ref="F472:G472"/>
    <mergeCell ref="C473:D473"/>
    <mergeCell ref="F473:G473"/>
    <mergeCell ref="C474:D474"/>
    <mergeCell ref="F474:G474"/>
    <mergeCell ref="A148:I148"/>
    <mergeCell ref="A149:B149"/>
    <mergeCell ref="C149:D149"/>
    <mergeCell ref="F149:G149"/>
    <mergeCell ref="A576:C576"/>
    <mergeCell ref="E576:I576"/>
    <mergeCell ref="A577:C577"/>
    <mergeCell ref="E577:I577"/>
    <mergeCell ref="A615:C615"/>
    <mergeCell ref="H615:I615"/>
    <mergeCell ref="A605:I605"/>
    <mergeCell ref="A606:I606"/>
    <mergeCell ref="A607:I607"/>
    <mergeCell ref="A608:I608"/>
    <mergeCell ref="A609:I609"/>
    <mergeCell ref="A610:I610"/>
    <mergeCell ref="A578:C578"/>
    <mergeCell ref="E578:I578"/>
    <mergeCell ref="A587:I587"/>
    <mergeCell ref="A588:I588"/>
    <mergeCell ref="A589:I604"/>
    <mergeCell ref="A611:I611"/>
    <mergeCell ref="A612:I612"/>
    <mergeCell ref="A614:I614"/>
    <mergeCell ref="A475:I475"/>
    <mergeCell ref="C459:D459"/>
    <mergeCell ref="F459:G459"/>
    <mergeCell ref="C460:D460"/>
    <mergeCell ref="F460:G460"/>
    <mergeCell ref="C461:D461"/>
    <mergeCell ref="E461:I461"/>
    <mergeCell ref="H56:I56"/>
    <mergeCell ref="H137:I137"/>
    <mergeCell ref="A41:C41"/>
    <mergeCell ref="H41:I41"/>
    <mergeCell ref="A42:I42"/>
    <mergeCell ref="A43:C43"/>
    <mergeCell ref="D43:E43"/>
    <mergeCell ref="F43:G43"/>
    <mergeCell ref="H43:I43"/>
    <mergeCell ref="A52:I52"/>
    <mergeCell ref="H53:I53"/>
    <mergeCell ref="H54:I54"/>
    <mergeCell ref="A45:C45"/>
    <mergeCell ref="D45:E45"/>
    <mergeCell ref="F45:G45"/>
    <mergeCell ref="H45:I45"/>
    <mergeCell ref="A46:C46"/>
    <mergeCell ref="D46:E46"/>
    <mergeCell ref="F46:G46"/>
    <mergeCell ref="H46:I46"/>
    <mergeCell ref="A44:I44"/>
    <mergeCell ref="A51:C51"/>
    <mergeCell ref="A57:I57"/>
    <mergeCell ref="A58:C59"/>
    <mergeCell ref="D58:D59"/>
    <mergeCell ref="F58:G58"/>
    <mergeCell ref="F59:G59"/>
    <mergeCell ref="A60:B60"/>
    <mergeCell ref="C60:D60"/>
    <mergeCell ref="F60:G60"/>
    <mergeCell ref="A61:B61"/>
    <mergeCell ref="C61:D61"/>
    <mergeCell ref="A36:C36"/>
    <mergeCell ref="H36:I36"/>
    <mergeCell ref="A37:I37"/>
    <mergeCell ref="A38:C38"/>
    <mergeCell ref="G38:H38"/>
    <mergeCell ref="A39:C39"/>
    <mergeCell ref="G39:H39"/>
    <mergeCell ref="A22:C22"/>
    <mergeCell ref="H22:I22"/>
    <mergeCell ref="A24:C24"/>
    <mergeCell ref="E24:I24"/>
    <mergeCell ref="A25:I25"/>
    <mergeCell ref="A26:C26"/>
    <mergeCell ref="H26:I26"/>
    <mergeCell ref="A40:C40"/>
    <mergeCell ref="G40:H40"/>
    <mergeCell ref="A7:C7"/>
    <mergeCell ref="H7:I7"/>
    <mergeCell ref="A8:C8"/>
    <mergeCell ref="E8:I8"/>
    <mergeCell ref="A9:A11"/>
    <mergeCell ref="E9:I9"/>
    <mergeCell ref="E10:I10"/>
    <mergeCell ref="E11:I11"/>
    <mergeCell ref="A19:C19"/>
    <mergeCell ref="H19:I19"/>
    <mergeCell ref="A15:C15"/>
    <mergeCell ref="H15:I15"/>
    <mergeCell ref="A21:C21"/>
    <mergeCell ref="H21:I21"/>
    <mergeCell ref="A16:C16"/>
    <mergeCell ref="H16:I16"/>
    <mergeCell ref="A4:C4"/>
    <mergeCell ref="E4:F4"/>
    <mergeCell ref="G4:H4"/>
    <mergeCell ref="A5:I5"/>
    <mergeCell ref="A6:C6"/>
    <mergeCell ref="H6:I6"/>
    <mergeCell ref="A1:I1"/>
    <mergeCell ref="A2:C2"/>
    <mergeCell ref="E2:F2"/>
    <mergeCell ref="G2:H2"/>
    <mergeCell ref="A3:C3"/>
    <mergeCell ref="E3:F3"/>
    <mergeCell ref="G3:H3"/>
    <mergeCell ref="A12:C12"/>
    <mergeCell ref="E12:I12"/>
    <mergeCell ref="A13:I13"/>
    <mergeCell ref="A14:C14"/>
    <mergeCell ref="H14:I14"/>
    <mergeCell ref="A17:C17"/>
    <mergeCell ref="H17:I17"/>
    <mergeCell ref="A18:C18"/>
    <mergeCell ref="H18:I18"/>
    <mergeCell ref="A30:C30"/>
    <mergeCell ref="H30:I30"/>
    <mergeCell ref="A33:I33"/>
    <mergeCell ref="A34:C34"/>
    <mergeCell ref="H34:I34"/>
    <mergeCell ref="A35:C35"/>
    <mergeCell ref="A151:I151"/>
    <mergeCell ref="C163:D163"/>
    <mergeCell ref="F163:G163"/>
    <mergeCell ref="C164:D164"/>
    <mergeCell ref="A20:C20"/>
    <mergeCell ref="H20:I20"/>
    <mergeCell ref="H55:I55"/>
    <mergeCell ref="C55:E55"/>
    <mergeCell ref="C56:E56"/>
    <mergeCell ref="A138:I138"/>
    <mergeCell ref="H35:I35"/>
    <mergeCell ref="A27:C27"/>
    <mergeCell ref="H27:I27"/>
    <mergeCell ref="A28:C28"/>
    <mergeCell ref="H28:I28"/>
    <mergeCell ref="A29:C29"/>
    <mergeCell ref="H29:I29"/>
    <mergeCell ref="C158:D158"/>
    <mergeCell ref="E158:I158"/>
    <mergeCell ref="C159:D159"/>
    <mergeCell ref="F159:G159"/>
    <mergeCell ref="A155:B165"/>
    <mergeCell ref="C165:D165"/>
    <mergeCell ref="F165:G165"/>
    <mergeCell ref="C160:D160"/>
    <mergeCell ref="F160:G160"/>
    <mergeCell ref="C161:D161"/>
    <mergeCell ref="F161:G161"/>
    <mergeCell ref="C162:D162"/>
    <mergeCell ref="F162:G162"/>
    <mergeCell ref="A152:I152"/>
    <mergeCell ref="A153:I153"/>
    <mergeCell ref="A154:I154"/>
    <mergeCell ref="C155:D155"/>
    <mergeCell ref="F155:G155"/>
    <mergeCell ref="C156:D156"/>
    <mergeCell ref="F156:G156"/>
    <mergeCell ref="C157:D157"/>
    <mergeCell ref="F157:G157"/>
    <mergeCell ref="A190:I190"/>
    <mergeCell ref="A191:I191"/>
    <mergeCell ref="A192:B202"/>
    <mergeCell ref="C192:D192"/>
    <mergeCell ref="F192:G192"/>
    <mergeCell ref="C193:D193"/>
    <mergeCell ref="F193:G193"/>
    <mergeCell ref="C194:D194"/>
    <mergeCell ref="E188:I188"/>
    <mergeCell ref="C169:D169"/>
    <mergeCell ref="F169:G169"/>
    <mergeCell ref="C173:D173"/>
    <mergeCell ref="F173:G173"/>
    <mergeCell ref="C174:D174"/>
    <mergeCell ref="F174:G174"/>
    <mergeCell ref="C175:D175"/>
    <mergeCell ref="F175:G175"/>
    <mergeCell ref="C176:D176"/>
    <mergeCell ref="F176:G176"/>
    <mergeCell ref="C170:D170"/>
    <mergeCell ref="C171:D171"/>
    <mergeCell ref="F171:G171"/>
    <mergeCell ref="C172:D172"/>
    <mergeCell ref="F172:G172"/>
    <mergeCell ref="C177:D177"/>
    <mergeCell ref="F177:G177"/>
    <mergeCell ref="F170:G170"/>
    <mergeCell ref="A178:I178"/>
    <mergeCell ref="A179:B189"/>
    <mergeCell ref="C179:D179"/>
    <mergeCell ref="F179:G179"/>
    <mergeCell ref="C180:D180"/>
    <mergeCell ref="F180:G180"/>
    <mergeCell ref="C181:D181"/>
    <mergeCell ref="F181:G181"/>
    <mergeCell ref="C182:D182"/>
    <mergeCell ref="F182:G182"/>
    <mergeCell ref="C183:D183"/>
    <mergeCell ref="F183:G183"/>
    <mergeCell ref="C184:D184"/>
    <mergeCell ref="F184:G184"/>
    <mergeCell ref="C185:D185"/>
    <mergeCell ref="F185:G185"/>
    <mergeCell ref="C186:D186"/>
    <mergeCell ref="F186:G186"/>
    <mergeCell ref="C187:D187"/>
    <mergeCell ref="F187:G187"/>
    <mergeCell ref="C188:D188"/>
    <mergeCell ref="C189:D189"/>
    <mergeCell ref="F189:G189"/>
    <mergeCell ref="F194:G194"/>
    <mergeCell ref="C195:D195"/>
    <mergeCell ref="F195:G195"/>
    <mergeCell ref="C196:D196"/>
    <mergeCell ref="F196:G196"/>
    <mergeCell ref="C197:D197"/>
    <mergeCell ref="F197:G197"/>
    <mergeCell ref="C198:D198"/>
    <mergeCell ref="F198:G198"/>
    <mergeCell ref="C199:D199"/>
    <mergeCell ref="F199:G199"/>
    <mergeCell ref="C200:D200"/>
    <mergeCell ref="F200:G200"/>
    <mergeCell ref="C201:D201"/>
    <mergeCell ref="E201:I201"/>
    <mergeCell ref="C202:D202"/>
    <mergeCell ref="A203:I203"/>
    <mergeCell ref="F202:G202"/>
    <mergeCell ref="A204:B214"/>
    <mergeCell ref="C204:D204"/>
    <mergeCell ref="F204:G204"/>
    <mergeCell ref="C205:D205"/>
    <mergeCell ref="F205:G205"/>
    <mergeCell ref="C206:D206"/>
    <mergeCell ref="F206:G206"/>
    <mergeCell ref="C207:D207"/>
    <mergeCell ref="F207:G207"/>
    <mergeCell ref="C208:D208"/>
    <mergeCell ref="F208:G208"/>
    <mergeCell ref="C209:D209"/>
    <mergeCell ref="F209:G209"/>
    <mergeCell ref="C210:D210"/>
    <mergeCell ref="F210:G210"/>
    <mergeCell ref="C211:D211"/>
    <mergeCell ref="F211:G211"/>
    <mergeCell ref="C212:D212"/>
    <mergeCell ref="F212:G212"/>
    <mergeCell ref="C213:D213"/>
    <mergeCell ref="E213:I213"/>
    <mergeCell ref="C214:D214"/>
    <mergeCell ref="F214:G214"/>
    <mergeCell ref="C236:D236"/>
    <mergeCell ref="F236:G236"/>
    <mergeCell ref="C237:D237"/>
    <mergeCell ref="F237:G237"/>
    <mergeCell ref="C238:D238"/>
    <mergeCell ref="F238:G238"/>
    <mergeCell ref="A215:I215"/>
    <mergeCell ref="A216:I216"/>
    <mergeCell ref="A217:I217"/>
    <mergeCell ref="A218:B227"/>
    <mergeCell ref="C218:D218"/>
    <mergeCell ref="F218:G218"/>
    <mergeCell ref="C219:D219"/>
    <mergeCell ref="F219:G219"/>
    <mergeCell ref="C220:D220"/>
    <mergeCell ref="F220:G220"/>
    <mergeCell ref="C221:D221"/>
    <mergeCell ref="C222:D222"/>
    <mergeCell ref="F222:G222"/>
    <mergeCell ref="C223:D223"/>
    <mergeCell ref="F223:G223"/>
    <mergeCell ref="C224:D224"/>
    <mergeCell ref="F224:G224"/>
    <mergeCell ref="C225:D225"/>
    <mergeCell ref="F225:G225"/>
    <mergeCell ref="C226:D226"/>
    <mergeCell ref="F226:G226"/>
    <mergeCell ref="C227:D227"/>
    <mergeCell ref="F221:G221"/>
    <mergeCell ref="E227:I227"/>
    <mergeCell ref="F242:G242"/>
    <mergeCell ref="C243:D243"/>
    <mergeCell ref="F243:G243"/>
    <mergeCell ref="C244:D244"/>
    <mergeCell ref="C245:D245"/>
    <mergeCell ref="F245:G245"/>
    <mergeCell ref="C246:D246"/>
    <mergeCell ref="F246:G246"/>
    <mergeCell ref="C247:D247"/>
    <mergeCell ref="F247:G247"/>
    <mergeCell ref="C248:D248"/>
    <mergeCell ref="F248:G248"/>
    <mergeCell ref="C249:D249"/>
    <mergeCell ref="F249:G249"/>
    <mergeCell ref="E244:I244"/>
    <mergeCell ref="A252:B261"/>
    <mergeCell ref="A228:I228"/>
    <mergeCell ref="A229:B238"/>
    <mergeCell ref="C229:D229"/>
    <mergeCell ref="F229:G229"/>
    <mergeCell ref="C230:D230"/>
    <mergeCell ref="F230:G230"/>
    <mergeCell ref="C231:D231"/>
    <mergeCell ref="F231:G231"/>
    <mergeCell ref="C232:D232"/>
    <mergeCell ref="F232:G232"/>
    <mergeCell ref="C233:D233"/>
    <mergeCell ref="F233:G233"/>
    <mergeCell ref="C234:D234"/>
    <mergeCell ref="F234:G234"/>
    <mergeCell ref="C235:D235"/>
    <mergeCell ref="F235:G235"/>
    <mergeCell ref="A273:I273"/>
    <mergeCell ref="A274:I274"/>
    <mergeCell ref="A275:I275"/>
    <mergeCell ref="A276:B285"/>
    <mergeCell ref="C276:D276"/>
    <mergeCell ref="F276:G276"/>
    <mergeCell ref="C277:D277"/>
    <mergeCell ref="C278:D278"/>
    <mergeCell ref="C279:D279"/>
    <mergeCell ref="F279:G279"/>
    <mergeCell ref="C280:D280"/>
    <mergeCell ref="F280:G280"/>
    <mergeCell ref="C281:D281"/>
    <mergeCell ref="C282:D282"/>
    <mergeCell ref="C283:D283"/>
    <mergeCell ref="F283:G283"/>
    <mergeCell ref="C284:D284"/>
    <mergeCell ref="F284:G284"/>
    <mergeCell ref="C285:D285"/>
    <mergeCell ref="E277:I278"/>
    <mergeCell ref="E281:I282"/>
    <mergeCell ref="F285:G285"/>
    <mergeCell ref="C307:D307"/>
    <mergeCell ref="F307:G307"/>
    <mergeCell ref="E302:I302"/>
    <mergeCell ref="A286:I286"/>
    <mergeCell ref="A287:B296"/>
    <mergeCell ref="C287:D287"/>
    <mergeCell ref="F287:G287"/>
    <mergeCell ref="C288:D288"/>
    <mergeCell ref="C289:D289"/>
    <mergeCell ref="C290:D290"/>
    <mergeCell ref="F290:G290"/>
    <mergeCell ref="C291:D291"/>
    <mergeCell ref="F291:G291"/>
    <mergeCell ref="C292:D292"/>
    <mergeCell ref="C293:D293"/>
    <mergeCell ref="C294:D294"/>
    <mergeCell ref="F294:G294"/>
    <mergeCell ref="C295:D295"/>
    <mergeCell ref="F295:G295"/>
    <mergeCell ref="C296:D296"/>
    <mergeCell ref="F296:G296"/>
    <mergeCell ref="F288:G288"/>
    <mergeCell ref="F289:G289"/>
    <mergeCell ref="F292:G292"/>
    <mergeCell ref="F293:G293"/>
    <mergeCell ref="F313:G313"/>
    <mergeCell ref="C314:D314"/>
    <mergeCell ref="E314:I314"/>
    <mergeCell ref="C315:D315"/>
    <mergeCell ref="F315:G315"/>
    <mergeCell ref="C316:D316"/>
    <mergeCell ref="F316:G316"/>
    <mergeCell ref="C317:D317"/>
    <mergeCell ref="F317:G317"/>
    <mergeCell ref="C318:D318"/>
    <mergeCell ref="F318:G318"/>
    <mergeCell ref="C319:D319"/>
    <mergeCell ref="F319:G319"/>
    <mergeCell ref="A297:I297"/>
    <mergeCell ref="A298:B307"/>
    <mergeCell ref="C298:D298"/>
    <mergeCell ref="F298:G298"/>
    <mergeCell ref="C299:D299"/>
    <mergeCell ref="F299:G299"/>
    <mergeCell ref="C300:D300"/>
    <mergeCell ref="F300:G300"/>
    <mergeCell ref="C301:D301"/>
    <mergeCell ref="F301:G301"/>
    <mergeCell ref="C302:D302"/>
    <mergeCell ref="C303:D303"/>
    <mergeCell ref="F303:G303"/>
    <mergeCell ref="C304:D304"/>
    <mergeCell ref="F304:G304"/>
    <mergeCell ref="C305:D305"/>
    <mergeCell ref="F305:G305"/>
    <mergeCell ref="C306:D306"/>
    <mergeCell ref="F306:G306"/>
    <mergeCell ref="A308:I308"/>
    <mergeCell ref="A320:I320"/>
    <mergeCell ref="A321:B330"/>
    <mergeCell ref="C321:D321"/>
    <mergeCell ref="F321:G321"/>
    <mergeCell ref="C322:D322"/>
    <mergeCell ref="F322:G322"/>
    <mergeCell ref="C323:D323"/>
    <mergeCell ref="F323:G323"/>
    <mergeCell ref="C324:D324"/>
    <mergeCell ref="F324:G324"/>
    <mergeCell ref="C325:D325"/>
    <mergeCell ref="E325:I325"/>
    <mergeCell ref="C326:D326"/>
    <mergeCell ref="F326:G326"/>
    <mergeCell ref="C327:D327"/>
    <mergeCell ref="F327:G327"/>
    <mergeCell ref="C328:D328"/>
    <mergeCell ref="F328:G328"/>
    <mergeCell ref="C329:D329"/>
    <mergeCell ref="F329:G329"/>
    <mergeCell ref="C330:D330"/>
    <mergeCell ref="F330:G330"/>
    <mergeCell ref="A309:I309"/>
    <mergeCell ref="A310:B319"/>
    <mergeCell ref="C310:D310"/>
    <mergeCell ref="F310:G310"/>
    <mergeCell ref="C311:D311"/>
    <mergeCell ref="F311:G311"/>
    <mergeCell ref="C312:D312"/>
    <mergeCell ref="F312:G312"/>
    <mergeCell ref="C313:D313"/>
    <mergeCell ref="A331:I331"/>
    <mergeCell ref="A332:I332"/>
    <mergeCell ref="A333:I333"/>
    <mergeCell ref="A334:B343"/>
    <mergeCell ref="C334:D334"/>
    <mergeCell ref="F334:G334"/>
    <mergeCell ref="C335:D335"/>
    <mergeCell ref="E335:I336"/>
    <mergeCell ref="C336:D336"/>
    <mergeCell ref="C337:D337"/>
    <mergeCell ref="F337:G337"/>
    <mergeCell ref="C338:D338"/>
    <mergeCell ref="F338:G338"/>
    <mergeCell ref="C339:D339"/>
    <mergeCell ref="E339:I340"/>
    <mergeCell ref="C340:D340"/>
    <mergeCell ref="C341:D341"/>
    <mergeCell ref="F341:G341"/>
    <mergeCell ref="C342:D342"/>
    <mergeCell ref="F342:G342"/>
    <mergeCell ref="C343:D343"/>
    <mergeCell ref="F343:G343"/>
    <mergeCell ref="A344:I344"/>
    <mergeCell ref="A345:B354"/>
    <mergeCell ref="C345:D345"/>
    <mergeCell ref="F345:G345"/>
    <mergeCell ref="C346:D346"/>
    <mergeCell ref="F346:G346"/>
    <mergeCell ref="C347:D347"/>
    <mergeCell ref="F347:G347"/>
    <mergeCell ref="C348:D348"/>
    <mergeCell ref="F348:G348"/>
    <mergeCell ref="C349:D349"/>
    <mergeCell ref="F349:G349"/>
    <mergeCell ref="C350:D350"/>
    <mergeCell ref="F350:G350"/>
    <mergeCell ref="C351:D351"/>
    <mergeCell ref="F351:G351"/>
    <mergeCell ref="C352:D352"/>
    <mergeCell ref="F352:G352"/>
    <mergeCell ref="C353:D353"/>
    <mergeCell ref="F353:G353"/>
    <mergeCell ref="C354:D354"/>
    <mergeCell ref="F354:G354"/>
    <mergeCell ref="A355:I355"/>
    <mergeCell ref="A356:B365"/>
    <mergeCell ref="C356:D356"/>
    <mergeCell ref="F356:G356"/>
    <mergeCell ref="C357:D357"/>
    <mergeCell ref="F357:G357"/>
    <mergeCell ref="C358:D358"/>
    <mergeCell ref="F358:G358"/>
    <mergeCell ref="C359:D359"/>
    <mergeCell ref="F359:G359"/>
    <mergeCell ref="C360:D360"/>
    <mergeCell ref="C361:D361"/>
    <mergeCell ref="F361:G361"/>
    <mergeCell ref="C362:D362"/>
    <mergeCell ref="F362:G362"/>
    <mergeCell ref="C363:D363"/>
    <mergeCell ref="F363:G363"/>
    <mergeCell ref="C364:D364"/>
    <mergeCell ref="F364:G364"/>
    <mergeCell ref="C365:D365"/>
    <mergeCell ref="F365:G365"/>
    <mergeCell ref="E360:I360"/>
    <mergeCell ref="A366:I366"/>
    <mergeCell ref="A367:I367"/>
    <mergeCell ref="A368:B377"/>
    <mergeCell ref="C368:D368"/>
    <mergeCell ref="F368:G368"/>
    <mergeCell ref="C369:D369"/>
    <mergeCell ref="F369:G369"/>
    <mergeCell ref="C370:D370"/>
    <mergeCell ref="F370:G370"/>
    <mergeCell ref="C371:D371"/>
    <mergeCell ref="F371:G371"/>
    <mergeCell ref="C372:D372"/>
    <mergeCell ref="E372:I372"/>
    <mergeCell ref="C373:D373"/>
    <mergeCell ref="F373:G373"/>
    <mergeCell ref="C374:D374"/>
    <mergeCell ref="F374:G374"/>
    <mergeCell ref="C375:D375"/>
    <mergeCell ref="F375:G375"/>
    <mergeCell ref="C376:D376"/>
    <mergeCell ref="F376:G376"/>
    <mergeCell ref="C377:D377"/>
    <mergeCell ref="F377:G377"/>
    <mergeCell ref="A378:I378"/>
    <mergeCell ref="A379:B388"/>
    <mergeCell ref="C379:D379"/>
    <mergeCell ref="F379:G379"/>
    <mergeCell ref="C380:D380"/>
    <mergeCell ref="F380:G380"/>
    <mergeCell ref="C381:D381"/>
    <mergeCell ref="F381:G381"/>
    <mergeCell ref="C382:D382"/>
    <mergeCell ref="F382:G382"/>
    <mergeCell ref="C383:D383"/>
    <mergeCell ref="E383:I383"/>
    <mergeCell ref="C384:D384"/>
    <mergeCell ref="F384:G384"/>
    <mergeCell ref="C385:D385"/>
    <mergeCell ref="F385:G385"/>
    <mergeCell ref="C386:D386"/>
    <mergeCell ref="F386:G386"/>
    <mergeCell ref="C387:D387"/>
    <mergeCell ref="F387:G387"/>
    <mergeCell ref="C388:D388"/>
    <mergeCell ref="F388:G388"/>
    <mergeCell ref="A389:I389"/>
    <mergeCell ref="A390:I390"/>
    <mergeCell ref="A391:I391"/>
    <mergeCell ref="A392:B401"/>
    <mergeCell ref="C392:D392"/>
    <mergeCell ref="F392:G392"/>
    <mergeCell ref="C393:D393"/>
    <mergeCell ref="C394:D394"/>
    <mergeCell ref="C395:D395"/>
    <mergeCell ref="F395:G395"/>
    <mergeCell ref="C396:D396"/>
    <mergeCell ref="F396:G396"/>
    <mergeCell ref="C397:D397"/>
    <mergeCell ref="C398:D398"/>
    <mergeCell ref="C399:D399"/>
    <mergeCell ref="F399:G399"/>
    <mergeCell ref="C400:D400"/>
    <mergeCell ref="F400:G400"/>
    <mergeCell ref="C401:D401"/>
    <mergeCell ref="F393:G393"/>
    <mergeCell ref="F394:G394"/>
    <mergeCell ref="F397:G397"/>
    <mergeCell ref="F398:G398"/>
    <mergeCell ref="E401:I401"/>
    <mergeCell ref="C423:D423"/>
    <mergeCell ref="F423:G423"/>
    <mergeCell ref="E418:I418"/>
    <mergeCell ref="A402:I402"/>
    <mergeCell ref="A403:B412"/>
    <mergeCell ref="C403:D403"/>
    <mergeCell ref="F403:G403"/>
    <mergeCell ref="C404:D404"/>
    <mergeCell ref="F404:G404"/>
    <mergeCell ref="C405:D405"/>
    <mergeCell ref="F405:G405"/>
    <mergeCell ref="C406:D406"/>
    <mergeCell ref="F406:G406"/>
    <mergeCell ref="C407:D407"/>
    <mergeCell ref="F407:G407"/>
    <mergeCell ref="C408:D408"/>
    <mergeCell ref="F408:G408"/>
    <mergeCell ref="C409:D409"/>
    <mergeCell ref="F409:G409"/>
    <mergeCell ref="C410:D410"/>
    <mergeCell ref="F410:G410"/>
    <mergeCell ref="C411:D411"/>
    <mergeCell ref="F411:G411"/>
    <mergeCell ref="C412:D412"/>
    <mergeCell ref="F412:G412"/>
    <mergeCell ref="F429:G429"/>
    <mergeCell ref="C430:D430"/>
    <mergeCell ref="E430:I430"/>
    <mergeCell ref="C431:D431"/>
    <mergeCell ref="F431:G431"/>
    <mergeCell ref="C432:D432"/>
    <mergeCell ref="F432:G432"/>
    <mergeCell ref="C433:D433"/>
    <mergeCell ref="F433:G433"/>
    <mergeCell ref="C434:D434"/>
    <mergeCell ref="F434:G434"/>
    <mergeCell ref="C435:D435"/>
    <mergeCell ref="F435:G435"/>
    <mergeCell ref="A413:I413"/>
    <mergeCell ref="A414:B423"/>
    <mergeCell ref="C414:D414"/>
    <mergeCell ref="F414:G414"/>
    <mergeCell ref="C415:D415"/>
    <mergeCell ref="F415:G415"/>
    <mergeCell ref="C416:D416"/>
    <mergeCell ref="F416:G416"/>
    <mergeCell ref="C417:D417"/>
    <mergeCell ref="F417:G417"/>
    <mergeCell ref="C418:D418"/>
    <mergeCell ref="C419:D419"/>
    <mergeCell ref="F419:G419"/>
    <mergeCell ref="C420:D420"/>
    <mergeCell ref="F420:G420"/>
    <mergeCell ref="C421:D421"/>
    <mergeCell ref="F421:G421"/>
    <mergeCell ref="C422:D422"/>
    <mergeCell ref="F422:G422"/>
    <mergeCell ref="A424:I424"/>
    <mergeCell ref="A436:I436"/>
    <mergeCell ref="A437:B446"/>
    <mergeCell ref="C437:D437"/>
    <mergeCell ref="F437:G437"/>
    <mergeCell ref="C438:D438"/>
    <mergeCell ref="F438:G438"/>
    <mergeCell ref="C439:D439"/>
    <mergeCell ref="F439:G439"/>
    <mergeCell ref="C440:D440"/>
    <mergeCell ref="F440:G440"/>
    <mergeCell ref="C441:D441"/>
    <mergeCell ref="E441:I441"/>
    <mergeCell ref="C442:D442"/>
    <mergeCell ref="F442:G442"/>
    <mergeCell ref="C443:D443"/>
    <mergeCell ref="F443:G443"/>
    <mergeCell ref="C444:D444"/>
    <mergeCell ref="F444:G444"/>
    <mergeCell ref="C445:D445"/>
    <mergeCell ref="F445:G445"/>
    <mergeCell ref="C446:D446"/>
    <mergeCell ref="F446:G446"/>
    <mergeCell ref="A425:I425"/>
    <mergeCell ref="A426:B435"/>
    <mergeCell ref="C426:D426"/>
    <mergeCell ref="F426:G426"/>
    <mergeCell ref="C427:D427"/>
    <mergeCell ref="F427:G427"/>
    <mergeCell ref="C428:D428"/>
    <mergeCell ref="F428:G428"/>
    <mergeCell ref="C429:D429"/>
    <mergeCell ref="D51:E51"/>
    <mergeCell ref="F51:G51"/>
    <mergeCell ref="H51:I51"/>
    <mergeCell ref="A50:C50"/>
    <mergeCell ref="D50:E50"/>
    <mergeCell ref="F50:G50"/>
    <mergeCell ref="H50:I50"/>
    <mergeCell ref="C53:E53"/>
    <mergeCell ref="A47:C47"/>
    <mergeCell ref="D47:E47"/>
    <mergeCell ref="F47:G47"/>
    <mergeCell ref="H47:I47"/>
    <mergeCell ref="A48:C48"/>
    <mergeCell ref="D48:E48"/>
    <mergeCell ref="F48:G48"/>
    <mergeCell ref="H48:I48"/>
    <mergeCell ref="A49:C49"/>
    <mergeCell ref="D49:E49"/>
    <mergeCell ref="F49:G49"/>
    <mergeCell ref="H49:I49"/>
    <mergeCell ref="J53:M53"/>
    <mergeCell ref="A262:I262"/>
    <mergeCell ref="A263:B272"/>
    <mergeCell ref="C263:D263"/>
    <mergeCell ref="F263:G263"/>
    <mergeCell ref="C264:D264"/>
    <mergeCell ref="F264:G264"/>
    <mergeCell ref="C265:D265"/>
    <mergeCell ref="F265:G265"/>
    <mergeCell ref="C266:D266"/>
    <mergeCell ref="F266:G266"/>
    <mergeCell ref="C267:D267"/>
    <mergeCell ref="E267:I267"/>
    <mergeCell ref="C268:D268"/>
    <mergeCell ref="F268:G268"/>
    <mergeCell ref="C269:D269"/>
    <mergeCell ref="F269:G269"/>
    <mergeCell ref="C270:D270"/>
    <mergeCell ref="F270:G270"/>
    <mergeCell ref="C271:D271"/>
    <mergeCell ref="C252:D252"/>
    <mergeCell ref="F252:G252"/>
    <mergeCell ref="C253:D253"/>
    <mergeCell ref="F253:G253"/>
    <mergeCell ref="C254:D254"/>
    <mergeCell ref="F254:G254"/>
    <mergeCell ref="C82:D82"/>
    <mergeCell ref="A83:B83"/>
    <mergeCell ref="C83:D83"/>
    <mergeCell ref="A84:B84"/>
    <mergeCell ref="C84:D84"/>
    <mergeCell ref="F257:G257"/>
    <mergeCell ref="F271:G271"/>
    <mergeCell ref="C272:D272"/>
    <mergeCell ref="F272:G272"/>
    <mergeCell ref="A250:I250"/>
    <mergeCell ref="A251:I251"/>
    <mergeCell ref="C255:D255"/>
    <mergeCell ref="F255:G255"/>
    <mergeCell ref="C256:D256"/>
    <mergeCell ref="E256:I256"/>
    <mergeCell ref="C257:D257"/>
    <mergeCell ref="A85:B85"/>
    <mergeCell ref="C85:D85"/>
    <mergeCell ref="A86:B86"/>
    <mergeCell ref="C86:D86"/>
    <mergeCell ref="A87:B87"/>
    <mergeCell ref="C87:D87"/>
    <mergeCell ref="C54:E54"/>
    <mergeCell ref="C258:D258"/>
    <mergeCell ref="F258:G258"/>
    <mergeCell ref="C259:D259"/>
    <mergeCell ref="F259:G259"/>
    <mergeCell ref="C260:D260"/>
    <mergeCell ref="F260:G260"/>
    <mergeCell ref="C261:D261"/>
    <mergeCell ref="F261:G261"/>
    <mergeCell ref="A239:I239"/>
    <mergeCell ref="A240:B249"/>
    <mergeCell ref="C240:D240"/>
    <mergeCell ref="F240:G240"/>
    <mergeCell ref="C241:D241"/>
    <mergeCell ref="F241:G241"/>
    <mergeCell ref="C242:D242"/>
  </mergeCells>
  <hyperlinks>
    <hyperlink ref="E23" r:id="rId1"/>
  </hyperlinks>
  <pageMargins left="0.43307086614173229" right="0.43307086614173229" top="0.59055118110236227" bottom="0.51181102362204722" header="0.15748031496062992" footer="0.15748031496062992"/>
  <pageSetup paperSize="9" scale="63" fitToHeight="0" orientation="portrait" r:id="rId2"/>
  <headerFooter>
    <oddHeader>&amp;C&amp;24&amp;G</oddHeader>
    <oddFooter>&amp;L&amp;"Times New Roman,Bold"&amp;16Ref No: &amp;F&amp;R&amp;"Times New Roman,Bold"&amp;16&amp;P</oddFooter>
  </headerFooter>
  <rowBreaks count="3" manualBreakCount="3">
    <brk id="272" max="16383" man="1"/>
    <brk id="574" max="8" man="1"/>
    <brk id="58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8"/>
  <sheetViews>
    <sheetView topLeftCell="A134" workbookViewId="0">
      <selection activeCell="A13" sqref="A13:XFD138"/>
    </sheetView>
  </sheetViews>
  <sheetFormatPr defaultRowHeight="15" x14ac:dyDescent="0.25"/>
  <sheetData>
    <row r="1" spans="1:19" s="17" customFormat="1" ht="21" x14ac:dyDescent="0.25">
      <c r="K1" s="119" t="s">
        <v>192</v>
      </c>
      <c r="L1" s="93"/>
      <c r="M1" s="93"/>
      <c r="N1" s="93"/>
      <c r="O1" s="93"/>
      <c r="P1" s="93"/>
      <c r="Q1" s="93"/>
      <c r="R1" s="93"/>
      <c r="S1" s="93"/>
    </row>
    <row r="2" spans="1:19" s="17" customFormat="1" ht="21" x14ac:dyDescent="0.25">
      <c r="K2" s="119" t="s">
        <v>180</v>
      </c>
      <c r="L2" s="93"/>
      <c r="M2" s="93"/>
      <c r="N2" s="93"/>
      <c r="O2" s="93"/>
      <c r="P2" s="93"/>
      <c r="Q2" s="93"/>
      <c r="R2" s="93"/>
      <c r="S2" s="93"/>
    </row>
    <row r="3" spans="1:19" s="17" customFormat="1" ht="21" x14ac:dyDescent="0.25">
      <c r="K3" s="93" t="s">
        <v>137</v>
      </c>
      <c r="L3" s="93"/>
      <c r="M3" s="93"/>
      <c r="N3" s="93"/>
      <c r="O3" s="93"/>
      <c r="P3" s="93"/>
      <c r="Q3" s="93"/>
      <c r="R3" s="93"/>
      <c r="S3" s="93"/>
    </row>
    <row r="4" spans="1:19" s="17" customFormat="1" ht="21" customHeight="1" x14ac:dyDescent="0.25">
      <c r="K4" s="100" t="str">
        <f>K3</f>
        <v>1st Floor</v>
      </c>
      <c r="L4" s="101"/>
      <c r="M4" s="91">
        <v>1</v>
      </c>
      <c r="N4" s="92"/>
      <c r="O4" s="58" t="s">
        <v>170</v>
      </c>
      <c r="P4" s="91">
        <f>41.89*10.764</f>
        <v>450.90395999999998</v>
      </c>
      <c r="Q4" s="92"/>
      <c r="R4" s="58">
        <v>0</v>
      </c>
      <c r="S4" s="58">
        <f t="shared" ref="S4:S12" si="0">P4*1.5+R4</f>
        <v>676.35593999999992</v>
      </c>
    </row>
    <row r="5" spans="1:19" s="17" customFormat="1" ht="21" customHeight="1" x14ac:dyDescent="0.25">
      <c r="K5" s="102"/>
      <c r="L5" s="103"/>
      <c r="M5" s="91">
        <v>2</v>
      </c>
      <c r="N5" s="92"/>
      <c r="O5" s="58" t="s">
        <v>170</v>
      </c>
      <c r="P5" s="91">
        <f>36.43*10.764</f>
        <v>392.13252</v>
      </c>
      <c r="Q5" s="92"/>
      <c r="R5" s="58">
        <v>0</v>
      </c>
      <c r="S5" s="58">
        <f t="shared" si="0"/>
        <v>588.19877999999994</v>
      </c>
    </row>
    <row r="6" spans="1:19" s="17" customFormat="1" ht="21" customHeight="1" x14ac:dyDescent="0.25">
      <c r="K6" s="102"/>
      <c r="L6" s="103"/>
      <c r="M6" s="91">
        <v>3</v>
      </c>
      <c r="N6" s="92"/>
      <c r="O6" s="58" t="s">
        <v>170</v>
      </c>
      <c r="P6" s="91">
        <f>36.43*10.764</f>
        <v>392.13252</v>
      </c>
      <c r="Q6" s="92"/>
      <c r="R6" s="58">
        <v>0</v>
      </c>
      <c r="S6" s="58">
        <f t="shared" si="0"/>
        <v>588.19877999999994</v>
      </c>
    </row>
    <row r="7" spans="1:19" s="17" customFormat="1" ht="21" customHeight="1" x14ac:dyDescent="0.25">
      <c r="K7" s="102"/>
      <c r="L7" s="103"/>
      <c r="M7" s="91">
        <v>4</v>
      </c>
      <c r="N7" s="92"/>
      <c r="O7" s="58" t="s">
        <v>150</v>
      </c>
      <c r="P7" s="91">
        <f>44.89*10.764</f>
        <v>483.19595999999996</v>
      </c>
      <c r="Q7" s="92"/>
      <c r="R7" s="58">
        <v>0</v>
      </c>
      <c r="S7" s="58">
        <f t="shared" si="0"/>
        <v>724.79393999999991</v>
      </c>
    </row>
    <row r="8" spans="1:19" s="17" customFormat="1" ht="21" x14ac:dyDescent="0.25">
      <c r="K8" s="102"/>
      <c r="L8" s="103"/>
      <c r="M8" s="91">
        <v>5</v>
      </c>
      <c r="N8" s="92"/>
      <c r="O8" s="58" t="s">
        <v>150</v>
      </c>
      <c r="P8" s="91">
        <f>51.86*10.764</f>
        <v>558.22104000000002</v>
      </c>
      <c r="Q8" s="92"/>
      <c r="R8" s="58">
        <v>0</v>
      </c>
      <c r="S8" s="58">
        <f t="shared" si="0"/>
        <v>837.33156000000008</v>
      </c>
    </row>
    <row r="9" spans="1:19" s="17" customFormat="1" ht="21" customHeight="1" x14ac:dyDescent="0.25">
      <c r="K9" s="102"/>
      <c r="L9" s="103"/>
      <c r="M9" s="91">
        <v>6</v>
      </c>
      <c r="N9" s="92"/>
      <c r="O9" s="58" t="s">
        <v>170</v>
      </c>
      <c r="P9" s="91">
        <f>42.89*10.764</f>
        <v>461.66795999999999</v>
      </c>
      <c r="Q9" s="92"/>
      <c r="R9" s="58">
        <v>0</v>
      </c>
      <c r="S9" s="58">
        <f t="shared" si="0"/>
        <v>692.50193999999999</v>
      </c>
    </row>
    <row r="10" spans="1:19" s="17" customFormat="1" ht="21" x14ac:dyDescent="0.25">
      <c r="K10" s="102"/>
      <c r="L10" s="103"/>
      <c r="M10" s="91">
        <v>7</v>
      </c>
      <c r="N10" s="92"/>
      <c r="O10" s="58" t="s">
        <v>170</v>
      </c>
      <c r="P10" s="91">
        <f t="shared" ref="P10" si="1">42.89*10.764</f>
        <v>461.66795999999999</v>
      </c>
      <c r="Q10" s="92"/>
      <c r="R10" s="58">
        <v>0</v>
      </c>
      <c r="S10" s="58">
        <f t="shared" si="0"/>
        <v>692.50193999999999</v>
      </c>
    </row>
    <row r="11" spans="1:19" s="17" customFormat="1" ht="21" customHeight="1" x14ac:dyDescent="0.25">
      <c r="K11" s="102"/>
      <c r="L11" s="103"/>
      <c r="M11" s="91">
        <v>8</v>
      </c>
      <c r="N11" s="92"/>
      <c r="O11" s="58" t="s">
        <v>150</v>
      </c>
      <c r="P11" s="91">
        <f>49.02*10.764</f>
        <v>527.65128000000004</v>
      </c>
      <c r="Q11" s="92"/>
      <c r="R11" s="58">
        <v>0</v>
      </c>
      <c r="S11" s="58">
        <f t="shared" si="0"/>
        <v>791.47692000000006</v>
      </c>
    </row>
    <row r="12" spans="1:19" s="17" customFormat="1" ht="21" customHeight="1" x14ac:dyDescent="0.25">
      <c r="K12" s="102"/>
      <c r="L12" s="103"/>
      <c r="M12" s="91">
        <v>9</v>
      </c>
      <c r="N12" s="92"/>
      <c r="O12" s="58" t="s">
        <v>150</v>
      </c>
      <c r="P12" s="91">
        <f>49.02*10.764</f>
        <v>527.65128000000004</v>
      </c>
      <c r="Q12" s="92"/>
      <c r="R12" s="58">
        <v>0</v>
      </c>
      <c r="S12" s="58">
        <f t="shared" si="0"/>
        <v>791.47692000000006</v>
      </c>
    </row>
    <row r="13" spans="1:19" s="66" customFormat="1" ht="21" customHeight="1" x14ac:dyDescent="0.25">
      <c r="A13" s="170" t="s">
        <v>192</v>
      </c>
      <c r="B13" s="170"/>
      <c r="C13" s="170"/>
      <c r="D13" s="170"/>
      <c r="E13" s="170"/>
      <c r="F13" s="170"/>
      <c r="G13" s="170"/>
      <c r="H13" s="170"/>
      <c r="I13" s="170"/>
    </row>
    <row r="14" spans="1:19" s="66" customFormat="1" ht="21" customHeight="1" x14ac:dyDescent="0.25">
      <c r="A14" s="170" t="s">
        <v>136</v>
      </c>
      <c r="B14" s="170"/>
      <c r="C14" s="170"/>
      <c r="D14" s="170"/>
      <c r="E14" s="170"/>
      <c r="F14" s="170"/>
      <c r="G14" s="170"/>
      <c r="H14" s="170"/>
      <c r="I14" s="170"/>
    </row>
    <row r="15" spans="1:19" s="66" customFormat="1" ht="21" customHeight="1" x14ac:dyDescent="0.25">
      <c r="A15" s="170" t="s">
        <v>137</v>
      </c>
      <c r="B15" s="170"/>
      <c r="C15" s="170"/>
      <c r="D15" s="170"/>
      <c r="E15" s="170"/>
      <c r="F15" s="170"/>
      <c r="G15" s="170"/>
      <c r="H15" s="170"/>
      <c r="I15" s="170"/>
    </row>
    <row r="16" spans="1:19" s="66" customFormat="1" ht="21" customHeight="1" x14ac:dyDescent="0.25">
      <c r="A16" s="171" t="str">
        <f>A15</f>
        <v>1st Floor</v>
      </c>
      <c r="B16" s="171"/>
      <c r="C16" s="172">
        <v>1</v>
      </c>
      <c r="D16" s="172"/>
      <c r="E16" s="67" t="s">
        <v>170</v>
      </c>
      <c r="F16" s="171">
        <f>30.94*10.764</f>
        <v>333.03816</v>
      </c>
      <c r="G16" s="171"/>
      <c r="H16" s="67">
        <v>0</v>
      </c>
      <c r="I16" s="67">
        <f t="shared" ref="I16:I26" si="2">F16*1.5+H16</f>
        <v>499.55723999999998</v>
      </c>
    </row>
    <row r="17" spans="1:9" s="66" customFormat="1" ht="21" customHeight="1" x14ac:dyDescent="0.25">
      <c r="A17" s="171"/>
      <c r="B17" s="171"/>
      <c r="C17" s="172">
        <v>2</v>
      </c>
      <c r="D17" s="172"/>
      <c r="E17" s="67" t="s">
        <v>170</v>
      </c>
      <c r="F17" s="171">
        <f>30.94*10.764</f>
        <v>333.03816</v>
      </c>
      <c r="G17" s="171"/>
      <c r="H17" s="67">
        <v>0</v>
      </c>
      <c r="I17" s="67">
        <f t="shared" si="2"/>
        <v>499.55723999999998</v>
      </c>
    </row>
    <row r="18" spans="1:9" s="66" customFormat="1" ht="21" customHeight="1" x14ac:dyDescent="0.25">
      <c r="A18" s="171"/>
      <c r="B18" s="171"/>
      <c r="C18" s="172">
        <v>3</v>
      </c>
      <c r="D18" s="172"/>
      <c r="E18" s="171" t="s">
        <v>243</v>
      </c>
      <c r="F18" s="171"/>
      <c r="G18" s="171"/>
      <c r="H18" s="171"/>
      <c r="I18" s="171"/>
    </row>
    <row r="19" spans="1:9" s="66" customFormat="1" ht="21" customHeight="1" x14ac:dyDescent="0.25">
      <c r="A19" s="171"/>
      <c r="B19" s="171"/>
      <c r="C19" s="172">
        <v>4</v>
      </c>
      <c r="D19" s="172"/>
      <c r="E19" s="171" t="s">
        <v>243</v>
      </c>
      <c r="F19" s="171"/>
      <c r="G19" s="171"/>
      <c r="H19" s="171"/>
      <c r="I19" s="171"/>
    </row>
    <row r="20" spans="1:9" s="66" customFormat="1" ht="21" customHeight="1" x14ac:dyDescent="0.25">
      <c r="A20" s="171"/>
      <c r="B20" s="171"/>
      <c r="C20" s="172">
        <v>5</v>
      </c>
      <c r="D20" s="172"/>
      <c r="E20" s="67" t="s">
        <v>170</v>
      </c>
      <c r="F20" s="171">
        <f>30.94*10.764</f>
        <v>333.03816</v>
      </c>
      <c r="G20" s="171"/>
      <c r="H20" s="67">
        <v>0</v>
      </c>
      <c r="I20" s="67">
        <f t="shared" si="2"/>
        <v>499.55723999999998</v>
      </c>
    </row>
    <row r="21" spans="1:9" s="66" customFormat="1" ht="21" customHeight="1" x14ac:dyDescent="0.25">
      <c r="A21" s="171"/>
      <c r="B21" s="171"/>
      <c r="C21" s="172">
        <v>6</v>
      </c>
      <c r="D21" s="172"/>
      <c r="E21" s="67" t="s">
        <v>170</v>
      </c>
      <c r="F21" s="171">
        <f>40.85*10.764</f>
        <v>439.70940000000002</v>
      </c>
      <c r="G21" s="171"/>
      <c r="H21" s="67">
        <v>0</v>
      </c>
      <c r="I21" s="67">
        <f t="shared" si="2"/>
        <v>659.56410000000005</v>
      </c>
    </row>
    <row r="22" spans="1:9" s="66" customFormat="1" ht="21" customHeight="1" x14ac:dyDescent="0.25">
      <c r="A22" s="171"/>
      <c r="B22" s="171"/>
      <c r="C22" s="172">
        <v>7</v>
      </c>
      <c r="D22" s="172"/>
      <c r="E22" s="67" t="s">
        <v>150</v>
      </c>
      <c r="F22" s="171">
        <f>51.84*10.764</f>
        <v>558.00576000000001</v>
      </c>
      <c r="G22" s="171"/>
      <c r="H22" s="67">
        <v>0</v>
      </c>
      <c r="I22" s="67">
        <f t="shared" si="2"/>
        <v>837.00864000000001</v>
      </c>
    </row>
    <row r="23" spans="1:9" s="66" customFormat="1" ht="21" customHeight="1" x14ac:dyDescent="0.25">
      <c r="A23" s="171"/>
      <c r="B23" s="171"/>
      <c r="C23" s="172">
        <v>8</v>
      </c>
      <c r="D23" s="172"/>
      <c r="E23" s="67" t="s">
        <v>170</v>
      </c>
      <c r="F23" s="171">
        <f>31.22*10.764</f>
        <v>336.05207999999999</v>
      </c>
      <c r="G23" s="171"/>
      <c r="H23" s="67">
        <v>0</v>
      </c>
      <c r="I23" s="67">
        <f t="shared" si="2"/>
        <v>504.07812000000001</v>
      </c>
    </row>
    <row r="24" spans="1:9" s="66" customFormat="1" ht="21" customHeight="1" x14ac:dyDescent="0.25">
      <c r="A24" s="171"/>
      <c r="B24" s="171"/>
      <c r="C24" s="172">
        <v>9</v>
      </c>
      <c r="D24" s="172"/>
      <c r="E24" s="67" t="s">
        <v>170</v>
      </c>
      <c r="F24" s="171">
        <f>31.22*10.764</f>
        <v>336.05207999999999</v>
      </c>
      <c r="G24" s="171"/>
      <c r="H24" s="67">
        <v>0</v>
      </c>
      <c r="I24" s="67">
        <f t="shared" si="2"/>
        <v>504.07812000000001</v>
      </c>
    </row>
    <row r="25" spans="1:9" s="66" customFormat="1" ht="21" customHeight="1" x14ac:dyDescent="0.25">
      <c r="A25" s="171"/>
      <c r="B25" s="171"/>
      <c r="C25" s="172">
        <v>10</v>
      </c>
      <c r="D25" s="172"/>
      <c r="E25" s="67" t="s">
        <v>150</v>
      </c>
      <c r="F25" s="171">
        <f>49.14*10.764</f>
        <v>528.94295999999997</v>
      </c>
      <c r="G25" s="171"/>
      <c r="H25" s="67">
        <v>0</v>
      </c>
      <c r="I25" s="67">
        <f t="shared" si="2"/>
        <v>793.41444000000001</v>
      </c>
    </row>
    <row r="26" spans="1:9" s="66" customFormat="1" ht="21" customHeight="1" x14ac:dyDescent="0.25">
      <c r="A26" s="171"/>
      <c r="B26" s="171"/>
      <c r="C26" s="172">
        <v>11</v>
      </c>
      <c r="D26" s="172"/>
      <c r="E26" s="67" t="s">
        <v>150</v>
      </c>
      <c r="F26" s="171">
        <f>49.14*10.764</f>
        <v>528.94295999999997</v>
      </c>
      <c r="G26" s="171"/>
      <c r="H26" s="67">
        <v>0</v>
      </c>
      <c r="I26" s="67">
        <f t="shared" si="2"/>
        <v>793.41444000000001</v>
      </c>
    </row>
    <row r="27" spans="1:9" s="66" customFormat="1" ht="21" customHeight="1" x14ac:dyDescent="0.25">
      <c r="A27" s="171"/>
      <c r="B27" s="171"/>
      <c r="C27" s="172">
        <v>12</v>
      </c>
      <c r="D27" s="172"/>
      <c r="E27" s="171" t="s">
        <v>243</v>
      </c>
      <c r="F27" s="171"/>
      <c r="G27" s="171"/>
      <c r="H27" s="171"/>
      <c r="I27" s="171"/>
    </row>
    <row r="28" spans="1:9" s="66" customFormat="1" ht="21" customHeight="1" x14ac:dyDescent="0.25">
      <c r="A28" s="170" t="s">
        <v>184</v>
      </c>
      <c r="B28" s="170"/>
      <c r="C28" s="170"/>
      <c r="D28" s="170"/>
      <c r="E28" s="170"/>
      <c r="F28" s="170"/>
      <c r="G28" s="170"/>
      <c r="H28" s="170"/>
      <c r="I28" s="170"/>
    </row>
    <row r="29" spans="1:9" s="66" customFormat="1" ht="21" customHeight="1" x14ac:dyDescent="0.25">
      <c r="A29" s="171" t="str">
        <f>A28</f>
        <v>2nd to 7th, 9th to 13th, 15th to 18th, 20th to 23rd, 25th to 28th, 30th to 32nd Floor</v>
      </c>
      <c r="B29" s="171"/>
      <c r="C29" s="172">
        <v>1</v>
      </c>
      <c r="D29" s="172"/>
      <c r="E29" s="67" t="s">
        <v>170</v>
      </c>
      <c r="F29" s="171">
        <f>30.94*10.764</f>
        <v>333.03816</v>
      </c>
      <c r="G29" s="171"/>
      <c r="H29" s="67">
        <v>0</v>
      </c>
      <c r="I29" s="67">
        <f t="shared" ref="I29:I40" si="3">F29*1.5+H29</f>
        <v>499.55723999999998</v>
      </c>
    </row>
    <row r="30" spans="1:9" s="66" customFormat="1" ht="21" customHeight="1" x14ac:dyDescent="0.25">
      <c r="A30" s="171"/>
      <c r="B30" s="171"/>
      <c r="C30" s="172">
        <v>2</v>
      </c>
      <c r="D30" s="172"/>
      <c r="E30" s="67" t="s">
        <v>170</v>
      </c>
      <c r="F30" s="171">
        <f>30.94*10.764</f>
        <v>333.03816</v>
      </c>
      <c r="G30" s="171"/>
      <c r="H30" s="67">
        <v>0</v>
      </c>
      <c r="I30" s="67">
        <f t="shared" si="3"/>
        <v>499.55723999999998</v>
      </c>
    </row>
    <row r="31" spans="1:9" s="66" customFormat="1" ht="21" customHeight="1" x14ac:dyDescent="0.25">
      <c r="A31" s="171"/>
      <c r="B31" s="171"/>
      <c r="C31" s="172">
        <v>3</v>
      </c>
      <c r="D31" s="172"/>
      <c r="E31" s="67" t="s">
        <v>170</v>
      </c>
      <c r="F31" s="171">
        <f>31.02*10.764</f>
        <v>333.89927999999998</v>
      </c>
      <c r="G31" s="171"/>
      <c r="H31" s="67">
        <v>0</v>
      </c>
      <c r="I31" s="67">
        <f t="shared" si="3"/>
        <v>500.84891999999996</v>
      </c>
    </row>
    <row r="32" spans="1:9" s="66" customFormat="1" ht="21" customHeight="1" x14ac:dyDescent="0.25">
      <c r="A32" s="171"/>
      <c r="B32" s="171"/>
      <c r="C32" s="172">
        <v>4</v>
      </c>
      <c r="D32" s="172"/>
      <c r="E32" s="67" t="s">
        <v>170</v>
      </c>
      <c r="F32" s="171">
        <f>31.02*10.764</f>
        <v>333.89927999999998</v>
      </c>
      <c r="G32" s="171"/>
      <c r="H32" s="67">
        <v>0</v>
      </c>
      <c r="I32" s="67">
        <f t="shared" si="3"/>
        <v>500.84891999999996</v>
      </c>
    </row>
    <row r="33" spans="1:9" s="66" customFormat="1" ht="21" customHeight="1" x14ac:dyDescent="0.25">
      <c r="A33" s="171"/>
      <c r="B33" s="171"/>
      <c r="C33" s="172">
        <v>5</v>
      </c>
      <c r="D33" s="172"/>
      <c r="E33" s="67" t="s">
        <v>170</v>
      </c>
      <c r="F33" s="171">
        <f>30.94*10.764</f>
        <v>333.03816</v>
      </c>
      <c r="G33" s="171"/>
      <c r="H33" s="67">
        <v>0</v>
      </c>
      <c r="I33" s="67">
        <f t="shared" si="3"/>
        <v>499.55723999999998</v>
      </c>
    </row>
    <row r="34" spans="1:9" s="66" customFormat="1" ht="21" customHeight="1" x14ac:dyDescent="0.25">
      <c r="A34" s="171"/>
      <c r="B34" s="171"/>
      <c r="C34" s="172">
        <v>6</v>
      </c>
      <c r="D34" s="172"/>
      <c r="E34" s="67" t="s">
        <v>170</v>
      </c>
      <c r="F34" s="171">
        <f>40.85*10.764</f>
        <v>439.70940000000002</v>
      </c>
      <c r="G34" s="171"/>
      <c r="H34" s="67">
        <v>0</v>
      </c>
      <c r="I34" s="67">
        <f t="shared" si="3"/>
        <v>659.56410000000005</v>
      </c>
    </row>
    <row r="35" spans="1:9" s="66" customFormat="1" ht="21" customHeight="1" x14ac:dyDescent="0.25">
      <c r="A35" s="171"/>
      <c r="B35" s="171"/>
      <c r="C35" s="172">
        <v>7</v>
      </c>
      <c r="D35" s="172"/>
      <c r="E35" s="67" t="s">
        <v>150</v>
      </c>
      <c r="F35" s="171">
        <f>51.84*10.764</f>
        <v>558.00576000000001</v>
      </c>
      <c r="G35" s="171"/>
      <c r="H35" s="67">
        <v>0</v>
      </c>
      <c r="I35" s="67">
        <f t="shared" si="3"/>
        <v>837.00864000000001</v>
      </c>
    </row>
    <row r="36" spans="1:9" s="66" customFormat="1" ht="21" customHeight="1" x14ac:dyDescent="0.25">
      <c r="A36" s="171"/>
      <c r="B36" s="171"/>
      <c r="C36" s="172">
        <v>8</v>
      </c>
      <c r="D36" s="172"/>
      <c r="E36" s="67" t="s">
        <v>170</v>
      </c>
      <c r="F36" s="171">
        <f>31.22*10.764</f>
        <v>336.05207999999999</v>
      </c>
      <c r="G36" s="171"/>
      <c r="H36" s="67">
        <v>0</v>
      </c>
      <c r="I36" s="67">
        <f t="shared" si="3"/>
        <v>504.07812000000001</v>
      </c>
    </row>
    <row r="37" spans="1:9" s="66" customFormat="1" ht="21" customHeight="1" x14ac:dyDescent="0.25">
      <c r="A37" s="171"/>
      <c r="B37" s="171"/>
      <c r="C37" s="172">
        <v>9</v>
      </c>
      <c r="D37" s="172"/>
      <c r="E37" s="67" t="s">
        <v>170</v>
      </c>
      <c r="F37" s="171">
        <f>31.22*10.764</f>
        <v>336.05207999999999</v>
      </c>
      <c r="G37" s="171"/>
      <c r="H37" s="67">
        <v>0</v>
      </c>
      <c r="I37" s="67">
        <f t="shared" si="3"/>
        <v>504.07812000000001</v>
      </c>
    </row>
    <row r="38" spans="1:9" s="66" customFormat="1" ht="21" customHeight="1" x14ac:dyDescent="0.25">
      <c r="A38" s="171"/>
      <c r="B38" s="171"/>
      <c r="C38" s="172">
        <v>10</v>
      </c>
      <c r="D38" s="172"/>
      <c r="E38" s="67" t="s">
        <v>150</v>
      </c>
      <c r="F38" s="171">
        <f>49.14*10.764</f>
        <v>528.94295999999997</v>
      </c>
      <c r="G38" s="171"/>
      <c r="H38" s="67">
        <v>0</v>
      </c>
      <c r="I38" s="67">
        <f t="shared" si="3"/>
        <v>793.41444000000001</v>
      </c>
    </row>
    <row r="39" spans="1:9" s="66" customFormat="1" ht="21" customHeight="1" x14ac:dyDescent="0.25">
      <c r="A39" s="171"/>
      <c r="B39" s="171"/>
      <c r="C39" s="172">
        <v>11</v>
      </c>
      <c r="D39" s="172"/>
      <c r="E39" s="67" t="s">
        <v>150</v>
      </c>
      <c r="F39" s="171">
        <f>49.14*10.764</f>
        <v>528.94295999999997</v>
      </c>
      <c r="G39" s="171"/>
      <c r="H39" s="67">
        <v>0</v>
      </c>
      <c r="I39" s="67">
        <f t="shared" si="3"/>
        <v>793.41444000000001</v>
      </c>
    </row>
    <row r="40" spans="1:9" s="66" customFormat="1" ht="21" customHeight="1" x14ac:dyDescent="0.25">
      <c r="A40" s="171"/>
      <c r="B40" s="171"/>
      <c r="C40" s="172">
        <v>12</v>
      </c>
      <c r="D40" s="172"/>
      <c r="E40" s="67" t="s">
        <v>170</v>
      </c>
      <c r="F40" s="171">
        <f>41.02*10.764</f>
        <v>441.53928000000002</v>
      </c>
      <c r="G40" s="171"/>
      <c r="H40" s="67">
        <v>0</v>
      </c>
      <c r="I40" s="67">
        <f t="shared" si="3"/>
        <v>662.30892000000006</v>
      </c>
    </row>
    <row r="41" spans="1:9" s="66" customFormat="1" ht="21" customHeight="1" x14ac:dyDescent="0.25">
      <c r="A41" s="170" t="s">
        <v>178</v>
      </c>
      <c r="B41" s="170"/>
      <c r="C41" s="170"/>
      <c r="D41" s="170"/>
      <c r="E41" s="170"/>
      <c r="F41" s="170"/>
      <c r="G41" s="170"/>
      <c r="H41" s="170"/>
      <c r="I41" s="170"/>
    </row>
    <row r="42" spans="1:9" s="66" customFormat="1" ht="21" customHeight="1" x14ac:dyDescent="0.25">
      <c r="A42" s="171" t="str">
        <f>A41</f>
        <v>8th Floor (Part Refuge Area)</v>
      </c>
      <c r="B42" s="171"/>
      <c r="C42" s="172">
        <v>1</v>
      </c>
      <c r="D42" s="172"/>
      <c r="E42" s="67" t="s">
        <v>170</v>
      </c>
      <c r="F42" s="171">
        <f>30.94*10.764</f>
        <v>333.03816</v>
      </c>
      <c r="G42" s="171"/>
      <c r="H42" s="67">
        <v>0</v>
      </c>
      <c r="I42" s="67">
        <f t="shared" ref="I42:I47" si="4">F42*1.5+H42</f>
        <v>499.55723999999998</v>
      </c>
    </row>
    <row r="43" spans="1:9" s="66" customFormat="1" ht="21" customHeight="1" x14ac:dyDescent="0.25">
      <c r="A43" s="171"/>
      <c r="B43" s="171"/>
      <c r="C43" s="172">
        <v>2</v>
      </c>
      <c r="D43" s="172"/>
      <c r="E43" s="67" t="s">
        <v>170</v>
      </c>
      <c r="F43" s="171">
        <f>30.94*10.764</f>
        <v>333.03816</v>
      </c>
      <c r="G43" s="171"/>
      <c r="H43" s="67">
        <v>0</v>
      </c>
      <c r="I43" s="67">
        <f t="shared" si="4"/>
        <v>499.55723999999998</v>
      </c>
    </row>
    <row r="44" spans="1:9" s="66" customFormat="1" ht="21" customHeight="1" x14ac:dyDescent="0.25">
      <c r="A44" s="171"/>
      <c r="B44" s="171"/>
      <c r="C44" s="172">
        <v>3</v>
      </c>
      <c r="D44" s="172"/>
      <c r="E44" s="67" t="s">
        <v>170</v>
      </c>
      <c r="F44" s="171">
        <f>31.02*10.764</f>
        <v>333.89927999999998</v>
      </c>
      <c r="G44" s="171"/>
      <c r="H44" s="67">
        <v>0</v>
      </c>
      <c r="I44" s="67">
        <f t="shared" si="4"/>
        <v>500.84891999999996</v>
      </c>
    </row>
    <row r="45" spans="1:9" s="66" customFormat="1" ht="21" customHeight="1" x14ac:dyDescent="0.25">
      <c r="A45" s="171"/>
      <c r="B45" s="171"/>
      <c r="C45" s="172">
        <v>4</v>
      </c>
      <c r="D45" s="172"/>
      <c r="E45" s="67" t="s">
        <v>170</v>
      </c>
      <c r="F45" s="171">
        <f>31.02*10.764</f>
        <v>333.89927999999998</v>
      </c>
      <c r="G45" s="171"/>
      <c r="H45" s="67">
        <v>0</v>
      </c>
      <c r="I45" s="67">
        <f t="shared" si="4"/>
        <v>500.84891999999996</v>
      </c>
    </row>
    <row r="46" spans="1:9" s="66" customFormat="1" ht="21" customHeight="1" x14ac:dyDescent="0.25">
      <c r="A46" s="171"/>
      <c r="B46" s="171"/>
      <c r="C46" s="172">
        <v>5</v>
      </c>
      <c r="D46" s="172"/>
      <c r="E46" s="67" t="s">
        <v>170</v>
      </c>
      <c r="F46" s="171">
        <f>30.94*10.764</f>
        <v>333.03816</v>
      </c>
      <c r="G46" s="171"/>
      <c r="H46" s="67">
        <v>0</v>
      </c>
      <c r="I46" s="67">
        <f t="shared" si="4"/>
        <v>499.55723999999998</v>
      </c>
    </row>
    <row r="47" spans="1:9" s="66" customFormat="1" ht="21" customHeight="1" x14ac:dyDescent="0.25">
      <c r="A47" s="171"/>
      <c r="B47" s="171"/>
      <c r="C47" s="172">
        <v>6</v>
      </c>
      <c r="D47" s="172"/>
      <c r="E47" s="67" t="s">
        <v>170</v>
      </c>
      <c r="F47" s="171">
        <f>40.85*10.764</f>
        <v>439.70940000000002</v>
      </c>
      <c r="G47" s="171"/>
      <c r="H47" s="67">
        <v>0</v>
      </c>
      <c r="I47" s="67">
        <f t="shared" si="4"/>
        <v>659.56410000000005</v>
      </c>
    </row>
    <row r="48" spans="1:9" s="66" customFormat="1" ht="21" customHeight="1" x14ac:dyDescent="0.25">
      <c r="A48" s="171"/>
      <c r="B48" s="171"/>
      <c r="C48" s="172">
        <v>7</v>
      </c>
      <c r="D48" s="172"/>
      <c r="E48" s="171" t="s">
        <v>151</v>
      </c>
      <c r="F48" s="171"/>
      <c r="G48" s="171"/>
      <c r="H48" s="171"/>
      <c r="I48" s="171"/>
    </row>
    <row r="49" spans="1:9" s="66" customFormat="1" ht="21" customHeight="1" x14ac:dyDescent="0.25">
      <c r="A49" s="171"/>
      <c r="B49" s="171"/>
      <c r="C49" s="172">
        <v>8</v>
      </c>
      <c r="D49" s="172"/>
      <c r="E49" s="67" t="s">
        <v>170</v>
      </c>
      <c r="F49" s="171">
        <f>31.22*10.764</f>
        <v>336.05207999999999</v>
      </c>
      <c r="G49" s="171"/>
      <c r="H49" s="67">
        <v>0</v>
      </c>
      <c r="I49" s="67">
        <f t="shared" ref="I49:I53" si="5">F49*1.5+H49</f>
        <v>504.07812000000001</v>
      </c>
    </row>
    <row r="50" spans="1:9" s="66" customFormat="1" ht="21" customHeight="1" x14ac:dyDescent="0.25">
      <c r="A50" s="171"/>
      <c r="B50" s="171"/>
      <c r="C50" s="172">
        <v>9</v>
      </c>
      <c r="D50" s="172"/>
      <c r="E50" s="67" t="s">
        <v>170</v>
      </c>
      <c r="F50" s="171">
        <f>31.22*10.764</f>
        <v>336.05207999999999</v>
      </c>
      <c r="G50" s="171"/>
      <c r="H50" s="67">
        <v>0</v>
      </c>
      <c r="I50" s="67">
        <f t="shared" si="5"/>
        <v>504.07812000000001</v>
      </c>
    </row>
    <row r="51" spans="1:9" s="66" customFormat="1" ht="21" customHeight="1" x14ac:dyDescent="0.25">
      <c r="A51" s="171"/>
      <c r="B51" s="171"/>
      <c r="C51" s="172">
        <v>10</v>
      </c>
      <c r="D51" s="172"/>
      <c r="E51" s="67" t="s">
        <v>150</v>
      </c>
      <c r="F51" s="171">
        <f>49.14*10.764</f>
        <v>528.94295999999997</v>
      </c>
      <c r="G51" s="171"/>
      <c r="H51" s="67">
        <v>0</v>
      </c>
      <c r="I51" s="67">
        <f t="shared" si="5"/>
        <v>793.41444000000001</v>
      </c>
    </row>
    <row r="52" spans="1:9" s="66" customFormat="1" ht="21" customHeight="1" x14ac:dyDescent="0.25">
      <c r="A52" s="171"/>
      <c r="B52" s="171"/>
      <c r="C52" s="172">
        <v>11</v>
      </c>
      <c r="D52" s="172"/>
      <c r="E52" s="67" t="s">
        <v>150</v>
      </c>
      <c r="F52" s="171">
        <f>49.14*10.764</f>
        <v>528.94295999999997</v>
      </c>
      <c r="G52" s="171"/>
      <c r="H52" s="67">
        <v>0</v>
      </c>
      <c r="I52" s="67">
        <f t="shared" si="5"/>
        <v>793.41444000000001</v>
      </c>
    </row>
    <row r="53" spans="1:9" s="66" customFormat="1" ht="21" customHeight="1" x14ac:dyDescent="0.25">
      <c r="A53" s="171"/>
      <c r="B53" s="171"/>
      <c r="C53" s="172">
        <v>12</v>
      </c>
      <c r="D53" s="172"/>
      <c r="E53" s="67" t="s">
        <v>170</v>
      </c>
      <c r="F53" s="171">
        <f>41.02*10.764</f>
        <v>441.53928000000002</v>
      </c>
      <c r="G53" s="171"/>
      <c r="H53" s="67">
        <v>0</v>
      </c>
      <c r="I53" s="67">
        <f t="shared" si="5"/>
        <v>662.30892000000006</v>
      </c>
    </row>
    <row r="54" spans="1:9" s="66" customFormat="1" ht="21" customHeight="1" x14ac:dyDescent="0.25">
      <c r="A54" s="170" t="s">
        <v>185</v>
      </c>
      <c r="B54" s="170"/>
      <c r="C54" s="170"/>
      <c r="D54" s="170"/>
      <c r="E54" s="170"/>
      <c r="F54" s="170"/>
      <c r="G54" s="170"/>
      <c r="H54" s="170"/>
      <c r="I54" s="170"/>
    </row>
    <row r="55" spans="1:9" s="66" customFormat="1" ht="21" customHeight="1" x14ac:dyDescent="0.25">
      <c r="A55" s="170" t="s">
        <v>186</v>
      </c>
      <c r="B55" s="170"/>
      <c r="C55" s="170"/>
      <c r="D55" s="170"/>
      <c r="E55" s="170"/>
      <c r="F55" s="170"/>
      <c r="G55" s="170"/>
      <c r="H55" s="170"/>
      <c r="I55" s="170"/>
    </row>
    <row r="56" spans="1:9" s="66" customFormat="1" ht="21" customHeight="1" x14ac:dyDescent="0.25">
      <c r="A56" s="171" t="str">
        <f>A55</f>
        <v>14th, 19th &amp; 24th Floor (Part Refuge Area)</v>
      </c>
      <c r="B56" s="171"/>
      <c r="C56" s="172">
        <v>1</v>
      </c>
      <c r="D56" s="172"/>
      <c r="E56" s="67" t="s">
        <v>170</v>
      </c>
      <c r="F56" s="171">
        <f>30.94*10.764</f>
        <v>333.03816</v>
      </c>
      <c r="G56" s="171"/>
      <c r="H56" s="67">
        <v>0</v>
      </c>
      <c r="I56" s="67">
        <f t="shared" ref="I56:I61" si="6">F56*1.5+H56</f>
        <v>499.55723999999998</v>
      </c>
    </row>
    <row r="57" spans="1:9" s="66" customFormat="1" ht="21" customHeight="1" x14ac:dyDescent="0.25">
      <c r="A57" s="171"/>
      <c r="B57" s="171"/>
      <c r="C57" s="172">
        <v>2</v>
      </c>
      <c r="D57" s="172"/>
      <c r="E57" s="67" t="s">
        <v>170</v>
      </c>
      <c r="F57" s="171">
        <f>30.94*10.764</f>
        <v>333.03816</v>
      </c>
      <c r="G57" s="171"/>
      <c r="H57" s="67">
        <v>0</v>
      </c>
      <c r="I57" s="67">
        <f t="shared" si="6"/>
        <v>499.55723999999998</v>
      </c>
    </row>
    <row r="58" spans="1:9" s="66" customFormat="1" ht="21" customHeight="1" x14ac:dyDescent="0.25">
      <c r="A58" s="171"/>
      <c r="B58" s="171"/>
      <c r="C58" s="172">
        <v>3</v>
      </c>
      <c r="D58" s="172"/>
      <c r="E58" s="67" t="s">
        <v>170</v>
      </c>
      <c r="F58" s="171">
        <f>31.02*10.764</f>
        <v>333.89927999999998</v>
      </c>
      <c r="G58" s="171"/>
      <c r="H58" s="67">
        <v>0</v>
      </c>
      <c r="I58" s="67">
        <f t="shared" si="6"/>
        <v>500.84891999999996</v>
      </c>
    </row>
    <row r="59" spans="1:9" s="66" customFormat="1" ht="21" customHeight="1" x14ac:dyDescent="0.25">
      <c r="A59" s="171"/>
      <c r="B59" s="171"/>
      <c r="C59" s="172">
        <v>4</v>
      </c>
      <c r="D59" s="172"/>
      <c r="E59" s="67" t="s">
        <v>170</v>
      </c>
      <c r="F59" s="171">
        <f>31.02*10.764</f>
        <v>333.89927999999998</v>
      </c>
      <c r="G59" s="171"/>
      <c r="H59" s="67">
        <v>0</v>
      </c>
      <c r="I59" s="67">
        <f t="shared" si="6"/>
        <v>500.84891999999996</v>
      </c>
    </row>
    <row r="60" spans="1:9" s="66" customFormat="1" ht="21" customHeight="1" x14ac:dyDescent="0.25">
      <c r="A60" s="171"/>
      <c r="B60" s="171"/>
      <c r="C60" s="172">
        <v>5</v>
      </c>
      <c r="D60" s="172"/>
      <c r="E60" s="67" t="s">
        <v>170</v>
      </c>
      <c r="F60" s="171">
        <f>30.94*10.764</f>
        <v>333.03816</v>
      </c>
      <c r="G60" s="171"/>
      <c r="H60" s="67">
        <v>0</v>
      </c>
      <c r="I60" s="67">
        <f t="shared" si="6"/>
        <v>499.55723999999998</v>
      </c>
    </row>
    <row r="61" spans="1:9" s="66" customFormat="1" ht="21" customHeight="1" x14ac:dyDescent="0.25">
      <c r="A61" s="171"/>
      <c r="B61" s="171"/>
      <c r="C61" s="172">
        <v>6</v>
      </c>
      <c r="D61" s="172"/>
      <c r="E61" s="67" t="s">
        <v>170</v>
      </c>
      <c r="F61" s="171">
        <f>40.85*10.764</f>
        <v>439.70940000000002</v>
      </c>
      <c r="G61" s="171"/>
      <c r="H61" s="67">
        <v>0</v>
      </c>
      <c r="I61" s="67">
        <f t="shared" si="6"/>
        <v>659.56410000000005</v>
      </c>
    </row>
    <row r="62" spans="1:9" s="66" customFormat="1" ht="21" customHeight="1" x14ac:dyDescent="0.25">
      <c r="A62" s="171"/>
      <c r="B62" s="171"/>
      <c r="C62" s="172">
        <v>7</v>
      </c>
      <c r="D62" s="172"/>
      <c r="E62" s="171" t="s">
        <v>151</v>
      </c>
      <c r="F62" s="171"/>
      <c r="G62" s="171"/>
      <c r="H62" s="171"/>
      <c r="I62" s="171"/>
    </row>
    <row r="63" spans="1:9" s="66" customFormat="1" ht="21" customHeight="1" x14ac:dyDescent="0.25">
      <c r="A63" s="171"/>
      <c r="B63" s="171"/>
      <c r="C63" s="172">
        <v>8</v>
      </c>
      <c r="D63" s="172"/>
      <c r="E63" s="67" t="s">
        <v>170</v>
      </c>
      <c r="F63" s="171">
        <f>31.22*10.764</f>
        <v>336.05207999999999</v>
      </c>
      <c r="G63" s="171"/>
      <c r="H63" s="67">
        <v>0</v>
      </c>
      <c r="I63" s="67">
        <f t="shared" ref="I63:I67" si="7">F63*1.5+H63</f>
        <v>504.07812000000001</v>
      </c>
    </row>
    <row r="64" spans="1:9" s="66" customFormat="1" ht="21" customHeight="1" x14ac:dyDescent="0.25">
      <c r="A64" s="171"/>
      <c r="B64" s="171"/>
      <c r="C64" s="172">
        <v>9</v>
      </c>
      <c r="D64" s="172"/>
      <c r="E64" s="67" t="s">
        <v>170</v>
      </c>
      <c r="F64" s="171">
        <f>31.22*10.764</f>
        <v>336.05207999999999</v>
      </c>
      <c r="G64" s="171"/>
      <c r="H64" s="67">
        <v>0</v>
      </c>
      <c r="I64" s="67">
        <f t="shared" si="7"/>
        <v>504.07812000000001</v>
      </c>
    </row>
    <row r="65" spans="1:9" s="66" customFormat="1" ht="21" customHeight="1" x14ac:dyDescent="0.25">
      <c r="A65" s="171"/>
      <c r="B65" s="171"/>
      <c r="C65" s="172">
        <v>10</v>
      </c>
      <c r="D65" s="172"/>
      <c r="E65" s="67" t="s">
        <v>150</v>
      </c>
      <c r="F65" s="171">
        <f>49.14*10.764</f>
        <v>528.94295999999997</v>
      </c>
      <c r="G65" s="171"/>
      <c r="H65" s="67">
        <v>0</v>
      </c>
      <c r="I65" s="67">
        <f t="shared" si="7"/>
        <v>793.41444000000001</v>
      </c>
    </row>
    <row r="66" spans="1:9" s="66" customFormat="1" ht="21" customHeight="1" x14ac:dyDescent="0.25">
      <c r="A66" s="171"/>
      <c r="B66" s="171"/>
      <c r="C66" s="172">
        <v>11</v>
      </c>
      <c r="D66" s="172"/>
      <c r="E66" s="67" t="s">
        <v>150</v>
      </c>
      <c r="F66" s="171">
        <f>49.14*10.764</f>
        <v>528.94295999999997</v>
      </c>
      <c r="G66" s="171"/>
      <c r="H66" s="67">
        <v>0</v>
      </c>
      <c r="I66" s="67">
        <f t="shared" si="7"/>
        <v>793.41444000000001</v>
      </c>
    </row>
    <row r="67" spans="1:9" s="66" customFormat="1" ht="21" customHeight="1" x14ac:dyDescent="0.25">
      <c r="A67" s="171"/>
      <c r="B67" s="171"/>
      <c r="C67" s="172">
        <v>12</v>
      </c>
      <c r="D67" s="172"/>
      <c r="E67" s="67" t="s">
        <v>170</v>
      </c>
      <c r="F67" s="171">
        <f>41.02*10.764</f>
        <v>441.53928000000002</v>
      </c>
      <c r="G67" s="171"/>
      <c r="H67" s="67">
        <v>0</v>
      </c>
      <c r="I67" s="67">
        <f t="shared" si="7"/>
        <v>662.30892000000006</v>
      </c>
    </row>
    <row r="68" spans="1:9" s="66" customFormat="1" ht="21" customHeight="1" x14ac:dyDescent="0.25">
      <c r="A68" s="170" t="s">
        <v>187</v>
      </c>
      <c r="B68" s="170"/>
      <c r="C68" s="170"/>
      <c r="D68" s="170"/>
      <c r="E68" s="170"/>
      <c r="F68" s="170"/>
      <c r="G68" s="170"/>
      <c r="H68" s="170"/>
      <c r="I68" s="170"/>
    </row>
    <row r="69" spans="1:9" s="66" customFormat="1" ht="21" customHeight="1" x14ac:dyDescent="0.25">
      <c r="A69" s="171" t="str">
        <f>A68</f>
        <v>29th Floor (Part Refuge Area)</v>
      </c>
      <c r="B69" s="171"/>
      <c r="C69" s="172">
        <v>1</v>
      </c>
      <c r="D69" s="172"/>
      <c r="E69" s="67" t="s">
        <v>170</v>
      </c>
      <c r="F69" s="171">
        <f>30.94*10.764</f>
        <v>333.03816</v>
      </c>
      <c r="G69" s="171"/>
      <c r="H69" s="67">
        <v>0</v>
      </c>
      <c r="I69" s="67">
        <f t="shared" ref="I69:I74" si="8">F69*1.5+H69</f>
        <v>499.55723999999998</v>
      </c>
    </row>
    <row r="70" spans="1:9" s="66" customFormat="1" ht="21" customHeight="1" x14ac:dyDescent="0.25">
      <c r="A70" s="171"/>
      <c r="B70" s="171"/>
      <c r="C70" s="172">
        <v>2</v>
      </c>
      <c r="D70" s="172"/>
      <c r="E70" s="67" t="s">
        <v>170</v>
      </c>
      <c r="F70" s="171">
        <f>30.94*10.764</f>
        <v>333.03816</v>
      </c>
      <c r="G70" s="171"/>
      <c r="H70" s="67">
        <v>0</v>
      </c>
      <c r="I70" s="67">
        <f t="shared" si="8"/>
        <v>499.55723999999998</v>
      </c>
    </row>
    <row r="71" spans="1:9" s="66" customFormat="1" ht="21" customHeight="1" x14ac:dyDescent="0.25">
      <c r="A71" s="171"/>
      <c r="B71" s="171"/>
      <c r="C71" s="172">
        <v>3</v>
      </c>
      <c r="D71" s="172"/>
      <c r="E71" s="67" t="s">
        <v>170</v>
      </c>
      <c r="F71" s="171">
        <f>31.02*10.764</f>
        <v>333.89927999999998</v>
      </c>
      <c r="G71" s="171"/>
      <c r="H71" s="67">
        <v>0</v>
      </c>
      <c r="I71" s="67">
        <f t="shared" si="8"/>
        <v>500.84891999999996</v>
      </c>
    </row>
    <row r="72" spans="1:9" s="66" customFormat="1" ht="21" customHeight="1" x14ac:dyDescent="0.25">
      <c r="A72" s="171"/>
      <c r="B72" s="171"/>
      <c r="C72" s="172">
        <v>4</v>
      </c>
      <c r="D72" s="172"/>
      <c r="E72" s="67" t="s">
        <v>170</v>
      </c>
      <c r="F72" s="171">
        <f>31.02*10.764</f>
        <v>333.89927999999998</v>
      </c>
      <c r="G72" s="171"/>
      <c r="H72" s="67">
        <v>0</v>
      </c>
      <c r="I72" s="67">
        <f t="shared" si="8"/>
        <v>500.84891999999996</v>
      </c>
    </row>
    <row r="73" spans="1:9" s="66" customFormat="1" ht="21" customHeight="1" x14ac:dyDescent="0.25">
      <c r="A73" s="171"/>
      <c r="B73" s="171"/>
      <c r="C73" s="172">
        <v>5</v>
      </c>
      <c r="D73" s="172"/>
      <c r="E73" s="67" t="s">
        <v>170</v>
      </c>
      <c r="F73" s="171">
        <f>30.94*10.764</f>
        <v>333.03816</v>
      </c>
      <c r="G73" s="171"/>
      <c r="H73" s="67">
        <v>0</v>
      </c>
      <c r="I73" s="67">
        <f t="shared" si="8"/>
        <v>499.55723999999998</v>
      </c>
    </row>
    <row r="74" spans="1:9" s="66" customFormat="1" ht="21" customHeight="1" x14ac:dyDescent="0.25">
      <c r="A74" s="171"/>
      <c r="B74" s="171"/>
      <c r="C74" s="172">
        <v>6</v>
      </c>
      <c r="D74" s="172"/>
      <c r="E74" s="67" t="s">
        <v>170</v>
      </c>
      <c r="F74" s="171">
        <f>40.85*10.764</f>
        <v>439.70940000000002</v>
      </c>
      <c r="G74" s="171"/>
      <c r="H74" s="67">
        <v>0</v>
      </c>
      <c r="I74" s="67">
        <f t="shared" si="8"/>
        <v>659.56410000000005</v>
      </c>
    </row>
    <row r="75" spans="1:9" s="66" customFormat="1" ht="21" customHeight="1" x14ac:dyDescent="0.25">
      <c r="A75" s="171"/>
      <c r="B75" s="171"/>
      <c r="C75" s="172">
        <v>7</v>
      </c>
      <c r="D75" s="172"/>
      <c r="E75" s="171" t="s">
        <v>151</v>
      </c>
      <c r="F75" s="171"/>
      <c r="G75" s="171"/>
      <c r="H75" s="171"/>
      <c r="I75" s="171"/>
    </row>
    <row r="76" spans="1:9" s="66" customFormat="1" ht="21" customHeight="1" x14ac:dyDescent="0.25">
      <c r="A76" s="171"/>
      <c r="B76" s="171"/>
      <c r="C76" s="172">
        <v>8</v>
      </c>
      <c r="D76" s="172"/>
      <c r="E76" s="67" t="s">
        <v>170</v>
      </c>
      <c r="F76" s="171">
        <f>31.22*10.764</f>
        <v>336.05207999999999</v>
      </c>
      <c r="G76" s="171"/>
      <c r="H76" s="67">
        <v>0</v>
      </c>
      <c r="I76" s="67">
        <f t="shared" ref="I76:I80" si="9">F76*1.5+H76</f>
        <v>504.07812000000001</v>
      </c>
    </row>
    <row r="77" spans="1:9" s="66" customFormat="1" ht="21" customHeight="1" x14ac:dyDescent="0.25">
      <c r="A77" s="171"/>
      <c r="B77" s="171"/>
      <c r="C77" s="172">
        <v>9</v>
      </c>
      <c r="D77" s="172"/>
      <c r="E77" s="67" t="s">
        <v>170</v>
      </c>
      <c r="F77" s="171">
        <f>31.22*10.764</f>
        <v>336.05207999999999</v>
      </c>
      <c r="G77" s="171"/>
      <c r="H77" s="67">
        <v>0</v>
      </c>
      <c r="I77" s="67">
        <f t="shared" si="9"/>
        <v>504.07812000000001</v>
      </c>
    </row>
    <row r="78" spans="1:9" s="66" customFormat="1" ht="21" customHeight="1" x14ac:dyDescent="0.25">
      <c r="A78" s="171"/>
      <c r="B78" s="171"/>
      <c r="C78" s="172">
        <v>10</v>
      </c>
      <c r="D78" s="172"/>
      <c r="E78" s="67" t="s">
        <v>150</v>
      </c>
      <c r="F78" s="171">
        <f>49.14*10.764</f>
        <v>528.94295999999997</v>
      </c>
      <c r="G78" s="171"/>
      <c r="H78" s="67">
        <v>0</v>
      </c>
      <c r="I78" s="67">
        <f t="shared" si="9"/>
        <v>793.41444000000001</v>
      </c>
    </row>
    <row r="79" spans="1:9" s="66" customFormat="1" ht="21" customHeight="1" x14ac:dyDescent="0.25">
      <c r="A79" s="171"/>
      <c r="B79" s="171"/>
      <c r="C79" s="172">
        <v>11</v>
      </c>
      <c r="D79" s="172"/>
      <c r="E79" s="67" t="s">
        <v>150</v>
      </c>
      <c r="F79" s="171">
        <f>49.14*10.764</f>
        <v>528.94295999999997</v>
      </c>
      <c r="G79" s="171"/>
      <c r="H79" s="67">
        <v>0</v>
      </c>
      <c r="I79" s="67">
        <f t="shared" si="9"/>
        <v>793.41444000000001</v>
      </c>
    </row>
    <row r="80" spans="1:9" s="66" customFormat="1" ht="21" customHeight="1" x14ac:dyDescent="0.25">
      <c r="A80" s="171"/>
      <c r="B80" s="171"/>
      <c r="C80" s="172">
        <v>12</v>
      </c>
      <c r="D80" s="172"/>
      <c r="E80" s="67" t="s">
        <v>170</v>
      </c>
      <c r="F80" s="171">
        <f>41.02*10.764</f>
        <v>441.53928000000002</v>
      </c>
      <c r="G80" s="171"/>
      <c r="H80" s="67">
        <v>0</v>
      </c>
      <c r="I80" s="67">
        <f t="shared" si="9"/>
        <v>662.30892000000006</v>
      </c>
    </row>
    <row r="81" spans="1:9" s="66" customFormat="1" ht="21" customHeight="1" x14ac:dyDescent="0.25">
      <c r="A81" s="170" t="s">
        <v>193</v>
      </c>
      <c r="B81" s="170"/>
      <c r="C81" s="170"/>
      <c r="D81" s="170"/>
      <c r="E81" s="170"/>
      <c r="F81" s="170"/>
      <c r="G81" s="170"/>
      <c r="H81" s="170"/>
      <c r="I81" s="170"/>
    </row>
    <row r="82" spans="1:9" s="66" customFormat="1" ht="21" customHeight="1" x14ac:dyDescent="0.25">
      <c r="A82" s="170" t="s">
        <v>136</v>
      </c>
      <c r="B82" s="170"/>
      <c r="C82" s="170"/>
      <c r="D82" s="170"/>
      <c r="E82" s="170"/>
      <c r="F82" s="170"/>
      <c r="G82" s="170"/>
      <c r="H82" s="170"/>
      <c r="I82" s="170"/>
    </row>
    <row r="83" spans="1:9" s="66" customFormat="1" ht="21" customHeight="1" x14ac:dyDescent="0.25">
      <c r="A83" s="170" t="s">
        <v>137</v>
      </c>
      <c r="B83" s="170"/>
      <c r="C83" s="170"/>
      <c r="D83" s="170"/>
      <c r="E83" s="170"/>
      <c r="F83" s="170"/>
      <c r="G83" s="170"/>
      <c r="H83" s="170"/>
      <c r="I83" s="170"/>
    </row>
    <row r="84" spans="1:9" s="66" customFormat="1" ht="21" customHeight="1" x14ac:dyDescent="0.25">
      <c r="A84" s="171" t="str">
        <f>A83</f>
        <v>1st Floor</v>
      </c>
      <c r="B84" s="171"/>
      <c r="C84" s="172">
        <v>1</v>
      </c>
      <c r="D84" s="172"/>
      <c r="E84" s="67" t="s">
        <v>170</v>
      </c>
      <c r="F84" s="171">
        <f>31.22*10.764</f>
        <v>336.05207999999999</v>
      </c>
      <c r="G84" s="171"/>
      <c r="H84" s="67">
        <v>0</v>
      </c>
      <c r="I84" s="67">
        <f t="shared" ref="I84:I93" si="10">F84*1.5+H84</f>
        <v>504.07812000000001</v>
      </c>
    </row>
    <row r="85" spans="1:9" s="66" customFormat="1" ht="21" customHeight="1" x14ac:dyDescent="0.25">
      <c r="A85" s="171"/>
      <c r="B85" s="171"/>
      <c r="C85" s="172">
        <v>2</v>
      </c>
      <c r="D85" s="172"/>
      <c r="E85" s="67" t="s">
        <v>170</v>
      </c>
      <c r="F85" s="171">
        <f>31.02*10.764</f>
        <v>333.89927999999998</v>
      </c>
      <c r="G85" s="171"/>
      <c r="H85" s="67">
        <v>0</v>
      </c>
      <c r="I85" s="67">
        <f t="shared" si="10"/>
        <v>500.84891999999996</v>
      </c>
    </row>
    <row r="86" spans="1:9" s="66" customFormat="1" ht="21" customHeight="1" x14ac:dyDescent="0.25">
      <c r="A86" s="171"/>
      <c r="B86" s="171"/>
      <c r="C86" s="172">
        <v>3</v>
      </c>
      <c r="D86" s="172"/>
      <c r="E86" s="67" t="s">
        <v>170</v>
      </c>
      <c r="F86" s="171">
        <f>31.01*10.764</f>
        <v>333.79163999999997</v>
      </c>
      <c r="G86" s="171"/>
      <c r="H86" s="67">
        <v>0</v>
      </c>
      <c r="I86" s="67">
        <f t="shared" si="10"/>
        <v>500.68745999999999</v>
      </c>
    </row>
    <row r="87" spans="1:9" s="66" customFormat="1" ht="21" customHeight="1" x14ac:dyDescent="0.25">
      <c r="A87" s="171"/>
      <c r="B87" s="171"/>
      <c r="C87" s="172">
        <v>4</v>
      </c>
      <c r="D87" s="172"/>
      <c r="E87" s="171" t="s">
        <v>243</v>
      </c>
      <c r="F87" s="171"/>
      <c r="G87" s="171"/>
      <c r="H87" s="171"/>
      <c r="I87" s="171"/>
    </row>
    <row r="88" spans="1:9" s="66" customFormat="1" ht="21" customHeight="1" x14ac:dyDescent="0.25">
      <c r="A88" s="171"/>
      <c r="B88" s="171"/>
      <c r="C88" s="172">
        <v>5</v>
      </c>
      <c r="D88" s="172"/>
      <c r="E88" s="171" t="s">
        <v>243</v>
      </c>
      <c r="F88" s="171"/>
      <c r="G88" s="171"/>
      <c r="H88" s="171"/>
      <c r="I88" s="171"/>
    </row>
    <row r="89" spans="1:9" s="66" customFormat="1" ht="21" customHeight="1" x14ac:dyDescent="0.25">
      <c r="A89" s="171"/>
      <c r="B89" s="171"/>
      <c r="C89" s="172">
        <v>6</v>
      </c>
      <c r="D89" s="172"/>
      <c r="E89" s="67" t="s">
        <v>150</v>
      </c>
      <c r="F89" s="171">
        <f>51.86*10.764</f>
        <v>558.22104000000002</v>
      </c>
      <c r="G89" s="171"/>
      <c r="H89" s="67">
        <v>0</v>
      </c>
      <c r="I89" s="67">
        <f t="shared" si="10"/>
        <v>837.33156000000008</v>
      </c>
    </row>
    <row r="90" spans="1:9" s="66" customFormat="1" ht="21" customHeight="1" x14ac:dyDescent="0.25">
      <c r="A90" s="171"/>
      <c r="B90" s="171"/>
      <c r="C90" s="172">
        <v>7</v>
      </c>
      <c r="D90" s="172"/>
      <c r="E90" s="67" t="s">
        <v>170</v>
      </c>
      <c r="F90" s="171">
        <f>30.94*10.764</f>
        <v>333.03816</v>
      </c>
      <c r="G90" s="171"/>
      <c r="H90" s="67">
        <v>0</v>
      </c>
      <c r="I90" s="67">
        <f t="shared" si="10"/>
        <v>499.55723999999998</v>
      </c>
    </row>
    <row r="91" spans="1:9" s="66" customFormat="1" ht="21" customHeight="1" x14ac:dyDescent="0.25">
      <c r="A91" s="171"/>
      <c r="B91" s="171"/>
      <c r="C91" s="172">
        <v>8</v>
      </c>
      <c r="D91" s="172"/>
      <c r="E91" s="67" t="s">
        <v>149</v>
      </c>
      <c r="F91" s="171">
        <f>73.43*10.764</f>
        <v>790.40052000000003</v>
      </c>
      <c r="G91" s="171"/>
      <c r="H91" s="67">
        <v>0</v>
      </c>
      <c r="I91" s="67">
        <f t="shared" si="10"/>
        <v>1185.60078</v>
      </c>
    </row>
    <row r="92" spans="1:9" s="66" customFormat="1" ht="21" customHeight="1" x14ac:dyDescent="0.25">
      <c r="A92" s="171"/>
      <c r="B92" s="171"/>
      <c r="C92" s="172">
        <v>9</v>
      </c>
      <c r="D92" s="172"/>
      <c r="E92" s="67" t="s">
        <v>150</v>
      </c>
      <c r="F92" s="171">
        <f>60.09*10.764</f>
        <v>646.80876000000001</v>
      </c>
      <c r="G92" s="171"/>
      <c r="H92" s="67">
        <v>0</v>
      </c>
      <c r="I92" s="67">
        <f t="shared" si="10"/>
        <v>970.21314000000007</v>
      </c>
    </row>
    <row r="93" spans="1:9" s="66" customFormat="1" ht="21" customHeight="1" x14ac:dyDescent="0.25">
      <c r="A93" s="171"/>
      <c r="B93" s="171"/>
      <c r="C93" s="172">
        <v>10</v>
      </c>
      <c r="D93" s="172"/>
      <c r="E93" s="67" t="s">
        <v>170</v>
      </c>
      <c r="F93" s="171">
        <f>31.22*10.764</f>
        <v>336.05207999999999</v>
      </c>
      <c r="G93" s="171"/>
      <c r="H93" s="67">
        <v>0</v>
      </c>
      <c r="I93" s="67">
        <f t="shared" si="10"/>
        <v>504.07812000000001</v>
      </c>
    </row>
    <row r="94" spans="1:9" s="66" customFormat="1" ht="21" customHeight="1" x14ac:dyDescent="0.25">
      <c r="A94" s="170" t="s">
        <v>184</v>
      </c>
      <c r="B94" s="170"/>
      <c r="C94" s="170"/>
      <c r="D94" s="170"/>
      <c r="E94" s="170"/>
      <c r="F94" s="170"/>
      <c r="G94" s="170"/>
      <c r="H94" s="170"/>
      <c r="I94" s="170"/>
    </row>
    <row r="95" spans="1:9" s="66" customFormat="1" ht="21" customHeight="1" x14ac:dyDescent="0.25">
      <c r="A95" s="171" t="str">
        <f>A94</f>
        <v>2nd to 7th, 9th to 13th, 15th to 18th, 20th to 23rd, 25th to 28th, 30th to 32nd Floor</v>
      </c>
      <c r="B95" s="171"/>
      <c r="C95" s="172">
        <v>1</v>
      </c>
      <c r="D95" s="172"/>
      <c r="E95" s="67" t="s">
        <v>170</v>
      </c>
      <c r="F95" s="171">
        <f>31.22*10.764</f>
        <v>336.05207999999999</v>
      </c>
      <c r="G95" s="171"/>
      <c r="H95" s="67">
        <v>0</v>
      </c>
      <c r="I95" s="67">
        <f t="shared" ref="I95:I104" si="11">F95*1.5+H95</f>
        <v>504.07812000000001</v>
      </c>
    </row>
    <row r="96" spans="1:9" s="66" customFormat="1" ht="21" customHeight="1" x14ac:dyDescent="0.25">
      <c r="A96" s="171"/>
      <c r="B96" s="171"/>
      <c r="C96" s="172">
        <v>2</v>
      </c>
      <c r="D96" s="172"/>
      <c r="E96" s="67" t="s">
        <v>170</v>
      </c>
      <c r="F96" s="171">
        <f>31.02*10.764</f>
        <v>333.89927999999998</v>
      </c>
      <c r="G96" s="171"/>
      <c r="H96" s="67">
        <v>0</v>
      </c>
      <c r="I96" s="67">
        <f t="shared" si="11"/>
        <v>500.84891999999996</v>
      </c>
    </row>
    <row r="97" spans="1:9" s="66" customFormat="1" ht="21" customHeight="1" x14ac:dyDescent="0.25">
      <c r="A97" s="171"/>
      <c r="B97" s="171"/>
      <c r="C97" s="172">
        <v>3</v>
      </c>
      <c r="D97" s="172"/>
      <c r="E97" s="67" t="s">
        <v>170</v>
      </c>
      <c r="F97" s="171">
        <f>31.01*10.764</f>
        <v>333.79163999999997</v>
      </c>
      <c r="G97" s="171"/>
      <c r="H97" s="67">
        <v>0</v>
      </c>
      <c r="I97" s="67">
        <f t="shared" si="11"/>
        <v>500.68745999999999</v>
      </c>
    </row>
    <row r="98" spans="1:9" s="66" customFormat="1" ht="21" customHeight="1" x14ac:dyDescent="0.25">
      <c r="A98" s="171"/>
      <c r="B98" s="171"/>
      <c r="C98" s="172">
        <v>4</v>
      </c>
      <c r="D98" s="172"/>
      <c r="E98" s="67" t="s">
        <v>150</v>
      </c>
      <c r="F98" s="171">
        <f>45.94*10.764</f>
        <v>494.49815999999993</v>
      </c>
      <c r="G98" s="171"/>
      <c r="H98" s="67">
        <v>0</v>
      </c>
      <c r="I98" s="67">
        <f t="shared" si="11"/>
        <v>741.74723999999992</v>
      </c>
    </row>
    <row r="99" spans="1:9" s="66" customFormat="1" ht="21" customHeight="1" x14ac:dyDescent="0.25">
      <c r="A99" s="171"/>
      <c r="B99" s="171"/>
      <c r="C99" s="172">
        <v>5</v>
      </c>
      <c r="D99" s="172"/>
      <c r="E99" s="67" t="s">
        <v>170</v>
      </c>
      <c r="F99" s="171">
        <f>43*10.764</f>
        <v>462.85199999999998</v>
      </c>
      <c r="G99" s="171"/>
      <c r="H99" s="67">
        <v>0</v>
      </c>
      <c r="I99" s="67">
        <f t="shared" si="11"/>
        <v>694.27800000000002</v>
      </c>
    </row>
    <row r="100" spans="1:9" s="66" customFormat="1" ht="21" customHeight="1" x14ac:dyDescent="0.25">
      <c r="A100" s="171"/>
      <c r="B100" s="171"/>
      <c r="C100" s="172">
        <v>6</v>
      </c>
      <c r="D100" s="172"/>
      <c r="E100" s="67" t="s">
        <v>150</v>
      </c>
      <c r="F100" s="171">
        <f>51.86*10.764</f>
        <v>558.22104000000002</v>
      </c>
      <c r="G100" s="171"/>
      <c r="H100" s="67">
        <v>0</v>
      </c>
      <c r="I100" s="67">
        <f t="shared" si="11"/>
        <v>837.33156000000008</v>
      </c>
    </row>
    <row r="101" spans="1:9" s="66" customFormat="1" ht="21" customHeight="1" x14ac:dyDescent="0.25">
      <c r="A101" s="171"/>
      <c r="B101" s="171"/>
      <c r="C101" s="172">
        <v>7</v>
      </c>
      <c r="D101" s="172"/>
      <c r="E101" s="67" t="s">
        <v>170</v>
      </c>
      <c r="F101" s="171">
        <f>30.94*10.764</f>
        <v>333.03816</v>
      </c>
      <c r="G101" s="171"/>
      <c r="H101" s="67">
        <v>0</v>
      </c>
      <c r="I101" s="67">
        <f t="shared" si="11"/>
        <v>499.55723999999998</v>
      </c>
    </row>
    <row r="102" spans="1:9" s="66" customFormat="1" ht="21" customHeight="1" x14ac:dyDescent="0.25">
      <c r="A102" s="171"/>
      <c r="B102" s="171"/>
      <c r="C102" s="172">
        <v>8</v>
      </c>
      <c r="D102" s="172"/>
      <c r="E102" s="67" t="s">
        <v>149</v>
      </c>
      <c r="F102" s="171">
        <f>73.43*10.764</f>
        <v>790.40052000000003</v>
      </c>
      <c r="G102" s="171"/>
      <c r="H102" s="67">
        <v>0</v>
      </c>
      <c r="I102" s="67">
        <f t="shared" si="11"/>
        <v>1185.60078</v>
      </c>
    </row>
    <row r="103" spans="1:9" s="66" customFormat="1" ht="21" customHeight="1" x14ac:dyDescent="0.25">
      <c r="A103" s="171"/>
      <c r="B103" s="171"/>
      <c r="C103" s="172">
        <v>9</v>
      </c>
      <c r="D103" s="172"/>
      <c r="E103" s="67" t="s">
        <v>150</v>
      </c>
      <c r="F103" s="171">
        <f>60.09*10.764</f>
        <v>646.80876000000001</v>
      </c>
      <c r="G103" s="171"/>
      <c r="H103" s="67">
        <v>0</v>
      </c>
      <c r="I103" s="67">
        <f t="shared" si="11"/>
        <v>970.21314000000007</v>
      </c>
    </row>
    <row r="104" spans="1:9" s="66" customFormat="1" ht="21" customHeight="1" x14ac:dyDescent="0.25">
      <c r="A104" s="171"/>
      <c r="B104" s="171"/>
      <c r="C104" s="172">
        <v>10</v>
      </c>
      <c r="D104" s="172"/>
      <c r="E104" s="67" t="s">
        <v>170</v>
      </c>
      <c r="F104" s="171">
        <f>31.22*10.764</f>
        <v>336.05207999999999</v>
      </c>
      <c r="G104" s="171"/>
      <c r="H104" s="67">
        <v>0</v>
      </c>
      <c r="I104" s="67">
        <f t="shared" si="11"/>
        <v>504.07812000000001</v>
      </c>
    </row>
    <row r="105" spans="1:9" s="66" customFormat="1" ht="21" customHeight="1" x14ac:dyDescent="0.25">
      <c r="A105" s="170" t="s">
        <v>244</v>
      </c>
      <c r="B105" s="170"/>
      <c r="C105" s="170"/>
      <c r="D105" s="170"/>
      <c r="E105" s="170"/>
      <c r="F105" s="170"/>
      <c r="G105" s="170"/>
      <c r="H105" s="170"/>
      <c r="I105" s="170"/>
    </row>
    <row r="106" spans="1:9" s="66" customFormat="1" ht="21" customHeight="1" x14ac:dyDescent="0.25">
      <c r="A106" s="171" t="str">
        <f>A105</f>
        <v>8th Floor</v>
      </c>
      <c r="B106" s="171"/>
      <c r="C106" s="172">
        <v>1</v>
      </c>
      <c r="D106" s="172"/>
      <c r="E106" s="67" t="s">
        <v>170</v>
      </c>
      <c r="F106" s="171">
        <f>31.22*10.764</f>
        <v>336.05207999999999</v>
      </c>
      <c r="G106" s="171"/>
      <c r="H106" s="67">
        <v>0</v>
      </c>
      <c r="I106" s="67">
        <f t="shared" ref="I106:I110" si="12">F106*1.5+H106</f>
        <v>504.07812000000001</v>
      </c>
    </row>
    <row r="107" spans="1:9" s="66" customFormat="1" ht="21" customHeight="1" x14ac:dyDescent="0.25">
      <c r="A107" s="171"/>
      <c r="B107" s="171"/>
      <c r="C107" s="172">
        <v>2</v>
      </c>
      <c r="D107" s="172"/>
      <c r="E107" s="67" t="s">
        <v>170</v>
      </c>
      <c r="F107" s="171">
        <f>31.02*10.764</f>
        <v>333.89927999999998</v>
      </c>
      <c r="G107" s="171"/>
      <c r="H107" s="67">
        <v>0</v>
      </c>
      <c r="I107" s="67">
        <f t="shared" si="12"/>
        <v>500.84891999999996</v>
      </c>
    </row>
    <row r="108" spans="1:9" s="66" customFormat="1" ht="21" customHeight="1" x14ac:dyDescent="0.25">
      <c r="A108" s="171"/>
      <c r="B108" s="171"/>
      <c r="C108" s="172">
        <v>3</v>
      </c>
      <c r="D108" s="172"/>
      <c r="E108" s="67" t="s">
        <v>170</v>
      </c>
      <c r="F108" s="171">
        <f>31.01*10.764</f>
        <v>333.79163999999997</v>
      </c>
      <c r="G108" s="171"/>
      <c r="H108" s="67">
        <v>0</v>
      </c>
      <c r="I108" s="67">
        <f t="shared" si="12"/>
        <v>500.68745999999999</v>
      </c>
    </row>
    <row r="109" spans="1:9" s="66" customFormat="1" ht="21" customHeight="1" x14ac:dyDescent="0.25">
      <c r="A109" s="171"/>
      <c r="B109" s="171"/>
      <c r="C109" s="172">
        <v>4</v>
      </c>
      <c r="D109" s="172"/>
      <c r="E109" s="67" t="s">
        <v>150</v>
      </c>
      <c r="F109" s="171">
        <f>45.94*10.764</f>
        <v>494.49815999999993</v>
      </c>
      <c r="G109" s="171"/>
      <c r="H109" s="67">
        <v>0</v>
      </c>
      <c r="I109" s="67">
        <f t="shared" si="12"/>
        <v>741.74723999999992</v>
      </c>
    </row>
    <row r="110" spans="1:9" s="66" customFormat="1" ht="21" customHeight="1" x14ac:dyDescent="0.25">
      <c r="A110" s="171"/>
      <c r="B110" s="171"/>
      <c r="C110" s="172">
        <v>5</v>
      </c>
      <c r="D110" s="172"/>
      <c r="E110" s="67" t="s">
        <v>170</v>
      </c>
      <c r="F110" s="171">
        <f>43*10.764</f>
        <v>462.85199999999998</v>
      </c>
      <c r="G110" s="171"/>
      <c r="H110" s="67">
        <v>0</v>
      </c>
      <c r="I110" s="67">
        <f t="shared" si="12"/>
        <v>694.27800000000002</v>
      </c>
    </row>
    <row r="111" spans="1:9" s="66" customFormat="1" ht="21" customHeight="1" x14ac:dyDescent="0.25">
      <c r="A111" s="171"/>
      <c r="B111" s="171"/>
      <c r="C111" s="172">
        <v>6</v>
      </c>
      <c r="D111" s="172"/>
      <c r="E111" s="171" t="s">
        <v>151</v>
      </c>
      <c r="F111" s="171"/>
      <c r="G111" s="171"/>
      <c r="H111" s="171"/>
      <c r="I111" s="171"/>
    </row>
    <row r="112" spans="1:9" s="66" customFormat="1" ht="21" customHeight="1" x14ac:dyDescent="0.25">
      <c r="A112" s="171"/>
      <c r="B112" s="171"/>
      <c r="C112" s="172">
        <v>7</v>
      </c>
      <c r="D112" s="172"/>
      <c r="E112" s="67" t="s">
        <v>170</v>
      </c>
      <c r="F112" s="171">
        <f>30.94*10.764</f>
        <v>333.03816</v>
      </c>
      <c r="G112" s="171"/>
      <c r="H112" s="67">
        <v>0</v>
      </c>
      <c r="I112" s="67">
        <f t="shared" ref="I112:I115" si="13">F112*1.5+H112</f>
        <v>499.55723999999998</v>
      </c>
    </row>
    <row r="113" spans="1:9" s="66" customFormat="1" ht="21" customHeight="1" x14ac:dyDescent="0.25">
      <c r="A113" s="171"/>
      <c r="B113" s="171"/>
      <c r="C113" s="172">
        <v>8</v>
      </c>
      <c r="D113" s="172"/>
      <c r="E113" s="67" t="s">
        <v>149</v>
      </c>
      <c r="F113" s="171">
        <f>73.43*10.764</f>
        <v>790.40052000000003</v>
      </c>
      <c r="G113" s="171"/>
      <c r="H113" s="67">
        <v>0</v>
      </c>
      <c r="I113" s="67">
        <f t="shared" si="13"/>
        <v>1185.60078</v>
      </c>
    </row>
    <row r="114" spans="1:9" s="66" customFormat="1" ht="21" customHeight="1" x14ac:dyDescent="0.25">
      <c r="A114" s="171"/>
      <c r="B114" s="171"/>
      <c r="C114" s="172">
        <v>9</v>
      </c>
      <c r="D114" s="172"/>
      <c r="E114" s="67" t="s">
        <v>150</v>
      </c>
      <c r="F114" s="171">
        <f>60.09*10.764</f>
        <v>646.80876000000001</v>
      </c>
      <c r="G114" s="171"/>
      <c r="H114" s="67">
        <v>0</v>
      </c>
      <c r="I114" s="67">
        <f t="shared" si="13"/>
        <v>970.21314000000007</v>
      </c>
    </row>
    <row r="115" spans="1:9" s="66" customFormat="1" ht="21" customHeight="1" x14ac:dyDescent="0.25">
      <c r="A115" s="171"/>
      <c r="B115" s="171"/>
      <c r="C115" s="172">
        <v>10</v>
      </c>
      <c r="D115" s="172"/>
      <c r="E115" s="67" t="s">
        <v>170</v>
      </c>
      <c r="F115" s="171">
        <f>31.22*10.764</f>
        <v>336.05207999999999</v>
      </c>
      <c r="G115" s="171"/>
      <c r="H115" s="67">
        <v>0</v>
      </c>
      <c r="I115" s="67">
        <f t="shared" si="13"/>
        <v>504.07812000000001</v>
      </c>
    </row>
    <row r="116" spans="1:9" s="66" customFormat="1" ht="21" customHeight="1" x14ac:dyDescent="0.25">
      <c r="A116" s="170" t="s">
        <v>185</v>
      </c>
      <c r="B116" s="170"/>
      <c r="C116" s="170"/>
      <c r="D116" s="170"/>
      <c r="E116" s="170"/>
      <c r="F116" s="170"/>
      <c r="G116" s="170"/>
      <c r="H116" s="170"/>
      <c r="I116" s="170"/>
    </row>
    <row r="117" spans="1:9" s="66" customFormat="1" ht="21" customHeight="1" x14ac:dyDescent="0.25">
      <c r="A117" s="170" t="s">
        <v>186</v>
      </c>
      <c r="B117" s="170"/>
      <c r="C117" s="170"/>
      <c r="D117" s="170"/>
      <c r="E117" s="170"/>
      <c r="F117" s="170"/>
      <c r="G117" s="170"/>
      <c r="H117" s="170"/>
      <c r="I117" s="170"/>
    </row>
    <row r="118" spans="1:9" s="66" customFormat="1" ht="21" customHeight="1" x14ac:dyDescent="0.25">
      <c r="A118" s="171" t="str">
        <f>A117</f>
        <v>14th, 19th &amp; 24th Floor (Part Refuge Area)</v>
      </c>
      <c r="B118" s="171"/>
      <c r="C118" s="172">
        <v>1</v>
      </c>
      <c r="D118" s="172"/>
      <c r="E118" s="67" t="s">
        <v>170</v>
      </c>
      <c r="F118" s="171">
        <f>31.22*10.764</f>
        <v>336.05207999999999</v>
      </c>
      <c r="G118" s="171"/>
      <c r="H118" s="67">
        <v>0</v>
      </c>
      <c r="I118" s="67">
        <f t="shared" ref="I118:I122" si="14">F118*1.5+H118</f>
        <v>504.07812000000001</v>
      </c>
    </row>
    <row r="119" spans="1:9" s="66" customFormat="1" ht="21" customHeight="1" x14ac:dyDescent="0.25">
      <c r="A119" s="171"/>
      <c r="B119" s="171"/>
      <c r="C119" s="172">
        <v>2</v>
      </c>
      <c r="D119" s="172"/>
      <c r="E119" s="67" t="s">
        <v>170</v>
      </c>
      <c r="F119" s="171">
        <f>31.02*10.764</f>
        <v>333.89927999999998</v>
      </c>
      <c r="G119" s="171"/>
      <c r="H119" s="67">
        <v>0</v>
      </c>
      <c r="I119" s="67">
        <f t="shared" si="14"/>
        <v>500.84891999999996</v>
      </c>
    </row>
    <row r="120" spans="1:9" s="66" customFormat="1" ht="21" customHeight="1" x14ac:dyDescent="0.25">
      <c r="A120" s="171"/>
      <c r="B120" s="171"/>
      <c r="C120" s="172">
        <v>3</v>
      </c>
      <c r="D120" s="172"/>
      <c r="E120" s="67" t="s">
        <v>170</v>
      </c>
      <c r="F120" s="171">
        <f>31.01*10.764</f>
        <v>333.79163999999997</v>
      </c>
      <c r="G120" s="171"/>
      <c r="H120" s="67">
        <v>0</v>
      </c>
      <c r="I120" s="67">
        <f t="shared" si="14"/>
        <v>500.68745999999999</v>
      </c>
    </row>
    <row r="121" spans="1:9" s="66" customFormat="1" ht="21" customHeight="1" x14ac:dyDescent="0.25">
      <c r="A121" s="171"/>
      <c r="B121" s="171"/>
      <c r="C121" s="172">
        <v>4</v>
      </c>
      <c r="D121" s="172"/>
      <c r="E121" s="67" t="s">
        <v>150</v>
      </c>
      <c r="F121" s="171">
        <f>45.94*10.764</f>
        <v>494.49815999999993</v>
      </c>
      <c r="G121" s="171"/>
      <c r="H121" s="67">
        <v>0</v>
      </c>
      <c r="I121" s="67">
        <f t="shared" si="14"/>
        <v>741.74723999999992</v>
      </c>
    </row>
    <row r="122" spans="1:9" s="66" customFormat="1" ht="21" customHeight="1" x14ac:dyDescent="0.25">
      <c r="A122" s="171"/>
      <c r="B122" s="171"/>
      <c r="C122" s="172">
        <v>5</v>
      </c>
      <c r="D122" s="172"/>
      <c r="E122" s="67" t="s">
        <v>170</v>
      </c>
      <c r="F122" s="171">
        <f>43*10.764</f>
        <v>462.85199999999998</v>
      </c>
      <c r="G122" s="171"/>
      <c r="H122" s="67">
        <v>0</v>
      </c>
      <c r="I122" s="67">
        <f t="shared" si="14"/>
        <v>694.27800000000002</v>
      </c>
    </row>
    <row r="123" spans="1:9" s="66" customFormat="1" ht="21" customHeight="1" x14ac:dyDescent="0.25">
      <c r="A123" s="171"/>
      <c r="B123" s="171"/>
      <c r="C123" s="172">
        <v>6</v>
      </c>
      <c r="D123" s="172"/>
      <c r="E123" s="171" t="s">
        <v>151</v>
      </c>
      <c r="F123" s="171"/>
      <c r="G123" s="171"/>
      <c r="H123" s="171"/>
      <c r="I123" s="171"/>
    </row>
    <row r="124" spans="1:9" s="66" customFormat="1" ht="21" customHeight="1" x14ac:dyDescent="0.25">
      <c r="A124" s="171"/>
      <c r="B124" s="171"/>
      <c r="C124" s="172">
        <v>7</v>
      </c>
      <c r="D124" s="172"/>
      <c r="E124" s="67" t="s">
        <v>170</v>
      </c>
      <c r="F124" s="171">
        <f>30.94*10.764</f>
        <v>333.03816</v>
      </c>
      <c r="G124" s="171"/>
      <c r="H124" s="67">
        <v>0</v>
      </c>
      <c r="I124" s="67">
        <f t="shared" ref="I124:I127" si="15">F124*1.5+H124</f>
        <v>499.55723999999998</v>
      </c>
    </row>
    <row r="125" spans="1:9" s="66" customFormat="1" ht="21" customHeight="1" x14ac:dyDescent="0.25">
      <c r="A125" s="171"/>
      <c r="B125" s="171"/>
      <c r="C125" s="172">
        <v>8</v>
      </c>
      <c r="D125" s="172"/>
      <c r="E125" s="67" t="s">
        <v>149</v>
      </c>
      <c r="F125" s="171">
        <f>73.43*10.764</f>
        <v>790.40052000000003</v>
      </c>
      <c r="G125" s="171"/>
      <c r="H125" s="67">
        <v>0</v>
      </c>
      <c r="I125" s="67">
        <f t="shared" si="15"/>
        <v>1185.60078</v>
      </c>
    </row>
    <row r="126" spans="1:9" s="66" customFormat="1" ht="21" customHeight="1" x14ac:dyDescent="0.25">
      <c r="A126" s="171"/>
      <c r="B126" s="171"/>
      <c r="C126" s="172">
        <v>9</v>
      </c>
      <c r="D126" s="172"/>
      <c r="E126" s="67" t="s">
        <v>150</v>
      </c>
      <c r="F126" s="171">
        <f>60.09*10.764</f>
        <v>646.80876000000001</v>
      </c>
      <c r="G126" s="171"/>
      <c r="H126" s="67">
        <v>0</v>
      </c>
      <c r="I126" s="67">
        <f t="shared" si="15"/>
        <v>970.21314000000007</v>
      </c>
    </row>
    <row r="127" spans="1:9" s="66" customFormat="1" ht="21" customHeight="1" x14ac:dyDescent="0.25">
      <c r="A127" s="171"/>
      <c r="B127" s="171"/>
      <c r="C127" s="172">
        <v>10</v>
      </c>
      <c r="D127" s="172"/>
      <c r="E127" s="67" t="s">
        <v>170</v>
      </c>
      <c r="F127" s="171">
        <f>31.22*10.764</f>
        <v>336.05207999999999</v>
      </c>
      <c r="G127" s="171"/>
      <c r="H127" s="67">
        <v>0</v>
      </c>
      <c r="I127" s="67">
        <f t="shared" si="15"/>
        <v>504.07812000000001</v>
      </c>
    </row>
    <row r="128" spans="1:9" s="66" customFormat="1" ht="21" customHeight="1" x14ac:dyDescent="0.25">
      <c r="A128" s="170" t="s">
        <v>187</v>
      </c>
      <c r="B128" s="170"/>
      <c r="C128" s="170"/>
      <c r="D128" s="170"/>
      <c r="E128" s="170"/>
      <c r="F128" s="170"/>
      <c r="G128" s="170"/>
      <c r="H128" s="170"/>
      <c r="I128" s="170"/>
    </row>
    <row r="129" spans="1:9" s="66" customFormat="1" ht="21" customHeight="1" x14ac:dyDescent="0.25">
      <c r="A129" s="171" t="str">
        <f>A128</f>
        <v>29th Floor (Part Refuge Area)</v>
      </c>
      <c r="B129" s="171"/>
      <c r="C129" s="172">
        <v>1</v>
      </c>
      <c r="D129" s="172"/>
      <c r="E129" s="67" t="s">
        <v>170</v>
      </c>
      <c r="F129" s="171">
        <f>31.22*10.764</f>
        <v>336.05207999999999</v>
      </c>
      <c r="G129" s="171"/>
      <c r="H129" s="67">
        <v>0</v>
      </c>
      <c r="I129" s="67">
        <f t="shared" ref="I129:I133" si="16">F129*1.5+H129</f>
        <v>504.07812000000001</v>
      </c>
    </row>
    <row r="130" spans="1:9" s="66" customFormat="1" ht="21" customHeight="1" x14ac:dyDescent="0.25">
      <c r="A130" s="171"/>
      <c r="B130" s="171"/>
      <c r="C130" s="172">
        <v>2</v>
      </c>
      <c r="D130" s="172"/>
      <c r="E130" s="67" t="s">
        <v>170</v>
      </c>
      <c r="F130" s="171">
        <f>31.02*10.764</f>
        <v>333.89927999999998</v>
      </c>
      <c r="G130" s="171"/>
      <c r="H130" s="67">
        <v>0</v>
      </c>
      <c r="I130" s="67">
        <f t="shared" si="16"/>
        <v>500.84891999999996</v>
      </c>
    </row>
    <row r="131" spans="1:9" s="66" customFormat="1" ht="21" customHeight="1" x14ac:dyDescent="0.25">
      <c r="A131" s="171"/>
      <c r="B131" s="171"/>
      <c r="C131" s="172">
        <v>3</v>
      </c>
      <c r="D131" s="172"/>
      <c r="E131" s="67" t="s">
        <v>170</v>
      </c>
      <c r="F131" s="171">
        <f>31.01*10.764</f>
        <v>333.79163999999997</v>
      </c>
      <c r="G131" s="171"/>
      <c r="H131" s="67">
        <v>0</v>
      </c>
      <c r="I131" s="67">
        <f t="shared" si="16"/>
        <v>500.68745999999999</v>
      </c>
    </row>
    <row r="132" spans="1:9" s="66" customFormat="1" ht="21" customHeight="1" x14ac:dyDescent="0.25">
      <c r="A132" s="171"/>
      <c r="B132" s="171"/>
      <c r="C132" s="172">
        <v>4</v>
      </c>
      <c r="D132" s="172"/>
      <c r="E132" s="67" t="s">
        <v>150</v>
      </c>
      <c r="F132" s="171">
        <f>45.94*10.764</f>
        <v>494.49815999999993</v>
      </c>
      <c r="G132" s="171"/>
      <c r="H132" s="67">
        <v>0</v>
      </c>
      <c r="I132" s="67">
        <f t="shared" si="16"/>
        <v>741.74723999999992</v>
      </c>
    </row>
    <row r="133" spans="1:9" s="66" customFormat="1" ht="21" customHeight="1" x14ac:dyDescent="0.25">
      <c r="A133" s="171"/>
      <c r="B133" s="171"/>
      <c r="C133" s="172">
        <v>5</v>
      </c>
      <c r="D133" s="172"/>
      <c r="E133" s="67" t="s">
        <v>170</v>
      </c>
      <c r="F133" s="171">
        <f>43*10.764</f>
        <v>462.85199999999998</v>
      </c>
      <c r="G133" s="171"/>
      <c r="H133" s="67">
        <v>0</v>
      </c>
      <c r="I133" s="67">
        <f t="shared" si="16"/>
        <v>694.27800000000002</v>
      </c>
    </row>
    <row r="134" spans="1:9" s="66" customFormat="1" ht="21" customHeight="1" x14ac:dyDescent="0.25">
      <c r="A134" s="171"/>
      <c r="B134" s="171"/>
      <c r="C134" s="172">
        <v>6</v>
      </c>
      <c r="D134" s="172"/>
      <c r="E134" s="171" t="s">
        <v>151</v>
      </c>
      <c r="F134" s="171"/>
      <c r="G134" s="171"/>
      <c r="H134" s="171"/>
      <c r="I134" s="171"/>
    </row>
    <row r="135" spans="1:9" s="66" customFormat="1" ht="21" customHeight="1" x14ac:dyDescent="0.25">
      <c r="A135" s="171"/>
      <c r="B135" s="171"/>
      <c r="C135" s="172">
        <v>7</v>
      </c>
      <c r="D135" s="172"/>
      <c r="E135" s="67" t="s">
        <v>170</v>
      </c>
      <c r="F135" s="171">
        <f>30.94*10.764</f>
        <v>333.03816</v>
      </c>
      <c r="G135" s="171"/>
      <c r="H135" s="67">
        <v>0</v>
      </c>
      <c r="I135" s="67">
        <f t="shared" ref="I135:I138" si="17">F135*1.5+H135</f>
        <v>499.55723999999998</v>
      </c>
    </row>
    <row r="136" spans="1:9" s="66" customFormat="1" ht="21" customHeight="1" x14ac:dyDescent="0.25">
      <c r="A136" s="171"/>
      <c r="B136" s="171"/>
      <c r="C136" s="172">
        <v>8</v>
      </c>
      <c r="D136" s="172"/>
      <c r="E136" s="67" t="s">
        <v>149</v>
      </c>
      <c r="F136" s="171">
        <f>73.43*10.764</f>
        <v>790.40052000000003</v>
      </c>
      <c r="G136" s="171"/>
      <c r="H136" s="67">
        <v>0</v>
      </c>
      <c r="I136" s="67">
        <f t="shared" si="17"/>
        <v>1185.60078</v>
      </c>
    </row>
    <row r="137" spans="1:9" s="66" customFormat="1" ht="21" customHeight="1" x14ac:dyDescent="0.25">
      <c r="A137" s="171"/>
      <c r="B137" s="171"/>
      <c r="C137" s="172">
        <v>9</v>
      </c>
      <c r="D137" s="172"/>
      <c r="E137" s="67" t="s">
        <v>150</v>
      </c>
      <c r="F137" s="171">
        <f>60.09*10.764</f>
        <v>646.80876000000001</v>
      </c>
      <c r="G137" s="171"/>
      <c r="H137" s="67">
        <v>0</v>
      </c>
      <c r="I137" s="67">
        <f t="shared" si="17"/>
        <v>970.21314000000007</v>
      </c>
    </row>
    <row r="138" spans="1:9" s="66" customFormat="1" ht="21" customHeight="1" x14ac:dyDescent="0.25">
      <c r="A138" s="171"/>
      <c r="B138" s="171"/>
      <c r="C138" s="172">
        <v>10</v>
      </c>
      <c r="D138" s="172"/>
      <c r="E138" s="67" t="s">
        <v>170</v>
      </c>
      <c r="F138" s="171">
        <f>31.22*10.764</f>
        <v>336.05207999999999</v>
      </c>
      <c r="G138" s="171"/>
      <c r="H138" s="67">
        <v>0</v>
      </c>
      <c r="I138" s="67">
        <f t="shared" si="17"/>
        <v>504.07812000000001</v>
      </c>
    </row>
  </sheetData>
  <mergeCells count="268">
    <mergeCell ref="F132:G132"/>
    <mergeCell ref="F133:G133"/>
    <mergeCell ref="F135:G135"/>
    <mergeCell ref="F136:G136"/>
    <mergeCell ref="F137:G137"/>
    <mergeCell ref="F138:G138"/>
    <mergeCell ref="F125:G125"/>
    <mergeCell ref="F126:G126"/>
    <mergeCell ref="F127:G127"/>
    <mergeCell ref="F129:G129"/>
    <mergeCell ref="F130:G130"/>
    <mergeCell ref="F131:G131"/>
    <mergeCell ref="A128:I128"/>
    <mergeCell ref="A129:B138"/>
    <mergeCell ref="C137:D137"/>
    <mergeCell ref="C138:D138"/>
    <mergeCell ref="E134:I134"/>
    <mergeCell ref="C133:D133"/>
    <mergeCell ref="C134:D134"/>
    <mergeCell ref="C135:D135"/>
    <mergeCell ref="C136:D136"/>
    <mergeCell ref="F99:G99"/>
    <mergeCell ref="F100:G100"/>
    <mergeCell ref="F101:G101"/>
    <mergeCell ref="F118:G118"/>
    <mergeCell ref="F119:G119"/>
    <mergeCell ref="F120:G120"/>
    <mergeCell ref="F121:G121"/>
    <mergeCell ref="F109:G109"/>
    <mergeCell ref="F110:G110"/>
    <mergeCell ref="F112:G112"/>
    <mergeCell ref="F113:G113"/>
    <mergeCell ref="F114:G114"/>
    <mergeCell ref="F115:G115"/>
    <mergeCell ref="F84:G84"/>
    <mergeCell ref="F85:G85"/>
    <mergeCell ref="F86:G86"/>
    <mergeCell ref="F89:G89"/>
    <mergeCell ref="F90:G90"/>
    <mergeCell ref="F91:G91"/>
    <mergeCell ref="F72:G72"/>
    <mergeCell ref="F73:G73"/>
    <mergeCell ref="F74:G74"/>
    <mergeCell ref="F76:G76"/>
    <mergeCell ref="F77:G77"/>
    <mergeCell ref="F78:G78"/>
    <mergeCell ref="E87:I87"/>
    <mergeCell ref="E88:I88"/>
    <mergeCell ref="F66:G66"/>
    <mergeCell ref="F67:G67"/>
    <mergeCell ref="F69:G69"/>
    <mergeCell ref="F70:G70"/>
    <mergeCell ref="F71:G71"/>
    <mergeCell ref="F56:G56"/>
    <mergeCell ref="F57:G57"/>
    <mergeCell ref="F58:G58"/>
    <mergeCell ref="F59:G59"/>
    <mergeCell ref="F60:G60"/>
    <mergeCell ref="F61:G61"/>
    <mergeCell ref="F49:G49"/>
    <mergeCell ref="F50:G50"/>
    <mergeCell ref="F51:G51"/>
    <mergeCell ref="F52:G52"/>
    <mergeCell ref="F53:G53"/>
    <mergeCell ref="F40:G40"/>
    <mergeCell ref="F42:G42"/>
    <mergeCell ref="F43:G43"/>
    <mergeCell ref="F44:G44"/>
    <mergeCell ref="F45:G45"/>
    <mergeCell ref="F46:G46"/>
    <mergeCell ref="F34:G34"/>
    <mergeCell ref="F35:G35"/>
    <mergeCell ref="F36:G36"/>
    <mergeCell ref="F37:G37"/>
    <mergeCell ref="F38:G38"/>
    <mergeCell ref="F39:G39"/>
    <mergeCell ref="F26:G26"/>
    <mergeCell ref="F29:G29"/>
    <mergeCell ref="F30:G30"/>
    <mergeCell ref="F31:G31"/>
    <mergeCell ref="F32:G32"/>
    <mergeCell ref="F33:G33"/>
    <mergeCell ref="E27:I27"/>
    <mergeCell ref="F92:G92"/>
    <mergeCell ref="F93:G93"/>
    <mergeCell ref="F95:G95"/>
    <mergeCell ref="C131:D131"/>
    <mergeCell ref="C132:D132"/>
    <mergeCell ref="C124:D124"/>
    <mergeCell ref="C125:D125"/>
    <mergeCell ref="C126:D126"/>
    <mergeCell ref="C127:D127"/>
    <mergeCell ref="C129:D129"/>
    <mergeCell ref="C130:D130"/>
    <mergeCell ref="C118:D118"/>
    <mergeCell ref="C119:D119"/>
    <mergeCell ref="C120:D120"/>
    <mergeCell ref="C121:D121"/>
    <mergeCell ref="C122:D122"/>
    <mergeCell ref="C123:D123"/>
    <mergeCell ref="C110:D110"/>
    <mergeCell ref="C111:D111"/>
    <mergeCell ref="C112:D112"/>
    <mergeCell ref="F97:G97"/>
    <mergeCell ref="F98:G98"/>
    <mergeCell ref="C113:D113"/>
    <mergeCell ref="C114:D114"/>
    <mergeCell ref="C115:D115"/>
    <mergeCell ref="A116:I116"/>
    <mergeCell ref="A117:I117"/>
    <mergeCell ref="A118:B127"/>
    <mergeCell ref="F122:G122"/>
    <mergeCell ref="F124:G124"/>
    <mergeCell ref="C100:D100"/>
    <mergeCell ref="C101:D101"/>
    <mergeCell ref="C102:D102"/>
    <mergeCell ref="C103:D103"/>
    <mergeCell ref="C104:D104"/>
    <mergeCell ref="C106:D106"/>
    <mergeCell ref="E123:I123"/>
    <mergeCell ref="E111:I111"/>
    <mergeCell ref="C93:D93"/>
    <mergeCell ref="C95:D95"/>
    <mergeCell ref="C96:D96"/>
    <mergeCell ref="C97:D97"/>
    <mergeCell ref="C98:D98"/>
    <mergeCell ref="C99:D99"/>
    <mergeCell ref="A105:I105"/>
    <mergeCell ref="A106:B115"/>
    <mergeCell ref="C107:D107"/>
    <mergeCell ref="C108:D108"/>
    <mergeCell ref="C109:D109"/>
    <mergeCell ref="F102:G102"/>
    <mergeCell ref="F103:G103"/>
    <mergeCell ref="F104:G104"/>
    <mergeCell ref="F106:G106"/>
    <mergeCell ref="F107:G107"/>
    <mergeCell ref="F108:G108"/>
    <mergeCell ref="F96:G96"/>
    <mergeCell ref="A95:B104"/>
    <mergeCell ref="A84:B93"/>
    <mergeCell ref="A94:I94"/>
    <mergeCell ref="C90:D90"/>
    <mergeCell ref="C91:D91"/>
    <mergeCell ref="C92:D92"/>
    <mergeCell ref="C46:D46"/>
    <mergeCell ref="C69:D69"/>
    <mergeCell ref="C70:D70"/>
    <mergeCell ref="C71:D71"/>
    <mergeCell ref="C72:D72"/>
    <mergeCell ref="C73:D73"/>
    <mergeCell ref="C74:D74"/>
    <mergeCell ref="C56:D56"/>
    <mergeCell ref="C57:D57"/>
    <mergeCell ref="C58:D58"/>
    <mergeCell ref="C59:D59"/>
    <mergeCell ref="C60:D60"/>
    <mergeCell ref="C61:D61"/>
    <mergeCell ref="A54:I54"/>
    <mergeCell ref="C47:D47"/>
    <mergeCell ref="C48:D48"/>
    <mergeCell ref="C49:D49"/>
    <mergeCell ref="C50:D50"/>
    <mergeCell ref="C51:D51"/>
    <mergeCell ref="C52:D52"/>
    <mergeCell ref="A69:B80"/>
    <mergeCell ref="A56:B67"/>
    <mergeCell ref="A42:B53"/>
    <mergeCell ref="F47:G47"/>
    <mergeCell ref="C43:D43"/>
    <mergeCell ref="C44:D44"/>
    <mergeCell ref="C45:D45"/>
    <mergeCell ref="F16:G16"/>
    <mergeCell ref="C21:D21"/>
    <mergeCell ref="C22:D22"/>
    <mergeCell ref="C23:D23"/>
    <mergeCell ref="C24:D24"/>
    <mergeCell ref="C25:D25"/>
    <mergeCell ref="C26:D26"/>
    <mergeCell ref="C34:D34"/>
    <mergeCell ref="C35:D35"/>
    <mergeCell ref="C36:D36"/>
    <mergeCell ref="C37:D37"/>
    <mergeCell ref="C38:D38"/>
    <mergeCell ref="C39:D39"/>
    <mergeCell ref="C27:D27"/>
    <mergeCell ref="C29:D29"/>
    <mergeCell ref="C30:D30"/>
    <mergeCell ref="C31:D31"/>
    <mergeCell ref="C32:D32"/>
    <mergeCell ref="C33:D33"/>
    <mergeCell ref="E19:I19"/>
    <mergeCell ref="E18:I18"/>
    <mergeCell ref="A29:B40"/>
    <mergeCell ref="A68:I68"/>
    <mergeCell ref="E62:I62"/>
    <mergeCell ref="E75:I75"/>
    <mergeCell ref="A81:I81"/>
    <mergeCell ref="A82:I82"/>
    <mergeCell ref="A83:I83"/>
    <mergeCell ref="C62:D62"/>
    <mergeCell ref="C63:D63"/>
    <mergeCell ref="C64:D64"/>
    <mergeCell ref="C65:D65"/>
    <mergeCell ref="A41:I41"/>
    <mergeCell ref="A55:I55"/>
    <mergeCell ref="F79:G79"/>
    <mergeCell ref="F80:G80"/>
    <mergeCell ref="C66:D66"/>
    <mergeCell ref="C67:D67"/>
    <mergeCell ref="F63:G63"/>
    <mergeCell ref="F64:G64"/>
    <mergeCell ref="F65:G65"/>
    <mergeCell ref="C53:D53"/>
    <mergeCell ref="E48:I48"/>
    <mergeCell ref="C40:D40"/>
    <mergeCell ref="C42:D42"/>
    <mergeCell ref="C84:D84"/>
    <mergeCell ref="C85:D85"/>
    <mergeCell ref="C86:D86"/>
    <mergeCell ref="C87:D87"/>
    <mergeCell ref="C88:D88"/>
    <mergeCell ref="C89:D89"/>
    <mergeCell ref="C75:D75"/>
    <mergeCell ref="C76:D76"/>
    <mergeCell ref="C77:D77"/>
    <mergeCell ref="C78:D78"/>
    <mergeCell ref="C79:D79"/>
    <mergeCell ref="C80:D80"/>
    <mergeCell ref="A15:I15"/>
    <mergeCell ref="A16:B27"/>
    <mergeCell ref="A14:I14"/>
    <mergeCell ref="A13:I13"/>
    <mergeCell ref="A28:I28"/>
    <mergeCell ref="C17:D17"/>
    <mergeCell ref="C18:D18"/>
    <mergeCell ref="C19:D19"/>
    <mergeCell ref="C20:D20"/>
    <mergeCell ref="C16:D16"/>
    <mergeCell ref="F17:G17"/>
    <mergeCell ref="F20:G20"/>
    <mergeCell ref="F21:G21"/>
    <mergeCell ref="F22:G22"/>
    <mergeCell ref="F23:G23"/>
    <mergeCell ref="F24:G24"/>
    <mergeCell ref="F25:G25"/>
    <mergeCell ref="K1:S1"/>
    <mergeCell ref="K2:S2"/>
    <mergeCell ref="K3:S3"/>
    <mergeCell ref="K4:L12"/>
    <mergeCell ref="M4:N4"/>
    <mergeCell ref="P4:Q4"/>
    <mergeCell ref="M5:N5"/>
    <mergeCell ref="P5:Q5"/>
    <mergeCell ref="M6:N6"/>
    <mergeCell ref="P6:Q6"/>
    <mergeCell ref="M10:N10"/>
    <mergeCell ref="P10:Q10"/>
    <mergeCell ref="M11:N11"/>
    <mergeCell ref="P11:Q11"/>
    <mergeCell ref="M12:N12"/>
    <mergeCell ref="P12:Q12"/>
    <mergeCell ref="M7:N7"/>
    <mergeCell ref="P7:Q7"/>
    <mergeCell ref="M8:N8"/>
    <mergeCell ref="P8:Q8"/>
    <mergeCell ref="M9:N9"/>
    <mergeCell ref="P9:Q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C19" sqref="C19"/>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105</v>
      </c>
      <c r="B2" s="1" t="s">
        <v>106</v>
      </c>
      <c r="C2" s="1">
        <v>32</v>
      </c>
    </row>
    <row r="3" spans="1:15" x14ac:dyDescent="0.25">
      <c r="B3" t="s">
        <v>107</v>
      </c>
      <c r="C3" t="s">
        <v>108</v>
      </c>
    </row>
    <row r="4" spans="1:15" x14ac:dyDescent="0.25">
      <c r="A4" t="s">
        <v>109</v>
      </c>
      <c r="B4" s="2">
        <v>10</v>
      </c>
      <c r="C4" s="2">
        <v>10</v>
      </c>
      <c r="D4" s="3"/>
      <c r="E4" s="3">
        <f>(100/B4)*C4</f>
        <v>100</v>
      </c>
    </row>
    <row r="5" spans="1:15" x14ac:dyDescent="0.25">
      <c r="A5" t="s">
        <v>110</v>
      </c>
      <c r="B5" t="s">
        <v>111</v>
      </c>
      <c r="C5" t="s">
        <v>112</v>
      </c>
      <c r="E5" s="3">
        <f>(100/B6)*C6</f>
        <v>3.0303030303030303</v>
      </c>
      <c r="I5" s="2" t="s">
        <v>113</v>
      </c>
      <c r="J5" s="2" t="s">
        <v>114</v>
      </c>
      <c r="K5" s="2" t="s">
        <v>115</v>
      </c>
      <c r="L5" s="2" t="s">
        <v>116</v>
      </c>
      <c r="M5" s="2" t="s">
        <v>117</v>
      </c>
      <c r="N5" s="2" t="s">
        <v>118</v>
      </c>
      <c r="O5" s="2" t="s">
        <v>119</v>
      </c>
    </row>
    <row r="6" spans="1:15" x14ac:dyDescent="0.25">
      <c r="B6" s="2">
        <f>C2+1</f>
        <v>33</v>
      </c>
      <c r="C6" s="2">
        <v>1</v>
      </c>
      <c r="E6" s="3">
        <f>(100/B8)*C8</f>
        <v>0</v>
      </c>
      <c r="F6" s="4" t="s">
        <v>120</v>
      </c>
      <c r="I6" s="4">
        <f>C4</f>
        <v>10</v>
      </c>
      <c r="J6" s="4">
        <f>40/B6*C6</f>
        <v>1.2121212121212122</v>
      </c>
      <c r="K6" s="4">
        <f>15/B8*C8</f>
        <v>0</v>
      </c>
      <c r="L6" s="4">
        <f>10/B10*C10</f>
        <v>0</v>
      </c>
      <c r="M6" s="4">
        <f>10/B12*C12</f>
        <v>0</v>
      </c>
      <c r="N6" s="4">
        <f>5/B14*C14</f>
        <v>0</v>
      </c>
      <c r="O6" s="4">
        <f>5/B16*C16</f>
        <v>0</v>
      </c>
    </row>
    <row r="7" spans="1:15" x14ac:dyDescent="0.25">
      <c r="A7" t="s">
        <v>121</v>
      </c>
      <c r="B7" t="s">
        <v>122</v>
      </c>
      <c r="C7" t="s">
        <v>123</v>
      </c>
      <c r="E7" s="3">
        <f>(100/B10)*C10</f>
        <v>0</v>
      </c>
      <c r="F7" s="2" t="s">
        <v>124</v>
      </c>
      <c r="G7" s="2"/>
      <c r="H7" s="2"/>
      <c r="I7" s="2">
        <f>I6+20</f>
        <v>30</v>
      </c>
      <c r="J7" s="2">
        <f>30/B6*C6</f>
        <v>0.90909090909090906</v>
      </c>
      <c r="K7" s="2">
        <f>15/B8*C8</f>
        <v>0</v>
      </c>
      <c r="L7" s="2">
        <f>10/B10*C10</f>
        <v>0</v>
      </c>
      <c r="M7" s="2">
        <f>5/B12*C12</f>
        <v>0</v>
      </c>
      <c r="N7" s="2">
        <f>5/B14*C14</f>
        <v>0</v>
      </c>
      <c r="O7" s="2">
        <f>5/B16*C16</f>
        <v>0</v>
      </c>
    </row>
    <row r="8" spans="1:15" x14ac:dyDescent="0.25">
      <c r="B8" s="2">
        <f>C2</f>
        <v>32</v>
      </c>
      <c r="C8" s="2">
        <v>0</v>
      </c>
      <c r="D8" s="3"/>
      <c r="E8" s="3">
        <f>(100/B12)*C12</f>
        <v>0</v>
      </c>
    </row>
    <row r="9" spans="1:15" x14ac:dyDescent="0.25">
      <c r="A9" t="s">
        <v>125</v>
      </c>
      <c r="B9" t="s">
        <v>122</v>
      </c>
      <c r="C9" t="s">
        <v>123</v>
      </c>
      <c r="E9" s="3">
        <f>(100/B14)*C14</f>
        <v>0</v>
      </c>
    </row>
    <row r="10" spans="1:15" x14ac:dyDescent="0.25">
      <c r="B10" s="2">
        <f>C2</f>
        <v>32</v>
      </c>
      <c r="C10" s="2">
        <v>0</v>
      </c>
      <c r="D10" s="3"/>
      <c r="E10" s="3">
        <f>(100/B16)*C16</f>
        <v>0</v>
      </c>
    </row>
    <row r="11" spans="1:15" x14ac:dyDescent="0.25">
      <c r="A11" t="s">
        <v>117</v>
      </c>
      <c r="B11" t="s">
        <v>122</v>
      </c>
      <c r="C11" t="s">
        <v>123</v>
      </c>
    </row>
    <row r="12" spans="1:15" x14ac:dyDescent="0.25">
      <c r="B12" s="2">
        <f>C2</f>
        <v>32</v>
      </c>
      <c r="C12" s="2">
        <v>0</v>
      </c>
      <c r="D12" s="3"/>
      <c r="F12" s="2"/>
      <c r="G12" s="2" t="s">
        <v>120</v>
      </c>
      <c r="H12" s="2" t="s">
        <v>126</v>
      </c>
      <c r="L12" s="3" t="s">
        <v>127</v>
      </c>
    </row>
    <row r="13" spans="1:15" ht="30" x14ac:dyDescent="0.25">
      <c r="A13" s="5" t="s">
        <v>118</v>
      </c>
      <c r="B13" t="s">
        <v>122</v>
      </c>
      <c r="C13" t="s">
        <v>123</v>
      </c>
      <c r="F13" s="2" t="s">
        <v>128</v>
      </c>
      <c r="G13" s="2">
        <f>I6</f>
        <v>10</v>
      </c>
      <c r="H13" s="2">
        <f>I7</f>
        <v>30</v>
      </c>
      <c r="L13" s="3" t="s">
        <v>127</v>
      </c>
    </row>
    <row r="14" spans="1:15" x14ac:dyDescent="0.25">
      <c r="B14" s="2">
        <f>C2</f>
        <v>32</v>
      </c>
      <c r="C14" s="2">
        <v>0</v>
      </c>
      <c r="D14" s="3"/>
      <c r="F14" s="2" t="s">
        <v>129</v>
      </c>
      <c r="G14" s="2">
        <f>J6</f>
        <v>1.2121212121212122</v>
      </c>
      <c r="H14" s="2">
        <f>J7</f>
        <v>0.90909090909090906</v>
      </c>
      <c r="L14" s="3"/>
    </row>
    <row r="15" spans="1:15" x14ac:dyDescent="0.25">
      <c r="A15" t="s">
        <v>119</v>
      </c>
      <c r="B15" t="s">
        <v>122</v>
      </c>
      <c r="C15" t="s">
        <v>123</v>
      </c>
      <c r="F15" s="2" t="s">
        <v>115</v>
      </c>
      <c r="G15" s="2">
        <f>K6</f>
        <v>0</v>
      </c>
      <c r="H15" s="2">
        <f>K7</f>
        <v>0</v>
      </c>
      <c r="L15" s="3"/>
    </row>
    <row r="16" spans="1:15" x14ac:dyDescent="0.25">
      <c r="B16" s="2">
        <f>C2</f>
        <v>32</v>
      </c>
      <c r="C16" s="2">
        <v>0</v>
      </c>
      <c r="D16" s="3"/>
      <c r="F16" s="2" t="s">
        <v>116</v>
      </c>
      <c r="G16" s="2">
        <f>L6</f>
        <v>0</v>
      </c>
      <c r="H16" s="2">
        <f>L7</f>
        <v>0</v>
      </c>
      <c r="L16" s="3"/>
    </row>
    <row r="17" spans="1:12" x14ac:dyDescent="0.25">
      <c r="F17" s="2" t="s">
        <v>117</v>
      </c>
      <c r="G17" s="2">
        <f>M6</f>
        <v>0</v>
      </c>
      <c r="H17" s="2">
        <f>M7</f>
        <v>0</v>
      </c>
      <c r="L17" s="3"/>
    </row>
    <row r="18" spans="1:12" ht="30" x14ac:dyDescent="0.25">
      <c r="F18" s="6" t="s">
        <v>118</v>
      </c>
      <c r="G18" s="2">
        <f>N6</f>
        <v>0</v>
      </c>
      <c r="H18" s="2">
        <f>N7</f>
        <v>0</v>
      </c>
      <c r="L18" s="3"/>
    </row>
    <row r="19" spans="1:12" x14ac:dyDescent="0.25">
      <c r="F19" s="2" t="s">
        <v>119</v>
      </c>
      <c r="G19" s="2">
        <f>O6</f>
        <v>0</v>
      </c>
      <c r="H19" s="2">
        <f>O7</f>
        <v>0</v>
      </c>
      <c r="L19" s="3"/>
    </row>
    <row r="20" spans="1:12" x14ac:dyDescent="0.25">
      <c r="F20" s="2" t="s">
        <v>130</v>
      </c>
      <c r="G20" s="8">
        <f>(G13+G14+G15+G16+G17+G18+G19)/100</f>
        <v>0.11212121212121212</v>
      </c>
      <c r="H20" s="8">
        <f>(H13+H14+H15+H16+H17+H18+H19)/100</f>
        <v>0.30909090909090908</v>
      </c>
      <c r="L20" s="3"/>
    </row>
    <row r="21" spans="1:12" x14ac:dyDescent="0.25">
      <c r="E21" s="7"/>
    </row>
    <row r="23" spans="1:12" x14ac:dyDescent="0.25">
      <c r="A23" s="28" t="s">
        <v>155</v>
      </c>
      <c r="C23" s="29">
        <v>0.01</v>
      </c>
      <c r="D23" s="30">
        <v>0.02</v>
      </c>
    </row>
    <row r="24" spans="1:12" x14ac:dyDescent="0.25">
      <c r="A24" s="28" t="s">
        <v>156</v>
      </c>
      <c r="C24" s="29">
        <v>0.02</v>
      </c>
      <c r="D24" s="30">
        <v>0.04</v>
      </c>
    </row>
    <row r="25" spans="1:12" x14ac:dyDescent="0.25">
      <c r="A25" s="28" t="s">
        <v>157</v>
      </c>
      <c r="C25" s="29">
        <v>0.04</v>
      </c>
      <c r="D25" s="30">
        <v>0.08</v>
      </c>
    </row>
    <row r="26" spans="1:12" x14ac:dyDescent="0.25">
      <c r="A26" s="28" t="s">
        <v>158</v>
      </c>
      <c r="C26" s="29">
        <v>0.05</v>
      </c>
      <c r="D26" s="30">
        <v>0.15</v>
      </c>
    </row>
    <row r="27" spans="1:12" x14ac:dyDescent="0.25">
      <c r="A27" s="28" t="s">
        <v>159</v>
      </c>
      <c r="C27" s="29">
        <v>7.0000000000000007E-2</v>
      </c>
      <c r="D27" s="30">
        <v>0.2</v>
      </c>
    </row>
    <row r="28" spans="1:12" ht="15.75" thickBot="1" x14ac:dyDescent="0.3">
      <c r="A28" s="31" t="s">
        <v>160</v>
      </c>
      <c r="C28" s="32">
        <v>0.1</v>
      </c>
      <c r="D28" s="33">
        <v>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C11" sqref="C11"/>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105</v>
      </c>
      <c r="B2" s="1" t="s">
        <v>106</v>
      </c>
      <c r="C2" s="1">
        <v>32</v>
      </c>
    </row>
    <row r="3" spans="1:15" x14ac:dyDescent="0.25">
      <c r="B3" t="s">
        <v>107</v>
      </c>
      <c r="C3" t="s">
        <v>108</v>
      </c>
    </row>
    <row r="4" spans="1:15" x14ac:dyDescent="0.25">
      <c r="A4" t="s">
        <v>109</v>
      </c>
      <c r="B4" s="2">
        <v>10</v>
      </c>
      <c r="C4" s="2">
        <v>10</v>
      </c>
      <c r="D4" s="3"/>
      <c r="E4" s="3">
        <f>(100/B4)*C4</f>
        <v>100</v>
      </c>
    </row>
    <row r="5" spans="1:15" x14ac:dyDescent="0.25">
      <c r="A5" t="s">
        <v>110</v>
      </c>
      <c r="B5" t="s">
        <v>111</v>
      </c>
      <c r="C5" t="s">
        <v>112</v>
      </c>
      <c r="E5" s="3">
        <f>(100/B6)*C6</f>
        <v>15.151515151515152</v>
      </c>
      <c r="I5" s="2" t="s">
        <v>113</v>
      </c>
      <c r="J5" s="2" t="s">
        <v>114</v>
      </c>
      <c r="K5" s="2" t="s">
        <v>115</v>
      </c>
      <c r="L5" s="2" t="s">
        <v>116</v>
      </c>
      <c r="M5" s="2" t="s">
        <v>117</v>
      </c>
      <c r="N5" s="2" t="s">
        <v>118</v>
      </c>
      <c r="O5" s="2" t="s">
        <v>119</v>
      </c>
    </row>
    <row r="6" spans="1:15" x14ac:dyDescent="0.25">
      <c r="B6" s="2">
        <f>C2+1</f>
        <v>33</v>
      </c>
      <c r="C6" s="2">
        <v>5</v>
      </c>
      <c r="E6" s="3">
        <f>(100/B8)*C8</f>
        <v>12.5</v>
      </c>
      <c r="F6" s="4" t="s">
        <v>120</v>
      </c>
      <c r="I6" s="4">
        <f>C4</f>
        <v>10</v>
      </c>
      <c r="J6" s="4">
        <f>40/B6*C6</f>
        <v>6.0606060606060606</v>
      </c>
      <c r="K6" s="4">
        <f>15/B8*C8</f>
        <v>1.875</v>
      </c>
      <c r="L6" s="4">
        <f>10/B10*C10</f>
        <v>1</v>
      </c>
      <c r="M6" s="4">
        <f>10/B12*C12</f>
        <v>0</v>
      </c>
      <c r="N6" s="4">
        <f>5/B14*C14</f>
        <v>0</v>
      </c>
      <c r="O6" s="4">
        <f>5/B16*C16</f>
        <v>0</v>
      </c>
    </row>
    <row r="7" spans="1:15" x14ac:dyDescent="0.25">
      <c r="A7" t="s">
        <v>121</v>
      </c>
      <c r="B7" t="s">
        <v>122</v>
      </c>
      <c r="C7" t="s">
        <v>123</v>
      </c>
      <c r="E7" s="3">
        <f>(100/B10)*C10</f>
        <v>10</v>
      </c>
      <c r="F7" s="2" t="s">
        <v>124</v>
      </c>
      <c r="G7" s="2"/>
      <c r="H7" s="2"/>
      <c r="I7" s="2">
        <f>I6+20</f>
        <v>30</v>
      </c>
      <c r="J7" s="2">
        <f>30/B6*C6</f>
        <v>4.545454545454545</v>
      </c>
      <c r="K7" s="2">
        <f>15/B8*C8</f>
        <v>1.875</v>
      </c>
      <c r="L7" s="2">
        <f>10/B10*C10</f>
        <v>1</v>
      </c>
      <c r="M7" s="2">
        <f>5/B12*C12</f>
        <v>0</v>
      </c>
      <c r="N7" s="2">
        <f>5/B14*C14</f>
        <v>0</v>
      </c>
      <c r="O7" s="2">
        <f>5/B16*C16</f>
        <v>0</v>
      </c>
    </row>
    <row r="8" spans="1:15" x14ac:dyDescent="0.25">
      <c r="B8" s="2">
        <f>C2</f>
        <v>32</v>
      </c>
      <c r="C8" s="2">
        <f>C6-1</f>
        <v>4</v>
      </c>
      <c r="D8" s="3"/>
      <c r="E8" s="3">
        <f>(100/B12)*C12</f>
        <v>0</v>
      </c>
    </row>
    <row r="9" spans="1:15" x14ac:dyDescent="0.25">
      <c r="A9" t="s">
        <v>125</v>
      </c>
      <c r="B9" t="s">
        <v>122</v>
      </c>
      <c r="C9" t="s">
        <v>123</v>
      </c>
      <c r="E9" s="3">
        <f>(100/B14)*C14</f>
        <v>0</v>
      </c>
    </row>
    <row r="10" spans="1:15" x14ac:dyDescent="0.25">
      <c r="B10" s="2">
        <f>C2</f>
        <v>32</v>
      </c>
      <c r="C10" s="2">
        <f>C8*0.8</f>
        <v>3.2</v>
      </c>
      <c r="D10" s="3"/>
      <c r="E10" s="3">
        <f>(100/B16)*C16</f>
        <v>0</v>
      </c>
    </row>
    <row r="11" spans="1:15" x14ac:dyDescent="0.25">
      <c r="A11" t="s">
        <v>117</v>
      </c>
      <c r="B11" t="s">
        <v>122</v>
      </c>
      <c r="C11" t="s">
        <v>123</v>
      </c>
    </row>
    <row r="12" spans="1:15" x14ac:dyDescent="0.25">
      <c r="B12" s="2">
        <f>C2</f>
        <v>32</v>
      </c>
      <c r="C12" s="2">
        <v>0</v>
      </c>
      <c r="D12" s="3"/>
      <c r="F12" s="2"/>
      <c r="G12" s="2" t="s">
        <v>120</v>
      </c>
      <c r="H12" s="2" t="s">
        <v>126</v>
      </c>
      <c r="L12" s="3" t="s">
        <v>127</v>
      </c>
    </row>
    <row r="13" spans="1:15" ht="30" x14ac:dyDescent="0.25">
      <c r="A13" s="5" t="s">
        <v>118</v>
      </c>
      <c r="B13" t="s">
        <v>122</v>
      </c>
      <c r="C13" t="s">
        <v>123</v>
      </c>
      <c r="F13" s="2" t="s">
        <v>128</v>
      </c>
      <c r="G13" s="2">
        <f>I6</f>
        <v>10</v>
      </c>
      <c r="H13" s="2">
        <f>I7</f>
        <v>30</v>
      </c>
      <c r="L13" s="3" t="s">
        <v>127</v>
      </c>
    </row>
    <row r="14" spans="1:15" x14ac:dyDescent="0.25">
      <c r="B14" s="2">
        <f>C2</f>
        <v>32</v>
      </c>
      <c r="C14" s="2">
        <v>0</v>
      </c>
      <c r="D14" s="3"/>
      <c r="F14" s="2" t="s">
        <v>129</v>
      </c>
      <c r="G14" s="2">
        <f>J6</f>
        <v>6.0606060606060606</v>
      </c>
      <c r="H14" s="2">
        <f>J7</f>
        <v>4.545454545454545</v>
      </c>
      <c r="L14" s="3"/>
    </row>
    <row r="15" spans="1:15" x14ac:dyDescent="0.25">
      <c r="A15" t="s">
        <v>119</v>
      </c>
      <c r="B15" t="s">
        <v>122</v>
      </c>
      <c r="C15" t="s">
        <v>123</v>
      </c>
      <c r="F15" s="2" t="s">
        <v>115</v>
      </c>
      <c r="G15" s="2">
        <f>K6</f>
        <v>1.875</v>
      </c>
      <c r="H15" s="2">
        <f>K7</f>
        <v>1.875</v>
      </c>
      <c r="L15" s="3"/>
    </row>
    <row r="16" spans="1:15" x14ac:dyDescent="0.25">
      <c r="B16" s="2">
        <f>C2</f>
        <v>32</v>
      </c>
      <c r="C16" s="2">
        <v>0</v>
      </c>
      <c r="D16" s="3"/>
      <c r="F16" s="2" t="s">
        <v>116</v>
      </c>
      <c r="G16" s="2">
        <f>L6</f>
        <v>1</v>
      </c>
      <c r="H16" s="2">
        <f>L7</f>
        <v>1</v>
      </c>
      <c r="L16" s="3"/>
    </row>
    <row r="17" spans="1:12" x14ac:dyDescent="0.25">
      <c r="F17" s="2" t="s">
        <v>117</v>
      </c>
      <c r="G17" s="2">
        <f>M6</f>
        <v>0</v>
      </c>
      <c r="H17" s="2">
        <f>M7</f>
        <v>0</v>
      </c>
      <c r="L17" s="3"/>
    </row>
    <row r="18" spans="1:12" ht="30" x14ac:dyDescent="0.25">
      <c r="F18" s="6" t="s">
        <v>118</v>
      </c>
      <c r="G18" s="2">
        <f>N6</f>
        <v>0</v>
      </c>
      <c r="H18" s="2">
        <f>N7</f>
        <v>0</v>
      </c>
      <c r="L18" s="3"/>
    </row>
    <row r="19" spans="1:12" x14ac:dyDescent="0.25">
      <c r="F19" s="2" t="s">
        <v>119</v>
      </c>
      <c r="G19" s="2">
        <f>O6</f>
        <v>0</v>
      </c>
      <c r="H19" s="2">
        <f>O7</f>
        <v>0</v>
      </c>
      <c r="L19" s="3"/>
    </row>
    <row r="20" spans="1:12" x14ac:dyDescent="0.25">
      <c r="F20" s="2" t="s">
        <v>130</v>
      </c>
      <c r="G20" s="8">
        <f>(G13+G14+G15+G16+G17+G18+G19)/100</f>
        <v>0.18935606060606061</v>
      </c>
      <c r="H20" s="8">
        <f>(H13+H14+H15+H16+H17+H18+H19)/100</f>
        <v>0.37420454545454546</v>
      </c>
      <c r="L20" s="3"/>
    </row>
    <row r="21" spans="1:12" x14ac:dyDescent="0.25">
      <c r="E21" s="7"/>
    </row>
    <row r="23" spans="1:12" x14ac:dyDescent="0.25">
      <c r="A23" s="28" t="s">
        <v>155</v>
      </c>
      <c r="C23" s="29">
        <v>0.01</v>
      </c>
      <c r="D23" s="30">
        <v>0.02</v>
      </c>
    </row>
    <row r="24" spans="1:12" x14ac:dyDescent="0.25">
      <c r="A24" s="28" t="s">
        <v>156</v>
      </c>
      <c r="C24" s="29">
        <v>0.02</v>
      </c>
      <c r="D24" s="30">
        <v>0.04</v>
      </c>
    </row>
    <row r="25" spans="1:12" x14ac:dyDescent="0.25">
      <c r="A25" s="28" t="s">
        <v>157</v>
      </c>
      <c r="C25" s="29">
        <v>0.04</v>
      </c>
      <c r="D25" s="30">
        <v>0.08</v>
      </c>
    </row>
    <row r="26" spans="1:12" x14ac:dyDescent="0.25">
      <c r="A26" s="28" t="s">
        <v>158</v>
      </c>
      <c r="C26" s="29">
        <v>0.05</v>
      </c>
      <c r="D26" s="30">
        <v>0.15</v>
      </c>
    </row>
    <row r="27" spans="1:12" x14ac:dyDescent="0.25">
      <c r="A27" s="28" t="s">
        <v>159</v>
      </c>
      <c r="C27" s="29">
        <v>7.0000000000000007E-2</v>
      </c>
      <c r="D27" s="30">
        <v>0.2</v>
      </c>
    </row>
    <row r="28" spans="1:12" ht="15.75" thickBot="1" x14ac:dyDescent="0.3">
      <c r="A28" s="31" t="s">
        <v>160</v>
      </c>
      <c r="C28" s="32">
        <v>0.1</v>
      </c>
      <c r="D28" s="33">
        <v>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D18" sqref="D18"/>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105</v>
      </c>
      <c r="B2" s="1" t="s">
        <v>106</v>
      </c>
      <c r="C2" s="1">
        <v>32</v>
      </c>
    </row>
    <row r="3" spans="1:15" x14ac:dyDescent="0.25">
      <c r="B3" t="s">
        <v>107</v>
      </c>
      <c r="C3" t="s">
        <v>108</v>
      </c>
    </row>
    <row r="4" spans="1:15" x14ac:dyDescent="0.25">
      <c r="A4" t="s">
        <v>109</v>
      </c>
      <c r="B4" s="2">
        <v>10</v>
      </c>
      <c r="C4" s="2">
        <v>10</v>
      </c>
      <c r="D4" s="3"/>
      <c r="E4" s="3">
        <f>(100/B4)*C4</f>
        <v>100</v>
      </c>
    </row>
    <row r="5" spans="1:15" x14ac:dyDescent="0.25">
      <c r="A5" t="s">
        <v>110</v>
      </c>
      <c r="B5" t="s">
        <v>111</v>
      </c>
      <c r="C5" t="s">
        <v>112</v>
      </c>
      <c r="E5" s="3">
        <f>(100/B6)*C6</f>
        <v>6.0606060606060606</v>
      </c>
      <c r="I5" s="2" t="s">
        <v>113</v>
      </c>
      <c r="J5" s="2" t="s">
        <v>114</v>
      </c>
      <c r="K5" s="2" t="s">
        <v>115</v>
      </c>
      <c r="L5" s="2" t="s">
        <v>116</v>
      </c>
      <c r="M5" s="2" t="s">
        <v>117</v>
      </c>
      <c r="N5" s="2" t="s">
        <v>118</v>
      </c>
      <c r="O5" s="2" t="s">
        <v>119</v>
      </c>
    </row>
    <row r="6" spans="1:15" x14ac:dyDescent="0.25">
      <c r="B6" s="2">
        <f>C2+1</f>
        <v>33</v>
      </c>
      <c r="C6" s="2">
        <v>2</v>
      </c>
      <c r="E6" s="3">
        <f>(100/B8)*C8</f>
        <v>3.125</v>
      </c>
      <c r="F6" s="4" t="s">
        <v>120</v>
      </c>
      <c r="I6" s="4">
        <f>C4</f>
        <v>10</v>
      </c>
      <c r="J6" s="4">
        <f>40/B6*C6</f>
        <v>2.4242424242424243</v>
      </c>
      <c r="K6" s="4">
        <f>15/B8*C8</f>
        <v>0.46875</v>
      </c>
      <c r="L6" s="4">
        <f>10/B10*C10</f>
        <v>0.25</v>
      </c>
      <c r="M6" s="4">
        <f>10/B12*C12</f>
        <v>0</v>
      </c>
      <c r="N6" s="4">
        <f>5/B14*C14</f>
        <v>0</v>
      </c>
      <c r="O6" s="4">
        <f>5/B16*C16</f>
        <v>0</v>
      </c>
    </row>
    <row r="7" spans="1:15" x14ac:dyDescent="0.25">
      <c r="A7" t="s">
        <v>121</v>
      </c>
      <c r="B7" t="s">
        <v>122</v>
      </c>
      <c r="C7" t="s">
        <v>123</v>
      </c>
      <c r="E7" s="3">
        <f>(100/B10)*C10</f>
        <v>2.5</v>
      </c>
      <c r="F7" s="2" t="s">
        <v>124</v>
      </c>
      <c r="G7" s="2"/>
      <c r="H7" s="2"/>
      <c r="I7" s="2">
        <f>I6+20</f>
        <v>30</v>
      </c>
      <c r="J7" s="2">
        <f>30/B6*C6</f>
        <v>1.8181818181818181</v>
      </c>
      <c r="K7" s="2">
        <f>15/B8*C8</f>
        <v>0.46875</v>
      </c>
      <c r="L7" s="2">
        <f>10/B10*C10</f>
        <v>0.25</v>
      </c>
      <c r="M7" s="2">
        <f>5/B12*C12</f>
        <v>0</v>
      </c>
      <c r="N7" s="2">
        <f>5/B14*C14</f>
        <v>0</v>
      </c>
      <c r="O7" s="2">
        <f>5/B16*C16</f>
        <v>0</v>
      </c>
    </row>
    <row r="8" spans="1:15" x14ac:dyDescent="0.25">
      <c r="B8" s="2">
        <f>C2</f>
        <v>32</v>
      </c>
      <c r="C8" s="2">
        <f>C6-1</f>
        <v>1</v>
      </c>
      <c r="D8" s="3"/>
      <c r="E8" s="3">
        <f>(100/B12)*C12</f>
        <v>0</v>
      </c>
    </row>
    <row r="9" spans="1:15" x14ac:dyDescent="0.25">
      <c r="A9" t="s">
        <v>125</v>
      </c>
      <c r="B9" t="s">
        <v>122</v>
      </c>
      <c r="C9" t="s">
        <v>123</v>
      </c>
      <c r="E9" s="3">
        <f>(100/B14)*C14</f>
        <v>0</v>
      </c>
    </row>
    <row r="10" spans="1:15" x14ac:dyDescent="0.25">
      <c r="B10" s="2">
        <f>C2</f>
        <v>32</v>
      </c>
      <c r="C10" s="2">
        <f>C8*0.8</f>
        <v>0.8</v>
      </c>
      <c r="D10" s="3"/>
      <c r="E10" s="3">
        <f>(100/B16)*C16</f>
        <v>0</v>
      </c>
    </row>
    <row r="11" spans="1:15" x14ac:dyDescent="0.25">
      <c r="A11" t="s">
        <v>117</v>
      </c>
      <c r="B11" t="s">
        <v>122</v>
      </c>
      <c r="C11" t="s">
        <v>123</v>
      </c>
    </row>
    <row r="12" spans="1:15" x14ac:dyDescent="0.25">
      <c r="B12" s="2">
        <f>C2</f>
        <v>32</v>
      </c>
      <c r="C12" s="2">
        <v>0</v>
      </c>
      <c r="D12" s="3"/>
      <c r="F12" s="2"/>
      <c r="G12" s="2" t="s">
        <v>120</v>
      </c>
      <c r="H12" s="2" t="s">
        <v>126</v>
      </c>
      <c r="L12" s="3" t="s">
        <v>127</v>
      </c>
    </row>
    <row r="13" spans="1:15" ht="30" x14ac:dyDescent="0.25">
      <c r="A13" s="5" t="s">
        <v>118</v>
      </c>
      <c r="B13" t="s">
        <v>122</v>
      </c>
      <c r="C13" t="s">
        <v>123</v>
      </c>
      <c r="F13" s="2" t="s">
        <v>128</v>
      </c>
      <c r="G13" s="2">
        <f>I6</f>
        <v>10</v>
      </c>
      <c r="H13" s="2">
        <f>I7</f>
        <v>30</v>
      </c>
      <c r="L13" s="3" t="s">
        <v>127</v>
      </c>
    </row>
    <row r="14" spans="1:15" x14ac:dyDescent="0.25">
      <c r="B14" s="2">
        <f>C2</f>
        <v>32</v>
      </c>
      <c r="C14" s="2">
        <v>0</v>
      </c>
      <c r="D14" s="3"/>
      <c r="F14" s="2" t="s">
        <v>129</v>
      </c>
      <c r="G14" s="2">
        <f>J6</f>
        <v>2.4242424242424243</v>
      </c>
      <c r="H14" s="2">
        <f>J7</f>
        <v>1.8181818181818181</v>
      </c>
      <c r="L14" s="3"/>
    </row>
    <row r="15" spans="1:15" x14ac:dyDescent="0.25">
      <c r="A15" t="s">
        <v>119</v>
      </c>
      <c r="B15" t="s">
        <v>122</v>
      </c>
      <c r="C15" t="s">
        <v>123</v>
      </c>
      <c r="F15" s="2" t="s">
        <v>115</v>
      </c>
      <c r="G15" s="2">
        <f>K6</f>
        <v>0.46875</v>
      </c>
      <c r="H15" s="2">
        <f>K7</f>
        <v>0.46875</v>
      </c>
      <c r="L15" s="3"/>
    </row>
    <row r="16" spans="1:15" x14ac:dyDescent="0.25">
      <c r="B16" s="2">
        <f>C2</f>
        <v>32</v>
      </c>
      <c r="C16" s="2">
        <v>0</v>
      </c>
      <c r="D16" s="3"/>
      <c r="F16" s="2" t="s">
        <v>116</v>
      </c>
      <c r="G16" s="2">
        <f>L6</f>
        <v>0.25</v>
      </c>
      <c r="H16" s="2">
        <f>L7</f>
        <v>0.25</v>
      </c>
      <c r="L16" s="3"/>
    </row>
    <row r="17" spans="1:12" x14ac:dyDescent="0.25">
      <c r="F17" s="2" t="s">
        <v>117</v>
      </c>
      <c r="G17" s="2">
        <f>M6</f>
        <v>0</v>
      </c>
      <c r="H17" s="2">
        <f>M7</f>
        <v>0</v>
      </c>
      <c r="L17" s="3"/>
    </row>
    <row r="18" spans="1:12" ht="30" x14ac:dyDescent="0.25">
      <c r="F18" s="6" t="s">
        <v>118</v>
      </c>
      <c r="G18" s="2">
        <f>N6</f>
        <v>0</v>
      </c>
      <c r="H18" s="2">
        <f>N7</f>
        <v>0</v>
      </c>
      <c r="L18" s="3"/>
    </row>
    <row r="19" spans="1:12" x14ac:dyDescent="0.25">
      <c r="F19" s="2" t="s">
        <v>119</v>
      </c>
      <c r="G19" s="2">
        <f>O6</f>
        <v>0</v>
      </c>
      <c r="H19" s="2">
        <f>O7</f>
        <v>0</v>
      </c>
      <c r="L19" s="3"/>
    </row>
    <row r="20" spans="1:12" x14ac:dyDescent="0.25">
      <c r="F20" s="2" t="s">
        <v>130</v>
      </c>
      <c r="G20" s="8">
        <f>(G13+G14+G15+G16+G17+G18+G19)/100</f>
        <v>0.13142992424242425</v>
      </c>
      <c r="H20" s="8">
        <f>(H13+H14+H15+H16+H17+H18+H19)/100</f>
        <v>0.32536931818181813</v>
      </c>
      <c r="L20" s="3"/>
    </row>
    <row r="21" spans="1:12" x14ac:dyDescent="0.25">
      <c r="E21" s="7"/>
    </row>
    <row r="23" spans="1:12" x14ac:dyDescent="0.25">
      <c r="A23" s="28" t="s">
        <v>155</v>
      </c>
      <c r="C23" s="29">
        <v>0.01</v>
      </c>
      <c r="D23" s="30">
        <v>0.02</v>
      </c>
    </row>
    <row r="24" spans="1:12" x14ac:dyDescent="0.25">
      <c r="A24" s="28" t="s">
        <v>156</v>
      </c>
      <c r="C24" s="29">
        <v>0.02</v>
      </c>
      <c r="D24" s="30">
        <v>0.04</v>
      </c>
    </row>
    <row r="25" spans="1:12" x14ac:dyDescent="0.25">
      <c r="A25" s="28" t="s">
        <v>157</v>
      </c>
      <c r="C25" s="29">
        <v>0.04</v>
      </c>
      <c r="D25" s="30">
        <v>0.08</v>
      </c>
    </row>
    <row r="26" spans="1:12" x14ac:dyDescent="0.25">
      <c r="A26" s="28" t="s">
        <v>158</v>
      </c>
      <c r="C26" s="29">
        <v>0.05</v>
      </c>
      <c r="D26" s="30">
        <v>0.15</v>
      </c>
    </row>
    <row r="27" spans="1:12" x14ac:dyDescent="0.25">
      <c r="A27" s="28" t="s">
        <v>159</v>
      </c>
      <c r="C27" s="29">
        <v>7.0000000000000007E-2</v>
      </c>
      <c r="D27" s="30">
        <v>0.2</v>
      </c>
    </row>
    <row r="28" spans="1:12" ht="15.75" thickBot="1" x14ac:dyDescent="0.3">
      <c r="A28" s="31" t="s">
        <v>160</v>
      </c>
      <c r="C28" s="32">
        <v>0.1</v>
      </c>
      <c r="D28" s="33">
        <v>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E21" sqref="E21"/>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105</v>
      </c>
      <c r="B2" s="1" t="s">
        <v>106</v>
      </c>
      <c r="C2" s="1">
        <v>32</v>
      </c>
    </row>
    <row r="3" spans="1:15" x14ac:dyDescent="0.25">
      <c r="B3" t="s">
        <v>107</v>
      </c>
      <c r="C3" t="s">
        <v>108</v>
      </c>
    </row>
    <row r="4" spans="1:15" x14ac:dyDescent="0.25">
      <c r="A4" t="s">
        <v>109</v>
      </c>
      <c r="B4" s="2">
        <v>10</v>
      </c>
      <c r="C4" s="2">
        <v>10</v>
      </c>
      <c r="D4" s="3"/>
      <c r="E4" s="3">
        <f>(100/B4)*C4</f>
        <v>100</v>
      </c>
    </row>
    <row r="5" spans="1:15" x14ac:dyDescent="0.25">
      <c r="A5" t="s">
        <v>110</v>
      </c>
      <c r="B5" t="s">
        <v>111</v>
      </c>
      <c r="C5" t="s">
        <v>112</v>
      </c>
      <c r="E5" s="3">
        <f>(100/B6)*C6</f>
        <v>3.0303030303030303</v>
      </c>
      <c r="I5" s="2" t="s">
        <v>113</v>
      </c>
      <c r="J5" s="2" t="s">
        <v>114</v>
      </c>
      <c r="K5" s="2" t="s">
        <v>115</v>
      </c>
      <c r="L5" s="2" t="s">
        <v>116</v>
      </c>
      <c r="M5" s="2" t="s">
        <v>117</v>
      </c>
      <c r="N5" s="2" t="s">
        <v>118</v>
      </c>
      <c r="O5" s="2" t="s">
        <v>119</v>
      </c>
    </row>
    <row r="6" spans="1:15" x14ac:dyDescent="0.25">
      <c r="B6" s="2">
        <f>C2+1</f>
        <v>33</v>
      </c>
      <c r="C6" s="2">
        <v>1</v>
      </c>
      <c r="E6" s="3">
        <f>(100/B8)*C8</f>
        <v>0</v>
      </c>
      <c r="F6" s="4" t="s">
        <v>120</v>
      </c>
      <c r="I6" s="4">
        <f>C4</f>
        <v>10</v>
      </c>
      <c r="J6" s="4">
        <f>40/B6*C6</f>
        <v>1.2121212121212122</v>
      </c>
      <c r="K6" s="4">
        <f>15/B8*C8</f>
        <v>0</v>
      </c>
      <c r="L6" s="4">
        <f>10/B10*C10</f>
        <v>0</v>
      </c>
      <c r="M6" s="4">
        <f>10/B12*C12</f>
        <v>0</v>
      </c>
      <c r="N6" s="4">
        <f>5/B14*C14</f>
        <v>0</v>
      </c>
      <c r="O6" s="4">
        <f>5/B16*C16</f>
        <v>0</v>
      </c>
    </row>
    <row r="7" spans="1:15" x14ac:dyDescent="0.25">
      <c r="A7" t="s">
        <v>121</v>
      </c>
      <c r="B7" t="s">
        <v>122</v>
      </c>
      <c r="C7" t="s">
        <v>123</v>
      </c>
      <c r="E7" s="3">
        <f>(100/B10)*C10</f>
        <v>0</v>
      </c>
      <c r="F7" s="2" t="s">
        <v>124</v>
      </c>
      <c r="G7" s="2"/>
      <c r="H7" s="2"/>
      <c r="I7" s="2">
        <f>I6+20</f>
        <v>30</v>
      </c>
      <c r="J7" s="2">
        <f>30/B6*C6</f>
        <v>0.90909090909090906</v>
      </c>
      <c r="K7" s="2">
        <f>15/B8*C8</f>
        <v>0</v>
      </c>
      <c r="L7" s="2">
        <f>10/B10*C10</f>
        <v>0</v>
      </c>
      <c r="M7" s="2">
        <f>5/B12*C12</f>
        <v>0</v>
      </c>
      <c r="N7" s="2">
        <f>5/B14*C14</f>
        <v>0</v>
      </c>
      <c r="O7" s="2">
        <f>5/B16*C16</f>
        <v>0</v>
      </c>
    </row>
    <row r="8" spans="1:15" x14ac:dyDescent="0.25">
      <c r="B8" s="2">
        <f>C2</f>
        <v>32</v>
      </c>
      <c r="C8" s="2">
        <v>0</v>
      </c>
      <c r="D8" s="3"/>
      <c r="E8" s="3">
        <f>(100/B12)*C12</f>
        <v>0</v>
      </c>
    </row>
    <row r="9" spans="1:15" x14ac:dyDescent="0.25">
      <c r="A9" t="s">
        <v>125</v>
      </c>
      <c r="B9" t="s">
        <v>122</v>
      </c>
      <c r="C9" t="s">
        <v>123</v>
      </c>
      <c r="E9" s="3">
        <f>(100/B14)*C14</f>
        <v>0</v>
      </c>
    </row>
    <row r="10" spans="1:15" x14ac:dyDescent="0.25">
      <c r="B10" s="2">
        <f>C2</f>
        <v>32</v>
      </c>
      <c r="C10" s="2">
        <v>0</v>
      </c>
      <c r="D10" s="3"/>
      <c r="E10" s="3">
        <f>(100/B16)*C16</f>
        <v>0</v>
      </c>
    </row>
    <row r="11" spans="1:15" x14ac:dyDescent="0.25">
      <c r="A11" t="s">
        <v>117</v>
      </c>
      <c r="B11" t="s">
        <v>122</v>
      </c>
      <c r="C11" t="s">
        <v>123</v>
      </c>
    </row>
    <row r="12" spans="1:15" x14ac:dyDescent="0.25">
      <c r="B12" s="2">
        <f>C2</f>
        <v>32</v>
      </c>
      <c r="C12" s="2">
        <v>0</v>
      </c>
      <c r="D12" s="3"/>
      <c r="F12" s="2"/>
      <c r="G12" s="2" t="s">
        <v>120</v>
      </c>
      <c r="H12" s="2" t="s">
        <v>126</v>
      </c>
      <c r="L12" s="3" t="s">
        <v>127</v>
      </c>
    </row>
    <row r="13" spans="1:15" ht="30" x14ac:dyDescent="0.25">
      <c r="A13" s="5" t="s">
        <v>118</v>
      </c>
      <c r="B13" t="s">
        <v>122</v>
      </c>
      <c r="C13" t="s">
        <v>123</v>
      </c>
      <c r="F13" s="2" t="s">
        <v>128</v>
      </c>
      <c r="G13" s="2">
        <f>I6</f>
        <v>10</v>
      </c>
      <c r="H13" s="2">
        <f>I7</f>
        <v>30</v>
      </c>
      <c r="L13" s="3" t="s">
        <v>127</v>
      </c>
    </row>
    <row r="14" spans="1:15" x14ac:dyDescent="0.25">
      <c r="B14" s="2">
        <f>C2</f>
        <v>32</v>
      </c>
      <c r="C14" s="2">
        <v>0</v>
      </c>
      <c r="D14" s="3"/>
      <c r="F14" s="2" t="s">
        <v>129</v>
      </c>
      <c r="G14" s="2">
        <f>J6</f>
        <v>1.2121212121212122</v>
      </c>
      <c r="H14" s="2">
        <f>J7</f>
        <v>0.90909090909090906</v>
      </c>
      <c r="L14" s="3"/>
    </row>
    <row r="15" spans="1:15" x14ac:dyDescent="0.25">
      <c r="A15" t="s">
        <v>119</v>
      </c>
      <c r="B15" t="s">
        <v>122</v>
      </c>
      <c r="C15" t="s">
        <v>123</v>
      </c>
      <c r="F15" s="2" t="s">
        <v>115</v>
      </c>
      <c r="G15" s="2">
        <f>K6</f>
        <v>0</v>
      </c>
      <c r="H15" s="2">
        <f>K7</f>
        <v>0</v>
      </c>
      <c r="L15" s="3"/>
    </row>
    <row r="16" spans="1:15" x14ac:dyDescent="0.25">
      <c r="B16" s="2">
        <f>C2</f>
        <v>32</v>
      </c>
      <c r="C16" s="2">
        <v>0</v>
      </c>
      <c r="D16" s="3"/>
      <c r="F16" s="2" t="s">
        <v>116</v>
      </c>
      <c r="G16" s="2">
        <f>L6</f>
        <v>0</v>
      </c>
      <c r="H16" s="2">
        <f>L7</f>
        <v>0</v>
      </c>
      <c r="L16" s="3"/>
    </row>
    <row r="17" spans="1:12" x14ac:dyDescent="0.25">
      <c r="F17" s="2" t="s">
        <v>117</v>
      </c>
      <c r="G17" s="2">
        <f>M6</f>
        <v>0</v>
      </c>
      <c r="H17" s="2">
        <f>M7</f>
        <v>0</v>
      </c>
      <c r="L17" s="3"/>
    </row>
    <row r="18" spans="1:12" ht="30" x14ac:dyDescent="0.25">
      <c r="F18" s="6" t="s">
        <v>118</v>
      </c>
      <c r="G18" s="2">
        <f>N6</f>
        <v>0</v>
      </c>
      <c r="H18" s="2">
        <f>N7</f>
        <v>0</v>
      </c>
      <c r="L18" s="3"/>
    </row>
    <row r="19" spans="1:12" x14ac:dyDescent="0.25">
      <c r="F19" s="2" t="s">
        <v>119</v>
      </c>
      <c r="G19" s="2">
        <f>O6</f>
        <v>0</v>
      </c>
      <c r="H19" s="2">
        <f>O7</f>
        <v>0</v>
      </c>
      <c r="L19" s="3"/>
    </row>
    <row r="20" spans="1:12" x14ac:dyDescent="0.25">
      <c r="F20" s="2" t="s">
        <v>130</v>
      </c>
      <c r="G20" s="8">
        <f>(G13+G14+G15+G16+G17+G18+G19)/100</f>
        <v>0.11212121212121212</v>
      </c>
      <c r="H20" s="8">
        <f>(H13+H14+H15+H16+H17+H18+H19)/100</f>
        <v>0.30909090909090908</v>
      </c>
      <c r="L20" s="3"/>
    </row>
    <row r="21" spans="1:12" x14ac:dyDescent="0.25">
      <c r="E21" s="7"/>
    </row>
    <row r="23" spans="1:12" x14ac:dyDescent="0.25">
      <c r="A23" s="28" t="s">
        <v>155</v>
      </c>
      <c r="C23" s="29">
        <v>0.01</v>
      </c>
      <c r="D23" s="30">
        <v>0.02</v>
      </c>
    </row>
    <row r="24" spans="1:12" x14ac:dyDescent="0.25">
      <c r="A24" s="28" t="s">
        <v>156</v>
      </c>
      <c r="C24" s="29">
        <v>0.02</v>
      </c>
      <c r="D24" s="30">
        <v>0.04</v>
      </c>
    </row>
    <row r="25" spans="1:12" x14ac:dyDescent="0.25">
      <c r="A25" s="28" t="s">
        <v>157</v>
      </c>
      <c r="C25" s="29">
        <v>0.04</v>
      </c>
      <c r="D25" s="30">
        <v>0.08</v>
      </c>
    </row>
    <row r="26" spans="1:12" x14ac:dyDescent="0.25">
      <c r="A26" s="28" t="s">
        <v>158</v>
      </c>
      <c r="C26" s="29">
        <v>0.05</v>
      </c>
      <c r="D26" s="30">
        <v>0.15</v>
      </c>
    </row>
    <row r="27" spans="1:12" x14ac:dyDescent="0.25">
      <c r="A27" s="28" t="s">
        <v>159</v>
      </c>
      <c r="C27" s="29">
        <v>7.0000000000000007E-2</v>
      </c>
      <c r="D27" s="30">
        <v>0.2</v>
      </c>
    </row>
    <row r="28" spans="1:12" ht="15.75" thickBot="1" x14ac:dyDescent="0.3">
      <c r="A28" s="31" t="s">
        <v>160</v>
      </c>
      <c r="C28" s="32">
        <v>0.1</v>
      </c>
      <c r="D28" s="33">
        <v>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C7" sqref="C7"/>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105</v>
      </c>
      <c r="B2" s="1" t="s">
        <v>106</v>
      </c>
      <c r="C2" s="1">
        <v>32</v>
      </c>
    </row>
    <row r="3" spans="1:15" x14ac:dyDescent="0.25">
      <c r="B3" t="s">
        <v>107</v>
      </c>
      <c r="C3" t="s">
        <v>108</v>
      </c>
    </row>
    <row r="4" spans="1:15" x14ac:dyDescent="0.25">
      <c r="A4" t="s">
        <v>109</v>
      </c>
      <c r="B4" s="2">
        <v>10</v>
      </c>
      <c r="C4" s="2">
        <v>10</v>
      </c>
      <c r="D4" s="3"/>
      <c r="E4" s="3">
        <f>(100/B4)*C4</f>
        <v>100</v>
      </c>
    </row>
    <row r="5" spans="1:15" x14ac:dyDescent="0.25">
      <c r="A5" t="s">
        <v>110</v>
      </c>
      <c r="B5" t="s">
        <v>111</v>
      </c>
      <c r="C5" t="s">
        <v>112</v>
      </c>
      <c r="E5" s="3">
        <f>(100/B6)*C6</f>
        <v>0</v>
      </c>
      <c r="I5" s="2" t="s">
        <v>113</v>
      </c>
      <c r="J5" s="2" t="s">
        <v>114</v>
      </c>
      <c r="K5" s="2" t="s">
        <v>115</v>
      </c>
      <c r="L5" s="2" t="s">
        <v>116</v>
      </c>
      <c r="M5" s="2" t="s">
        <v>117</v>
      </c>
      <c r="N5" s="2" t="s">
        <v>118</v>
      </c>
      <c r="O5" s="2" t="s">
        <v>119</v>
      </c>
    </row>
    <row r="6" spans="1:15" x14ac:dyDescent="0.25">
      <c r="B6" s="2">
        <f>C2+1</f>
        <v>33</v>
      </c>
      <c r="C6" s="2">
        <v>0</v>
      </c>
      <c r="E6" s="3">
        <f>(100/B8)*C8</f>
        <v>0</v>
      </c>
      <c r="F6" s="4" t="s">
        <v>120</v>
      </c>
      <c r="I6" s="4">
        <f>C4</f>
        <v>10</v>
      </c>
      <c r="J6" s="4">
        <f>40/B6*C6</f>
        <v>0</v>
      </c>
      <c r="K6" s="4">
        <f>15/B8*C8</f>
        <v>0</v>
      </c>
      <c r="L6" s="4">
        <f>10/B10*C10</f>
        <v>0</v>
      </c>
      <c r="M6" s="4">
        <f>10/B12*C12</f>
        <v>0</v>
      </c>
      <c r="N6" s="4">
        <f>5/B14*C14</f>
        <v>0</v>
      </c>
      <c r="O6" s="4">
        <f>5/B16*C16</f>
        <v>0</v>
      </c>
    </row>
    <row r="7" spans="1:15" x14ac:dyDescent="0.25">
      <c r="A7" t="s">
        <v>121</v>
      </c>
      <c r="B7" t="s">
        <v>122</v>
      </c>
      <c r="C7" t="s">
        <v>123</v>
      </c>
      <c r="E7" s="3">
        <f>(100/B10)*C10</f>
        <v>0</v>
      </c>
      <c r="F7" s="2" t="s">
        <v>124</v>
      </c>
      <c r="G7" s="2"/>
      <c r="H7" s="2"/>
      <c r="I7" s="2">
        <f>I6+20</f>
        <v>30</v>
      </c>
      <c r="J7" s="2">
        <f>30/B6*C6</f>
        <v>0</v>
      </c>
      <c r="K7" s="2">
        <f>15/B8*C8</f>
        <v>0</v>
      </c>
      <c r="L7" s="2">
        <f>10/B10*C10</f>
        <v>0</v>
      </c>
      <c r="M7" s="2">
        <f>5/B12*C12</f>
        <v>0</v>
      </c>
      <c r="N7" s="2">
        <f>5/B14*C14</f>
        <v>0</v>
      </c>
      <c r="O7" s="2">
        <f>5/B16*C16</f>
        <v>0</v>
      </c>
    </row>
    <row r="8" spans="1:15" x14ac:dyDescent="0.25">
      <c r="B8" s="2">
        <f>C2</f>
        <v>32</v>
      </c>
      <c r="C8" s="2">
        <v>0</v>
      </c>
      <c r="D8" s="3"/>
      <c r="E8" s="3">
        <f>(100/B12)*C12</f>
        <v>0</v>
      </c>
    </row>
    <row r="9" spans="1:15" x14ac:dyDescent="0.25">
      <c r="A9" t="s">
        <v>125</v>
      </c>
      <c r="B9" t="s">
        <v>122</v>
      </c>
      <c r="C9" t="s">
        <v>123</v>
      </c>
      <c r="E9" s="3">
        <f>(100/B14)*C14</f>
        <v>0</v>
      </c>
    </row>
    <row r="10" spans="1:15" x14ac:dyDescent="0.25">
      <c r="B10" s="2">
        <f>C2</f>
        <v>32</v>
      </c>
      <c r="C10" s="2">
        <v>0</v>
      </c>
      <c r="D10" s="3"/>
      <c r="E10" s="3">
        <f>(100/B16)*C16</f>
        <v>0</v>
      </c>
    </row>
    <row r="11" spans="1:15" x14ac:dyDescent="0.25">
      <c r="A11" t="s">
        <v>117</v>
      </c>
      <c r="B11" t="s">
        <v>122</v>
      </c>
      <c r="C11" t="s">
        <v>123</v>
      </c>
    </row>
    <row r="12" spans="1:15" x14ac:dyDescent="0.25">
      <c r="B12" s="2">
        <f>C2</f>
        <v>32</v>
      </c>
      <c r="C12" s="2">
        <v>0</v>
      </c>
      <c r="D12" s="3"/>
      <c r="F12" s="2"/>
      <c r="G12" s="2" t="s">
        <v>120</v>
      </c>
      <c r="H12" s="2" t="s">
        <v>126</v>
      </c>
      <c r="L12" s="3" t="s">
        <v>127</v>
      </c>
    </row>
    <row r="13" spans="1:15" ht="30" x14ac:dyDescent="0.25">
      <c r="A13" s="5" t="s">
        <v>118</v>
      </c>
      <c r="B13" t="s">
        <v>122</v>
      </c>
      <c r="C13" t="s">
        <v>123</v>
      </c>
      <c r="F13" s="2" t="s">
        <v>128</v>
      </c>
      <c r="G13" s="2">
        <f>I6</f>
        <v>10</v>
      </c>
      <c r="H13" s="2">
        <f>I7</f>
        <v>30</v>
      </c>
      <c r="L13" s="3" t="s">
        <v>127</v>
      </c>
    </row>
    <row r="14" spans="1:15" x14ac:dyDescent="0.25">
      <c r="B14" s="2">
        <f>C2</f>
        <v>32</v>
      </c>
      <c r="C14" s="2">
        <v>0</v>
      </c>
      <c r="D14" s="3"/>
      <c r="F14" s="2" t="s">
        <v>129</v>
      </c>
      <c r="G14" s="2">
        <f>J6</f>
        <v>0</v>
      </c>
      <c r="H14" s="2">
        <f>J7</f>
        <v>0</v>
      </c>
      <c r="L14" s="3"/>
    </row>
    <row r="15" spans="1:15" x14ac:dyDescent="0.25">
      <c r="A15" t="s">
        <v>119</v>
      </c>
      <c r="B15" t="s">
        <v>122</v>
      </c>
      <c r="C15" t="s">
        <v>123</v>
      </c>
      <c r="F15" s="2" t="s">
        <v>115</v>
      </c>
      <c r="G15" s="2">
        <f>K6</f>
        <v>0</v>
      </c>
      <c r="H15" s="2">
        <f>K7</f>
        <v>0</v>
      </c>
      <c r="L15" s="3"/>
    </row>
    <row r="16" spans="1:15" x14ac:dyDescent="0.25">
      <c r="B16" s="2">
        <f>C2</f>
        <v>32</v>
      </c>
      <c r="C16" s="2">
        <v>0</v>
      </c>
      <c r="D16" s="3"/>
      <c r="F16" s="2" t="s">
        <v>116</v>
      </c>
      <c r="G16" s="2">
        <f>L6</f>
        <v>0</v>
      </c>
      <c r="H16" s="2">
        <f>L7</f>
        <v>0</v>
      </c>
      <c r="L16" s="3"/>
    </row>
    <row r="17" spans="1:12" x14ac:dyDescent="0.25">
      <c r="F17" s="2" t="s">
        <v>117</v>
      </c>
      <c r="G17" s="2">
        <f>M6</f>
        <v>0</v>
      </c>
      <c r="H17" s="2">
        <f>M7</f>
        <v>0</v>
      </c>
      <c r="L17" s="3"/>
    </row>
    <row r="18" spans="1:12" ht="30" x14ac:dyDescent="0.25">
      <c r="F18" s="6" t="s">
        <v>118</v>
      </c>
      <c r="G18" s="2">
        <f>N6</f>
        <v>0</v>
      </c>
      <c r="H18" s="2">
        <f>N7</f>
        <v>0</v>
      </c>
      <c r="L18" s="3"/>
    </row>
    <row r="19" spans="1:12" x14ac:dyDescent="0.25">
      <c r="F19" s="2" t="s">
        <v>119</v>
      </c>
      <c r="G19" s="2">
        <f>O6</f>
        <v>0</v>
      </c>
      <c r="H19" s="2">
        <f>O7</f>
        <v>0</v>
      </c>
      <c r="L19" s="3"/>
    </row>
    <row r="20" spans="1:12" x14ac:dyDescent="0.25">
      <c r="F20" s="2" t="s">
        <v>130</v>
      </c>
      <c r="G20" s="8">
        <f>(G13+G14+G15+G16+G17+G18+G19)/100</f>
        <v>0.1</v>
      </c>
      <c r="H20" s="8">
        <f>(H13+H14+H15+H16+H17+H18+H19)/100</f>
        <v>0.3</v>
      </c>
      <c r="L20" s="3"/>
    </row>
    <row r="21" spans="1:12" x14ac:dyDescent="0.25">
      <c r="E21" s="7"/>
    </row>
    <row r="23" spans="1:12" x14ac:dyDescent="0.25">
      <c r="A23" s="28" t="s">
        <v>155</v>
      </c>
      <c r="C23" s="29">
        <v>0.01</v>
      </c>
      <c r="D23" s="30">
        <v>0.02</v>
      </c>
    </row>
    <row r="24" spans="1:12" x14ac:dyDescent="0.25">
      <c r="A24" s="28" t="s">
        <v>156</v>
      </c>
      <c r="C24" s="29">
        <v>0.02</v>
      </c>
      <c r="D24" s="30">
        <v>0.04</v>
      </c>
    </row>
    <row r="25" spans="1:12" x14ac:dyDescent="0.25">
      <c r="A25" s="28" t="s">
        <v>157</v>
      </c>
      <c r="C25" s="29">
        <v>0.04</v>
      </c>
      <c r="D25" s="30">
        <v>0.08</v>
      </c>
    </row>
    <row r="26" spans="1:12" x14ac:dyDescent="0.25">
      <c r="A26" s="28" t="s">
        <v>158</v>
      </c>
      <c r="C26" s="29">
        <v>0.05</v>
      </c>
      <c r="D26" s="30">
        <v>0.15</v>
      </c>
    </row>
    <row r="27" spans="1:12" x14ac:dyDescent="0.25">
      <c r="A27" s="28" t="s">
        <v>159</v>
      </c>
      <c r="C27" s="29">
        <v>7.0000000000000007E-2</v>
      </c>
      <c r="D27" s="30">
        <v>0.2</v>
      </c>
    </row>
    <row r="28" spans="1:12" ht="15.75" thickBot="1" x14ac:dyDescent="0.3">
      <c r="A28" s="31" t="s">
        <v>160</v>
      </c>
      <c r="C28" s="32">
        <v>0.1</v>
      </c>
      <c r="D28" s="33">
        <v>0.3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
  <sheetViews>
    <sheetView workbookViewId="0">
      <selection activeCell="C7" sqref="C7"/>
    </sheetView>
  </sheetViews>
  <sheetFormatPr defaultRowHeight="15" x14ac:dyDescent="0.25"/>
  <cols>
    <col min="2" max="2" width="11.7109375" customWidth="1"/>
    <col min="258" max="258" width="11.7109375" customWidth="1"/>
    <col min="514" max="514" width="11.7109375" customWidth="1"/>
    <col min="770" max="770" width="11.7109375" customWidth="1"/>
    <col min="1026" max="1026" width="11.7109375" customWidth="1"/>
    <col min="1282" max="1282" width="11.7109375" customWidth="1"/>
    <col min="1538" max="1538" width="11.7109375" customWidth="1"/>
    <col min="1794" max="1794" width="11.7109375" customWidth="1"/>
    <col min="2050" max="2050" width="11.7109375" customWidth="1"/>
    <col min="2306" max="2306" width="11.7109375" customWidth="1"/>
    <col min="2562" max="2562" width="11.7109375" customWidth="1"/>
    <col min="2818" max="2818" width="11.7109375" customWidth="1"/>
    <col min="3074" max="3074" width="11.7109375" customWidth="1"/>
    <col min="3330" max="3330" width="11.7109375" customWidth="1"/>
    <col min="3586" max="3586" width="11.7109375" customWidth="1"/>
    <col min="3842" max="3842" width="11.7109375" customWidth="1"/>
    <col min="4098" max="4098" width="11.7109375" customWidth="1"/>
    <col min="4354" max="4354" width="11.7109375" customWidth="1"/>
    <col min="4610" max="4610" width="11.7109375" customWidth="1"/>
    <col min="4866" max="4866" width="11.7109375" customWidth="1"/>
    <col min="5122" max="5122" width="11.7109375" customWidth="1"/>
    <col min="5378" max="5378" width="11.7109375" customWidth="1"/>
    <col min="5634" max="5634" width="11.7109375" customWidth="1"/>
    <col min="5890" max="5890" width="11.7109375" customWidth="1"/>
    <col min="6146" max="6146" width="11.7109375" customWidth="1"/>
    <col min="6402" max="6402" width="11.7109375" customWidth="1"/>
    <col min="6658" max="6658" width="11.7109375" customWidth="1"/>
    <col min="6914" max="6914" width="11.7109375" customWidth="1"/>
    <col min="7170" max="7170" width="11.7109375" customWidth="1"/>
    <col min="7426" max="7426" width="11.7109375" customWidth="1"/>
    <col min="7682" max="7682" width="11.7109375" customWidth="1"/>
    <col min="7938" max="7938" width="11.7109375" customWidth="1"/>
    <col min="8194" max="8194" width="11.7109375" customWidth="1"/>
    <col min="8450" max="8450" width="11.7109375" customWidth="1"/>
    <col min="8706" max="8706" width="11.7109375" customWidth="1"/>
    <col min="8962" max="8962" width="11.7109375" customWidth="1"/>
    <col min="9218" max="9218" width="11.7109375" customWidth="1"/>
    <col min="9474" max="9474" width="11.7109375" customWidth="1"/>
    <col min="9730" max="9730" width="11.7109375" customWidth="1"/>
    <col min="9986" max="9986" width="11.7109375" customWidth="1"/>
    <col min="10242" max="10242" width="11.7109375" customWidth="1"/>
    <col min="10498" max="10498" width="11.7109375" customWidth="1"/>
    <col min="10754" max="10754" width="11.7109375" customWidth="1"/>
    <col min="11010" max="11010" width="11.7109375" customWidth="1"/>
    <col min="11266" max="11266" width="11.7109375" customWidth="1"/>
    <col min="11522" max="11522" width="11.7109375" customWidth="1"/>
    <col min="11778" max="11778" width="11.7109375" customWidth="1"/>
    <col min="12034" max="12034" width="11.7109375" customWidth="1"/>
    <col min="12290" max="12290" width="11.7109375" customWidth="1"/>
    <col min="12546" max="12546" width="11.7109375" customWidth="1"/>
    <col min="12802" max="12802" width="11.7109375" customWidth="1"/>
    <col min="13058" max="13058" width="11.7109375" customWidth="1"/>
    <col min="13314" max="13314" width="11.7109375" customWidth="1"/>
    <col min="13570" max="13570" width="11.7109375" customWidth="1"/>
    <col min="13826" max="13826" width="11.7109375" customWidth="1"/>
    <col min="14082" max="14082" width="11.7109375" customWidth="1"/>
    <col min="14338" max="14338" width="11.7109375" customWidth="1"/>
    <col min="14594" max="14594" width="11.7109375" customWidth="1"/>
    <col min="14850" max="14850" width="11.7109375" customWidth="1"/>
    <col min="15106" max="15106" width="11.7109375" customWidth="1"/>
    <col min="15362" max="15362" width="11.7109375" customWidth="1"/>
    <col min="15618" max="15618" width="11.7109375" customWidth="1"/>
    <col min="15874" max="15874" width="11.7109375" customWidth="1"/>
    <col min="16130" max="16130" width="11.7109375" customWidth="1"/>
  </cols>
  <sheetData>
    <row r="2" spans="1:15" x14ac:dyDescent="0.25">
      <c r="A2" t="s">
        <v>105</v>
      </c>
      <c r="B2" s="1" t="s">
        <v>106</v>
      </c>
      <c r="C2" s="1">
        <v>32</v>
      </c>
    </row>
    <row r="3" spans="1:15" x14ac:dyDescent="0.25">
      <c r="B3" t="s">
        <v>107</v>
      </c>
      <c r="C3" t="s">
        <v>108</v>
      </c>
    </row>
    <row r="4" spans="1:15" x14ac:dyDescent="0.25">
      <c r="A4" t="s">
        <v>109</v>
      </c>
      <c r="B4" s="2">
        <v>10</v>
      </c>
      <c r="C4" s="2">
        <v>10</v>
      </c>
      <c r="D4" s="3"/>
      <c r="E4" s="3">
        <f>(100/B4)*C4</f>
        <v>100</v>
      </c>
    </row>
    <row r="5" spans="1:15" x14ac:dyDescent="0.25">
      <c r="A5" t="s">
        <v>110</v>
      </c>
      <c r="B5" t="s">
        <v>111</v>
      </c>
      <c r="C5" t="s">
        <v>112</v>
      </c>
      <c r="E5" s="3">
        <f>(100/B6)*C6</f>
        <v>3.0303030303030303</v>
      </c>
      <c r="I5" s="2" t="s">
        <v>113</v>
      </c>
      <c r="J5" s="2" t="s">
        <v>114</v>
      </c>
      <c r="K5" s="2" t="s">
        <v>115</v>
      </c>
      <c r="L5" s="2" t="s">
        <v>116</v>
      </c>
      <c r="M5" s="2" t="s">
        <v>117</v>
      </c>
      <c r="N5" s="2" t="s">
        <v>118</v>
      </c>
      <c r="O5" s="2" t="s">
        <v>119</v>
      </c>
    </row>
    <row r="6" spans="1:15" x14ac:dyDescent="0.25">
      <c r="B6" s="2">
        <f>C2+1</f>
        <v>33</v>
      </c>
      <c r="C6" s="2">
        <v>1</v>
      </c>
      <c r="E6" s="3">
        <f>(100/B8)*C8</f>
        <v>0</v>
      </c>
      <c r="F6" s="4" t="s">
        <v>120</v>
      </c>
      <c r="I6" s="4">
        <f>C4</f>
        <v>10</v>
      </c>
      <c r="J6" s="4">
        <f>40/B6*C6</f>
        <v>1.2121212121212122</v>
      </c>
      <c r="K6" s="4">
        <f>15/B8*C8</f>
        <v>0</v>
      </c>
      <c r="L6" s="4">
        <f>10/B10*C10</f>
        <v>0</v>
      </c>
      <c r="M6" s="4">
        <f>10/B12*C12</f>
        <v>0</v>
      </c>
      <c r="N6" s="4">
        <f>5/B14*C14</f>
        <v>0</v>
      </c>
      <c r="O6" s="4">
        <f>5/B16*C16</f>
        <v>0</v>
      </c>
    </row>
    <row r="7" spans="1:15" x14ac:dyDescent="0.25">
      <c r="A7" t="s">
        <v>121</v>
      </c>
      <c r="B7" t="s">
        <v>122</v>
      </c>
      <c r="C7" t="s">
        <v>123</v>
      </c>
      <c r="E7" s="3">
        <f>(100/B10)*C10</f>
        <v>0</v>
      </c>
      <c r="F7" s="2" t="s">
        <v>124</v>
      </c>
      <c r="G7" s="2"/>
      <c r="H7" s="2"/>
      <c r="I7" s="2">
        <f>I6+20</f>
        <v>30</v>
      </c>
      <c r="J7" s="2">
        <f>30/B6*C6</f>
        <v>0.90909090909090906</v>
      </c>
      <c r="K7" s="2">
        <f>15/B8*C8</f>
        <v>0</v>
      </c>
      <c r="L7" s="2">
        <f>10/B10*C10</f>
        <v>0</v>
      </c>
      <c r="M7" s="2">
        <f>5/B12*C12</f>
        <v>0</v>
      </c>
      <c r="N7" s="2">
        <f>5/B14*C14</f>
        <v>0</v>
      </c>
      <c r="O7" s="2">
        <f>5/B16*C16</f>
        <v>0</v>
      </c>
    </row>
    <row r="8" spans="1:15" x14ac:dyDescent="0.25">
      <c r="B8" s="2">
        <f>C2</f>
        <v>32</v>
      </c>
      <c r="C8" s="2">
        <v>0</v>
      </c>
      <c r="D8" s="3"/>
      <c r="E8" s="3">
        <f>(100/B12)*C12</f>
        <v>0</v>
      </c>
    </row>
    <row r="9" spans="1:15" x14ac:dyDescent="0.25">
      <c r="A9" t="s">
        <v>125</v>
      </c>
      <c r="B9" t="s">
        <v>122</v>
      </c>
      <c r="C9" t="s">
        <v>123</v>
      </c>
      <c r="E9" s="3">
        <f>(100/B14)*C14</f>
        <v>0</v>
      </c>
    </row>
    <row r="10" spans="1:15" x14ac:dyDescent="0.25">
      <c r="B10" s="2">
        <f>C2</f>
        <v>32</v>
      </c>
      <c r="C10" s="2">
        <v>0</v>
      </c>
      <c r="D10" s="3"/>
      <c r="E10" s="3">
        <f>(100/B16)*C16</f>
        <v>0</v>
      </c>
    </row>
    <row r="11" spans="1:15" x14ac:dyDescent="0.25">
      <c r="A11" t="s">
        <v>117</v>
      </c>
      <c r="B11" t="s">
        <v>122</v>
      </c>
      <c r="C11" t="s">
        <v>123</v>
      </c>
    </row>
    <row r="12" spans="1:15" x14ac:dyDescent="0.25">
      <c r="B12" s="2">
        <f>C2</f>
        <v>32</v>
      </c>
      <c r="C12" s="2">
        <v>0</v>
      </c>
      <c r="D12" s="3"/>
      <c r="F12" s="2"/>
      <c r="G12" s="2" t="s">
        <v>120</v>
      </c>
      <c r="H12" s="2" t="s">
        <v>126</v>
      </c>
      <c r="L12" s="3" t="s">
        <v>127</v>
      </c>
    </row>
    <row r="13" spans="1:15" ht="30" x14ac:dyDescent="0.25">
      <c r="A13" s="5" t="s">
        <v>118</v>
      </c>
      <c r="B13" t="s">
        <v>122</v>
      </c>
      <c r="C13" t="s">
        <v>123</v>
      </c>
      <c r="F13" s="2" t="s">
        <v>128</v>
      </c>
      <c r="G13" s="2">
        <f>I6</f>
        <v>10</v>
      </c>
      <c r="H13" s="2">
        <f>I7</f>
        <v>30</v>
      </c>
      <c r="L13" s="3" t="s">
        <v>127</v>
      </c>
    </row>
    <row r="14" spans="1:15" x14ac:dyDescent="0.25">
      <c r="B14" s="2">
        <f>C2</f>
        <v>32</v>
      </c>
      <c r="C14" s="2">
        <v>0</v>
      </c>
      <c r="D14" s="3"/>
      <c r="F14" s="2" t="s">
        <v>129</v>
      </c>
      <c r="G14" s="2">
        <f>J6</f>
        <v>1.2121212121212122</v>
      </c>
      <c r="H14" s="2">
        <f>J7</f>
        <v>0.90909090909090906</v>
      </c>
      <c r="L14" s="3"/>
    </row>
    <row r="15" spans="1:15" x14ac:dyDescent="0.25">
      <c r="A15" t="s">
        <v>119</v>
      </c>
      <c r="B15" t="s">
        <v>122</v>
      </c>
      <c r="C15" t="s">
        <v>123</v>
      </c>
      <c r="F15" s="2" t="s">
        <v>115</v>
      </c>
      <c r="G15" s="2">
        <f>K6</f>
        <v>0</v>
      </c>
      <c r="H15" s="2">
        <f>K7</f>
        <v>0</v>
      </c>
      <c r="L15" s="3"/>
    </row>
    <row r="16" spans="1:15" x14ac:dyDescent="0.25">
      <c r="B16" s="2">
        <f>C2</f>
        <v>32</v>
      </c>
      <c r="C16" s="2">
        <v>0</v>
      </c>
      <c r="D16" s="3"/>
      <c r="F16" s="2" t="s">
        <v>116</v>
      </c>
      <c r="G16" s="2">
        <f>L6</f>
        <v>0</v>
      </c>
      <c r="H16" s="2">
        <f>L7</f>
        <v>0</v>
      </c>
      <c r="L16" s="3"/>
    </row>
    <row r="17" spans="1:12" x14ac:dyDescent="0.25">
      <c r="F17" s="2" t="s">
        <v>117</v>
      </c>
      <c r="G17" s="2">
        <f>M6</f>
        <v>0</v>
      </c>
      <c r="H17" s="2">
        <f>M7</f>
        <v>0</v>
      </c>
      <c r="L17" s="3"/>
    </row>
    <row r="18" spans="1:12" ht="30" x14ac:dyDescent="0.25">
      <c r="F18" s="6" t="s">
        <v>118</v>
      </c>
      <c r="G18" s="2">
        <f>N6</f>
        <v>0</v>
      </c>
      <c r="H18" s="2">
        <f>N7</f>
        <v>0</v>
      </c>
      <c r="L18" s="3"/>
    </row>
    <row r="19" spans="1:12" x14ac:dyDescent="0.25">
      <c r="F19" s="2" t="s">
        <v>119</v>
      </c>
      <c r="G19" s="2">
        <f>O6</f>
        <v>0</v>
      </c>
      <c r="H19" s="2">
        <f>O7</f>
        <v>0</v>
      </c>
      <c r="L19" s="3"/>
    </row>
    <row r="20" spans="1:12" x14ac:dyDescent="0.25">
      <c r="F20" s="2" t="s">
        <v>130</v>
      </c>
      <c r="G20" s="8">
        <f>(G13+G14+G15+G16+G17+G18+G19)/100</f>
        <v>0.11212121212121212</v>
      </c>
      <c r="H20" s="8">
        <f>(H13+H14+H15+H16+H17+H18+H19)/100</f>
        <v>0.30909090909090908</v>
      </c>
      <c r="L20" s="3"/>
    </row>
    <row r="21" spans="1:12" x14ac:dyDescent="0.25">
      <c r="E21" s="7"/>
    </row>
    <row r="23" spans="1:12" x14ac:dyDescent="0.25">
      <c r="A23" s="28" t="s">
        <v>155</v>
      </c>
      <c r="C23" s="29">
        <v>0.01</v>
      </c>
      <c r="D23" s="30">
        <v>0.02</v>
      </c>
    </row>
    <row r="24" spans="1:12" x14ac:dyDescent="0.25">
      <c r="A24" s="28" t="s">
        <v>156</v>
      </c>
      <c r="C24" s="29">
        <v>0.02</v>
      </c>
      <c r="D24" s="30">
        <v>0.04</v>
      </c>
    </row>
    <row r="25" spans="1:12" x14ac:dyDescent="0.25">
      <c r="A25" s="28" t="s">
        <v>157</v>
      </c>
      <c r="C25" s="29">
        <v>0.04</v>
      </c>
      <c r="D25" s="30">
        <v>0.08</v>
      </c>
    </row>
    <row r="26" spans="1:12" x14ac:dyDescent="0.25">
      <c r="A26" s="28" t="s">
        <v>158</v>
      </c>
      <c r="C26" s="29">
        <v>0.05</v>
      </c>
      <c r="D26" s="30">
        <v>0.15</v>
      </c>
    </row>
    <row r="27" spans="1:12" x14ac:dyDescent="0.25">
      <c r="A27" s="28" t="s">
        <v>159</v>
      </c>
      <c r="C27" s="29">
        <v>7.0000000000000007E-2</v>
      </c>
      <c r="D27" s="30">
        <v>0.2</v>
      </c>
    </row>
    <row r="28" spans="1:12" ht="15.75" thickBot="1" x14ac:dyDescent="0.3">
      <c r="A28" s="31" t="s">
        <v>160</v>
      </c>
      <c r="C28" s="32">
        <v>0.1</v>
      </c>
      <c r="D28" s="33">
        <v>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D17" sqref="D17"/>
    </sheetView>
  </sheetViews>
  <sheetFormatPr defaultColWidth="8.7109375" defaultRowHeight="15" x14ac:dyDescent="0.25"/>
  <cols>
    <col min="1" max="1" width="8.7109375" style="35"/>
    <col min="2" max="2" width="22.140625" style="35" customWidth="1"/>
    <col min="3" max="3" width="37" style="35" customWidth="1"/>
    <col min="4" max="5" width="11.42578125" style="35" customWidth="1"/>
    <col min="6" max="6" width="14" style="35" customWidth="1"/>
    <col min="7" max="7" width="20" style="35" customWidth="1"/>
    <col min="8" max="8" width="16.42578125" style="35" customWidth="1"/>
    <col min="9" max="16384" width="8.7109375" style="35"/>
  </cols>
  <sheetData>
    <row r="1" spans="1:9" ht="15" customHeight="1" x14ac:dyDescent="0.25">
      <c r="A1" s="34"/>
      <c r="B1" s="34"/>
      <c r="C1" s="34"/>
      <c r="D1" s="34"/>
      <c r="E1" s="34"/>
      <c r="F1" s="34"/>
      <c r="G1" s="34"/>
      <c r="H1" s="34"/>
    </row>
    <row r="2" spans="1:9" ht="15" customHeight="1" x14ac:dyDescent="0.25">
      <c r="A2" s="36"/>
      <c r="B2" s="36"/>
      <c r="C2" s="36"/>
      <c r="D2" s="36"/>
      <c r="E2" s="36"/>
      <c r="F2" s="36"/>
      <c r="G2" s="36"/>
      <c r="H2" s="36"/>
    </row>
    <row r="3" spans="1:9" x14ac:dyDescent="0.25">
      <c r="A3" s="36"/>
      <c r="B3" s="173" t="s">
        <v>161</v>
      </c>
      <c r="C3" s="173"/>
      <c r="D3" s="173"/>
      <c r="E3" s="173"/>
      <c r="F3" s="173"/>
      <c r="G3" s="173"/>
      <c r="H3" s="173"/>
    </row>
    <row r="4" spans="1:9" x14ac:dyDescent="0.25">
      <c r="A4" s="36"/>
      <c r="B4" s="37" t="s">
        <v>162</v>
      </c>
      <c r="C4" s="37" t="s">
        <v>163</v>
      </c>
      <c r="D4" s="37" t="s">
        <v>164</v>
      </c>
      <c r="E4" s="37" t="s">
        <v>165</v>
      </c>
      <c r="F4" s="37" t="s">
        <v>166</v>
      </c>
      <c r="G4" s="37" t="s">
        <v>167</v>
      </c>
      <c r="H4" s="37" t="s">
        <v>142</v>
      </c>
    </row>
    <row r="5" spans="1:9" ht="15" customHeight="1" x14ac:dyDescent="0.25">
      <c r="A5" s="36"/>
      <c r="B5" s="48" t="s">
        <v>173</v>
      </c>
      <c r="C5" s="47"/>
      <c r="D5" s="48"/>
      <c r="E5" s="44"/>
      <c r="F5" s="45"/>
      <c r="G5" s="45" t="e">
        <f>H5/F5</f>
        <v>#DIV/0!</v>
      </c>
      <c r="H5" s="46"/>
    </row>
    <row r="6" spans="1:9" x14ac:dyDescent="0.25">
      <c r="A6" s="36"/>
      <c r="B6" s="48" t="s">
        <v>173</v>
      </c>
      <c r="C6" s="47"/>
      <c r="D6" s="38"/>
      <c r="E6" s="44"/>
      <c r="F6" s="45"/>
      <c r="G6" s="45" t="e">
        <f t="shared" ref="G6:G8" si="0">H6/F6</f>
        <v>#DIV/0!</v>
      </c>
      <c r="H6" s="46"/>
    </row>
    <row r="7" spans="1:9" ht="15" customHeight="1" x14ac:dyDescent="0.25">
      <c r="A7" s="36"/>
      <c r="B7" s="48" t="s">
        <v>173</v>
      </c>
      <c r="C7" s="47"/>
      <c r="D7" s="38"/>
      <c r="E7" s="44"/>
      <c r="F7" s="45"/>
      <c r="G7" s="45" t="e">
        <f t="shared" si="0"/>
        <v>#DIV/0!</v>
      </c>
      <c r="H7" s="46"/>
    </row>
    <row r="8" spans="1:9" x14ac:dyDescent="0.25">
      <c r="A8" s="36"/>
      <c r="B8" s="48" t="s">
        <v>173</v>
      </c>
      <c r="C8" s="47"/>
      <c r="D8" s="38"/>
      <c r="E8" s="44"/>
      <c r="F8" s="45"/>
      <c r="G8" s="45" t="e">
        <f t="shared" si="0"/>
        <v>#DIV/0!</v>
      </c>
      <c r="H8" s="46"/>
    </row>
    <row r="9" spans="1:9" ht="15" customHeight="1" x14ac:dyDescent="0.25">
      <c r="A9" s="36"/>
      <c r="B9" s="39" t="s">
        <v>168</v>
      </c>
      <c r="C9" s="38"/>
      <c r="D9" s="38"/>
      <c r="E9" s="38"/>
      <c r="F9" s="38"/>
      <c r="G9" s="40" t="e">
        <f>AVERAGE(G5:G8)</f>
        <v>#DIV/0!</v>
      </c>
      <c r="H9" s="38"/>
    </row>
    <row r="10" spans="1:9" ht="15" customHeight="1" x14ac:dyDescent="0.25">
      <c r="A10" s="34"/>
      <c r="B10" s="39" t="s">
        <v>169</v>
      </c>
      <c r="C10" s="41"/>
      <c r="D10" s="41"/>
      <c r="E10" s="41"/>
      <c r="F10" s="42"/>
      <c r="G10" s="39"/>
      <c r="H10" s="39"/>
      <c r="I10" s="43"/>
    </row>
    <row r="11" spans="1:9" ht="15" customHeight="1" x14ac:dyDescent="0.25">
      <c r="B11" s="34"/>
      <c r="C11" s="34"/>
      <c r="D11" s="34"/>
      <c r="E11" s="34"/>
    </row>
    <row r="12" spans="1:9" ht="15" customHeight="1" x14ac:dyDescent="0.25">
      <c r="B12" s="34"/>
      <c r="C12" s="34"/>
      <c r="D12" s="34"/>
      <c r="E12" s="34"/>
    </row>
    <row r="13" spans="1:9" ht="15" customHeight="1" x14ac:dyDescent="0.25">
      <c r="B13" s="34"/>
      <c r="C13" s="34"/>
      <c r="D13" s="34"/>
      <c r="E13" s="34"/>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vt:lpstr>
      <vt:lpstr>Sheet1</vt:lpstr>
      <vt:lpstr>24</vt:lpstr>
      <vt:lpstr>25</vt:lpstr>
      <vt:lpstr>26</vt:lpstr>
      <vt:lpstr>27</vt:lpstr>
      <vt:lpstr>28</vt:lpstr>
      <vt:lpstr>29-30</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2025-07-07T07:17:23Z</cp:lastPrinted>
  <dcterms:created xsi:type="dcterms:W3CDTF">2010-11-23T11:42:48Z</dcterms:created>
  <dcterms:modified xsi:type="dcterms:W3CDTF">2025-07-07T07:19:09Z</dcterms:modified>
</cp:coreProperties>
</file>