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Excel\"/>
    </mc:Choice>
  </mc:AlternateContent>
  <xr:revisionPtr revIDLastSave="0" documentId="13_ncr:1_{2D1DDE14-0F32-4092-B43D-CEE4ACC157E2}" xr6:coauthVersionLast="36" xr6:coauthVersionMax="36" xr10:uidLastSave="{00000000-0000-0000-0000-000000000000}"/>
  <bookViews>
    <workbookView xWindow="0" yWindow="0" windowWidth="20490" windowHeight="7125" xr2:uid="{00000000-000D-0000-FFFF-FFFF00000000}"/>
  </bookViews>
  <sheets>
    <sheet name="Report" sheetId="3" r:id="rId1"/>
  </sheets>
  <definedNames>
    <definedName name="_xlnm.Print_Area" localSheetId="0">Report!$A$1:$H$429</definedName>
  </definedNames>
  <calcPr calcId="191029"/>
</workbook>
</file>

<file path=xl/calcChain.xml><?xml version="1.0" encoding="utf-8"?>
<calcChain xmlns="http://schemas.openxmlformats.org/spreadsheetml/2006/main">
  <c r="I2" i="3" l="1"/>
  <c r="G59" i="3"/>
  <c r="G107" i="3"/>
  <c r="C94" i="3" l="1"/>
  <c r="D89" i="3"/>
  <c r="H89" i="3"/>
  <c r="D93" i="3" l="1"/>
  <c r="D99" i="3"/>
  <c r="D95" i="3"/>
  <c r="D100" i="3"/>
  <c r="D96" i="3"/>
  <c r="J92" i="3"/>
  <c r="C91" i="3" s="1"/>
  <c r="D91" i="3" s="1"/>
  <c r="J90" i="3"/>
  <c r="J91" i="3"/>
  <c r="D98" i="3"/>
  <c r="D94" i="3"/>
  <c r="D102" i="3"/>
  <c r="D101" i="3"/>
  <c r="D97" i="3"/>
  <c r="J93" i="3"/>
  <c r="J94" i="3" s="1"/>
  <c r="J99" i="3" s="1"/>
  <c r="J97" i="3"/>
  <c r="J98" i="3"/>
  <c r="J96" i="3"/>
  <c r="G123" i="3"/>
  <c r="J95" i="3" l="1"/>
  <c r="J100" i="3" s="1"/>
  <c r="C92" i="3" s="1"/>
  <c r="G49" i="3"/>
  <c r="L59" i="3"/>
  <c r="D92" i="3" l="1"/>
  <c r="E91" i="3"/>
  <c r="I88" i="3" s="1"/>
  <c r="G91" i="3" s="1"/>
  <c r="E289" i="3"/>
  <c r="D73" i="3"/>
  <c r="H137" i="3"/>
  <c r="H73" i="3"/>
  <c r="H57" i="3"/>
  <c r="H105" i="3"/>
  <c r="H121" i="3"/>
  <c r="D77" i="3" l="1"/>
  <c r="C141" i="3"/>
  <c r="D141" i="3" s="1"/>
  <c r="C125" i="3"/>
  <c r="D125" i="3" s="1"/>
  <c r="C109" i="3"/>
  <c r="D109" i="3" s="1"/>
  <c r="C61" i="3"/>
  <c r="D61" i="3" s="1"/>
  <c r="D149" i="3"/>
  <c r="D147" i="3"/>
  <c r="D145" i="3"/>
  <c r="D143" i="3"/>
  <c r="J139" i="3"/>
  <c r="J140" i="3"/>
  <c r="C139" i="3" s="1"/>
  <c r="J138" i="3"/>
  <c r="D148" i="3"/>
  <c r="D146" i="3"/>
  <c r="D144" i="3"/>
  <c r="D142" i="3"/>
  <c r="D150" i="3"/>
  <c r="J141" i="3"/>
  <c r="J142" i="3" s="1"/>
  <c r="J147" i="3" s="1"/>
  <c r="J143" i="3"/>
  <c r="J144" i="3" s="1"/>
  <c r="J145" i="3" s="1"/>
  <c r="J146" i="3"/>
  <c r="D133" i="3"/>
  <c r="D131" i="3"/>
  <c r="D129" i="3"/>
  <c r="D127" i="3"/>
  <c r="J123" i="3"/>
  <c r="J124" i="3"/>
  <c r="C123" i="3" s="1"/>
  <c r="J122" i="3"/>
  <c r="D132" i="3"/>
  <c r="D130" i="3"/>
  <c r="D128" i="3"/>
  <c r="D126" i="3"/>
  <c r="D134" i="3"/>
  <c r="J125" i="3"/>
  <c r="J126" i="3" s="1"/>
  <c r="J131" i="3" s="1"/>
  <c r="J129" i="3"/>
  <c r="J130" i="3"/>
  <c r="D118" i="3"/>
  <c r="D117" i="3"/>
  <c r="D115" i="3"/>
  <c r="D113" i="3"/>
  <c r="D111" i="3"/>
  <c r="J107" i="3"/>
  <c r="J108" i="3"/>
  <c r="C107" i="3" s="1"/>
  <c r="J106" i="3"/>
  <c r="D116" i="3"/>
  <c r="D114" i="3"/>
  <c r="D112" i="3"/>
  <c r="D110" i="3"/>
  <c r="J112" i="3"/>
  <c r="J114" i="3"/>
  <c r="J109" i="3"/>
  <c r="J110" i="3" s="1"/>
  <c r="J115" i="3" s="1"/>
  <c r="J113" i="3"/>
  <c r="J76" i="3"/>
  <c r="C75" i="3" s="1"/>
  <c r="J74" i="3"/>
  <c r="D84" i="3"/>
  <c r="D82" i="3"/>
  <c r="D86" i="3"/>
  <c r="D85" i="3"/>
  <c r="D83" i="3"/>
  <c r="D81" i="3"/>
  <c r="J75" i="3"/>
  <c r="J77" i="3"/>
  <c r="J78" i="3" s="1"/>
  <c r="J83" i="3" s="1"/>
  <c r="J84" i="3" s="1"/>
  <c r="C76" i="3" s="1"/>
  <c r="D76" i="3" s="1"/>
  <c r="J79" i="3"/>
  <c r="J81" i="3"/>
  <c r="J80" i="3"/>
  <c r="J82" i="3"/>
  <c r="D70" i="3"/>
  <c r="D69" i="3"/>
  <c r="D67" i="3"/>
  <c r="D65" i="3"/>
  <c r="D63" i="3"/>
  <c r="J59" i="3"/>
  <c r="D68" i="3"/>
  <c r="D64" i="3"/>
  <c r="J60" i="3"/>
  <c r="C59" i="3" s="1"/>
  <c r="J58" i="3"/>
  <c r="D66" i="3"/>
  <c r="D62" i="3"/>
  <c r="C78" i="3" l="1"/>
  <c r="E59" i="3"/>
  <c r="D139" i="3"/>
  <c r="D123" i="3"/>
  <c r="D75" i="3"/>
  <c r="D59" i="3"/>
  <c r="J148" i="3"/>
  <c r="C140" i="3" s="1"/>
  <c r="D140" i="3" s="1"/>
  <c r="J127" i="3"/>
  <c r="J128" i="3" s="1"/>
  <c r="J111" i="3"/>
  <c r="J116" i="3"/>
  <c r="C108" i="3" s="1"/>
  <c r="D108" i="3" s="1"/>
  <c r="D107" i="3"/>
  <c r="J65" i="3"/>
  <c r="J63" i="3"/>
  <c r="J61" i="3"/>
  <c r="J62" i="3" s="1"/>
  <c r="J67" i="3" s="1"/>
  <c r="J68" i="3" s="1"/>
  <c r="J66" i="3"/>
  <c r="J64" i="3"/>
  <c r="D78" i="3" l="1"/>
  <c r="D79" i="3"/>
  <c r="D80" i="3"/>
  <c r="E139" i="3"/>
  <c r="I136" i="3" s="1"/>
  <c r="E107" i="3"/>
  <c r="I104" i="3" s="1"/>
  <c r="J132" i="3"/>
  <c r="C124" i="3" s="1"/>
  <c r="D60" i="3"/>
  <c r="E75" i="3" l="1"/>
  <c r="D124" i="3"/>
  <c r="E123" i="3"/>
  <c r="I120" i="3" s="1"/>
  <c r="I56" i="3"/>
  <c r="G151" i="3" l="1"/>
  <c r="I72" i="3"/>
  <c r="G75" i="3" s="1"/>
  <c r="H4" i="3"/>
  <c r="G164" i="3" l="1"/>
  <c r="G163" i="3"/>
  <c r="C17" i="3" l="1"/>
  <c r="F283" i="3" l="1"/>
  <c r="H283" i="3" s="1"/>
  <c r="C283" i="3"/>
  <c r="F282" i="3"/>
  <c r="H282" i="3" s="1"/>
  <c r="F281" i="3"/>
  <c r="H281" i="3" s="1"/>
  <c r="F280" i="3"/>
  <c r="H280" i="3" s="1"/>
  <c r="A280" i="3"/>
  <c r="A282" i="3" s="1"/>
  <c r="A283" i="3" s="1"/>
  <c r="F268" i="3"/>
  <c r="H268" i="3" s="1"/>
  <c r="F267" i="3"/>
  <c r="F271" i="3"/>
  <c r="H271" i="3" s="1"/>
  <c r="F270" i="3"/>
  <c r="H270" i="3" s="1"/>
  <c r="F276" i="3"/>
  <c r="H276" i="3" s="1"/>
  <c r="F275" i="3"/>
  <c r="H275" i="3" s="1"/>
  <c r="F278" i="3"/>
  <c r="H278" i="3" s="1"/>
  <c r="C278" i="3"/>
  <c r="F277" i="3"/>
  <c r="H277" i="3" s="1"/>
  <c r="A275" i="3"/>
  <c r="A277" i="3" s="1"/>
  <c r="A278" i="3" s="1"/>
  <c r="F273" i="3"/>
  <c r="H273" i="3" s="1"/>
  <c r="F272" i="3"/>
  <c r="H272" i="3" s="1"/>
  <c r="C273" i="3"/>
  <c r="A270" i="3"/>
  <c r="A271" i="3" s="1"/>
  <c r="A267" i="3"/>
  <c r="A268" i="3" s="1"/>
  <c r="G172" i="3" l="1"/>
  <c r="F172" i="3"/>
  <c r="H267" i="3"/>
  <c r="H172" i="3" s="1"/>
  <c r="A281" i="3"/>
  <c r="A276" i="3"/>
  <c r="A272" i="3"/>
  <c r="A273" i="3" s="1"/>
  <c r="F258" i="3"/>
  <c r="H258" i="3" s="1"/>
  <c r="F254" i="3"/>
  <c r="H254" i="3" s="1"/>
  <c r="F253" i="3"/>
  <c r="H253" i="3" s="1"/>
  <c r="F251" i="3"/>
  <c r="H251" i="3" s="1"/>
  <c r="F250" i="3"/>
  <c r="H250" i="3" s="1"/>
  <c r="F248" i="3"/>
  <c r="H248" i="3" s="1"/>
  <c r="F247" i="3"/>
  <c r="F261" i="3"/>
  <c r="H261" i="3" s="1"/>
  <c r="F260" i="3"/>
  <c r="H260" i="3" s="1"/>
  <c r="F259" i="3"/>
  <c r="H259" i="3" s="1"/>
  <c r="A258" i="3"/>
  <c r="A259" i="3" s="1"/>
  <c r="A260" i="3" s="1"/>
  <c r="A261" i="3" s="1"/>
  <c r="F256" i="3"/>
  <c r="H256" i="3" s="1"/>
  <c r="F255" i="3"/>
  <c r="H255" i="3" s="1"/>
  <c r="A253" i="3"/>
  <c r="A254" i="3" s="1"/>
  <c r="A255" i="3" s="1"/>
  <c r="A256" i="3" s="1"/>
  <c r="A250" i="3"/>
  <c r="A251" i="3" s="1"/>
  <c r="A247" i="3"/>
  <c r="A248" i="3" s="1"/>
  <c r="F241" i="3"/>
  <c r="F240" i="3"/>
  <c r="F239" i="3"/>
  <c r="F236" i="3"/>
  <c r="H236" i="3" s="1"/>
  <c r="F235" i="3"/>
  <c r="H235" i="3" s="1"/>
  <c r="F234" i="3"/>
  <c r="H234" i="3" s="1"/>
  <c r="F231" i="3"/>
  <c r="H231" i="3" s="1"/>
  <c r="F230" i="3"/>
  <c r="H230" i="3" s="1"/>
  <c r="F229" i="3"/>
  <c r="H229" i="3" s="1"/>
  <c r="F228" i="3"/>
  <c r="H228" i="3" s="1"/>
  <c r="F226" i="3"/>
  <c r="H226" i="3" s="1"/>
  <c r="F225" i="3"/>
  <c r="H225" i="3" s="1"/>
  <c r="H241" i="3"/>
  <c r="H240" i="3"/>
  <c r="H239" i="3"/>
  <c r="A238" i="3"/>
  <c r="A239" i="3" s="1"/>
  <c r="A240" i="3" s="1"/>
  <c r="A241" i="3" s="1"/>
  <c r="F233" i="3"/>
  <c r="H233" i="3" s="1"/>
  <c r="A233" i="3"/>
  <c r="A234" i="3" s="1"/>
  <c r="A235" i="3" s="1"/>
  <c r="A236" i="3" s="1"/>
  <c r="C231" i="3"/>
  <c r="A228" i="3"/>
  <c r="A230" i="3" s="1"/>
  <c r="A231" i="3" s="1"/>
  <c r="A225" i="3"/>
  <c r="A226" i="3" s="1"/>
  <c r="F219" i="3"/>
  <c r="H219" i="3" s="1"/>
  <c r="F218" i="3"/>
  <c r="H218" i="3" s="1"/>
  <c r="F217" i="3"/>
  <c r="H217" i="3" s="1"/>
  <c r="F216" i="3"/>
  <c r="H216" i="3" s="1"/>
  <c r="F212" i="3"/>
  <c r="H212" i="3" s="1"/>
  <c r="F214" i="3"/>
  <c r="H214" i="3" s="1"/>
  <c r="F213" i="3"/>
  <c r="H213" i="3" s="1"/>
  <c r="F211" i="3"/>
  <c r="H211" i="3" s="1"/>
  <c r="F207" i="3"/>
  <c r="H207" i="3" s="1"/>
  <c r="F208" i="3"/>
  <c r="H208" i="3" s="1"/>
  <c r="F209" i="3"/>
  <c r="H209" i="3" s="1"/>
  <c r="F206" i="3"/>
  <c r="H206" i="3" s="1"/>
  <c r="F204" i="3"/>
  <c r="H204" i="3" s="1"/>
  <c r="F203" i="3"/>
  <c r="A216" i="3"/>
  <c r="A217" i="3" s="1"/>
  <c r="A218" i="3" s="1"/>
  <c r="A219" i="3" s="1"/>
  <c r="A211" i="3"/>
  <c r="A212" i="3" s="1"/>
  <c r="A213" i="3" s="1"/>
  <c r="A214" i="3" s="1"/>
  <c r="C209" i="3"/>
  <c r="A206" i="3"/>
  <c r="A207" i="3" s="1"/>
  <c r="A203" i="3"/>
  <c r="A204" i="3" s="1"/>
  <c r="F197" i="3"/>
  <c r="F196" i="3"/>
  <c r="F195" i="3"/>
  <c r="F191" i="3"/>
  <c r="F192" i="3"/>
  <c r="F193" i="3"/>
  <c r="F190" i="3"/>
  <c r="F188" i="3"/>
  <c r="F187" i="3"/>
  <c r="F186" i="3"/>
  <c r="H186" i="3" s="1"/>
  <c r="F185" i="3"/>
  <c r="H185" i="3" s="1"/>
  <c r="F182" i="3"/>
  <c r="F183" i="3"/>
  <c r="A182" i="3"/>
  <c r="A185" i="3"/>
  <c r="A186" i="3" s="1"/>
  <c r="U238" i="3"/>
  <c r="V238" i="3"/>
  <c r="U216" i="3"/>
  <c r="V216" i="3"/>
  <c r="U211" i="3"/>
  <c r="U253" i="3"/>
  <c r="V253" i="3"/>
  <c r="U258" i="3"/>
  <c r="V211" i="3"/>
  <c r="V258" i="3"/>
  <c r="U233" i="3"/>
  <c r="V233" i="3"/>
  <c r="H170" i="3" l="1"/>
  <c r="F168" i="3"/>
  <c r="G168" i="3"/>
  <c r="H203" i="3"/>
  <c r="H169" i="3" s="1"/>
  <c r="F169" i="3"/>
  <c r="G169" i="3"/>
  <c r="F170" i="3"/>
  <c r="G170" i="3"/>
  <c r="H247" i="3"/>
  <c r="H171" i="3" s="1"/>
  <c r="F171" i="3"/>
  <c r="G171" i="3"/>
  <c r="A229" i="3"/>
  <c r="A208" i="3"/>
  <c r="A209" i="3" s="1"/>
  <c r="V259" i="3"/>
  <c r="V260" i="3" s="1"/>
  <c r="V261" i="3" s="1"/>
  <c r="V254" i="3"/>
  <c r="V255" i="3" s="1"/>
  <c r="V256" i="3" s="1"/>
  <c r="T258" i="3"/>
  <c r="U259" i="3"/>
  <c r="T253" i="3"/>
  <c r="U254" i="3"/>
  <c r="V239" i="3"/>
  <c r="V240" i="3" s="1"/>
  <c r="V241" i="3" s="1"/>
  <c r="V234" i="3"/>
  <c r="V235" i="3" s="1"/>
  <c r="V236" i="3" s="1"/>
  <c r="U234" i="3"/>
  <c r="T233" i="3"/>
  <c r="U239" i="3"/>
  <c r="T238" i="3"/>
  <c r="T216" i="3"/>
  <c r="U217" i="3"/>
  <c r="U212" i="3"/>
  <c r="T211" i="3"/>
  <c r="V212" i="3"/>
  <c r="V213" i="3" s="1"/>
  <c r="V214" i="3" s="1"/>
  <c r="V217" i="3"/>
  <c r="V218" i="3" s="1"/>
  <c r="V219" i="3" s="1"/>
  <c r="A187" i="3"/>
  <c r="G173" i="3" l="1"/>
  <c r="F173" i="3"/>
  <c r="U255" i="3"/>
  <c r="T254" i="3"/>
  <c r="T259" i="3"/>
  <c r="U260" i="3"/>
  <c r="T239" i="3"/>
  <c r="U240" i="3"/>
  <c r="T234" i="3"/>
  <c r="U235" i="3"/>
  <c r="T212" i="3"/>
  <c r="U213" i="3"/>
  <c r="U218" i="3"/>
  <c r="T217" i="3"/>
  <c r="T255" i="3" l="1"/>
  <c r="U256" i="3"/>
  <c r="T256" i="3" s="1"/>
  <c r="T260" i="3"/>
  <c r="U261" i="3"/>
  <c r="T261" i="3" s="1"/>
  <c r="U236" i="3"/>
  <c r="T236" i="3" s="1"/>
  <c r="T235" i="3"/>
  <c r="U241" i="3"/>
  <c r="T241" i="3" s="1"/>
  <c r="T240" i="3"/>
  <c r="T218" i="3"/>
  <c r="U219" i="3"/>
  <c r="T219" i="3" s="1"/>
  <c r="T213" i="3"/>
  <c r="U214" i="3"/>
  <c r="T214" i="3" s="1"/>
  <c r="A195" i="3" l="1"/>
  <c r="A196" i="3" s="1"/>
  <c r="A197" i="3" s="1"/>
  <c r="A190" i="3"/>
  <c r="A191" i="3" s="1"/>
  <c r="A192" i="3" s="1"/>
  <c r="A193" i="3" s="1"/>
  <c r="A183" i="3"/>
  <c r="A188" i="3" s="1"/>
  <c r="C188" i="3"/>
  <c r="E173" i="3" l="1"/>
  <c r="C173" i="3"/>
  <c r="E288" i="3" l="1"/>
  <c r="E287" i="3"/>
  <c r="G165" i="3"/>
  <c r="H197" i="3" l="1"/>
  <c r="H196" i="3"/>
  <c r="H195" i="3"/>
  <c r="H193" i="3"/>
  <c r="H192" i="3"/>
  <c r="H191" i="3"/>
  <c r="H190" i="3"/>
  <c r="H183" i="3"/>
  <c r="H187" i="3"/>
  <c r="H188" i="3"/>
  <c r="H182" i="3"/>
  <c r="V190" i="3"/>
  <c r="U190" i="3"/>
  <c r="V195" i="3"/>
  <c r="U195" i="3"/>
  <c r="H168" i="3" l="1"/>
  <c r="H173" i="3" s="1"/>
  <c r="T195" i="3"/>
  <c r="U196" i="3"/>
  <c r="V196" i="3"/>
  <c r="V197" i="3" s="1"/>
  <c r="V191" i="3"/>
  <c r="V192" i="3" s="1"/>
  <c r="V193" i="3" s="1"/>
  <c r="U191" i="3"/>
  <c r="T190" i="3"/>
  <c r="T196" i="3" l="1"/>
  <c r="U197" i="3"/>
  <c r="T197" i="3" s="1"/>
  <c r="U192" i="3"/>
  <c r="T191" i="3"/>
  <c r="U193" i="3" l="1"/>
  <c r="T192" i="3"/>
  <c r="T193" i="3" l="1"/>
</calcChain>
</file>

<file path=xl/sharedStrings.xml><?xml version="1.0" encoding="utf-8"?>
<sst xmlns="http://schemas.openxmlformats.org/spreadsheetml/2006/main" count="616" uniqueCount="291">
  <si>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</si>
  <si>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</si>
  <si>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</si>
  <si>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</si>
  <si>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</si>
  <si>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</si>
  <si>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</si>
  <si>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</si>
  <si>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</si>
  <si>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</si>
  <si>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</si>
  <si>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</si>
  <si>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</si>
  <si>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</si>
  <si>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</si>
  <si>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</si>
  <si>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</si>
  <si>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</si>
  <si>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</si>
  <si>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</si>
  <si>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</si>
  <si>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</si>
  <si>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</si>
  <si>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</si>
  <si>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</si>
  <si>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</si>
  <si>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</si>
  <si>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</si>
  <si>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</si>
  <si>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</si>
  <si>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</si>
  <si>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</si>
  <si>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</si>
  <si>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</si>
  <si>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</si>
  <si>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</si>
  <si>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</si>
  <si>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</si>
  <si>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</si>
  <si>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</si>
  <si>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</si>
  <si>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</si>
  <si>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</si>
  <si>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</si>
  <si>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</si>
  <si>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</si>
  <si>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</si>
  <si>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</si>
  <si>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</si>
  <si>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</si>
  <si>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</si>
  <si>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</si>
  <si>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</si>
  <si>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</si>
  <si>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</si>
  <si>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</si>
  <si>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</si>
  <si>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</si>
  <si>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</si>
  <si>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</si>
  <si>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</si>
  <si>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</si>
  <si>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</si>
  <si>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</si>
  <si>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</si>
  <si>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</si>
  <si>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</si>
  <si>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</si>
  <si>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</si>
  <si>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</si>
  <si>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</si>
  <si>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</si>
  <si>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</si>
  <si>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</si>
  <si>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</si>
  <si>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</si>
  <si>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</si>
  <si>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</si>
  <si>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</si>
  <si>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</si>
  <si>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</si>
  <si>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</si>
  <si>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</si>
  <si>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</si>
  <si>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</si>
  <si>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</si>
  <si>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</si>
  <si>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</si>
  <si>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</si>
  <si>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</si>
  <si>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</si>
  <si>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</si>
  <si>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</si>
  <si>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</si>
  <si>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</si>
  <si>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</si>
  <si>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</si>
  <si>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</si>
  <si>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</si>
  <si>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</si>
  <si>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</si>
  <si>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</si>
  <si>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</si>
  <si>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</si>
  <si>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</si>
  <si>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</si>
  <si>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</si>
  <si>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</si>
  <si>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</si>
  <si>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</si>
  <si>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</si>
  <si>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</si>
  <si>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</si>
  <si>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</si>
  <si>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</si>
  <si>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</si>
  <si>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</si>
  <si>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</si>
  <si>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</si>
  <si>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</si>
  <si>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</si>
  <si>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</si>
  <si>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</si>
  <si>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</si>
  <si>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</si>
  <si>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</si>
  <si>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</si>
  <si>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</si>
  <si>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</si>
  <si>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</si>
  <si>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</si>
  <si>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</si>
  <si>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</si>
  <si>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</si>
  <si>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</si>
  <si>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</si>
  <si>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</si>
  <si>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</si>
  <si>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</si>
  <si>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</si>
  <si>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</si>
  <si>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</si>
  <si>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</si>
  <si>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</si>
  <si>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</si>
  <si>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</si>
  <si>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</si>
  <si>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</si>
  <si>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</si>
  <si>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</si>
  <si>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</si>
  <si>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</si>
  <si>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</si>
  <si>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</si>
  <si>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</si>
  <si>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</si>
  <si>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</si>
  <si>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</si>
  <si>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</si>
  <si>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</si>
  <si>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</si>
  <si>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</si>
  <si>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</si>
  <si>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</si>
  <si>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</si>
  <si>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</si>
  <si>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</si>
  <si>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</si>
  <si>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</si>
  <si>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</si>
  <si>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</si>
  <si>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</si>
  <si>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</si>
  <si>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</si>
  <si>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</si>
  <si>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</si>
  <si>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</si>
  <si>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</si>
  <si>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</si>
  <si>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</si>
  <si>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</si>
  <si>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</si>
  <si>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</si>
  <si>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</si>
  <si>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</si>
  <si>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</si>
  <si>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</si>
  <si>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Approved Layout &amp; Floor Plans, CC, RERA certificate, NOC</t>
  </si>
  <si>
    <t>Larsen &amp; Toubro Ltd. (Realty Division)</t>
  </si>
  <si>
    <t>Building Name: L&amp;T House, Street Name: N M Marg, Locality: Ballard Estate
Land Mark: Ballard Estate, District: Mumbai, Taluka: Mumbai, Pin Code - 400001</t>
  </si>
  <si>
    <t>Veridian at Emerald Isle 11A, 11B, 12A &amp; 12B,  near L&amp;T Emerald Isle Tower 8, Saki Vihar Road, Tungwa, Vikhroli East, Kurla, Mumbai, 400072</t>
  </si>
  <si>
    <t>BT1/NOC/SNCR/WEST/B/032317/203139/109/47-50
Date: 29/11/2018</t>
  </si>
  <si>
    <t>Fire NOC Details</t>
  </si>
  <si>
    <t>CHE/ES/1010/L/337(NEW)/CFO/1/
Amend
Date: 16/11/2021</t>
  </si>
  <si>
    <t xml:space="preserve">CHE/ES/1010//L/337 (NEW)
Date: 29/11/2021
</t>
  </si>
  <si>
    <t>Building No.2 (T-11A &amp; T-11B)</t>
  </si>
  <si>
    <t>G/P1 + P2 + P3 + S + 1st to 18th Floor</t>
  </si>
  <si>
    <t>Building No.2 (T-11A)</t>
  </si>
  <si>
    <t>Ground Floor For Amenities &amp; Parking</t>
  </si>
  <si>
    <t>1st Podium Floor For Amenities &amp; Parking</t>
  </si>
  <si>
    <t>2nd Podium Floor Residental &amp; Amenities</t>
  </si>
  <si>
    <t>P203</t>
  </si>
  <si>
    <t>P204</t>
  </si>
  <si>
    <t>2BHK</t>
  </si>
  <si>
    <t>1BHK</t>
  </si>
  <si>
    <t>Stilt Floor Residental &amp; Amenities</t>
  </si>
  <si>
    <t xml:space="preserve">1st to 3rd, 5th to 10th, 12th to 17th Floor </t>
  </si>
  <si>
    <t>4th &amp; 11th Floor (Part Refuge Area)</t>
  </si>
  <si>
    <t>Building No.2 (T-11B)</t>
  </si>
  <si>
    <t xml:space="preserve">1st to 3rd, 5th, 7th, 9th, 11th, 13th, 15th to 17th Floor </t>
  </si>
  <si>
    <t>4th, 6th, 8th, 10th, 12th, 14th &amp; 16th Floor (Part Refuge Area)</t>
  </si>
  <si>
    <t>Building No.2 (T-12A)</t>
  </si>
  <si>
    <t>P201</t>
  </si>
  <si>
    <t>P202</t>
  </si>
  <si>
    <t xml:space="preserve">1st to 4th, 6th to 11th, 13th to 18th Floor </t>
  </si>
  <si>
    <t>3BHK</t>
  </si>
  <si>
    <t>5th &amp; 12th Floor (Part Refuge Area)</t>
  </si>
  <si>
    <t>Refuge Area</t>
  </si>
  <si>
    <t>Building No.2 (T-12B)</t>
  </si>
  <si>
    <t xml:space="preserve">1st to 4th, 6th, 8th, 10th, 12th, 14th, 16th &amp; 18th Floor </t>
  </si>
  <si>
    <t>5th, 7th, 9th, 11th, 13th, 15th &amp; 17th Floor (Part Refuge Area)</t>
  </si>
  <si>
    <t>Building No.2 (T-12C)</t>
  </si>
  <si>
    <t>Lower &amp; Intermidiate Basement Floor Parking</t>
  </si>
  <si>
    <t>Stilt Floor Residental</t>
  </si>
  <si>
    <t>1st to 4th, 6th, 8th, 10th, 12th, 14th, 16th &amp; 18th Floor Residental</t>
  </si>
  <si>
    <t>On Carpet area</t>
  </si>
  <si>
    <t>T11A</t>
  </si>
  <si>
    <t>T11B</t>
  </si>
  <si>
    <t>T12A</t>
  </si>
  <si>
    <t>T12B</t>
  </si>
  <si>
    <t>T12C</t>
  </si>
  <si>
    <t>Flats</t>
  </si>
  <si>
    <t>MCGM</t>
  </si>
  <si>
    <t>Residential</t>
  </si>
  <si>
    <t>Upper</t>
  </si>
  <si>
    <t>Building No.2 (T-12A T-12B &amp; 12C)</t>
  </si>
  <si>
    <t>10,00,000/-</t>
  </si>
  <si>
    <t>30000/- to 31000/-</t>
  </si>
  <si>
    <t xml:space="preserve">ICICI Bank Limited
IFSC Code - ICIC0000544
</t>
  </si>
  <si>
    <t>7KM from Vikhroli Railway Station
5.9KM from Kanjurmarg Railway Station</t>
  </si>
  <si>
    <t>12ft</t>
  </si>
  <si>
    <t>About 3.5 KM from Bombay Scottish School, Powai</t>
  </si>
  <si>
    <t>1.1 KM from Tunga Village Bus Stop</t>
  </si>
  <si>
    <t>About 2.6 KM form Mangala Hospital</t>
  </si>
  <si>
    <t xml:space="preserve">1. Approx. 2.9 KM from Dmart.
2. Approx. 3.2KM from Hiranandani Market
 </t>
  </si>
  <si>
    <t>Flats =  376</t>
  </si>
  <si>
    <t>Flats = 376</t>
  </si>
  <si>
    <t>Road</t>
  </si>
  <si>
    <t>Club House Area</t>
  </si>
  <si>
    <t>Tower 13 A</t>
  </si>
  <si>
    <t>Open Plot</t>
  </si>
  <si>
    <t>Westend</t>
  </si>
  <si>
    <t>TriStar chs</t>
  </si>
  <si>
    <t>LnT Emerald Isle Tower 8</t>
  </si>
  <si>
    <t>Internal Road</t>
  </si>
  <si>
    <t>Veridian at Emerald Isle 11A, 11B, 12A &amp; 12B, CTS No.117A, 117A/1, 117­B Part and 117­C, near L&amp;T Emerald Isle Tower 8, Saki Vihar Road, Tungwa, Vikhroli East, Kurla, Mumbai, 400072</t>
  </si>
  <si>
    <t>Layout:</t>
  </si>
  <si>
    <t>T-11A &amp; T-11B = P51800031775
T-12A &amp; T-12B = P51800031441
T-12C = P51800029888
T-13A &amp; 13B = P51800029893
T- 14A &amp; 14B = P51800029892</t>
  </si>
  <si>
    <t xml:space="preserve">Building No. 02 (T14A &amp; T14B) </t>
  </si>
  <si>
    <t>G + P1 + P2 + S + 1st to 18th Floor</t>
  </si>
  <si>
    <t>Building No. 02 (T13A &amp; T13B)</t>
  </si>
  <si>
    <t>Building No. 02 (T14A &amp; T14B) = Gr + P1 + P2 + S + 1st to 18st Floor</t>
  </si>
  <si>
    <t>Building No.2 (T-12B) = G/P1 + P2 + P3 + S + 1st to 18th Floor</t>
  </si>
  <si>
    <t>External Plaster</t>
  </si>
  <si>
    <t>External Plumbing, Elevation and Waterproofing</t>
  </si>
  <si>
    <t>Wooden Work</t>
  </si>
  <si>
    <t>Electrical &amp; Sanitary fittings</t>
  </si>
  <si>
    <t>Date of Technical
Initiation</t>
  </si>
  <si>
    <t>Date of Report
Release</t>
  </si>
  <si>
    <t>7. On Site, we meet Mr.Chiraj Chavda - 9867798744</t>
  </si>
  <si>
    <t>Veridian at Emerald Isle - 11A, 11B, 12A, 12B, 12C, 13A, 13B, 14A &amp; 14B</t>
  </si>
  <si>
    <t>Remarks / 
Observations</t>
  </si>
  <si>
    <t>G/P1 + P2 + P3 + S + 1st to 17th Floor</t>
  </si>
  <si>
    <t>Building No.2 (T-11A &amp; T-11B) = G/P1 + P2 + P3 + S + 1st to 17th Floor</t>
  </si>
  <si>
    <t>Part OC Details</t>
  </si>
  <si>
    <t>All work Completed. Part OC Received up to 16th Floor.</t>
  </si>
  <si>
    <t>Mr. Ganesh Wadkar</t>
  </si>
  <si>
    <t xml:space="preserve">CHE/ES/1010/L/337(NEW)/FCC/5/Amend
Date: 03/03/2023
Valid Upto Date: 11/06/2023
Valid Up to: "Full C.C. up to top of 17th upper floors (including LMR / OHT) for Wing T11A &amp; T11B, Further CC up to top of 18th upper floors (excluding LMR / OHT) for T-12B, T-12C, T-13A &amp; T13-B &amp; Further CC up to top of 8th upper floor for T-12A as per the last amended plans dated 20.07.2022. (restricted for Permissible height as per Civil Aviation NOC).
</t>
  </si>
  <si>
    <t>CHE/ES/1010/L/337(NEW)/FCC/7/Amend
Date : 31/05/2024
Valid Upto Date : 11/06/2025
Valid Upto : Full C.C. up to top of 18th upper floors (including LMR/OHT) for Wing T-12A, T-12B, T-12C, T-13A, T-13B &amp; Endorsement of full CC for wing T-11A &amp; T-11B and endorsement of further CC for wing T-14A &amp; T-14B as per the last approved amended plans dated 18.03.2024.</t>
  </si>
  <si>
    <t>Building No. 02 (T13 &amp; T14) =
Gr + P1 + P2 + S + 1st to 18th Floor</t>
  </si>
  <si>
    <t>Building No.2 (T-12C) = G/P1 + P2 + P3 + S + 1st to 18th Floor</t>
  </si>
  <si>
    <t>Building No.2 (T-12A) = G/P1 + P2 + P3 + S + 1st to 18th Floor</t>
  </si>
  <si>
    <t>CHE/ES/1010/L/337(NEW)/OCC/13/New
Date: 24/09/2024
Valid Up to: Part Occupation for proposed building No.2 (i.e. for Wing T-12B, T-13A, T-13B, T-14A and T-14B Comprising of Ground Floor + 1st podium + 2nd part podium + Stilt + 1st floor to 16th upper floor for residential use and full occupation for Club House (Phase-II) Comprising of Stilt + 1st floor.</t>
  </si>
  <si>
    <t>03/07/2025 at 02:02PM</t>
  </si>
  <si>
    <t>Mr. Chirag 9867798744</t>
  </si>
  <si>
    <t>Mr. Suraj Khare</t>
  </si>
  <si>
    <t>CHE/ES/1010/L/337(NEW)/OCC/14/New
Date: 31/03/2025
Valid Up to: Part Occupation for proposed building No.2 (i.e. part O.C. for Wing T-11A, T-11B) comprising of Ground Floor + 1st podium + 2nd part podium + stilt + 1st to 15th upper residential use and part O.C. for Wing T-12C comprising of Ground Floor + 1st podium + 2nd part podium +stilt + 1st to 16th upper residential use.</t>
  </si>
  <si>
    <t>All work Completed. Part OC Received upto 15th Floor.</t>
  </si>
  <si>
    <t>1. Tower 12A = Finishing work is in process at the time of Visit. Internal visit was not allowed.
    Tower 11A &amp; 11B = All work completed. Part OC Received Upto 15th Floor, Please provide Full OC.
    Tower 12C = All work completed. Part OC Received Upto 16th Floor, Please provide Full OC.
    Tower 13 &amp; 14 = All work completed. Please provide OC.
2. We considered  Saleable area as per our calculation.
3. We considered Carpet area as per Approved Plan.
4. We considered Gross carpet area = Net carpet.
5. We have considered rate by verifying it from market inquire.
6. Car parking is subjected to authentic documentation.
7. We have given subsequent (only Stage) report for Tower 13A, 13B, 14A &amp; 14B (on 25/02/2023)
8. We have updated latest approved CC from MCGM Site (On 31/08/2023).
9. We have updated Part OC (On 14/11/2024). Part OC received for Building No. 02 (Wing T-12B, T-13A, T-13B, T-14A and T-14B) = Gr. + P1 + P2 + Stilt + 1st to 16th floor.
10. We have updated revised approved CC on 28/01/2025.
11. We have updated Part OC (On 05/07/2025). Part OC received for Building No. 02 (Wing T-11A, T-11B) = Gr. + P1 + P2 + Stilt + 1st to 15th floor &amp; (Wing T-12C) = Gr. + P1 + P2 + Stilt + 1st to 16th Floor.</t>
  </si>
  <si>
    <t>Old Int Date</t>
  </si>
  <si>
    <t>&lt;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</si>
</sst>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20"/>
      <name val="Times New Roman"/>
      <family val="1"/>
    </font>
    <font>
      <b/>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2">
    <xf numFmtId="0" fontId="0" fillId="0" borderId="0"/>
    <xf numFmtId="0" fontId="1" fillId="0" borderId="0"/>
  </cellStyleXfs>
  <cellXfs count="216">
    <xf numFmtId="0" fontId="0" fillId="0" borderId="0" xfId="0"/>
    <xf numFmtId="0" fontId="3" fillId="0" borderId="0" xfId="0" applyFont="1" applyAlignment="1">
      <alignment vertical="top"/>
    </xf>
    <xf numFmtId="0" fontId="4" fillId="0" borderId="1" xfId="0" applyFont="1" applyBorder="1" applyAlignment="1">
      <alignment vertical="top"/>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3" fillId="0" borderId="0" xfId="0" applyFont="1" applyAlignment="1">
      <alignment horizontal="center" vertical="top"/>
    </xf>
    <xf numFmtId="0" fontId="4" fillId="4" borderId="1" xfId="0" applyFont="1" applyFill="1" applyBorder="1" applyAlignment="1">
      <alignment vertical="top"/>
    </xf>
    <xf numFmtId="0" fontId="4" fillId="4" borderId="4" xfId="0" applyFont="1" applyFill="1" applyBorder="1" applyAlignment="1">
      <alignment vertical="top" wrapText="1"/>
    </xf>
    <xf numFmtId="0" fontId="4" fillId="4" borderId="9" xfId="0" applyFont="1" applyFill="1" applyBorder="1" applyAlignment="1">
      <alignment vertical="top" wrapText="1"/>
    </xf>
    <xf numFmtId="0" fontId="3" fillId="0" borderId="12" xfId="1" applyFont="1" applyBorder="1" applyProtection="1">
      <protection hidden="1"/>
    </xf>
    <xf numFmtId="0" fontId="3" fillId="0" borderId="0" xfId="1" applyFont="1" applyProtection="1">
      <protection hidden="1"/>
    </xf>
    <xf numFmtId="0" fontId="3" fillId="0" borderId="13" xfId="1" applyFont="1" applyBorder="1" applyProtection="1">
      <protection hidden="1"/>
    </xf>
    <xf numFmtId="0" fontId="3" fillId="0" borderId="13" xfId="1" applyFont="1" applyBorder="1"/>
    <xf numFmtId="0" fontId="9" fillId="0" borderId="0" xfId="0" applyFont="1" applyProtection="1">
      <protection hidden="1"/>
    </xf>
    <xf numFmtId="9" fontId="9" fillId="0" borderId="0" xfId="0" applyNumberFormat="1" applyFont="1" applyProtection="1">
      <protection hidden="1"/>
    </xf>
    <xf numFmtId="0" fontId="9" fillId="0" borderId="14" xfId="0" applyFont="1" applyBorder="1" applyProtection="1">
      <protection hidden="1"/>
    </xf>
    <xf numFmtId="0" fontId="7" fillId="0" borderId="0" xfId="1" applyFont="1" applyAlignment="1">
      <alignment horizontal="center" vertical="center"/>
    </xf>
    <xf numFmtId="0" fontId="9" fillId="0" borderId="13" xfId="0" applyFont="1" applyBorder="1" applyProtection="1">
      <protection hidden="1"/>
    </xf>
    <xf numFmtId="1" fontId="10" fillId="0" borderId="13" xfId="0" applyNumberFormat="1" applyFont="1" applyBorder="1"/>
    <xf numFmtId="1" fontId="10" fillId="0" borderId="13" xfId="0" applyNumberFormat="1" applyFont="1" applyBorder="1" applyAlignment="1">
      <alignment horizontal="right"/>
    </xf>
    <xf numFmtId="1" fontId="10" fillId="0" borderId="15" xfId="0" applyNumberFormat="1" applyFont="1" applyBorder="1"/>
    <xf numFmtId="0" fontId="4" fillId="2" borderId="1" xfId="0" applyFont="1" applyFill="1" applyBorder="1" applyAlignment="1">
      <alignment vertical="top"/>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0" xfId="0" applyFont="1" applyFill="1" applyBorder="1" applyAlignment="1">
      <alignment vertical="top" wrapText="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0" fontId="4" fillId="0" borderId="1" xfId="0" applyFont="1" applyBorder="1" applyAlignment="1">
      <alignment horizontal="left" vertical="top" wrapText="1"/>
    </xf>
    <xf numFmtId="0" fontId="4" fillId="4" borderId="5" xfId="0" applyFont="1" applyFill="1" applyBorder="1" applyAlignment="1">
      <alignment horizontal="center" vertical="top" wrapText="1"/>
    </xf>
    <xf numFmtId="0" fontId="2" fillId="0" borderId="5" xfId="0" applyFont="1" applyBorder="1" applyAlignment="1">
      <alignment horizontal="center" vertical="top" wrapText="1"/>
    </xf>
    <xf numFmtId="14" fontId="4" fillId="4" borderId="19" xfId="0" applyNumberFormat="1" applyFont="1" applyFill="1" applyBorder="1" applyAlignment="1">
      <alignment horizontal="left" vertical="top" wrapText="1"/>
    </xf>
    <xf numFmtId="0" fontId="2" fillId="0" borderId="19" xfId="0" applyFont="1" applyBorder="1" applyAlignment="1">
      <alignment horizontal="center" vertical="top" wrapText="1"/>
    </xf>
    <xf numFmtId="0" fontId="4" fillId="4" borderId="19" xfId="0" applyFont="1" applyFill="1" applyBorder="1" applyAlignment="1">
      <alignment horizontal="center" vertical="top" wrapText="1"/>
    </xf>
    <xf numFmtId="0" fontId="4" fillId="0" borderId="21" xfId="0" applyFont="1" applyBorder="1" applyAlignment="1">
      <alignment horizontal="left" vertical="top" wrapText="1"/>
    </xf>
    <xf numFmtId="1" fontId="5" fillId="4" borderId="19" xfId="1" applyNumberFormat="1" applyFont="1" applyFill="1" applyBorder="1" applyAlignment="1">
      <alignment horizontal="center" vertical="top" wrapText="1"/>
    </xf>
    <xf numFmtId="1" fontId="6" fillId="4" borderId="19" xfId="1" applyNumberFormat="1" applyFont="1" applyFill="1" applyBorder="1" applyAlignment="1">
      <alignment horizontal="center" vertical="top" wrapText="1"/>
    </xf>
    <xf numFmtId="1" fontId="5" fillId="0" borderId="28" xfId="1" applyNumberFormat="1" applyFont="1" applyBorder="1" applyAlignment="1">
      <alignment horizontal="center" vertical="top" wrapText="1"/>
    </xf>
    <xf numFmtId="9" fontId="5" fillId="0" borderId="22" xfId="1" applyNumberFormat="1" applyFont="1" applyBorder="1" applyAlignment="1">
      <alignment horizontal="center" vertical="center" wrapText="1"/>
    </xf>
    <xf numFmtId="1" fontId="6" fillId="4" borderId="19" xfId="1" applyNumberFormat="1" applyFont="1" applyFill="1" applyBorder="1" applyAlignment="1">
      <alignment horizontal="center" vertical="center" wrapText="1"/>
    </xf>
    <xf numFmtId="0" fontId="4" fillId="4" borderId="27" xfId="0" applyFont="1" applyFill="1" applyBorder="1" applyAlignment="1">
      <alignment vertical="top" wrapText="1"/>
    </xf>
    <xf numFmtId="0" fontId="4" fillId="4" borderId="24" xfId="0" applyFont="1" applyFill="1" applyBorder="1" applyAlignment="1">
      <alignment horizontal="center" vertical="top" wrapText="1"/>
    </xf>
    <xf numFmtId="0" fontId="4" fillId="4" borderId="29" xfId="0" applyFont="1" applyFill="1" applyBorder="1" applyAlignment="1">
      <alignment vertical="top" wrapText="1"/>
    </xf>
    <xf numFmtId="0" fontId="4" fillId="4" borderId="13" xfId="0" applyFont="1" applyFill="1" applyBorder="1" applyAlignment="1">
      <alignment horizontal="center" vertical="top" wrapText="1"/>
    </xf>
    <xf numFmtId="0" fontId="4" fillId="4" borderId="25" xfId="0" applyFont="1" applyFill="1" applyBorder="1" applyAlignment="1">
      <alignment vertical="top" wrapText="1"/>
    </xf>
    <xf numFmtId="0" fontId="4" fillId="4" borderId="26" xfId="0" applyFont="1" applyFill="1" applyBorder="1" applyAlignment="1">
      <alignment horizontal="center" vertical="top" wrapText="1"/>
    </xf>
    <xf numFmtId="0" fontId="11" fillId="4" borderId="27" xfId="0" applyFont="1" applyFill="1" applyBorder="1" applyAlignment="1">
      <alignment vertical="top" wrapText="1"/>
    </xf>
    <xf numFmtId="0" fontId="2" fillId="0" borderId="30" xfId="0" applyFont="1" applyBorder="1" applyAlignment="1">
      <alignment vertical="top" wrapText="1"/>
    </xf>
    <xf numFmtId="0" fontId="4" fillId="4" borderId="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32" xfId="1" applyNumberFormat="1" applyFont="1" applyFill="1" applyBorder="1" applyAlignment="1" applyProtection="1">
      <alignment horizontal="center" vertical="center" wrapText="1"/>
      <protection hidden="1"/>
    </xf>
    <xf numFmtId="9" fontId="4" fillId="4" borderId="33"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34" xfId="1" applyNumberFormat="1" applyFont="1" applyFill="1" applyBorder="1" applyAlignment="1" applyProtection="1">
      <alignment horizontal="center" vertical="center" wrapText="1"/>
      <protection hidden="1"/>
    </xf>
    <xf numFmtId="0" fontId="4" fillId="0" borderId="20" xfId="0" applyFont="1" applyBorder="1" applyAlignment="1">
      <alignment vertical="top" wrapText="1"/>
    </xf>
    <xf numFmtId="0" fontId="4" fillId="0" borderId="3" xfId="0" applyFont="1" applyBorder="1" applyAlignment="1">
      <alignment vertical="top" wrapText="1"/>
    </xf>
    <xf numFmtId="0" fontId="4" fillId="0" borderId="5" xfId="0" applyFont="1" applyBorder="1" applyAlignment="1">
      <alignmen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21" xfId="0" applyFont="1" applyFill="1" applyBorder="1" applyAlignment="1">
      <alignment horizontal="center" vertical="top"/>
    </xf>
    <xf numFmtId="0" fontId="2" fillId="2" borderId="1" xfId="0" applyFont="1" applyFill="1" applyBorder="1" applyAlignment="1">
      <alignment horizontal="center" vertical="top"/>
    </xf>
    <xf numFmtId="0" fontId="2" fillId="2" borderId="19" xfId="0" applyFont="1" applyFill="1" applyBorder="1" applyAlignment="1">
      <alignment horizontal="center" vertical="top"/>
    </xf>
    <xf numFmtId="0" fontId="4" fillId="0" borderId="20"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4" fillId="0" borderId="20" xfId="0" applyFont="1" applyBorder="1" applyAlignment="1">
      <alignment horizontal="left" vertical="top"/>
    </xf>
    <xf numFmtId="0" fontId="4" fillId="0" borderId="3" xfId="0" applyFont="1" applyBorder="1" applyAlignment="1">
      <alignment horizontal="left" vertical="top"/>
    </xf>
    <xf numFmtId="0" fontId="4" fillId="0" borderId="5" xfId="0" applyFont="1" applyBorder="1" applyAlignment="1">
      <alignment horizontal="left" vertical="top"/>
    </xf>
    <xf numFmtId="1" fontId="6" fillId="4" borderId="2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0"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26"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27" xfId="0" applyFont="1" applyBorder="1" applyAlignment="1">
      <alignment horizontal="left" vertical="top" wrapText="1"/>
    </xf>
    <xf numFmtId="0" fontId="4" fillId="0" borderId="10" xfId="0" applyFont="1" applyBorder="1" applyAlignment="1">
      <alignment horizontal="left" vertical="top" wrapText="1"/>
    </xf>
    <xf numFmtId="0" fontId="4" fillId="0" borderId="29" xfId="0" applyFont="1" applyBorder="1" applyAlignment="1">
      <alignment horizontal="left" vertical="top" wrapText="1"/>
    </xf>
    <xf numFmtId="0" fontId="4" fillId="0" borderId="33" xfId="0" applyFont="1" applyBorder="1" applyAlignment="1">
      <alignment horizontal="left" vertical="top" wrapText="1"/>
    </xf>
    <xf numFmtId="0" fontId="4" fillId="0" borderId="25" xfId="0" applyFont="1" applyBorder="1" applyAlignment="1">
      <alignment horizontal="left" vertical="top" wrapText="1"/>
    </xf>
    <xf numFmtId="0" fontId="4" fillId="0" borderId="34" xfId="0" applyFont="1" applyBorder="1" applyAlignment="1">
      <alignment horizontal="left" vertical="top" wrapText="1"/>
    </xf>
    <xf numFmtId="0" fontId="2" fillId="0" borderId="20" xfId="0" applyFont="1" applyBorder="1" applyAlignment="1">
      <alignment horizontal="left" vertical="top" wrapText="1"/>
    </xf>
    <xf numFmtId="0" fontId="2"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19" xfId="0" applyFont="1" applyFill="1" applyBorder="1" applyAlignment="1">
      <alignment horizontal="left" vertical="top" wrapText="1"/>
    </xf>
    <xf numFmtId="9" fontId="2" fillId="4" borderId="7" xfId="1" applyNumberFormat="1" applyFont="1" applyFill="1" applyBorder="1" applyAlignment="1" applyProtection="1">
      <alignment horizontal="left" vertical="top" wrapText="1"/>
      <protection hidden="1"/>
    </xf>
    <xf numFmtId="9" fontId="2" fillId="4" borderId="4" xfId="1" applyNumberFormat="1" applyFont="1" applyFill="1" applyBorder="1" applyAlignment="1" applyProtection="1">
      <alignment horizontal="left" vertical="top" wrapText="1"/>
      <protection hidden="1"/>
    </xf>
    <xf numFmtId="9" fontId="2" fillId="4" borderId="10" xfId="1" applyNumberFormat="1" applyFont="1" applyFill="1" applyBorder="1" applyAlignment="1" applyProtection="1">
      <alignment horizontal="left" vertical="top" wrapText="1"/>
      <protection hidden="1"/>
    </xf>
    <xf numFmtId="9" fontId="2" fillId="4" borderId="11" xfId="1" applyNumberFormat="1" applyFont="1" applyFill="1" applyBorder="1" applyAlignment="1" applyProtection="1">
      <alignment horizontal="left" vertical="top" wrapText="1"/>
      <protection hidden="1"/>
    </xf>
    <xf numFmtId="9" fontId="2" fillId="4" borderId="9" xfId="1" applyNumberFormat="1" applyFont="1" applyFill="1" applyBorder="1" applyAlignment="1" applyProtection="1">
      <alignment horizontal="left" vertical="top" wrapText="1"/>
      <protection hidden="1"/>
    </xf>
    <xf numFmtId="9" fontId="2" fillId="4" borderId="34" xfId="1" applyNumberFormat="1" applyFont="1" applyFill="1" applyBorder="1" applyAlignment="1" applyProtection="1">
      <alignment horizontal="left" vertical="top" wrapText="1"/>
      <protection hidden="1"/>
    </xf>
    <xf numFmtId="1" fontId="5" fillId="4" borderId="23" xfId="1" applyNumberFormat="1" applyFont="1" applyFill="1" applyBorder="1" applyAlignment="1">
      <alignment horizontal="center" vertical="center" wrapText="1"/>
    </xf>
    <xf numFmtId="0" fontId="8" fillId="0" borderId="25"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1" xfId="1" applyNumberFormat="1" applyFont="1" applyFill="1" applyBorder="1" applyAlignment="1" applyProtection="1">
      <alignment horizontal="center" vertical="center" wrapText="1"/>
      <protection hidden="1"/>
    </xf>
    <xf numFmtId="9" fontId="2" fillId="4" borderId="26" xfId="1" applyNumberFormat="1" applyFont="1" applyFill="1" applyBorder="1" applyAlignment="1" applyProtection="1">
      <alignment horizontal="center" vertical="center" wrapText="1"/>
      <protection hidden="1"/>
    </xf>
    <xf numFmtId="1" fontId="6" fillId="4" borderId="20"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0" fontId="2" fillId="2" borderId="20"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24" xfId="0" applyFont="1" applyFill="1" applyBorder="1" applyAlignment="1">
      <alignment horizontal="center" vertical="top" wrapText="1"/>
    </xf>
    <xf numFmtId="1" fontId="5" fillId="4" borderId="20"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23" xfId="0" applyFont="1" applyFill="1" applyBorder="1" applyAlignment="1">
      <alignment horizontal="left" vertical="top" wrapText="1"/>
    </xf>
    <xf numFmtId="0" fontId="2" fillId="0" borderId="1" xfId="0" applyFont="1" applyBorder="1" applyAlignment="1">
      <alignment horizontal="center" vertical="top" wrapText="1"/>
    </xf>
    <xf numFmtId="0" fontId="2" fillId="0" borderId="19" xfId="0" applyFont="1" applyBorder="1" applyAlignment="1">
      <alignment horizontal="center" vertical="top" wrapText="1"/>
    </xf>
    <xf numFmtId="0" fontId="2" fillId="2" borderId="23" xfId="0" applyFont="1" applyFill="1" applyBorder="1" applyAlignment="1">
      <alignment horizontal="center" vertical="top" wrapText="1"/>
    </xf>
    <xf numFmtId="0" fontId="3" fillId="4" borderId="1" xfId="0" applyFont="1" applyFill="1" applyBorder="1" applyAlignment="1">
      <alignment horizontal="left" vertical="top" wrapText="1"/>
    </xf>
    <xf numFmtId="0" fontId="3" fillId="4" borderId="19"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23" xfId="0" applyFont="1" applyFill="1" applyBorder="1" applyAlignment="1">
      <alignment horizontal="left" vertical="top" wrapText="1"/>
    </xf>
    <xf numFmtId="0" fontId="2" fillId="0" borderId="20"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4" fillId="4" borderId="3" xfId="0" applyFont="1" applyFill="1" applyBorder="1" applyAlignment="1">
      <alignment horizontal="left" vertical="top" wrapText="1"/>
    </xf>
    <xf numFmtId="0" fontId="2" fillId="0" borderId="21" xfId="0" applyFont="1" applyBorder="1" applyAlignment="1">
      <alignment horizontal="center" vertical="top" wrapText="1"/>
    </xf>
    <xf numFmtId="0" fontId="4" fillId="0" borderId="21" xfId="0" applyFont="1" applyBorder="1" applyAlignment="1">
      <alignment horizontal="center" vertical="top" wrapText="1"/>
    </xf>
    <xf numFmtId="0" fontId="4" fillId="0" borderId="1" xfId="0" applyFont="1" applyBorder="1" applyAlignment="1">
      <alignment horizontal="center" vertical="top" wrapText="1"/>
    </xf>
    <xf numFmtId="0" fontId="2" fillId="0" borderId="2"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23" xfId="0" applyFont="1" applyFill="1" applyBorder="1" applyAlignment="1">
      <alignment horizontal="left" vertical="top"/>
    </xf>
    <xf numFmtId="2" fontId="4" fillId="4" borderId="1" xfId="0" applyNumberFormat="1" applyFont="1" applyFill="1" applyBorder="1" applyAlignment="1">
      <alignment horizontal="left" vertical="top" wrapText="1"/>
    </xf>
    <xf numFmtId="2" fontId="4" fillId="4" borderId="19" xfId="0" applyNumberFormat="1" applyFont="1" applyFill="1" applyBorder="1" applyAlignment="1">
      <alignment horizontal="left" vertical="top" wrapText="1"/>
    </xf>
    <xf numFmtId="0" fontId="2" fillId="2" borderId="20" xfId="0" applyFont="1" applyFill="1" applyBorder="1" applyAlignment="1">
      <alignment horizontal="center" vertical="top"/>
    </xf>
    <xf numFmtId="0" fontId="2" fillId="2" borderId="3" xfId="0" applyFont="1" applyFill="1" applyBorder="1" applyAlignment="1">
      <alignment horizontal="center" vertical="top"/>
    </xf>
    <xf numFmtId="0" fontId="2" fillId="2" borderId="23" xfId="0" applyFont="1" applyFill="1" applyBorder="1" applyAlignment="1">
      <alignment horizontal="center" vertical="top"/>
    </xf>
    <xf numFmtId="1" fontId="5" fillId="0" borderId="1" xfId="1" applyNumberFormat="1" applyFont="1" applyBorder="1" applyAlignment="1">
      <alignment horizontal="center" vertical="top" wrapText="1"/>
    </xf>
    <xf numFmtId="1" fontId="5" fillId="0" borderId="21" xfId="1" applyNumberFormat="1" applyFont="1" applyBorder="1" applyAlignment="1">
      <alignment horizontal="center" vertical="top" wrapText="1"/>
    </xf>
    <xf numFmtId="0" fontId="4" fillId="4" borderId="1" xfId="0" applyFont="1" applyFill="1" applyBorder="1" applyAlignment="1">
      <alignment horizontal="left" vertical="top"/>
    </xf>
    <xf numFmtId="0" fontId="4" fillId="4" borderId="19" xfId="0" applyFont="1" applyFill="1" applyBorder="1" applyAlignment="1">
      <alignment horizontal="left" vertical="top"/>
    </xf>
    <xf numFmtId="0" fontId="4" fillId="0" borderId="21" xfId="0" applyFont="1" applyBorder="1" applyAlignment="1">
      <alignment horizontal="left" vertical="top"/>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23" xfId="0" applyFont="1" applyFill="1" applyBorder="1" applyAlignment="1">
      <alignment horizontal="left" vertical="top"/>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22" xfId="0" applyFont="1" applyFill="1" applyBorder="1" applyAlignment="1">
      <alignment horizontal="center" vertical="top"/>
    </xf>
    <xf numFmtId="0" fontId="4" fillId="4" borderId="7" xfId="0" applyFont="1" applyFill="1" applyBorder="1" applyAlignment="1">
      <alignment horizontal="left" vertical="top" wrapText="1"/>
    </xf>
    <xf numFmtId="0" fontId="4" fillId="4" borderId="2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0"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0" xfId="0" applyFont="1" applyFill="1" applyBorder="1" applyAlignment="1">
      <alignment horizontal="left" vertical="top" wrapText="1"/>
    </xf>
    <xf numFmtId="0" fontId="2" fillId="2" borderId="16" xfId="0" applyFont="1" applyFill="1" applyBorder="1" applyAlignment="1">
      <alignment horizontal="center" vertical="top"/>
    </xf>
    <xf numFmtId="0" fontId="2" fillId="2" borderId="17" xfId="0" applyFont="1" applyFill="1" applyBorder="1" applyAlignment="1">
      <alignment horizontal="center" vertical="top"/>
    </xf>
    <xf numFmtId="0" fontId="2" fillId="2" borderId="18" xfId="0" applyFont="1" applyFill="1" applyBorder="1" applyAlignment="1">
      <alignment horizontal="center" vertical="top"/>
    </xf>
    <xf numFmtId="0" fontId="2" fillId="2" borderId="2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8"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vertical="top" wrapText="1"/>
    </xf>
    <xf numFmtId="0" fontId="4" fillId="4" borderId="19" xfId="0" applyFont="1" applyFill="1" applyBorder="1" applyAlignment="1">
      <alignment vertical="top" wrapText="1"/>
    </xf>
    <xf numFmtId="2" fontId="4" fillId="4" borderId="2"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30" xfId="0" applyFont="1" applyFill="1" applyBorder="1" applyAlignment="1">
      <alignment horizontal="center" vertical="top" wrapText="1"/>
    </xf>
    <xf numFmtId="0" fontId="4" fillId="4" borderId="31" xfId="0" applyFont="1" applyFill="1" applyBorder="1" applyAlignment="1">
      <alignment horizontal="center" vertical="top" wrapText="1"/>
    </xf>
    <xf numFmtId="0" fontId="2" fillId="2" borderId="21" xfId="0" applyFont="1" applyFill="1" applyBorder="1" applyAlignment="1">
      <alignment horizontal="left" vertical="top"/>
    </xf>
    <xf numFmtId="0" fontId="2" fillId="2" borderId="1" xfId="0" applyFont="1" applyFill="1" applyBorder="1" applyAlignment="1">
      <alignment horizontal="left" vertical="top"/>
    </xf>
    <xf numFmtId="0" fontId="2" fillId="2" borderId="19" xfId="0" applyFont="1" applyFill="1" applyBorder="1" applyAlignment="1">
      <alignment horizontal="left" vertical="top"/>
    </xf>
    <xf numFmtId="0" fontId="4" fillId="0" borderId="4"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Border="1" applyAlignment="1">
      <alignment horizontal="left" vertical="top" wrapText="1"/>
    </xf>
    <xf numFmtId="0" fontId="4" fillId="0" borderId="13" xfId="0" applyFont="1" applyBorder="1" applyAlignment="1">
      <alignment horizontal="left" vertical="top" wrapText="1"/>
    </xf>
    <xf numFmtId="0" fontId="4" fillId="0" borderId="9" xfId="0" applyFont="1" applyBorder="1" applyAlignment="1">
      <alignment horizontal="left" vertical="top" wrapText="1"/>
    </xf>
    <xf numFmtId="0" fontId="4" fillId="0" borderId="2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23" xfId="0" applyNumberFormat="1" applyFont="1" applyFill="1" applyBorder="1" applyAlignment="1">
      <alignment horizontal="left" vertical="top"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3" fillId="4" borderId="30" xfId="0" applyFont="1" applyFill="1" applyBorder="1" applyAlignment="1">
      <alignment horizontal="center" vertical="top" wrapText="1"/>
    </xf>
    <xf numFmtId="0" fontId="4" fillId="0" borderId="21" xfId="0" applyFont="1" applyBorder="1" applyAlignment="1">
      <alignment horizontal="left" vertical="top" wrapText="1"/>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3" borderId="19" xfId="0" applyFont="1" applyFill="1" applyBorder="1" applyAlignment="1">
      <alignment horizontal="left" vertical="top" wrapText="1"/>
    </xf>
    <xf numFmtId="1" fontId="6" fillId="4" borderId="3" xfId="1" applyNumberFormat="1" applyFont="1" applyFill="1" applyBorder="1" applyAlignment="1">
      <alignment horizontal="center" vertical="center" wrapText="1"/>
    </xf>
    <xf numFmtId="1" fontId="6" fillId="4" borderId="23" xfId="1" applyNumberFormat="1" applyFont="1" applyFill="1" applyBorder="1" applyAlignment="1">
      <alignment horizontal="center" vertical="center" wrapText="1"/>
    </xf>
    <xf numFmtId="0" fontId="2" fillId="4" borderId="23" xfId="0"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14" fontId="3" fillId="0" borderId="0" xfId="0" applyNumberFormat="1" applyFont="1" applyAlignment="1">
      <alignment horizontal="center" vertical="top"/>
    </xf>
    <xf numFmtId="14" fontId="12" fillId="4" borderId="0" xfId="0" applyNumberFormat="1" applyFont="1" applyFill="1" applyBorder="1" applyAlignment="1">
      <alignment horizontal="center" vertical="top" wrapText="1"/>
    </xf>
    <xf numFmtId="0" fontId="3" fillId="0" borderId="0" xfId="0" applyFont="1" applyAlignment="1">
      <alignment horizontal="left" vertical="top"/>
    </xf>
  </cellXfs>
  <cellStyles count="2">
    <cellStyle name="Normal" xfId="0" builtinId="0"/>
    <cellStyle name="Normal 3" xfId="1" xr:uid="{00000000-0005-0000-0000-000001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1368123</xdr:colOff>
      <xdr:row>395</xdr:row>
      <xdr:rowOff>64027</xdr:rowOff>
    </xdr:from>
    <xdr:to>
      <xdr:col>6</xdr:col>
      <xdr:colOff>637842</xdr:colOff>
      <xdr:row>409</xdr:row>
      <xdr:rowOff>27209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68123" y="92664345"/>
          <a:ext cx="8306245" cy="3600000"/>
        </a:xfrm>
        <a:prstGeom prst="rect">
          <a:avLst/>
        </a:prstGeom>
        <a:ln>
          <a:solidFill>
            <a:schemeClr val="tx1"/>
          </a:solidFill>
        </a:ln>
      </xdr:spPr>
    </xdr:pic>
    <xdr:clientData/>
  </xdr:twoCellAnchor>
  <xdr:twoCellAnchor editAs="oneCell">
    <xdr:from>
      <xdr:col>0</xdr:col>
      <xdr:colOff>1368122</xdr:colOff>
      <xdr:row>380</xdr:row>
      <xdr:rowOff>51954</xdr:rowOff>
    </xdr:from>
    <xdr:to>
      <xdr:col>6</xdr:col>
      <xdr:colOff>637841</xdr:colOff>
      <xdr:row>394</xdr:row>
      <xdr:rowOff>15137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68122" y="88755681"/>
          <a:ext cx="8306245" cy="3600000"/>
        </a:xfrm>
        <a:prstGeom prst="rect">
          <a:avLst/>
        </a:prstGeom>
        <a:ln>
          <a:solidFill>
            <a:schemeClr val="tx1"/>
          </a:solidFill>
        </a:ln>
      </xdr:spPr>
    </xdr:pic>
    <xdr:clientData/>
  </xdr:twoCellAnchor>
  <xdr:twoCellAnchor editAs="oneCell">
    <xdr:from>
      <xdr:col>0</xdr:col>
      <xdr:colOff>420219</xdr:colOff>
      <xdr:row>339</xdr:row>
      <xdr:rowOff>151280</xdr:rowOff>
    </xdr:from>
    <xdr:to>
      <xdr:col>7</xdr:col>
      <xdr:colOff>1068711</xdr:colOff>
      <xdr:row>365</xdr:row>
      <xdr:rowOff>71438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0219" y="109593530"/>
          <a:ext cx="10663349" cy="6642086"/>
        </a:xfrm>
        <a:prstGeom prst="rect">
          <a:avLst/>
        </a:prstGeom>
        <a:ln>
          <a:solidFill>
            <a:schemeClr val="tx1"/>
          </a:solidFill>
        </a:ln>
      </xdr:spPr>
    </xdr:pic>
    <xdr:clientData/>
  </xdr:twoCellAnchor>
  <xdr:twoCellAnchor>
    <xdr:from>
      <xdr:col>8</xdr:col>
      <xdr:colOff>734786</xdr:colOff>
      <xdr:row>288</xdr:row>
      <xdr:rowOff>108856</xdr:rowOff>
    </xdr:from>
    <xdr:to>
      <xdr:col>23</xdr:col>
      <xdr:colOff>520007</xdr:colOff>
      <xdr:row>317</xdr:row>
      <xdr:rowOff>76611</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2382500" y="97985035"/>
          <a:ext cx="8779543" cy="7465290"/>
          <a:chOff x="1170214" y="93766821"/>
          <a:chExt cx="8779543" cy="7465291"/>
        </a:xfrm>
      </xdr:grpSpPr>
      <xdr:pic>
        <xdr:nvPicPr>
          <xdr:cNvPr id="5" name="Picture 4" descr="https://vsjcllp.vsjadon.com/upload/insp-208060-152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252569" y="97632112"/>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descr="https://vsjcllp.vsjadon.com/upload/insp-208060-843.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170214" y="97632112"/>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descr="https://vsjcllp.vsjadon.com/upload/insp-208060-84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4248184" y="93766821"/>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 name="Picture 7" descr="https://vsjcllp.vsjadon.com/upload/insp-208060-851.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170214" y="93766821"/>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descr="https://vsjcllp.vsjadon.com/upload/insp-208060-861.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7252569" y="93766821"/>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08060-874.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248184" y="97632112"/>
            <a:ext cx="2697188"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631530</xdr:colOff>
      <xdr:row>288</xdr:row>
      <xdr:rowOff>192101</xdr:rowOff>
    </xdr:from>
    <xdr:to>
      <xdr:col>17</xdr:col>
      <xdr:colOff>184310</xdr:colOff>
      <xdr:row>315</xdr:row>
      <xdr:rowOff>189234</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2279244" y="98068280"/>
          <a:ext cx="6710137" cy="6977597"/>
          <a:chOff x="2830285" y="93766821"/>
          <a:chExt cx="6634897" cy="6977599"/>
        </a:xfrm>
      </xdr:grpSpPr>
      <xdr:pic>
        <xdr:nvPicPr>
          <xdr:cNvPr id="13" name="Picture 12" descr="insp-216011-843.jpg (963×1280)">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2830285" y="93766821"/>
            <a:ext cx="3250124"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insp-216011-861.jpg (963×1280)">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6215058" y="93766821"/>
            <a:ext cx="3250124"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insp-216011-860.jpg (1079×813)">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3228637" y="98224420"/>
            <a:ext cx="334450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insp-216011-883.jpg (963×128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672561" y="98224420"/>
            <a:ext cx="1895906"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336176</xdr:colOff>
      <xdr:row>291</xdr:row>
      <xdr:rowOff>224118</xdr:rowOff>
    </xdr:from>
    <xdr:to>
      <xdr:col>26</xdr:col>
      <xdr:colOff>358588</xdr:colOff>
      <xdr:row>321</xdr:row>
      <xdr:rowOff>44824</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14242676" y="98875904"/>
          <a:ext cx="8513269" cy="7576777"/>
          <a:chOff x="514351" y="595172"/>
          <a:chExt cx="5963432" cy="4821150"/>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600449" y="595172"/>
            <a:ext cx="2877334" cy="288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14351" y="595172"/>
            <a:ext cx="2877333" cy="288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34016" y="3616322"/>
            <a:ext cx="2388930" cy="1800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752849" y="3616322"/>
            <a:ext cx="1798333" cy="1800000"/>
          </a:xfrm>
          <a:prstGeom prst="rect">
            <a:avLst/>
          </a:prstGeom>
          <a:ln>
            <a:solidFill>
              <a:schemeClr val="tx1"/>
            </a:solidFill>
          </a:ln>
        </xdr:spPr>
      </xdr:pic>
    </xdr:grpSp>
    <xdr:clientData/>
  </xdr:twoCellAnchor>
  <xdr:twoCellAnchor editAs="oneCell">
    <xdr:from>
      <xdr:col>8</xdr:col>
      <xdr:colOff>228120</xdr:colOff>
      <xdr:row>53</xdr:row>
      <xdr:rowOff>1016531</xdr:rowOff>
    </xdr:from>
    <xdr:to>
      <xdr:col>14</xdr:col>
      <xdr:colOff>521530</xdr:colOff>
      <xdr:row>66</xdr:row>
      <xdr:rowOff>87423</xdr:rowOff>
    </xdr:to>
    <xdr:pic>
      <xdr:nvPicPr>
        <xdr:cNvPr id="4" name="Picture 3">
          <a:extLst>
            <a:ext uri="{FF2B5EF4-FFF2-40B4-BE49-F238E27FC236}">
              <a16:creationId xmlns:a16="http://schemas.microsoft.com/office/drawing/2014/main" id="{0D508419-AAE3-4EBE-87CE-3DB40BEB3E74}"/>
            </a:ext>
          </a:extLst>
        </xdr:cNvPr>
        <xdr:cNvPicPr>
          <a:picLocks noChangeAspect="1"/>
        </xdr:cNvPicPr>
      </xdr:nvPicPr>
      <xdr:blipFill>
        <a:blip xmlns:r="http://schemas.openxmlformats.org/officeDocument/2006/relationships" r:embed="rId18"/>
        <a:stretch>
          <a:fillRect/>
        </a:stretch>
      </xdr:blipFill>
      <xdr:spPr>
        <a:xfrm>
          <a:off x="11875834" y="30693710"/>
          <a:ext cx="5613803" cy="4731463"/>
        </a:xfrm>
        <a:prstGeom prst="rect">
          <a:avLst/>
        </a:prstGeom>
      </xdr:spPr>
    </xdr:pic>
    <xdr:clientData/>
  </xdr:twoCellAnchor>
  <xdr:twoCellAnchor editAs="oneCell">
    <xdr:from>
      <xdr:col>8</xdr:col>
      <xdr:colOff>1207835</xdr:colOff>
      <xdr:row>60</xdr:row>
      <xdr:rowOff>188099</xdr:rowOff>
    </xdr:from>
    <xdr:to>
      <xdr:col>15</xdr:col>
      <xdr:colOff>557024</xdr:colOff>
      <xdr:row>74</xdr:row>
      <xdr:rowOff>65330</xdr:rowOff>
    </xdr:to>
    <xdr:pic>
      <xdr:nvPicPr>
        <xdr:cNvPr id="23" name="Picture 22">
          <a:extLst>
            <a:ext uri="{FF2B5EF4-FFF2-40B4-BE49-F238E27FC236}">
              <a16:creationId xmlns:a16="http://schemas.microsoft.com/office/drawing/2014/main" id="{2A4D0047-2F85-49B3-9962-F050ABE60DDF}"/>
            </a:ext>
          </a:extLst>
        </xdr:cNvPr>
        <xdr:cNvPicPr>
          <a:picLocks noChangeAspect="1"/>
        </xdr:cNvPicPr>
      </xdr:nvPicPr>
      <xdr:blipFill>
        <a:blip xmlns:r="http://schemas.openxmlformats.org/officeDocument/2006/relationships" r:embed="rId19"/>
        <a:stretch>
          <a:fillRect/>
        </a:stretch>
      </xdr:blipFill>
      <xdr:spPr>
        <a:xfrm>
          <a:off x="12855549" y="33294278"/>
          <a:ext cx="5281904" cy="4721373"/>
        </a:xfrm>
        <a:prstGeom prst="rect">
          <a:avLst/>
        </a:prstGeom>
      </xdr:spPr>
    </xdr:pic>
    <xdr:clientData/>
  </xdr:twoCellAnchor>
  <xdr:twoCellAnchor editAs="oneCell">
    <xdr:from>
      <xdr:col>8</xdr:col>
      <xdr:colOff>291353</xdr:colOff>
      <xdr:row>71</xdr:row>
      <xdr:rowOff>302559</xdr:rowOff>
    </xdr:from>
    <xdr:to>
      <xdr:col>12</xdr:col>
      <xdr:colOff>100834</xdr:colOff>
      <xdr:row>83</xdr:row>
      <xdr:rowOff>6672</xdr:rowOff>
    </xdr:to>
    <xdr:pic>
      <xdr:nvPicPr>
        <xdr:cNvPr id="24" name="Picture 23">
          <a:extLst>
            <a:ext uri="{FF2B5EF4-FFF2-40B4-BE49-F238E27FC236}">
              <a16:creationId xmlns:a16="http://schemas.microsoft.com/office/drawing/2014/main" id="{4DF6AF03-8E79-4FF2-8C9B-F1F9476A223E}"/>
            </a:ext>
          </a:extLst>
        </xdr:cNvPr>
        <xdr:cNvPicPr>
          <a:picLocks noChangeAspect="1"/>
        </xdr:cNvPicPr>
      </xdr:nvPicPr>
      <xdr:blipFill>
        <a:blip xmlns:r="http://schemas.openxmlformats.org/officeDocument/2006/relationships" r:embed="rId20"/>
        <a:stretch>
          <a:fillRect/>
        </a:stretch>
      </xdr:blipFill>
      <xdr:spPr>
        <a:xfrm>
          <a:off x="11934265" y="37136294"/>
          <a:ext cx="3877216" cy="3648584"/>
        </a:xfrm>
        <a:prstGeom prst="rect">
          <a:avLst/>
        </a:prstGeom>
      </xdr:spPr>
    </xdr:pic>
    <xdr:clientData/>
  </xdr:twoCellAnchor>
  <xdr:twoCellAnchor editAs="oneCell">
    <xdr:from>
      <xdr:col>8</xdr:col>
      <xdr:colOff>1355912</xdr:colOff>
      <xdr:row>101</xdr:row>
      <xdr:rowOff>67236</xdr:rowOff>
    </xdr:from>
    <xdr:to>
      <xdr:col>16</xdr:col>
      <xdr:colOff>431082</xdr:colOff>
      <xdr:row>118</xdr:row>
      <xdr:rowOff>81994</xdr:rowOff>
    </xdr:to>
    <xdr:pic>
      <xdr:nvPicPr>
        <xdr:cNvPr id="25" name="Picture 24">
          <a:extLst>
            <a:ext uri="{FF2B5EF4-FFF2-40B4-BE49-F238E27FC236}">
              <a16:creationId xmlns:a16="http://schemas.microsoft.com/office/drawing/2014/main" id="{F0513B24-3E67-4837-A640-E56914155A25}"/>
            </a:ext>
          </a:extLst>
        </xdr:cNvPr>
        <xdr:cNvPicPr>
          <a:picLocks noChangeAspect="1"/>
        </xdr:cNvPicPr>
      </xdr:nvPicPr>
      <xdr:blipFill>
        <a:blip xmlns:r="http://schemas.openxmlformats.org/officeDocument/2006/relationships" r:embed="rId21"/>
        <a:stretch>
          <a:fillRect/>
        </a:stretch>
      </xdr:blipFill>
      <xdr:spPr>
        <a:xfrm>
          <a:off x="12998824" y="46795765"/>
          <a:ext cx="5563376" cy="5382376"/>
        </a:xfrm>
        <a:prstGeom prst="rect">
          <a:avLst/>
        </a:prstGeom>
      </xdr:spPr>
    </xdr:pic>
    <xdr:clientData/>
  </xdr:twoCellAnchor>
  <xdr:twoCellAnchor>
    <xdr:from>
      <xdr:col>0</xdr:col>
      <xdr:colOff>449037</xdr:colOff>
      <xdr:row>290</xdr:row>
      <xdr:rowOff>68033</xdr:rowOff>
    </xdr:from>
    <xdr:to>
      <xdr:col>7</xdr:col>
      <xdr:colOff>1347108</xdr:colOff>
      <xdr:row>325</xdr:row>
      <xdr:rowOff>0</xdr:rowOff>
    </xdr:to>
    <xdr:grpSp>
      <xdr:nvGrpSpPr>
        <xdr:cNvPr id="26" name="Group 25">
          <a:extLst>
            <a:ext uri="{FF2B5EF4-FFF2-40B4-BE49-F238E27FC236}">
              <a16:creationId xmlns:a16="http://schemas.microsoft.com/office/drawing/2014/main" id="{955F00B5-D2F6-490B-AF89-3493F4702093}"/>
            </a:ext>
          </a:extLst>
        </xdr:cNvPr>
        <xdr:cNvGrpSpPr/>
      </xdr:nvGrpSpPr>
      <xdr:grpSpPr>
        <a:xfrm>
          <a:off x="449037" y="98461283"/>
          <a:ext cx="10912928" cy="8980717"/>
          <a:chOff x="-278817" y="548151"/>
          <a:chExt cx="7415633" cy="5804792"/>
        </a:xfrm>
      </xdr:grpSpPr>
      <xdr:grpSp>
        <xdr:nvGrpSpPr>
          <xdr:cNvPr id="27" name="Group 26">
            <a:extLst>
              <a:ext uri="{FF2B5EF4-FFF2-40B4-BE49-F238E27FC236}">
                <a16:creationId xmlns:a16="http://schemas.microsoft.com/office/drawing/2014/main" id="{BDB55E04-4840-49E6-BC7F-8C9E4DECFCBE}"/>
              </a:ext>
            </a:extLst>
          </xdr:cNvPr>
          <xdr:cNvGrpSpPr/>
        </xdr:nvGrpSpPr>
        <xdr:grpSpPr>
          <a:xfrm>
            <a:off x="-278817" y="548151"/>
            <a:ext cx="7415633" cy="5804792"/>
            <a:chOff x="0" y="135775"/>
            <a:chExt cx="7415633" cy="5804792"/>
          </a:xfrm>
        </xdr:grpSpPr>
        <xdr:pic>
          <xdr:nvPicPr>
            <xdr:cNvPr id="32" name="Picture 31">
              <a:extLst>
                <a:ext uri="{FF2B5EF4-FFF2-40B4-BE49-F238E27FC236}">
                  <a16:creationId xmlns:a16="http://schemas.microsoft.com/office/drawing/2014/main" id="{DA498A83-A477-4EA4-A590-497477593FC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0" y="135775"/>
              <a:ext cx="3596667" cy="3600000"/>
            </a:xfrm>
            <a:prstGeom prst="rect">
              <a:avLst/>
            </a:prstGeom>
            <a:ln>
              <a:solidFill>
                <a:schemeClr val="tx1"/>
              </a:solidFill>
            </a:ln>
          </xdr:spPr>
        </xdr:pic>
        <xdr:pic>
          <xdr:nvPicPr>
            <xdr:cNvPr id="33" name="Picture 32">
              <a:extLst>
                <a:ext uri="{FF2B5EF4-FFF2-40B4-BE49-F238E27FC236}">
                  <a16:creationId xmlns:a16="http://schemas.microsoft.com/office/drawing/2014/main" id="{1378977C-942A-414B-9B7C-E8A76248E0E8}"/>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818966" y="135775"/>
              <a:ext cx="3596667" cy="3600000"/>
            </a:xfrm>
            <a:prstGeom prst="rect">
              <a:avLst/>
            </a:prstGeom>
            <a:ln>
              <a:solidFill>
                <a:schemeClr val="tx1"/>
              </a:solidFill>
            </a:ln>
          </xdr:spPr>
        </xdr:pic>
        <xdr:pic>
          <xdr:nvPicPr>
            <xdr:cNvPr id="34" name="Picture 33">
              <a:extLst>
                <a:ext uri="{FF2B5EF4-FFF2-40B4-BE49-F238E27FC236}">
                  <a16:creationId xmlns:a16="http://schemas.microsoft.com/office/drawing/2014/main" id="{0DC9A8E5-B49C-4062-BF5E-48B1A873348A}"/>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392848" y="3960567"/>
              <a:ext cx="2627823" cy="1980000"/>
            </a:xfrm>
            <a:prstGeom prst="rect">
              <a:avLst/>
            </a:prstGeom>
            <a:ln>
              <a:solidFill>
                <a:schemeClr val="tx1"/>
              </a:solidFill>
            </a:ln>
          </xdr:spPr>
        </xdr:pic>
        <xdr:pic>
          <xdr:nvPicPr>
            <xdr:cNvPr id="35" name="Picture 34">
              <a:extLst>
                <a:ext uri="{FF2B5EF4-FFF2-40B4-BE49-F238E27FC236}">
                  <a16:creationId xmlns:a16="http://schemas.microsoft.com/office/drawing/2014/main" id="{D7F434F1-4742-4334-9D20-AC2C10C9310A}"/>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188338" y="3960567"/>
              <a:ext cx="1978167" cy="1980000"/>
            </a:xfrm>
            <a:prstGeom prst="rect">
              <a:avLst/>
            </a:prstGeom>
            <a:ln>
              <a:solidFill>
                <a:schemeClr val="tx1"/>
              </a:solidFill>
            </a:ln>
          </xdr:spPr>
        </xdr:pic>
      </xdr:grpSp>
      <xdr:sp macro="" textlink="">
        <xdr:nvSpPr>
          <xdr:cNvPr id="28" name="TextBox 85">
            <a:extLst>
              <a:ext uri="{FF2B5EF4-FFF2-40B4-BE49-F238E27FC236}">
                <a16:creationId xmlns:a16="http://schemas.microsoft.com/office/drawing/2014/main" id="{2A94EB27-6853-47F9-A146-5AD7265D45BE}"/>
              </a:ext>
            </a:extLst>
          </xdr:cNvPr>
          <xdr:cNvSpPr txBox="1"/>
        </xdr:nvSpPr>
        <xdr:spPr>
          <a:xfrm>
            <a:off x="-108113" y="1102382"/>
            <a:ext cx="150714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11A &amp; B</a:t>
            </a:r>
            <a:endParaRPr lang="en-IN" b="1"/>
          </a:p>
        </xdr:txBody>
      </xdr:sp>
      <xdr:cxnSp macro="">
        <xdr:nvCxnSpPr>
          <xdr:cNvPr id="29" name="Straight Arrow Connector 28">
            <a:extLst>
              <a:ext uri="{FF2B5EF4-FFF2-40B4-BE49-F238E27FC236}">
                <a16:creationId xmlns:a16="http://schemas.microsoft.com/office/drawing/2014/main" id="{BFB02B71-C474-4706-932D-EDE6A78EC056}"/>
              </a:ext>
            </a:extLst>
          </xdr:cNvPr>
          <xdr:cNvCxnSpPr>
            <a:cxnSpLocks/>
          </xdr:cNvCxnSpPr>
        </xdr:nvCxnSpPr>
        <xdr:spPr>
          <a:xfrm>
            <a:off x="442403" y="1357305"/>
            <a:ext cx="203056" cy="489424"/>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89">
            <a:extLst>
              <a:ext uri="{FF2B5EF4-FFF2-40B4-BE49-F238E27FC236}">
                <a16:creationId xmlns:a16="http://schemas.microsoft.com/office/drawing/2014/main" id="{68DF496A-BC0F-49A6-83AF-E197010B0428}"/>
              </a:ext>
            </a:extLst>
          </xdr:cNvPr>
          <xdr:cNvSpPr txBox="1"/>
        </xdr:nvSpPr>
        <xdr:spPr>
          <a:xfrm>
            <a:off x="1764601" y="859215"/>
            <a:ext cx="110959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12A</a:t>
            </a:r>
            <a:endParaRPr lang="en-IN" b="1"/>
          </a:p>
        </xdr:txBody>
      </xdr:sp>
      <xdr:cxnSp macro="">
        <xdr:nvCxnSpPr>
          <xdr:cNvPr id="31" name="Straight Arrow Connector 30">
            <a:extLst>
              <a:ext uri="{FF2B5EF4-FFF2-40B4-BE49-F238E27FC236}">
                <a16:creationId xmlns:a16="http://schemas.microsoft.com/office/drawing/2014/main" id="{4A7EC1DA-D527-4385-97A8-985E00402B3D}"/>
              </a:ext>
            </a:extLst>
          </xdr:cNvPr>
          <xdr:cNvCxnSpPr>
            <a:cxnSpLocks/>
          </xdr:cNvCxnSpPr>
        </xdr:nvCxnSpPr>
        <xdr:spPr>
          <a:xfrm flipH="1">
            <a:off x="1950279" y="1119837"/>
            <a:ext cx="239699" cy="35187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163287</xdr:colOff>
      <xdr:row>49</xdr:row>
      <xdr:rowOff>830036</xdr:rowOff>
    </xdr:from>
    <xdr:to>
      <xdr:col>17</xdr:col>
      <xdr:colOff>226888</xdr:colOff>
      <xdr:row>53</xdr:row>
      <xdr:rowOff>702631</xdr:rowOff>
    </xdr:to>
    <xdr:pic>
      <xdr:nvPicPr>
        <xdr:cNvPr id="38" name="Picture 37">
          <a:extLst>
            <a:ext uri="{FF2B5EF4-FFF2-40B4-BE49-F238E27FC236}">
              <a16:creationId xmlns:a16="http://schemas.microsoft.com/office/drawing/2014/main" id="{BB5E5D61-6FEE-4C0A-873E-8983B5E30CE8}"/>
            </a:ext>
          </a:extLst>
        </xdr:cNvPr>
        <xdr:cNvPicPr>
          <a:picLocks noChangeAspect="1"/>
        </xdr:cNvPicPr>
      </xdr:nvPicPr>
      <xdr:blipFill>
        <a:blip xmlns:r="http://schemas.openxmlformats.org/officeDocument/2006/relationships" r:embed="rId26"/>
        <a:stretch>
          <a:fillRect/>
        </a:stretch>
      </xdr:blipFill>
      <xdr:spPr>
        <a:xfrm>
          <a:off x="11811001" y="26778857"/>
          <a:ext cx="7220958" cy="36009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29"/>
  <sheetViews>
    <sheetView tabSelected="1" view="pageBreakPreview" topLeftCell="A171" zoomScale="70" zoomScaleNormal="85" zoomScaleSheetLayoutView="70" zoomScalePageLayoutView="55" workbookViewId="0">
      <selection activeCell="M123" sqref="M123"/>
    </sheetView>
  </sheetViews>
  <sheetFormatPr defaultColWidth="9.140625" defaultRowHeight="17.100000000000001" customHeight="1" x14ac:dyDescent="0.25"/>
  <cols>
    <col min="1" max="1" width="31.140625" style="1" customWidth="1"/>
    <col min="2" max="2" width="3.140625" style="1" customWidth="1"/>
    <col min="3" max="3" width="17.42578125" style="1" customWidth="1"/>
    <col min="4" max="4" width="19.7109375" style="8" customWidth="1"/>
    <col min="5" max="6" width="27.140625" style="1" customWidth="1"/>
    <col min="7" max="7" width="24.42578125" style="1" customWidth="1"/>
    <col min="8" max="8" width="24.42578125" style="8" customWidth="1"/>
    <col min="9" max="9" width="33.85546875" style="1" customWidth="1"/>
    <col min="10" max="19" width="9.140625" style="1"/>
    <col min="20" max="22" width="0" style="1" hidden="1" customWidth="1"/>
    <col min="23" max="25" width="9.140625" style="1"/>
    <col min="26" max="26" width="7.85546875" style="1" customWidth="1"/>
    <col min="27" max="16384" width="9.140625" style="1"/>
  </cols>
  <sheetData>
    <row r="1" spans="1:14" ht="20.25" x14ac:dyDescent="0.25">
      <c r="A1" s="175" t="s">
        <v>41</v>
      </c>
      <c r="B1" s="176"/>
      <c r="C1" s="176"/>
      <c r="D1" s="176"/>
      <c r="E1" s="176"/>
      <c r="F1" s="176"/>
      <c r="G1" s="176"/>
      <c r="H1" s="177"/>
      <c r="L1" s="214" t="s">
        <v>289</v>
      </c>
      <c r="M1" s="214"/>
      <c r="N1" s="214"/>
    </row>
    <row r="2" spans="1:14" ht="42" customHeight="1" x14ac:dyDescent="0.25">
      <c r="A2" s="86" t="s">
        <v>11</v>
      </c>
      <c r="B2" s="88"/>
      <c r="C2" s="88"/>
      <c r="D2" s="87"/>
      <c r="E2" s="180" t="s">
        <v>92</v>
      </c>
      <c r="F2" s="180"/>
      <c r="G2" s="45" t="s">
        <v>267</v>
      </c>
      <c r="H2" s="48">
        <v>45840</v>
      </c>
      <c r="I2" s="1">
        <f>H2-L2</f>
        <v>84</v>
      </c>
      <c r="J2" s="215" t="s">
        <v>290</v>
      </c>
      <c r="K2" s="215"/>
      <c r="L2" s="213">
        <v>45756</v>
      </c>
      <c r="M2" s="213"/>
      <c r="N2" s="213"/>
    </row>
    <row r="3" spans="1:14" ht="46.5" customHeight="1" x14ac:dyDescent="0.25">
      <c r="A3" s="86" t="s">
        <v>42</v>
      </c>
      <c r="B3" s="88"/>
      <c r="C3" s="88"/>
      <c r="D3" s="87"/>
      <c r="E3" s="164" t="s">
        <v>270</v>
      </c>
      <c r="F3" s="165"/>
      <c r="G3" s="45" t="s">
        <v>186</v>
      </c>
      <c r="H3" s="48" t="s">
        <v>283</v>
      </c>
      <c r="I3" s="48"/>
    </row>
    <row r="4" spans="1:14" ht="43.5" customHeight="1" x14ac:dyDescent="0.25">
      <c r="A4" s="86" t="s">
        <v>39</v>
      </c>
      <c r="B4" s="88"/>
      <c r="C4" s="88"/>
      <c r="D4" s="87"/>
      <c r="E4" s="130" t="s">
        <v>284</v>
      </c>
      <c r="F4" s="181"/>
      <c r="G4" s="45" t="s">
        <v>268</v>
      </c>
      <c r="H4" s="48" t="str">
        <f ca="1">TEXT(TODAY(),"DD/MM/YYYY")</f>
        <v>05/07/2025</v>
      </c>
    </row>
    <row r="5" spans="1:14" ht="20.25" x14ac:dyDescent="0.25">
      <c r="A5" s="83" t="s">
        <v>43</v>
      </c>
      <c r="B5" s="84"/>
      <c r="C5" s="84"/>
      <c r="D5" s="84"/>
      <c r="E5" s="84"/>
      <c r="F5" s="84"/>
      <c r="G5" s="84"/>
      <c r="H5" s="166"/>
    </row>
    <row r="6" spans="1:14" ht="43.5" customHeight="1" x14ac:dyDescent="0.25">
      <c r="A6" s="78" t="s">
        <v>33</v>
      </c>
      <c r="B6" s="79"/>
      <c r="C6" s="79"/>
      <c r="D6" s="80"/>
      <c r="E6" s="36" t="s">
        <v>105</v>
      </c>
      <c r="F6" s="35" t="s">
        <v>38</v>
      </c>
      <c r="G6" s="108" t="s">
        <v>285</v>
      </c>
      <c r="H6" s="109"/>
    </row>
    <row r="7" spans="1:14" ht="43.5" customHeight="1" x14ac:dyDescent="0.25">
      <c r="A7" s="86" t="s">
        <v>45</v>
      </c>
      <c r="B7" s="88"/>
      <c r="C7" s="88"/>
      <c r="D7" s="87"/>
      <c r="E7" s="3" t="s">
        <v>188</v>
      </c>
      <c r="F7" s="35" t="s">
        <v>46</v>
      </c>
      <c r="G7" s="130" t="s">
        <v>188</v>
      </c>
      <c r="H7" s="131"/>
    </row>
    <row r="8" spans="1:14" ht="45" customHeight="1" x14ac:dyDescent="0.25">
      <c r="A8" s="78" t="s">
        <v>47</v>
      </c>
      <c r="B8" s="79"/>
      <c r="C8" s="79"/>
      <c r="D8" s="80"/>
      <c r="E8" s="182" t="s">
        <v>189</v>
      </c>
      <c r="F8" s="182"/>
      <c r="G8" s="182"/>
      <c r="H8" s="183"/>
    </row>
    <row r="9" spans="1:14" ht="45" customHeight="1" x14ac:dyDescent="0.25">
      <c r="A9" s="100" t="s">
        <v>174</v>
      </c>
      <c r="B9" s="101"/>
      <c r="C9" s="99" t="s">
        <v>44</v>
      </c>
      <c r="D9" s="87"/>
      <c r="E9" s="130" t="s">
        <v>255</v>
      </c>
      <c r="F9" s="142"/>
      <c r="G9" s="142"/>
      <c r="H9" s="131"/>
    </row>
    <row r="10" spans="1:14" ht="66" customHeight="1" x14ac:dyDescent="0.25">
      <c r="A10" s="102"/>
      <c r="B10" s="103"/>
      <c r="C10" s="99" t="s">
        <v>14</v>
      </c>
      <c r="D10" s="87"/>
      <c r="E10" s="130" t="s">
        <v>255</v>
      </c>
      <c r="F10" s="142"/>
      <c r="G10" s="142"/>
      <c r="H10" s="131"/>
    </row>
    <row r="11" spans="1:14" ht="47.25" customHeight="1" x14ac:dyDescent="0.25">
      <c r="A11" s="104"/>
      <c r="B11" s="105"/>
      <c r="C11" s="99" t="s">
        <v>5</v>
      </c>
      <c r="D11" s="87"/>
      <c r="E11" s="130" t="s">
        <v>190</v>
      </c>
      <c r="F11" s="142"/>
      <c r="G11" s="142"/>
      <c r="H11" s="131"/>
    </row>
    <row r="12" spans="1:14" ht="20.25" customHeight="1" x14ac:dyDescent="0.25">
      <c r="A12" s="86" t="s">
        <v>37</v>
      </c>
      <c r="B12" s="88"/>
      <c r="C12" s="88"/>
      <c r="D12" s="87"/>
      <c r="E12" s="135" t="s">
        <v>187</v>
      </c>
      <c r="F12" s="135"/>
      <c r="G12" s="135"/>
      <c r="H12" s="136"/>
    </row>
    <row r="13" spans="1:14" ht="20.100000000000001" customHeight="1" x14ac:dyDescent="0.25">
      <c r="A13" s="83" t="s">
        <v>48</v>
      </c>
      <c r="B13" s="84"/>
      <c r="C13" s="84"/>
      <c r="D13" s="84"/>
      <c r="E13" s="84"/>
      <c r="F13" s="84"/>
      <c r="G13" s="84"/>
      <c r="H13" s="85"/>
    </row>
    <row r="14" spans="1:14" ht="60.75" x14ac:dyDescent="0.25">
      <c r="A14" s="86" t="s">
        <v>31</v>
      </c>
      <c r="B14" s="87"/>
      <c r="C14" s="167" t="s">
        <v>93</v>
      </c>
      <c r="D14" s="170"/>
      <c r="E14" s="171"/>
      <c r="F14" s="32" t="s">
        <v>49</v>
      </c>
      <c r="G14" s="108" t="s">
        <v>232</v>
      </c>
      <c r="H14" s="109"/>
    </row>
    <row r="15" spans="1:14" ht="109.5" customHeight="1" x14ac:dyDescent="0.25">
      <c r="A15" s="86" t="s">
        <v>50</v>
      </c>
      <c r="B15" s="87" t="s">
        <v>4</v>
      </c>
      <c r="C15" s="167" t="s">
        <v>257</v>
      </c>
      <c r="D15" s="170"/>
      <c r="E15" s="171"/>
      <c r="F15" s="35" t="s">
        <v>51</v>
      </c>
      <c r="G15" s="187">
        <v>45869</v>
      </c>
      <c r="H15" s="109"/>
    </row>
    <row r="16" spans="1:14" ht="40.5" x14ac:dyDescent="0.25">
      <c r="A16" s="86" t="s">
        <v>52</v>
      </c>
      <c r="B16" s="87" t="s">
        <v>4</v>
      </c>
      <c r="C16" s="169">
        <v>44509</v>
      </c>
      <c r="D16" s="170"/>
      <c r="E16" s="171"/>
      <c r="F16" s="35" t="s">
        <v>53</v>
      </c>
      <c r="G16" s="186">
        <v>44805</v>
      </c>
      <c r="H16" s="131"/>
    </row>
    <row r="17" spans="1:8" ht="60.75" x14ac:dyDescent="0.25">
      <c r="A17" s="86" t="s">
        <v>54</v>
      </c>
      <c r="B17" s="87" t="s">
        <v>4</v>
      </c>
      <c r="C17" s="169">
        <f>G15</f>
        <v>45869</v>
      </c>
      <c r="D17" s="170"/>
      <c r="E17" s="171"/>
      <c r="F17" s="35" t="s">
        <v>55</v>
      </c>
      <c r="G17" s="130" t="s">
        <v>238</v>
      </c>
      <c r="H17" s="131"/>
    </row>
    <row r="18" spans="1:8" ht="20.25" x14ac:dyDescent="0.25">
      <c r="A18" s="86" t="s">
        <v>56</v>
      </c>
      <c r="B18" s="87" t="s">
        <v>4</v>
      </c>
      <c r="C18" s="172" t="s">
        <v>233</v>
      </c>
      <c r="D18" s="173"/>
      <c r="E18" s="174"/>
      <c r="F18" s="35" t="s">
        <v>108</v>
      </c>
      <c r="G18" s="108">
        <v>77004.990000000005</v>
      </c>
      <c r="H18" s="109"/>
    </row>
    <row r="19" spans="1:8" ht="40.5" x14ac:dyDescent="0.25">
      <c r="A19" s="86" t="s">
        <v>57</v>
      </c>
      <c r="B19" s="87" t="s">
        <v>4</v>
      </c>
      <c r="C19" s="167">
        <v>1</v>
      </c>
      <c r="D19" s="170"/>
      <c r="E19" s="171"/>
      <c r="F19" s="35" t="s">
        <v>107</v>
      </c>
      <c r="G19" s="108">
        <v>157451.93</v>
      </c>
      <c r="H19" s="109"/>
    </row>
    <row r="20" spans="1:8" ht="40.5" x14ac:dyDescent="0.25">
      <c r="A20" s="86" t="s">
        <v>106</v>
      </c>
      <c r="B20" s="87" t="s">
        <v>4</v>
      </c>
      <c r="C20" s="167">
        <v>157451.93</v>
      </c>
      <c r="D20" s="170"/>
      <c r="E20" s="171"/>
      <c r="F20" s="4" t="s">
        <v>58</v>
      </c>
      <c r="G20" s="130" t="s">
        <v>245</v>
      </c>
      <c r="H20" s="131"/>
    </row>
    <row r="21" spans="1:8" ht="40.5" x14ac:dyDescent="0.25">
      <c r="A21" s="86" t="s">
        <v>59</v>
      </c>
      <c r="B21" s="87" t="s">
        <v>4</v>
      </c>
      <c r="C21" s="167" t="s">
        <v>246</v>
      </c>
      <c r="D21" s="170"/>
      <c r="E21" s="171"/>
      <c r="F21" s="35" t="s">
        <v>60</v>
      </c>
      <c r="G21" s="108" t="s">
        <v>172</v>
      </c>
      <c r="H21" s="109"/>
    </row>
    <row r="22" spans="1:8" ht="20.25" x14ac:dyDescent="0.25">
      <c r="A22" s="86" t="s">
        <v>26</v>
      </c>
      <c r="B22" s="87" t="s">
        <v>4</v>
      </c>
      <c r="C22" s="167">
        <v>19.120940000000001</v>
      </c>
      <c r="D22" s="170"/>
      <c r="E22" s="171"/>
      <c r="F22" s="34" t="s">
        <v>27</v>
      </c>
      <c r="G22" s="167">
        <v>72.893000000000001</v>
      </c>
      <c r="H22" s="168"/>
    </row>
    <row r="23" spans="1:8" ht="63.75" customHeight="1" x14ac:dyDescent="0.25">
      <c r="A23" s="86" t="s">
        <v>29</v>
      </c>
      <c r="B23" s="87" t="s">
        <v>4</v>
      </c>
      <c r="C23" s="108" t="s">
        <v>109</v>
      </c>
      <c r="D23" s="108"/>
      <c r="E23" s="108"/>
      <c r="F23" s="108"/>
      <c r="G23" s="108"/>
      <c r="H23" s="109"/>
    </row>
    <row r="24" spans="1:8" ht="24" customHeight="1" x14ac:dyDescent="0.25">
      <c r="A24" s="153" t="s">
        <v>22</v>
      </c>
      <c r="B24" s="154"/>
      <c r="C24" s="154"/>
      <c r="D24" s="154"/>
      <c r="E24" s="154"/>
      <c r="F24" s="154"/>
      <c r="G24" s="154"/>
      <c r="H24" s="155"/>
    </row>
    <row r="25" spans="1:8" ht="20.25" x14ac:dyDescent="0.25">
      <c r="A25" s="86" t="s">
        <v>30</v>
      </c>
      <c r="B25" s="87" t="s">
        <v>4</v>
      </c>
      <c r="C25" s="135" t="s">
        <v>94</v>
      </c>
      <c r="D25" s="135"/>
      <c r="E25" s="135"/>
      <c r="F25" s="35" t="s">
        <v>15</v>
      </c>
      <c r="G25" s="135" t="s">
        <v>234</v>
      </c>
      <c r="H25" s="136"/>
    </row>
    <row r="26" spans="1:8" ht="20.25" x14ac:dyDescent="0.25">
      <c r="A26" s="86" t="s">
        <v>16</v>
      </c>
      <c r="B26" s="87" t="s">
        <v>4</v>
      </c>
      <c r="C26" s="135" t="s">
        <v>112</v>
      </c>
      <c r="D26" s="135"/>
      <c r="E26" s="135"/>
      <c r="F26" s="35" t="s">
        <v>175</v>
      </c>
      <c r="G26" s="135" t="s">
        <v>240</v>
      </c>
      <c r="H26" s="136"/>
    </row>
    <row r="27" spans="1:8" ht="40.5" x14ac:dyDescent="0.25">
      <c r="A27" s="86" t="s">
        <v>25</v>
      </c>
      <c r="B27" s="87" t="s">
        <v>4</v>
      </c>
      <c r="C27" s="108" t="s">
        <v>111</v>
      </c>
      <c r="D27" s="108"/>
      <c r="E27" s="108"/>
      <c r="F27" s="35" t="s">
        <v>18</v>
      </c>
      <c r="G27" s="135" t="s">
        <v>242</v>
      </c>
      <c r="H27" s="136"/>
    </row>
    <row r="28" spans="1:8" ht="40.5" x14ac:dyDescent="0.25">
      <c r="A28" s="86" t="s">
        <v>132</v>
      </c>
      <c r="B28" s="87" t="s">
        <v>4</v>
      </c>
      <c r="C28" s="135" t="s">
        <v>241</v>
      </c>
      <c r="D28" s="135"/>
      <c r="E28" s="135"/>
      <c r="F28" s="35" t="s">
        <v>133</v>
      </c>
      <c r="G28" s="137" t="s">
        <v>243</v>
      </c>
      <c r="H28" s="138"/>
    </row>
    <row r="29" spans="1:8" ht="84" customHeight="1" x14ac:dyDescent="0.25">
      <c r="A29" s="86" t="s">
        <v>19</v>
      </c>
      <c r="B29" s="87" t="s">
        <v>4</v>
      </c>
      <c r="C29" s="135" t="s">
        <v>244</v>
      </c>
      <c r="D29" s="135"/>
      <c r="E29" s="135"/>
      <c r="F29" s="35" t="s">
        <v>17</v>
      </c>
      <c r="G29" s="135" t="s">
        <v>239</v>
      </c>
      <c r="H29" s="136"/>
    </row>
    <row r="30" spans="1:8" ht="21.75" customHeight="1" x14ac:dyDescent="0.25">
      <c r="A30" s="86" t="s">
        <v>138</v>
      </c>
      <c r="B30" s="87" t="s">
        <v>4</v>
      </c>
      <c r="C30" s="108" t="s">
        <v>139</v>
      </c>
      <c r="D30" s="108"/>
      <c r="E30" s="108"/>
      <c r="F30" s="35" t="s">
        <v>140</v>
      </c>
      <c r="G30" s="130" t="s">
        <v>139</v>
      </c>
      <c r="H30" s="131"/>
    </row>
    <row r="31" spans="1:8" ht="21.75" customHeight="1" x14ac:dyDescent="0.25">
      <c r="A31" s="86" t="s">
        <v>141</v>
      </c>
      <c r="B31" s="87" t="s">
        <v>4</v>
      </c>
      <c r="C31" s="130" t="s">
        <v>139</v>
      </c>
      <c r="D31" s="142"/>
      <c r="E31" s="142"/>
      <c r="F31" s="142"/>
      <c r="G31" s="142"/>
      <c r="H31" s="131"/>
    </row>
    <row r="32" spans="1:8" ht="20.25" x14ac:dyDescent="0.25">
      <c r="A32" s="124" t="s">
        <v>40</v>
      </c>
      <c r="B32" s="125"/>
      <c r="C32" s="125"/>
      <c r="D32" s="125"/>
      <c r="E32" s="125"/>
      <c r="F32" s="125"/>
      <c r="G32" s="125"/>
      <c r="H32" s="134"/>
    </row>
    <row r="33" spans="1:8" ht="40.5" x14ac:dyDescent="0.25">
      <c r="A33" s="86" t="s">
        <v>20</v>
      </c>
      <c r="B33" s="88"/>
      <c r="C33" s="88"/>
      <c r="D33" s="87"/>
      <c r="E33" s="36" t="s">
        <v>113</v>
      </c>
      <c r="F33" s="35" t="s">
        <v>21</v>
      </c>
      <c r="G33" s="130" t="s">
        <v>114</v>
      </c>
      <c r="H33" s="131"/>
    </row>
    <row r="34" spans="1:8" ht="40.5" x14ac:dyDescent="0.25">
      <c r="A34" s="86" t="s">
        <v>24</v>
      </c>
      <c r="B34" s="88"/>
      <c r="C34" s="88"/>
      <c r="D34" s="87"/>
      <c r="E34" s="36" t="s">
        <v>114</v>
      </c>
      <c r="F34" s="5" t="s">
        <v>36</v>
      </c>
      <c r="G34" s="130" t="s">
        <v>114</v>
      </c>
      <c r="H34" s="131"/>
    </row>
    <row r="35" spans="1:8" ht="40.5" x14ac:dyDescent="0.25">
      <c r="A35" s="78" t="s">
        <v>35</v>
      </c>
      <c r="B35" s="79"/>
      <c r="C35" s="79"/>
      <c r="D35" s="80"/>
      <c r="E35" s="3" t="s">
        <v>115</v>
      </c>
      <c r="F35" s="35" t="s">
        <v>23</v>
      </c>
      <c r="G35" s="130" t="s">
        <v>116</v>
      </c>
      <c r="H35" s="131"/>
    </row>
    <row r="36" spans="1:8" ht="20.25" x14ac:dyDescent="0.25">
      <c r="A36" s="153" t="s">
        <v>0</v>
      </c>
      <c r="B36" s="154"/>
      <c r="C36" s="154"/>
      <c r="D36" s="154"/>
      <c r="E36" s="154"/>
      <c r="F36" s="154"/>
      <c r="G36" s="154"/>
      <c r="H36" s="155"/>
    </row>
    <row r="37" spans="1:8" ht="20.25" customHeight="1" x14ac:dyDescent="0.25">
      <c r="A37" s="139" t="s">
        <v>0</v>
      </c>
      <c r="B37" s="140"/>
      <c r="C37" s="140"/>
      <c r="D37" s="141"/>
      <c r="E37" s="37" t="s">
        <v>1</v>
      </c>
      <c r="F37" s="37" t="s">
        <v>6</v>
      </c>
      <c r="G37" s="47" t="s">
        <v>2</v>
      </c>
      <c r="H37" s="49" t="s">
        <v>3</v>
      </c>
    </row>
    <row r="38" spans="1:8" ht="20.25" customHeight="1" x14ac:dyDescent="0.25">
      <c r="A38" s="86" t="s">
        <v>7</v>
      </c>
      <c r="B38" s="88"/>
      <c r="C38" s="88"/>
      <c r="D38" s="87"/>
      <c r="E38" s="30" t="s">
        <v>249</v>
      </c>
      <c r="F38" s="30" t="s">
        <v>250</v>
      </c>
      <c r="G38" s="46" t="s">
        <v>247</v>
      </c>
      <c r="H38" s="50" t="s">
        <v>248</v>
      </c>
    </row>
    <row r="39" spans="1:8" ht="39" customHeight="1" x14ac:dyDescent="0.25">
      <c r="A39" s="86" t="s">
        <v>8</v>
      </c>
      <c r="B39" s="88"/>
      <c r="C39" s="88"/>
      <c r="D39" s="87"/>
      <c r="E39" s="30" t="s">
        <v>253</v>
      </c>
      <c r="F39" s="65" t="s">
        <v>254</v>
      </c>
      <c r="G39" s="66" t="s">
        <v>251</v>
      </c>
      <c r="H39" s="67" t="s">
        <v>252</v>
      </c>
    </row>
    <row r="40" spans="1:8" ht="20.25" customHeight="1" x14ac:dyDescent="0.25">
      <c r="A40" s="86" t="s">
        <v>12</v>
      </c>
      <c r="B40" s="88"/>
      <c r="C40" s="88"/>
      <c r="D40" s="87"/>
      <c r="E40" s="28" t="s">
        <v>111</v>
      </c>
      <c r="F40" s="35" t="s">
        <v>13</v>
      </c>
      <c r="G40" s="130" t="s">
        <v>110</v>
      </c>
      <c r="H40" s="131"/>
    </row>
    <row r="41" spans="1:8" ht="20.25" x14ac:dyDescent="0.25">
      <c r="A41" s="153" t="s">
        <v>61</v>
      </c>
      <c r="B41" s="154"/>
      <c r="C41" s="154"/>
      <c r="D41" s="154"/>
      <c r="E41" s="154"/>
      <c r="F41" s="154"/>
      <c r="G41" s="154"/>
      <c r="H41" s="155"/>
    </row>
    <row r="42" spans="1:8" ht="21" customHeight="1" x14ac:dyDescent="0.25">
      <c r="A42" s="143" t="s">
        <v>62</v>
      </c>
      <c r="B42" s="132"/>
      <c r="C42" s="146" t="s">
        <v>63</v>
      </c>
      <c r="D42" s="141"/>
      <c r="E42" s="132" t="s">
        <v>173</v>
      </c>
      <c r="F42" s="132"/>
      <c r="G42" s="132" t="s">
        <v>64</v>
      </c>
      <c r="H42" s="133"/>
    </row>
    <row r="43" spans="1:8" ht="43.5" customHeight="1" x14ac:dyDescent="0.25">
      <c r="A43" s="144" t="s">
        <v>195</v>
      </c>
      <c r="B43" s="145"/>
      <c r="C43" s="147" t="s">
        <v>95</v>
      </c>
      <c r="D43" s="148"/>
      <c r="E43" s="108" t="s">
        <v>272</v>
      </c>
      <c r="F43" s="108"/>
      <c r="G43" s="108" t="s">
        <v>272</v>
      </c>
      <c r="H43" s="109"/>
    </row>
    <row r="44" spans="1:8" ht="42" customHeight="1" x14ac:dyDescent="0.25">
      <c r="A44" s="144" t="s">
        <v>235</v>
      </c>
      <c r="B44" s="145"/>
      <c r="C44" s="147" t="s">
        <v>95</v>
      </c>
      <c r="D44" s="148"/>
      <c r="E44" s="108" t="s">
        <v>196</v>
      </c>
      <c r="F44" s="108"/>
      <c r="G44" s="108" t="s">
        <v>196</v>
      </c>
      <c r="H44" s="109"/>
    </row>
    <row r="45" spans="1:8" ht="43.5" customHeight="1" x14ac:dyDescent="0.25">
      <c r="A45" s="144" t="s">
        <v>260</v>
      </c>
      <c r="B45" s="145"/>
      <c r="C45" s="147" t="s">
        <v>95</v>
      </c>
      <c r="D45" s="148"/>
      <c r="E45" s="108" t="s">
        <v>259</v>
      </c>
      <c r="F45" s="108"/>
      <c r="G45" s="108" t="s">
        <v>259</v>
      </c>
      <c r="H45" s="109"/>
    </row>
    <row r="46" spans="1:8" ht="42" customHeight="1" x14ac:dyDescent="0.25">
      <c r="A46" s="144" t="s">
        <v>258</v>
      </c>
      <c r="B46" s="145"/>
      <c r="C46" s="147" t="s">
        <v>95</v>
      </c>
      <c r="D46" s="148"/>
      <c r="E46" s="108" t="s">
        <v>259</v>
      </c>
      <c r="F46" s="108"/>
      <c r="G46" s="108" t="s">
        <v>259</v>
      </c>
      <c r="H46" s="109"/>
    </row>
    <row r="47" spans="1:8" ht="20.25" x14ac:dyDescent="0.25">
      <c r="A47" s="83" t="s">
        <v>65</v>
      </c>
      <c r="B47" s="84"/>
      <c r="C47" s="84"/>
      <c r="D47" s="84"/>
      <c r="E47" s="84"/>
      <c r="F47" s="84"/>
      <c r="G47" s="84"/>
      <c r="H47" s="85"/>
    </row>
    <row r="48" spans="1:8" ht="42.75" customHeight="1" x14ac:dyDescent="0.25">
      <c r="A48" s="86" t="s">
        <v>66</v>
      </c>
      <c r="B48" s="87" t="s">
        <v>4</v>
      </c>
      <c r="C48" s="108" t="s">
        <v>111</v>
      </c>
      <c r="D48" s="108"/>
      <c r="E48" s="108"/>
      <c r="F48" s="32" t="s">
        <v>67</v>
      </c>
      <c r="G48" s="108" t="s">
        <v>194</v>
      </c>
      <c r="H48" s="109"/>
    </row>
    <row r="49" spans="1:12" ht="228.75" customHeight="1" x14ac:dyDescent="0.25">
      <c r="A49" s="86" t="s">
        <v>96</v>
      </c>
      <c r="B49" s="87" t="s">
        <v>4</v>
      </c>
      <c r="C49" s="108" t="s">
        <v>277</v>
      </c>
      <c r="D49" s="108"/>
      <c r="E49" s="108"/>
      <c r="F49" s="32" t="s">
        <v>68</v>
      </c>
      <c r="G49" s="108" t="str">
        <f>G48</f>
        <v xml:space="preserve">CHE/ES/1010//L/337 (NEW)
Date: 29/11/2021
</v>
      </c>
      <c r="H49" s="109"/>
    </row>
    <row r="50" spans="1:12" ht="125.25" customHeight="1" x14ac:dyDescent="0.25">
      <c r="A50" s="86" t="s">
        <v>96</v>
      </c>
      <c r="B50" s="87" t="s">
        <v>4</v>
      </c>
      <c r="C50" s="130" t="s">
        <v>278</v>
      </c>
      <c r="D50" s="142"/>
      <c r="E50" s="142"/>
      <c r="F50" s="142"/>
      <c r="G50" s="142"/>
      <c r="H50" s="131"/>
    </row>
    <row r="51" spans="1:12" ht="64.5" customHeight="1" x14ac:dyDescent="0.25">
      <c r="A51" s="86" t="s">
        <v>192</v>
      </c>
      <c r="B51" s="87" t="s">
        <v>4</v>
      </c>
      <c r="C51" s="108" t="s">
        <v>193</v>
      </c>
      <c r="D51" s="108"/>
      <c r="E51" s="108"/>
      <c r="F51" s="32" t="s">
        <v>69</v>
      </c>
      <c r="G51" s="108" t="s">
        <v>191</v>
      </c>
      <c r="H51" s="109"/>
    </row>
    <row r="52" spans="1:12" ht="40.5" hidden="1" customHeight="1" x14ac:dyDescent="0.25">
      <c r="A52" s="51" t="s">
        <v>70</v>
      </c>
      <c r="B52" s="32" t="s">
        <v>4</v>
      </c>
      <c r="C52" s="108" t="s">
        <v>110</v>
      </c>
      <c r="D52" s="108"/>
      <c r="E52" s="108"/>
      <c r="F52" s="32" t="s">
        <v>192</v>
      </c>
      <c r="G52" s="108" t="s">
        <v>193</v>
      </c>
      <c r="H52" s="109"/>
    </row>
    <row r="53" spans="1:12" ht="103.5" customHeight="1" x14ac:dyDescent="0.25">
      <c r="A53" s="106" t="s">
        <v>274</v>
      </c>
      <c r="B53" s="107" t="s">
        <v>4</v>
      </c>
      <c r="C53" s="164" t="s">
        <v>282</v>
      </c>
      <c r="D53" s="165"/>
      <c r="E53" s="165"/>
      <c r="F53" s="165"/>
      <c r="G53" s="165"/>
      <c r="H53" s="211"/>
    </row>
    <row r="54" spans="1:12" ht="124.5" customHeight="1" x14ac:dyDescent="0.25">
      <c r="A54" s="106" t="s">
        <v>274</v>
      </c>
      <c r="B54" s="107" t="s">
        <v>4</v>
      </c>
      <c r="C54" s="164" t="s">
        <v>286</v>
      </c>
      <c r="D54" s="165"/>
      <c r="E54" s="165"/>
      <c r="F54" s="165"/>
      <c r="G54" s="165"/>
      <c r="H54" s="211"/>
    </row>
    <row r="55" spans="1:12" ht="21" thickBot="1" x14ac:dyDescent="0.3">
      <c r="A55" s="83" t="s">
        <v>71</v>
      </c>
      <c r="B55" s="84"/>
      <c r="C55" s="84"/>
      <c r="D55" s="84"/>
      <c r="E55" s="84"/>
      <c r="F55" s="84"/>
      <c r="G55" s="84"/>
      <c r="H55" s="85"/>
    </row>
    <row r="56" spans="1:12" ht="29.25" customHeight="1" x14ac:dyDescent="0.3">
      <c r="A56" s="110" t="s">
        <v>273</v>
      </c>
      <c r="B56" s="111"/>
      <c r="C56" s="112"/>
      <c r="D56" s="39" t="s">
        <v>142</v>
      </c>
      <c r="E56" s="68" t="s">
        <v>129</v>
      </c>
      <c r="F56" s="69"/>
      <c r="G56" s="39" t="s">
        <v>143</v>
      </c>
      <c r="H56" s="39" t="s">
        <v>144</v>
      </c>
      <c r="I56" s="12" t="str">
        <f ca="1">(IF(E59&gt;99%,"All work completed. Please provide OC.",IF(E59&gt;89.8%,"Plinth, RCC, Brick, Plaster, Flooring, Wooden, Plumbing, Electrification, etc., work Completed. Finishing work is in process.",IF(E59&lt;94%,(IF(C59=0,"Work not yet Started.",IF(D59=25%,"Piling work in process",IF(D59=50%,"Excavation work in process",IF(D59=100%,"Excavation work Completed. ","0")))&amp;(IF(C60=0%,"",IF(C60=J61,"Footing work is process",IF(C60=J62,"Footing work Completed",IF(C60=J63,"1st Basement Completed",IF(C60=J64,"1st &amp; 2nd Basement Completed",IF(C60=J65,"1st to 3rd Basement Completed",IF(C60=J66,"1st to 4th Basement Completed",IF(C60=J67,"Plinth work is process",IF(C60=J68,"Plinth work completed","0")))))))))))&amp;(IF(C61=(E57+G57+H57),", RCC Slab",IF(C61&gt;0,", RCC upto "&amp;C61&amp;" Slab",""))&amp;(IF(C62=H57,", Brickwork",IF(C62&gt;0,", Brickwork upto "&amp;C62&amp;" Floor",""))&amp;(IF(C63=H57,", Internal Plaster",IF(C63&gt;0,", Internal Plaster upto "&amp;C63&amp;" Floor",""))&amp;(IF(C64=H57,", External Plaster",IF(C64&gt;0,", External Plaster upto "&amp;C64&amp;" Floor",""))&amp;(IF(C65=H57,", External Plumbing, Elevation and Waterproofing",IF(C65&gt;0,", External Plumbing, Elevation and Waterproofing upto "&amp;C65&amp;" Floor",""))&amp;(IF(C66=H57,", Flooring &amp; Fitting",IF(C66&gt;0,", Flooring &amp; Fitting upto "&amp;C66&amp;" Floor",""))&amp;(IF(C67=H57,", Wooden Work",IF(C67&gt;0,", Wooden Work upto "&amp;C67&amp;" Floor",""))&amp;(IF(C68=H57,", Electrical &amp; Sanitary fittings",IF(C68&gt;0,", Electrical &amp; Sanitary fittings upto "&amp;C68&amp;" Floor",""))&amp;(IF(C69&gt;0,", Finishing upto "&amp;C69&amp;" Floor","")&amp;(IF(C61&gt;0.5," Completed",""))))))))))))))))</f>
        <v>All work completed. Please provide OC.</v>
      </c>
      <c r="J56" s="14"/>
    </row>
    <row r="57" spans="1:12" ht="33.75" customHeight="1" x14ac:dyDescent="0.3">
      <c r="A57" s="113"/>
      <c r="B57" s="114"/>
      <c r="C57" s="115"/>
      <c r="D57" s="39">
        <v>0</v>
      </c>
      <c r="E57" s="68">
        <v>1</v>
      </c>
      <c r="F57" s="69"/>
      <c r="G57" s="39">
        <v>3</v>
      </c>
      <c r="H57" s="39">
        <f ca="1">--TRIM(RIGHT(SUBSTITUTE(LEFT(A56,_xlfn.AGGREGATE(16,6,FIND({0,1,2,3,4,5,6,7,8,9},A56,ROW(INDIRECT("1:"&amp;LEN(A56)))),1))," ",REPT(" ",LEN(A56))),LEN(A56)))</f>
        <v>17</v>
      </c>
      <c r="I57" s="13" t="s">
        <v>287</v>
      </c>
      <c r="J57" s="14"/>
    </row>
    <row r="58" spans="1:12" ht="20.25" customHeight="1" x14ac:dyDescent="0.3">
      <c r="A58" s="70" t="s">
        <v>146</v>
      </c>
      <c r="B58" s="71"/>
      <c r="C58" s="40" t="s">
        <v>157</v>
      </c>
      <c r="D58" s="40" t="s">
        <v>158</v>
      </c>
      <c r="E58" s="70" t="s">
        <v>147</v>
      </c>
      <c r="F58" s="71"/>
      <c r="G58" s="24" t="s">
        <v>145</v>
      </c>
      <c r="H58" s="24"/>
      <c r="I58" s="16" t="s">
        <v>159</v>
      </c>
      <c r="J58" s="15">
        <f ca="1">H57*25%</f>
        <v>4.25</v>
      </c>
    </row>
    <row r="59" spans="1:12" ht="20.25" customHeight="1" x14ac:dyDescent="0.3">
      <c r="A59" s="81" t="s">
        <v>160</v>
      </c>
      <c r="B59" s="82"/>
      <c r="C59" s="39">
        <f ca="1">J60</f>
        <v>17</v>
      </c>
      <c r="D59" s="38">
        <f ca="1">((100/H57)*C59)/100</f>
        <v>1</v>
      </c>
      <c r="E59" s="72">
        <f ca="1">(((C59/H57*10)+(C60/H57*15)+(25/(E57+G57+H57)*C61)+(5/(H57)*C62)+(2.5/(H57)*C63)+(2.5/(H57)*C64)+(5/H57*C65)+(10/H57*C66)+(2.5/H57*C67)+(2.5/H57*C68)+(10/H57*C69)+(10/H57*C70))/100)</f>
        <v>1</v>
      </c>
      <c r="F59" s="73"/>
      <c r="G59" s="72" t="str">
        <f>I57</f>
        <v>All work Completed. Part OC Received upto 15th Floor.</v>
      </c>
      <c r="H59" s="73"/>
      <c r="I59" s="16" t="s">
        <v>149</v>
      </c>
      <c r="J59" s="20">
        <f ca="1">H57*50%</f>
        <v>8.5</v>
      </c>
      <c r="L59" s="1">
        <f>16*0.8</f>
        <v>12.8</v>
      </c>
    </row>
    <row r="60" spans="1:12" ht="20.25" x14ac:dyDescent="0.3">
      <c r="A60" s="81" t="s">
        <v>130</v>
      </c>
      <c r="B60" s="82"/>
      <c r="C60" s="41">
        <v>17</v>
      </c>
      <c r="D60" s="38">
        <f ca="1">((100/H57)*C60)/100</f>
        <v>1</v>
      </c>
      <c r="E60" s="74"/>
      <c r="F60" s="75"/>
      <c r="G60" s="74"/>
      <c r="H60" s="75"/>
      <c r="I60" s="16" t="s">
        <v>150</v>
      </c>
      <c r="J60" s="20">
        <f ca="1">H57</f>
        <v>17</v>
      </c>
    </row>
    <row r="61" spans="1:12" ht="21" customHeight="1" x14ac:dyDescent="0.35">
      <c r="A61" s="81" t="s">
        <v>161</v>
      </c>
      <c r="B61" s="82"/>
      <c r="C61" s="39">
        <f ca="1">E57+G57+H57</f>
        <v>21</v>
      </c>
      <c r="D61" s="38">
        <f ca="1">((100/(E57+G57+H57))*C61)/100</f>
        <v>1</v>
      </c>
      <c r="E61" s="74"/>
      <c r="F61" s="75"/>
      <c r="G61" s="74"/>
      <c r="H61" s="75"/>
      <c r="I61" s="16" t="s">
        <v>151</v>
      </c>
      <c r="J61" s="21">
        <f ca="1">(IF(D57&gt;1,(H57/(D57+2)),H57*0.2))</f>
        <v>3.4000000000000004</v>
      </c>
    </row>
    <row r="62" spans="1:12" ht="21" customHeight="1" x14ac:dyDescent="0.35">
      <c r="A62" s="81" t="s">
        <v>162</v>
      </c>
      <c r="B62" s="82"/>
      <c r="C62" s="39">
        <v>17</v>
      </c>
      <c r="D62" s="38">
        <f ca="1">((100/H57)*C62)/100</f>
        <v>1</v>
      </c>
      <c r="E62" s="74"/>
      <c r="F62" s="75"/>
      <c r="G62" s="74"/>
      <c r="H62" s="75"/>
      <c r="I62" s="16" t="s">
        <v>152</v>
      </c>
      <c r="J62" s="21">
        <f ca="1">(IF(D57&gt;1,(H57/(D57+2)+J61),H57*0.2+J61))</f>
        <v>6.8000000000000007</v>
      </c>
    </row>
    <row r="63" spans="1:12" ht="21" customHeight="1" x14ac:dyDescent="0.35">
      <c r="A63" s="81" t="s">
        <v>163</v>
      </c>
      <c r="B63" s="82"/>
      <c r="C63" s="39">
        <v>17</v>
      </c>
      <c r="D63" s="38">
        <f ca="1">((100/H57)*C63)/100</f>
        <v>1</v>
      </c>
      <c r="E63" s="74"/>
      <c r="F63" s="75"/>
      <c r="G63" s="74"/>
      <c r="H63" s="75"/>
      <c r="I63" s="16" t="s">
        <v>164</v>
      </c>
      <c r="J63" s="21">
        <f>(IF(D57&gt;1,(H57/(D57+2)+J62),0))</f>
        <v>0</v>
      </c>
    </row>
    <row r="64" spans="1:12" ht="21" customHeight="1" x14ac:dyDescent="0.35">
      <c r="A64" s="81" t="s">
        <v>263</v>
      </c>
      <c r="B64" s="82"/>
      <c r="C64" s="39">
        <v>17</v>
      </c>
      <c r="D64" s="38">
        <f ca="1">((100/H57)*C64)/100</f>
        <v>1</v>
      </c>
      <c r="E64" s="74"/>
      <c r="F64" s="75"/>
      <c r="G64" s="74"/>
      <c r="H64" s="75"/>
      <c r="I64" s="16" t="s">
        <v>165</v>
      </c>
      <c r="J64" s="21">
        <f>(IF(D57&gt;2,(H57/(D57+2)+J63),0))</f>
        <v>0</v>
      </c>
    </row>
    <row r="65" spans="1:10" ht="69" customHeight="1" x14ac:dyDescent="0.35">
      <c r="A65" s="81" t="s">
        <v>264</v>
      </c>
      <c r="B65" s="82"/>
      <c r="C65" s="39">
        <v>17</v>
      </c>
      <c r="D65" s="38">
        <f ca="1">((100/(H57))*C65)/100</f>
        <v>1</v>
      </c>
      <c r="E65" s="74"/>
      <c r="F65" s="75"/>
      <c r="G65" s="74"/>
      <c r="H65" s="75"/>
      <c r="I65" s="16" t="s">
        <v>167</v>
      </c>
      <c r="J65" s="22">
        <f>(IF(D57&gt;3,(H57/(D57+2)+J64),0))</f>
        <v>0</v>
      </c>
    </row>
    <row r="66" spans="1:10" ht="21" customHeight="1" x14ac:dyDescent="0.35">
      <c r="A66" s="81" t="s">
        <v>166</v>
      </c>
      <c r="B66" s="82"/>
      <c r="C66" s="39">
        <v>17</v>
      </c>
      <c r="D66" s="38">
        <f ca="1">((100/(H57))*C66)/100</f>
        <v>1</v>
      </c>
      <c r="E66" s="74"/>
      <c r="F66" s="75"/>
      <c r="G66" s="74"/>
      <c r="H66" s="75"/>
      <c r="I66" s="16" t="s">
        <v>168</v>
      </c>
      <c r="J66" s="21">
        <f>(IF(D57&gt;4,(H57/(D57+2)+J65),0))</f>
        <v>0</v>
      </c>
    </row>
    <row r="67" spans="1:10" ht="21" customHeight="1" x14ac:dyDescent="0.35">
      <c r="A67" s="81" t="s">
        <v>265</v>
      </c>
      <c r="B67" s="82"/>
      <c r="C67" s="39">
        <v>17</v>
      </c>
      <c r="D67" s="38">
        <f ca="1">((100/H57)*C67)/100</f>
        <v>1</v>
      </c>
      <c r="E67" s="74"/>
      <c r="F67" s="75"/>
      <c r="G67" s="74"/>
      <c r="H67" s="75"/>
      <c r="I67" s="16" t="s">
        <v>153</v>
      </c>
      <c r="J67" s="21">
        <f ca="1">(IF(D57=1,(H57/(D57+3)+J62),IF(D57=0,(H57*0.3+J62),IF(D57&gt;1,0))))</f>
        <v>11.9</v>
      </c>
    </row>
    <row r="68" spans="1:10" ht="40.5" customHeight="1" thickBot="1" x14ac:dyDescent="0.4">
      <c r="A68" s="81" t="s">
        <v>266</v>
      </c>
      <c r="B68" s="82"/>
      <c r="C68" s="39">
        <v>17</v>
      </c>
      <c r="D68" s="38">
        <f ca="1">((100/H57)*C68)/100</f>
        <v>1</v>
      </c>
      <c r="E68" s="74"/>
      <c r="F68" s="75"/>
      <c r="G68" s="74"/>
      <c r="H68" s="75"/>
      <c r="I68" s="18" t="s">
        <v>154</v>
      </c>
      <c r="J68" s="23">
        <f ca="1">(IF(D57&gt;1.5,(H57/(D57+2)+J62+MAX(0,J63-J62)+MAX(0,J64-J63)+MAX(0,J65-J64)+MAX(0,J66-J65)+MAX(0,J67-J66)),IF(D57=1,(H57/(D57+3)+J67),IF(D57=0,H57*0.3+J67))))</f>
        <v>17</v>
      </c>
    </row>
    <row r="69" spans="1:10" ht="20.25" customHeight="1" x14ac:dyDescent="0.25">
      <c r="A69" s="81" t="s">
        <v>169</v>
      </c>
      <c r="B69" s="82"/>
      <c r="C69" s="39">
        <v>17</v>
      </c>
      <c r="D69" s="38">
        <f ca="1">((100/(H57))*C69)/100</f>
        <v>1</v>
      </c>
      <c r="E69" s="74"/>
      <c r="F69" s="75"/>
      <c r="G69" s="74"/>
      <c r="H69" s="75"/>
    </row>
    <row r="70" spans="1:10" ht="20.25" x14ac:dyDescent="0.25">
      <c r="A70" s="81" t="s">
        <v>170</v>
      </c>
      <c r="B70" s="82"/>
      <c r="C70" s="39">
        <v>17</v>
      </c>
      <c r="D70" s="38">
        <f ca="1">((100/(H57))*C70)/100</f>
        <v>1</v>
      </c>
      <c r="E70" s="76"/>
      <c r="F70" s="77"/>
      <c r="G70" s="76"/>
      <c r="H70" s="77"/>
    </row>
    <row r="71" spans="1:10" ht="21" thickBot="1" x14ac:dyDescent="0.3">
      <c r="A71" s="153" t="s">
        <v>71</v>
      </c>
      <c r="B71" s="154"/>
      <c r="C71" s="154"/>
      <c r="D71" s="84"/>
      <c r="E71" s="154"/>
      <c r="F71" s="154"/>
      <c r="G71" s="154"/>
      <c r="H71" s="155"/>
    </row>
    <row r="72" spans="1:10" ht="36.75" customHeight="1" x14ac:dyDescent="0.3">
      <c r="A72" s="110" t="s">
        <v>281</v>
      </c>
      <c r="B72" s="111"/>
      <c r="C72" s="112"/>
      <c r="D72" s="39" t="s">
        <v>142</v>
      </c>
      <c r="E72" s="68" t="s">
        <v>129</v>
      </c>
      <c r="F72" s="69"/>
      <c r="G72" s="39" t="s">
        <v>143</v>
      </c>
      <c r="H72" s="39" t="s">
        <v>144</v>
      </c>
      <c r="I72" s="12" t="str">
        <f ca="1">(IF(E75&gt;99%,"All work completed. Please provide OC.",IF(E75&gt;89.8%,"Plinth, RCC, Brick, Plaster, Flooring, Wooden, Plumbing, Electrification, etc., work Completed. Finishing work is in process.",IF(E75&lt;94%,(IF(C75=0,"Work not yet Started.",IF(D75=25%,"Piling work in process",IF(D75=50%,"Excavation work in process",IF(D75=100%,"Excavation work Completed. ","0")))&amp;(IF(C76=0%,"",IF(C76=J77,"Footing work is process",IF(C76=J78,"Footing work Completed",IF(C76=J79,"1st Basement Completed",IF(C76=J80,"1st &amp; 2nd Basement Completed",IF(C76=J81,"1st to 3rd Basement Completed",IF(C76=J82,"1st to 4th Basement Completed",IF(C76=J83,"Plinth work is process",IF(C76=J84,"Plinth work completed","0")))))))))))&amp;(IF(C77=(E73+G73+H73),", RCC Slab",IF(C77&gt;0,", RCC upto "&amp;C77&amp;" Slab",""))&amp;(IF(C78=H73,", Brickwork",IF(C78&gt;0,", Brickwork upto "&amp;C78&amp;" Floor",""))&amp;(IF(C79=H73,", Internal Plaster",IF(C79&gt;0,", Internal Plaster upto "&amp;C79&amp;" Floor",""))&amp;(IF(C80=H73,", External Plaster",IF(C80&gt;0,", External Plaster upto "&amp;C80&amp;" Floor",""))&amp;(IF(C81=H73,", External Plumbing, Elevation and Waterproofing",IF(C81&gt;0,", External Plumbing, Elevation and Waterproofing upto "&amp;C81&amp;" Floor",""))&amp;(IF(C82=H73,", Flooring &amp; Fitting",IF(C82&gt;0,", Flooring &amp; Fitting upto "&amp;C82&amp;" Floor",""))&amp;(IF(C83=H73,", Wooden Work",IF(C83&gt;0,", Wooden Work upto "&amp;C83&amp;" Floor",""))&amp;(IF(C84=H73,", Electrical &amp; Sanitary fittings",IF(C84&gt;0,", Electrical &amp; Sanitary fittings upto "&amp;C84&amp;" Floor",""))&amp;(IF(C85&gt;0,", Finishing upto "&amp;C85&amp;" Floor","")&amp;(IF(C77&gt;0.5," Completed",""))))))))))))))))</f>
        <v>Excavation work Completed. Plinth work completed, RCC Slab, Brickwork, Internal Plaster, External Plaster, External Plumbing, Elevation and Waterproofing, Flooring &amp; Fitting, Wooden Work, Electrical &amp; Sanitary fittings, Finishing upto 16 Floor Completed</v>
      </c>
      <c r="J72" s="14"/>
    </row>
    <row r="73" spans="1:10" ht="24.75" customHeight="1" x14ac:dyDescent="0.3">
      <c r="A73" s="113"/>
      <c r="B73" s="114"/>
      <c r="C73" s="115"/>
      <c r="D73" s="39">
        <f>IF(AND(ISNUMBER(SEARCH("1B",A72))),1,IF(AND(ISNUMBER(SEARCH("2B",A72))),2,IF(AND(ISNUMBER(SEARCH("3B",A72))),3,IF(AND(ISNUMBER(SEARCH("4B",A72))),4,IF(ISNUMBER(SEARCH("5B",A72)),5,0)))))</f>
        <v>0</v>
      </c>
      <c r="E73" s="68">
        <v>1</v>
      </c>
      <c r="F73" s="69"/>
      <c r="G73" s="39">
        <v>3</v>
      </c>
      <c r="H73" s="39">
        <f ca="1">--TRIM(RIGHT(SUBSTITUTE(LEFT(A72,_xlfn.AGGREGATE(16,6,FIND({0,1,2,3,4,5,6,7,8,9},A72,ROW(INDIRECT("1:"&amp;LEN(A72)))),1))," ",REPT(" ",LEN(A72))),LEN(A72)))</f>
        <v>18</v>
      </c>
      <c r="I73" s="13" t="s">
        <v>148</v>
      </c>
      <c r="J73" s="14"/>
    </row>
    <row r="74" spans="1:10" ht="20.25" customHeight="1" x14ac:dyDescent="0.3">
      <c r="A74" s="70" t="s">
        <v>146</v>
      </c>
      <c r="B74" s="71"/>
      <c r="C74" s="40" t="s">
        <v>157</v>
      </c>
      <c r="D74" s="40" t="s">
        <v>158</v>
      </c>
      <c r="E74" s="70" t="s">
        <v>147</v>
      </c>
      <c r="F74" s="71"/>
      <c r="G74" s="24" t="s">
        <v>145</v>
      </c>
      <c r="H74" s="24"/>
      <c r="I74" s="16" t="s">
        <v>159</v>
      </c>
      <c r="J74" s="15">
        <f ca="1">H73*25%</f>
        <v>4.5</v>
      </c>
    </row>
    <row r="75" spans="1:10" ht="20.25" customHeight="1" x14ac:dyDescent="0.3">
      <c r="A75" s="81" t="s">
        <v>160</v>
      </c>
      <c r="B75" s="82"/>
      <c r="C75" s="39">
        <f ca="1">J76</f>
        <v>18</v>
      </c>
      <c r="D75" s="38">
        <f ca="1">((100/H73)*C75)/100</f>
        <v>1</v>
      </c>
      <c r="E75" s="72">
        <f ca="1">(((C75/H73*10)+(C76/H73*15)+(25/(E73+G73+H73)*C77)+(5/(H73)*C78)+(2.5/(H73)*C79)+(2.5/(H73)*C80)+(5/H73*C81)+(10/H73*C82)+(2.5/H73*C83)+(2.5/H73*C84)+(10/H73*C85)+(10/H73*C86))/100)</f>
        <v>0.88888888888888884</v>
      </c>
      <c r="F75" s="73"/>
      <c r="G75" s="72" t="str">
        <f ca="1">I72</f>
        <v>Excavation work Completed. Plinth work completed, RCC Slab, Brickwork, Internal Plaster, External Plaster, External Plumbing, Elevation and Waterproofing, Flooring &amp; Fitting, Wooden Work, Electrical &amp; Sanitary fittings, Finishing upto 16 Floor Completed</v>
      </c>
      <c r="H75" s="73"/>
      <c r="I75" s="16" t="s">
        <v>149</v>
      </c>
      <c r="J75" s="20">
        <f ca="1">H73*50%</f>
        <v>9</v>
      </c>
    </row>
    <row r="76" spans="1:10" ht="20.25" x14ac:dyDescent="0.3">
      <c r="A76" s="81" t="s">
        <v>130</v>
      </c>
      <c r="B76" s="82"/>
      <c r="C76" s="41">
        <f ca="1">J84</f>
        <v>18</v>
      </c>
      <c r="D76" s="38">
        <f ca="1">((100/H73)*C76)/100</f>
        <v>1</v>
      </c>
      <c r="E76" s="74"/>
      <c r="F76" s="75"/>
      <c r="G76" s="74"/>
      <c r="H76" s="75"/>
      <c r="I76" s="16" t="s">
        <v>150</v>
      </c>
      <c r="J76" s="20">
        <f ca="1">H73</f>
        <v>18</v>
      </c>
    </row>
    <row r="77" spans="1:10" ht="21" customHeight="1" x14ac:dyDescent="0.35">
      <c r="A77" s="81" t="s">
        <v>161</v>
      </c>
      <c r="B77" s="82"/>
      <c r="C77" s="39">
        <v>22</v>
      </c>
      <c r="D77" s="38">
        <f ca="1">((100/(E73+G73+H73))*C77)/100</f>
        <v>1.0000000000000002</v>
      </c>
      <c r="E77" s="74"/>
      <c r="F77" s="75"/>
      <c r="G77" s="74"/>
      <c r="H77" s="75"/>
      <c r="I77" s="16" t="s">
        <v>151</v>
      </c>
      <c r="J77" s="21">
        <f ca="1">(IF(D73&gt;1,(H73/(D73+2)),H73*0.2))</f>
        <v>3.6</v>
      </c>
    </row>
    <row r="78" spans="1:10" ht="21" customHeight="1" x14ac:dyDescent="0.35">
      <c r="A78" s="81" t="s">
        <v>162</v>
      </c>
      <c r="B78" s="82"/>
      <c r="C78" s="39">
        <f>C77-E73-G73</f>
        <v>18</v>
      </c>
      <c r="D78" s="38">
        <f ca="1">((100/H73)*C78)/100</f>
        <v>1</v>
      </c>
      <c r="E78" s="74"/>
      <c r="F78" s="75"/>
      <c r="G78" s="74"/>
      <c r="H78" s="75"/>
      <c r="I78" s="16" t="s">
        <v>152</v>
      </c>
      <c r="J78" s="21">
        <f ca="1">(IF(D73&gt;1,(H73/(D73+2)+J77),H73*0.2+J77))</f>
        <v>7.2</v>
      </c>
    </row>
    <row r="79" spans="1:10" ht="21" customHeight="1" x14ac:dyDescent="0.35">
      <c r="A79" s="81" t="s">
        <v>163</v>
      </c>
      <c r="B79" s="82"/>
      <c r="C79" s="41">
        <v>18</v>
      </c>
      <c r="D79" s="38">
        <f ca="1">((100/H73)*C79)/100</f>
        <v>1</v>
      </c>
      <c r="E79" s="74"/>
      <c r="F79" s="75"/>
      <c r="G79" s="74"/>
      <c r="H79" s="75"/>
      <c r="I79" s="16" t="s">
        <v>164</v>
      </c>
      <c r="J79" s="21">
        <f>(IF(D73&gt;1,(H73/(D73+2)+J78),0))</f>
        <v>0</v>
      </c>
    </row>
    <row r="80" spans="1:10" ht="21" customHeight="1" x14ac:dyDescent="0.35">
      <c r="A80" s="81" t="s">
        <v>263</v>
      </c>
      <c r="B80" s="82"/>
      <c r="C80" s="41">
        <v>18</v>
      </c>
      <c r="D80" s="38">
        <f ca="1">((100/H73)*C80)/100</f>
        <v>1</v>
      </c>
      <c r="E80" s="74"/>
      <c r="F80" s="75"/>
      <c r="G80" s="74"/>
      <c r="H80" s="75"/>
      <c r="I80" s="16" t="s">
        <v>165</v>
      </c>
      <c r="J80" s="21">
        <f>(IF(D73&gt;2,(H73/(D73+2)+J79),0))</f>
        <v>0</v>
      </c>
    </row>
    <row r="81" spans="1:10" ht="60.75" customHeight="1" x14ac:dyDescent="0.35">
      <c r="A81" s="81" t="s">
        <v>264</v>
      </c>
      <c r="B81" s="82"/>
      <c r="C81" s="39">
        <v>18</v>
      </c>
      <c r="D81" s="38">
        <f ca="1">((100/(H73))*C81)/100</f>
        <v>1</v>
      </c>
      <c r="E81" s="74"/>
      <c r="F81" s="75"/>
      <c r="G81" s="74"/>
      <c r="H81" s="75"/>
      <c r="I81" s="16" t="s">
        <v>167</v>
      </c>
      <c r="J81" s="22">
        <f>(IF(D73&gt;3,(H73/(D73+2)+J80),0))</f>
        <v>0</v>
      </c>
    </row>
    <row r="82" spans="1:10" ht="21" customHeight="1" x14ac:dyDescent="0.35">
      <c r="A82" s="81" t="s">
        <v>166</v>
      </c>
      <c r="B82" s="82"/>
      <c r="C82" s="39">
        <v>18</v>
      </c>
      <c r="D82" s="38">
        <f ca="1">((100/(H73))*C82)/100</f>
        <v>1</v>
      </c>
      <c r="E82" s="74"/>
      <c r="F82" s="75"/>
      <c r="G82" s="74"/>
      <c r="H82" s="75"/>
      <c r="I82" s="16" t="s">
        <v>168</v>
      </c>
      <c r="J82" s="21">
        <f>(IF(D73&gt;4,(H73/(D73+2)+J81),0))</f>
        <v>0</v>
      </c>
    </row>
    <row r="83" spans="1:10" ht="21" customHeight="1" x14ac:dyDescent="0.35">
      <c r="A83" s="81" t="s">
        <v>265</v>
      </c>
      <c r="B83" s="82"/>
      <c r="C83" s="39">
        <v>18</v>
      </c>
      <c r="D83" s="38">
        <f ca="1">((100/H73)*C83)/100</f>
        <v>1</v>
      </c>
      <c r="E83" s="74"/>
      <c r="F83" s="75"/>
      <c r="G83" s="74"/>
      <c r="H83" s="75"/>
      <c r="I83" s="16" t="s">
        <v>153</v>
      </c>
      <c r="J83" s="21">
        <f ca="1">(IF(D73=1,(H73/(D73+3)+J78),IF(D73=0,(H73*0.3+J78),IF(D73&gt;1,0))))</f>
        <v>12.6</v>
      </c>
    </row>
    <row r="84" spans="1:10" ht="37.5" customHeight="1" thickBot="1" x14ac:dyDescent="0.4">
      <c r="A84" s="81" t="s">
        <v>266</v>
      </c>
      <c r="B84" s="82"/>
      <c r="C84" s="39">
        <v>18</v>
      </c>
      <c r="D84" s="38">
        <f ca="1">((100/H73)*C84)/100</f>
        <v>1</v>
      </c>
      <c r="E84" s="74"/>
      <c r="F84" s="75"/>
      <c r="G84" s="74"/>
      <c r="H84" s="75"/>
      <c r="I84" s="18" t="s">
        <v>154</v>
      </c>
      <c r="J84" s="23">
        <f ca="1">(IF(D73&gt;1.5,(H73/(D73+2)+J78+MAX(0,J79-J78)+MAX(0,J80-J79)+MAX(0,J81-J80)+MAX(0,J82-J81)+MAX(0,J83-J82)),IF(D73=1,(H73/(D73+3)+J83),IF(D73=0,H73*0.3+J83))))</f>
        <v>18</v>
      </c>
    </row>
    <row r="85" spans="1:10" ht="20.25" customHeight="1" x14ac:dyDescent="0.25">
      <c r="A85" s="81" t="s">
        <v>169</v>
      </c>
      <c r="B85" s="82"/>
      <c r="C85" s="39">
        <v>16</v>
      </c>
      <c r="D85" s="38">
        <f ca="1">((100/(H73))*C85)/100</f>
        <v>0.88888888888888884</v>
      </c>
      <c r="E85" s="74"/>
      <c r="F85" s="75"/>
      <c r="G85" s="74"/>
      <c r="H85" s="75"/>
    </row>
    <row r="86" spans="1:10" ht="20.25" x14ac:dyDescent="0.25">
      <c r="A86" s="81" t="s">
        <v>170</v>
      </c>
      <c r="B86" s="82"/>
      <c r="C86" s="39">
        <v>0</v>
      </c>
      <c r="D86" s="38">
        <f ca="1">((100/(H73))*C86)/100</f>
        <v>0</v>
      </c>
      <c r="E86" s="76"/>
      <c r="F86" s="77"/>
      <c r="G86" s="76"/>
      <c r="H86" s="77"/>
    </row>
    <row r="87" spans="1:10" ht="21" thickBot="1" x14ac:dyDescent="0.3">
      <c r="A87" s="153" t="s">
        <v>71</v>
      </c>
      <c r="B87" s="154"/>
      <c r="C87" s="154"/>
      <c r="D87" s="84"/>
      <c r="E87" s="154"/>
      <c r="F87" s="154"/>
      <c r="G87" s="154"/>
      <c r="H87" s="155"/>
    </row>
    <row r="88" spans="1:10" ht="36.75" customHeight="1" x14ac:dyDescent="0.3">
      <c r="A88" s="110" t="s">
        <v>262</v>
      </c>
      <c r="B88" s="111"/>
      <c r="C88" s="112"/>
      <c r="D88" s="39" t="s">
        <v>142</v>
      </c>
      <c r="E88" s="68" t="s">
        <v>129</v>
      </c>
      <c r="F88" s="69"/>
      <c r="G88" s="39" t="s">
        <v>143</v>
      </c>
      <c r="H88" s="39" t="s">
        <v>144</v>
      </c>
      <c r="I88" s="12" t="str">
        <f ca="1">(IF(E91&gt;99%,"All work completed. Please provide OC.",IF(E91&gt;89.8%,"Plinth, RCC, Brick, Plaster, Flooring, Wooden, Plumbing, Electrification, etc., work Completed. Finishing work is in process.",IF(E91&lt;94%,(IF(C91=0,"Work not yet Started.",IF(D91=25%,"Piling work in process",IF(D91=50%,"Excavation work in process",IF(D91=100%,"Excavation work Completed. ","0")))&amp;(IF(C92=0%,"",IF(C92=J93,"Footing work is process",IF(C92=J94,"Footing work Completed",IF(C92=J95,"1st Basement Completed",IF(C92=J96,"1st &amp; 2nd Basement Completed",IF(C92=J97,"1st to 3rd Basement Completed",IF(C92=J98,"1st to 4th Basement Completed",IF(C92=J99,"Plinth work is process",IF(C92=J100,"Plinth work completed","0")))))))))))&amp;(IF(C93=(E89+G89+H89),", RCC Slab",IF(C93&gt;0,", RCC upto "&amp;C93&amp;" Slab",""))&amp;(IF(C94=H89,", Brickwork",IF(C94&gt;0,", Brickwork upto "&amp;C94&amp;" Floor",""))&amp;(IF(C95=H89,", Internal Plaster",IF(C95&gt;0,", Internal Plaster upto "&amp;C95&amp;" Floor",""))&amp;(IF(C96=H89,", External Plaster",IF(C96&gt;0,", External Plaster upto "&amp;C96&amp;" Floor",""))&amp;(IF(C97=H89,", External Plumbing, Elevation and Waterproofing",IF(C97&gt;0,", External Plumbing, Elevation and Waterproofing upto "&amp;C97&amp;" Floor",""))&amp;(IF(C98=H89,", Flooring &amp; Fitting",IF(C98&gt;0,", Flooring &amp; Fitting upto "&amp;C98&amp;" Floor",""))&amp;(IF(C99=H89,", Wooden Work",IF(C99&gt;0,", Wooden Work upto "&amp;C99&amp;" Floor",""))&amp;(IF(C100=H89,", Electrical &amp; Sanitary fittings",IF(C100&gt;0,", Electrical &amp; Sanitary fittings upto "&amp;C100&amp;" Floor",""))&amp;(IF(C101&gt;0,", Finishing upto "&amp;C101&amp;" Floor","")&amp;(IF(C93&gt;0.5," Completed",""))))))))))))))))</f>
        <v>All work completed. Please provide OC.</v>
      </c>
      <c r="J88" s="14"/>
    </row>
    <row r="89" spans="1:10" ht="24.75" customHeight="1" x14ac:dyDescent="0.3">
      <c r="A89" s="113"/>
      <c r="B89" s="114"/>
      <c r="C89" s="115"/>
      <c r="D89" s="39">
        <f>IF(AND(ISNUMBER(SEARCH("1B",A88))),1,IF(AND(ISNUMBER(SEARCH("2B",A88))),2,IF(AND(ISNUMBER(SEARCH("3B",A88))),3,IF(AND(ISNUMBER(SEARCH("4B",A88))),4,IF(ISNUMBER(SEARCH("5B",A88)),5,0)))))</f>
        <v>2</v>
      </c>
      <c r="E89" s="68">
        <v>1</v>
      </c>
      <c r="F89" s="69"/>
      <c r="G89" s="39">
        <v>3</v>
      </c>
      <c r="H89" s="39">
        <f ca="1">--TRIM(RIGHT(SUBSTITUTE(LEFT(A88,_xlfn.AGGREGATE(16,6,FIND({0,1,2,3,4,5,6,7,8,9},A88,ROW(INDIRECT("1:"&amp;LEN(A88)))),1))," ",REPT(" ",LEN(A88))),LEN(A88)))</f>
        <v>18</v>
      </c>
      <c r="I89" s="13" t="s">
        <v>148</v>
      </c>
      <c r="J89" s="14"/>
    </row>
    <row r="90" spans="1:10" ht="20.25" customHeight="1" x14ac:dyDescent="0.3">
      <c r="A90" s="70" t="s">
        <v>146</v>
      </c>
      <c r="B90" s="71"/>
      <c r="C90" s="40" t="s">
        <v>157</v>
      </c>
      <c r="D90" s="40" t="s">
        <v>158</v>
      </c>
      <c r="E90" s="70" t="s">
        <v>147</v>
      </c>
      <c r="F90" s="71"/>
      <c r="G90" s="24" t="s">
        <v>145</v>
      </c>
      <c r="H90" s="24"/>
      <c r="I90" s="16" t="s">
        <v>159</v>
      </c>
      <c r="J90" s="15">
        <f ca="1">H89*25%</f>
        <v>4.5</v>
      </c>
    </row>
    <row r="91" spans="1:10" ht="20.25" customHeight="1" x14ac:dyDescent="0.3">
      <c r="A91" s="81" t="s">
        <v>160</v>
      </c>
      <c r="B91" s="82"/>
      <c r="C91" s="39">
        <f ca="1">J92</f>
        <v>18</v>
      </c>
      <c r="D91" s="38">
        <f ca="1">((100/H89)*C91)/100</f>
        <v>1</v>
      </c>
      <c r="E91" s="72">
        <f ca="1">(((C91/H89*10)+(C92/H89*15)+(25/(E89+G89+H89)*C93)+(5/(H89)*C94)+(2.5/(H89)*C95)+(2.5/(H89)*C96)+(5/H89*C97)+(10/H89*C98)+(2.5/H89*C99)+(2.5/H89*C100)+(10/H89*C101)+(10/H89*C102))/100)</f>
        <v>1</v>
      </c>
      <c r="F91" s="73"/>
      <c r="G91" s="72" t="str">
        <f ca="1">I88</f>
        <v>All work completed. Please provide OC.</v>
      </c>
      <c r="H91" s="73"/>
      <c r="I91" s="16" t="s">
        <v>149</v>
      </c>
      <c r="J91" s="20">
        <f ca="1">H89*50%</f>
        <v>9</v>
      </c>
    </row>
    <row r="92" spans="1:10" ht="20.25" x14ac:dyDescent="0.3">
      <c r="A92" s="81" t="s">
        <v>130</v>
      </c>
      <c r="B92" s="82"/>
      <c r="C92" s="41">
        <f ca="1">J100</f>
        <v>18</v>
      </c>
      <c r="D92" s="38">
        <f ca="1">((100/H89)*C92)/100</f>
        <v>1</v>
      </c>
      <c r="E92" s="74"/>
      <c r="F92" s="75"/>
      <c r="G92" s="74"/>
      <c r="H92" s="75"/>
      <c r="I92" s="16" t="s">
        <v>150</v>
      </c>
      <c r="J92" s="20">
        <f ca="1">H89</f>
        <v>18</v>
      </c>
    </row>
    <row r="93" spans="1:10" ht="21" customHeight="1" x14ac:dyDescent="0.35">
      <c r="A93" s="81" t="s">
        <v>161</v>
      </c>
      <c r="B93" s="82"/>
      <c r="C93" s="39">
        <v>22</v>
      </c>
      <c r="D93" s="38">
        <f ca="1">((100/(E89+G89+H89))*C93)/100</f>
        <v>1.0000000000000002</v>
      </c>
      <c r="E93" s="74"/>
      <c r="F93" s="75"/>
      <c r="G93" s="74"/>
      <c r="H93" s="75"/>
      <c r="I93" s="16" t="s">
        <v>151</v>
      </c>
      <c r="J93" s="21">
        <f ca="1">(IF(D89&gt;1,(H89/(D89+2)),H89*0.2))</f>
        <v>4.5</v>
      </c>
    </row>
    <row r="94" spans="1:10" ht="21" customHeight="1" x14ac:dyDescent="0.35">
      <c r="A94" s="81" t="s">
        <v>162</v>
      </c>
      <c r="B94" s="82"/>
      <c r="C94" s="39">
        <f>C93-E89-G89</f>
        <v>18</v>
      </c>
      <c r="D94" s="38">
        <f ca="1">((100/H89)*C94)/100</f>
        <v>1</v>
      </c>
      <c r="E94" s="74"/>
      <c r="F94" s="75"/>
      <c r="G94" s="74"/>
      <c r="H94" s="75"/>
      <c r="I94" s="16" t="s">
        <v>152</v>
      </c>
      <c r="J94" s="21">
        <f ca="1">(IF(D89&gt;1,(H89/(D89+2)+J93),H89*0.2+J93))</f>
        <v>9</v>
      </c>
    </row>
    <row r="95" spans="1:10" ht="21" customHeight="1" x14ac:dyDescent="0.35">
      <c r="A95" s="81" t="s">
        <v>163</v>
      </c>
      <c r="B95" s="82"/>
      <c r="C95" s="41">
        <v>18</v>
      </c>
      <c r="D95" s="38">
        <f ca="1">((100/H89)*C95)/100</f>
        <v>1</v>
      </c>
      <c r="E95" s="74"/>
      <c r="F95" s="75"/>
      <c r="G95" s="74"/>
      <c r="H95" s="75"/>
      <c r="I95" s="16" t="s">
        <v>164</v>
      </c>
      <c r="J95" s="21">
        <f ca="1">(IF(D89&gt;1,(H89/(D89+2)+J94),0))</f>
        <v>13.5</v>
      </c>
    </row>
    <row r="96" spans="1:10" ht="21" customHeight="1" x14ac:dyDescent="0.35">
      <c r="A96" s="81" t="s">
        <v>263</v>
      </c>
      <c r="B96" s="82"/>
      <c r="C96" s="41">
        <v>18</v>
      </c>
      <c r="D96" s="38">
        <f ca="1">((100/H89)*C96)/100</f>
        <v>1</v>
      </c>
      <c r="E96" s="74"/>
      <c r="F96" s="75"/>
      <c r="G96" s="74"/>
      <c r="H96" s="75"/>
      <c r="I96" s="16" t="s">
        <v>165</v>
      </c>
      <c r="J96" s="21">
        <f>(IF(D89&gt;2,(H89/(D89+2)+J95),0))</f>
        <v>0</v>
      </c>
    </row>
    <row r="97" spans="1:10" ht="60.75" customHeight="1" x14ac:dyDescent="0.35">
      <c r="A97" s="81" t="s">
        <v>264</v>
      </c>
      <c r="B97" s="82"/>
      <c r="C97" s="39">
        <v>18</v>
      </c>
      <c r="D97" s="38">
        <f ca="1">((100/(H89))*C97)/100</f>
        <v>1</v>
      </c>
      <c r="E97" s="74"/>
      <c r="F97" s="75"/>
      <c r="G97" s="74"/>
      <c r="H97" s="75"/>
      <c r="I97" s="16" t="s">
        <v>167</v>
      </c>
      <c r="J97" s="22">
        <f>(IF(D89&gt;3,(H89/(D89+2)+J96),0))</f>
        <v>0</v>
      </c>
    </row>
    <row r="98" spans="1:10" ht="21" customHeight="1" x14ac:dyDescent="0.35">
      <c r="A98" s="81" t="s">
        <v>166</v>
      </c>
      <c r="B98" s="82"/>
      <c r="C98" s="39">
        <v>18</v>
      </c>
      <c r="D98" s="38">
        <f ca="1">((100/(H89))*C98)/100</f>
        <v>1</v>
      </c>
      <c r="E98" s="74"/>
      <c r="F98" s="75"/>
      <c r="G98" s="74"/>
      <c r="H98" s="75"/>
      <c r="I98" s="16" t="s">
        <v>168</v>
      </c>
      <c r="J98" s="21">
        <f>(IF(D89&gt;4,(H89/(D89+2)+J97),0))</f>
        <v>0</v>
      </c>
    </row>
    <row r="99" spans="1:10" ht="21" customHeight="1" x14ac:dyDescent="0.35">
      <c r="A99" s="81" t="s">
        <v>265</v>
      </c>
      <c r="B99" s="82"/>
      <c r="C99" s="39">
        <v>18</v>
      </c>
      <c r="D99" s="38">
        <f ca="1">((100/H89)*C99)/100</f>
        <v>1</v>
      </c>
      <c r="E99" s="74"/>
      <c r="F99" s="75"/>
      <c r="G99" s="74"/>
      <c r="H99" s="75"/>
      <c r="I99" s="16" t="s">
        <v>153</v>
      </c>
      <c r="J99" s="21">
        <f>(IF(D89=1,(H89/(D89+3)+J94),IF(D89=0,(H89*0.3+J94),IF(D89&gt;1,0))))</f>
        <v>0</v>
      </c>
    </row>
    <row r="100" spans="1:10" ht="37.5" customHeight="1" thickBot="1" x14ac:dyDescent="0.4">
      <c r="A100" s="81" t="s">
        <v>266</v>
      </c>
      <c r="B100" s="82"/>
      <c r="C100" s="39">
        <v>18</v>
      </c>
      <c r="D100" s="38">
        <f ca="1">((100/H89)*C100)/100</f>
        <v>1</v>
      </c>
      <c r="E100" s="74"/>
      <c r="F100" s="75"/>
      <c r="G100" s="74"/>
      <c r="H100" s="75"/>
      <c r="I100" s="18" t="s">
        <v>154</v>
      </c>
      <c r="J100" s="23">
        <f ca="1">(IF(D89&gt;1.5,(H89/(D89+2)+J94+MAX(0,J95-J94)+MAX(0,J96-J95)+MAX(0,J97-J96)+MAX(0,J98-J97)+MAX(0,J99-J98)),IF(D89=1,(H89/(D89+3)+J99),IF(D89=0,H89*0.3+J99))))</f>
        <v>18</v>
      </c>
    </row>
    <row r="101" spans="1:10" ht="20.25" customHeight="1" x14ac:dyDescent="0.25">
      <c r="A101" s="81" t="s">
        <v>169</v>
      </c>
      <c r="B101" s="82"/>
      <c r="C101" s="39">
        <v>18</v>
      </c>
      <c r="D101" s="38">
        <f ca="1">((100/(H89))*C101)/100</f>
        <v>1</v>
      </c>
      <c r="E101" s="74"/>
      <c r="F101" s="75"/>
      <c r="G101" s="74"/>
      <c r="H101" s="75"/>
    </row>
    <row r="102" spans="1:10" ht="20.25" x14ac:dyDescent="0.25">
      <c r="A102" s="81" t="s">
        <v>170</v>
      </c>
      <c r="B102" s="82"/>
      <c r="C102" s="39">
        <v>18</v>
      </c>
      <c r="D102" s="38">
        <f ca="1">((100/(H89))*C102)/100</f>
        <v>1</v>
      </c>
      <c r="E102" s="76"/>
      <c r="F102" s="77"/>
      <c r="G102" s="76"/>
      <c r="H102" s="77"/>
    </row>
    <row r="103" spans="1:10" ht="21" thickBot="1" x14ac:dyDescent="0.3">
      <c r="A103" s="83" t="s">
        <v>71</v>
      </c>
      <c r="B103" s="84"/>
      <c r="C103" s="84"/>
      <c r="D103" s="84"/>
      <c r="E103" s="84"/>
      <c r="F103" s="84"/>
      <c r="G103" s="84"/>
      <c r="H103" s="85"/>
    </row>
    <row r="104" spans="1:10" ht="28.5" customHeight="1" x14ac:dyDescent="0.3">
      <c r="A104" s="110" t="s">
        <v>280</v>
      </c>
      <c r="B104" s="111"/>
      <c r="C104" s="112"/>
      <c r="D104" s="39" t="s">
        <v>142</v>
      </c>
      <c r="E104" s="68" t="s">
        <v>129</v>
      </c>
      <c r="F104" s="69"/>
      <c r="G104" s="39" t="s">
        <v>143</v>
      </c>
      <c r="H104" s="39" t="s">
        <v>144</v>
      </c>
      <c r="I104" s="12" t="str">
        <f ca="1">(IF(E107&gt;99%,"All work completed. Please provide OC.",IF(E107&gt;89.8%,"Plinth, RCC, Brick, Plaster, Flooring, Wooden, Plumbing, Electrification, etc., work Completed. Finishing work is in process.",IF(E107&lt;94%,(IF(C107=0,"Work not yet Started.",IF(D107=25%,"Piling work in process",IF(D107=50%,"Excavation work in process",IF(D107=100%,"Excavation work Completed. ","0")))&amp;(IF(C108=0%,"",IF(C108=J109,"Footing work is process",IF(C108=J110,"Footing work Completed",IF(C108=J111,"1st Basement Completed",IF(C108=J112,"1st &amp; 2nd Basement Completed",IF(C108=J113,"1st to 3rd Basement Completed",IF(C108=J114,"1st to 4th Basement Completed",IF(C108=J115,"Plinth work is process",IF(C108=J116,"Plinth work completed","0")))))))))))&amp;(IF(C109=(E105+G105+H105),", RCC Slab",IF(C109&gt;0,", RCC upto "&amp;C109&amp;" Slab",""))&amp;(IF(C110=H105,", Brickwork",IF(C110&gt;0,", Brickwork upto "&amp;C110&amp;" Floor",""))&amp;(IF(C111=H105,", Internal Plaster",IF(C111&gt;0,", Internal Plaster upto "&amp;C111&amp;" Floor",""))&amp;(IF(C112=H105,", External Plaster",IF(C112&gt;0,", External Plaster upto "&amp;C112&amp;" Floor",""))&amp;(IF(C113=H105,", External Plumbing, Elevation and Waterproofing",IF(C113&gt;0,", External Plumbing, Elevation and Waterproofing upto "&amp;C113&amp;" Floor",""))&amp;(IF(C114=H105,", Flooring &amp; Fitting",IF(C114&gt;0,", Flooring &amp; Fitting upto "&amp;C114&amp;" Floor",""))&amp;(IF(C115=H105,", Wooden Work",IF(C115&gt;0,", Wooden Work upto "&amp;C115&amp;" Floor",""))&amp;(IF(C116=H105,", Electrical &amp; Sanitary fittings",IF(C116&gt;0,", Electrical &amp; Sanitary fittings upto "&amp;C116&amp;" Floor",""))&amp;(IF(C117&gt;0,", Finishing upto "&amp;C117&amp;" Floor","")&amp;(IF(C109&gt;0.5," Completed",""))))))))))))))))</f>
        <v>All work completed. Please provide OC.</v>
      </c>
      <c r="J104" s="14"/>
    </row>
    <row r="105" spans="1:10" ht="20.25" x14ac:dyDescent="0.3">
      <c r="A105" s="113"/>
      <c r="B105" s="114"/>
      <c r="C105" s="115"/>
      <c r="D105" s="39">
        <v>0</v>
      </c>
      <c r="E105" s="68">
        <v>1</v>
      </c>
      <c r="F105" s="69"/>
      <c r="G105" s="39">
        <v>3</v>
      </c>
      <c r="H105" s="39">
        <f ca="1">--TRIM(RIGHT(SUBSTITUTE(LEFT(A104,_xlfn.AGGREGATE(16,6,FIND({0,1,2,3,4,5,6,7,8,9},A104,ROW(INDIRECT("1:"&amp;LEN(A104)))),1))," ",REPT(" ",LEN(A104))),LEN(A104)))</f>
        <v>18</v>
      </c>
      <c r="I105" s="13" t="s">
        <v>275</v>
      </c>
      <c r="J105" s="14"/>
    </row>
    <row r="106" spans="1:10" ht="20.25" customHeight="1" x14ac:dyDescent="0.3">
      <c r="A106" s="70" t="s">
        <v>146</v>
      </c>
      <c r="B106" s="71"/>
      <c r="C106" s="40" t="s">
        <v>157</v>
      </c>
      <c r="D106" s="40" t="s">
        <v>158</v>
      </c>
      <c r="E106" s="70" t="s">
        <v>147</v>
      </c>
      <c r="F106" s="71"/>
      <c r="G106" s="24" t="s">
        <v>145</v>
      </c>
      <c r="H106" s="24"/>
      <c r="I106" s="16" t="s">
        <v>159</v>
      </c>
      <c r="J106" s="15">
        <f ca="1">H105*25%</f>
        <v>4.5</v>
      </c>
    </row>
    <row r="107" spans="1:10" ht="20.25" customHeight="1" x14ac:dyDescent="0.3">
      <c r="A107" s="81" t="s">
        <v>160</v>
      </c>
      <c r="B107" s="82"/>
      <c r="C107" s="39">
        <f ca="1">J108</f>
        <v>18</v>
      </c>
      <c r="D107" s="38">
        <f ca="1">((100/H105)*C107)/100</f>
        <v>1</v>
      </c>
      <c r="E107" s="72">
        <f ca="1">(((C107/H105*10)+(C108/H105*15)+(25/(E105+G105+H105)*C109)+(5/(H105)*C110)+(2.5/(H105)*C111)+(2.5/(H105)*C112)+(5/H105*C113)+(10/H105*C114)+(2.5/H105*C115)+(2.5/H105*C116)+(10/H105*C117)+(10/H105*C118))/100)</f>
        <v>1</v>
      </c>
      <c r="F107" s="73"/>
      <c r="G107" s="72" t="str">
        <f>I105</f>
        <v>All work Completed. Part OC Received up to 16th Floor.</v>
      </c>
      <c r="H107" s="73"/>
      <c r="I107" s="16" t="s">
        <v>149</v>
      </c>
      <c r="J107" s="20">
        <f ca="1">H105*50%</f>
        <v>9</v>
      </c>
    </row>
    <row r="108" spans="1:10" ht="20.25" x14ac:dyDescent="0.3">
      <c r="A108" s="81" t="s">
        <v>130</v>
      </c>
      <c r="B108" s="82"/>
      <c r="C108" s="41">
        <f ca="1">J116</f>
        <v>18</v>
      </c>
      <c r="D108" s="38">
        <f ca="1">((100/H105)*C108)/100</f>
        <v>1</v>
      </c>
      <c r="E108" s="74"/>
      <c r="F108" s="75"/>
      <c r="G108" s="74"/>
      <c r="H108" s="75"/>
      <c r="I108" s="16" t="s">
        <v>150</v>
      </c>
      <c r="J108" s="20">
        <f ca="1">H105</f>
        <v>18</v>
      </c>
    </row>
    <row r="109" spans="1:10" ht="21" customHeight="1" x14ac:dyDescent="0.35">
      <c r="A109" s="81" t="s">
        <v>161</v>
      </c>
      <c r="B109" s="82"/>
      <c r="C109" s="39">
        <f ca="1">E105+G105+H105</f>
        <v>22</v>
      </c>
      <c r="D109" s="38">
        <f ca="1">((100/(E105+G105+H105))*C109)/100</f>
        <v>1.0000000000000002</v>
      </c>
      <c r="E109" s="74"/>
      <c r="F109" s="75"/>
      <c r="G109" s="74"/>
      <c r="H109" s="75"/>
      <c r="I109" s="16" t="s">
        <v>151</v>
      </c>
      <c r="J109" s="21">
        <f ca="1">(IF(D105&gt;1,(H105/(D105+2)),H105*0.2))</f>
        <v>3.6</v>
      </c>
    </row>
    <row r="110" spans="1:10" ht="21" customHeight="1" x14ac:dyDescent="0.35">
      <c r="A110" s="81" t="s">
        <v>162</v>
      </c>
      <c r="B110" s="82"/>
      <c r="C110" s="39">
        <v>18</v>
      </c>
      <c r="D110" s="38">
        <f ca="1">((100/H105)*C110)/100</f>
        <v>1</v>
      </c>
      <c r="E110" s="74"/>
      <c r="F110" s="75"/>
      <c r="G110" s="74"/>
      <c r="H110" s="75"/>
      <c r="I110" s="16" t="s">
        <v>152</v>
      </c>
      <c r="J110" s="21">
        <f ca="1">(IF(D105&gt;1,(H105/(D105+2)+J109),H105*0.2+J109))</f>
        <v>7.2</v>
      </c>
    </row>
    <row r="111" spans="1:10" ht="21" customHeight="1" x14ac:dyDescent="0.35">
      <c r="A111" s="81" t="s">
        <v>163</v>
      </c>
      <c r="B111" s="82"/>
      <c r="C111" s="39">
        <v>18</v>
      </c>
      <c r="D111" s="38">
        <f ca="1">((100/H105)*C111)/100</f>
        <v>1</v>
      </c>
      <c r="E111" s="74"/>
      <c r="F111" s="75"/>
      <c r="G111" s="74"/>
      <c r="H111" s="75"/>
      <c r="I111" s="16" t="s">
        <v>164</v>
      </c>
      <c r="J111" s="21">
        <f>(IF(D105&gt;1,(H105/(D105+2)+J110),0))</f>
        <v>0</v>
      </c>
    </row>
    <row r="112" spans="1:10" ht="21" customHeight="1" x14ac:dyDescent="0.35">
      <c r="A112" s="81" t="s">
        <v>263</v>
      </c>
      <c r="B112" s="82"/>
      <c r="C112" s="39">
        <v>18</v>
      </c>
      <c r="D112" s="38">
        <f ca="1">((100/H105)*C112)/100</f>
        <v>1</v>
      </c>
      <c r="E112" s="74"/>
      <c r="F112" s="75"/>
      <c r="G112" s="74"/>
      <c r="H112" s="75"/>
      <c r="I112" s="16" t="s">
        <v>165</v>
      </c>
      <c r="J112" s="21">
        <f>(IF(D105&gt;2,(H105/(D105+2)+J111),0))</f>
        <v>0</v>
      </c>
    </row>
    <row r="113" spans="1:10" ht="69" customHeight="1" x14ac:dyDescent="0.35">
      <c r="A113" s="81" t="s">
        <v>264</v>
      </c>
      <c r="B113" s="82"/>
      <c r="C113" s="39">
        <v>18</v>
      </c>
      <c r="D113" s="38">
        <f ca="1">((100/(H105))*C113)/100</f>
        <v>1</v>
      </c>
      <c r="E113" s="74"/>
      <c r="F113" s="75"/>
      <c r="G113" s="74"/>
      <c r="H113" s="75"/>
      <c r="I113" s="16" t="s">
        <v>167</v>
      </c>
      <c r="J113" s="22">
        <f>(IF(D105&gt;3,(H105/(D105+2)+J112),0))</f>
        <v>0</v>
      </c>
    </row>
    <row r="114" spans="1:10" ht="21" customHeight="1" x14ac:dyDescent="0.35">
      <c r="A114" s="81" t="s">
        <v>166</v>
      </c>
      <c r="B114" s="82"/>
      <c r="C114" s="39">
        <v>18</v>
      </c>
      <c r="D114" s="38">
        <f ca="1">((100/(H105))*C114)/100</f>
        <v>1</v>
      </c>
      <c r="E114" s="74"/>
      <c r="F114" s="75"/>
      <c r="G114" s="74"/>
      <c r="H114" s="75"/>
      <c r="I114" s="16" t="s">
        <v>168</v>
      </c>
      <c r="J114" s="21">
        <f>(IF(D105&gt;4,(H105/(D105+2)+J113),0))</f>
        <v>0</v>
      </c>
    </row>
    <row r="115" spans="1:10" ht="21" customHeight="1" x14ac:dyDescent="0.35">
      <c r="A115" s="81" t="s">
        <v>265</v>
      </c>
      <c r="B115" s="82"/>
      <c r="C115" s="39">
        <v>18</v>
      </c>
      <c r="D115" s="38">
        <f ca="1">((100/H105)*C115)/100</f>
        <v>1</v>
      </c>
      <c r="E115" s="74"/>
      <c r="F115" s="75"/>
      <c r="G115" s="74"/>
      <c r="H115" s="75"/>
      <c r="I115" s="16" t="s">
        <v>153</v>
      </c>
      <c r="J115" s="21">
        <f ca="1">(IF(D105=1,(H105/(D105+3)+J110),IF(D105=0,(H105*0.3+J110),IF(D105&gt;1,0))))</f>
        <v>12.6</v>
      </c>
    </row>
    <row r="116" spans="1:10" ht="35.25" customHeight="1" thickBot="1" x14ac:dyDescent="0.4">
      <c r="A116" s="81" t="s">
        <v>266</v>
      </c>
      <c r="B116" s="82"/>
      <c r="C116" s="39">
        <v>18</v>
      </c>
      <c r="D116" s="38">
        <f ca="1">((100/H105)*C116)/100</f>
        <v>1</v>
      </c>
      <c r="E116" s="74"/>
      <c r="F116" s="75"/>
      <c r="G116" s="74"/>
      <c r="H116" s="75"/>
      <c r="I116" s="18" t="s">
        <v>154</v>
      </c>
      <c r="J116" s="23">
        <f ca="1">(IF(D105&gt;1.5,(H105/(D105+2)+J110+MAX(0,J111-J110)+MAX(0,J112-J111)+MAX(0,J113-J112)+MAX(0,J114-J113)+MAX(0,J115-J114)),IF(D105=1,(H105/(D105+3)+J115),IF(D105=0,H105*0.3+J115))))</f>
        <v>18</v>
      </c>
    </row>
    <row r="117" spans="1:10" ht="20.25" customHeight="1" x14ac:dyDescent="0.25">
      <c r="A117" s="81" t="s">
        <v>169</v>
      </c>
      <c r="B117" s="82"/>
      <c r="C117" s="39">
        <v>18</v>
      </c>
      <c r="D117" s="38">
        <f ca="1">((100/(H105))*C117)/100</f>
        <v>1</v>
      </c>
      <c r="E117" s="74"/>
      <c r="F117" s="75"/>
      <c r="G117" s="74"/>
      <c r="H117" s="75"/>
    </row>
    <row r="118" spans="1:10" ht="20.25" x14ac:dyDescent="0.25">
      <c r="A118" s="81" t="s">
        <v>170</v>
      </c>
      <c r="B118" s="82"/>
      <c r="C118" s="212">
        <v>18</v>
      </c>
      <c r="D118" s="38">
        <f ca="1">((100/(H105))*C118)/100</f>
        <v>1</v>
      </c>
      <c r="E118" s="76"/>
      <c r="F118" s="77"/>
      <c r="G118" s="76"/>
      <c r="H118" s="77"/>
    </row>
    <row r="119" spans="1:10" ht="21" thickBot="1" x14ac:dyDescent="0.3">
      <c r="A119" s="83" t="s">
        <v>71</v>
      </c>
      <c r="B119" s="84"/>
      <c r="C119" s="84"/>
      <c r="D119" s="84"/>
      <c r="E119" s="84"/>
      <c r="F119" s="84"/>
      <c r="G119" s="84"/>
      <c r="H119" s="85"/>
    </row>
    <row r="120" spans="1:10" ht="20.25" x14ac:dyDescent="0.3">
      <c r="A120" s="110" t="s">
        <v>279</v>
      </c>
      <c r="B120" s="111"/>
      <c r="C120" s="112"/>
      <c r="D120" s="39" t="s">
        <v>142</v>
      </c>
      <c r="E120" s="68" t="s">
        <v>129</v>
      </c>
      <c r="F120" s="69"/>
      <c r="G120" s="39" t="s">
        <v>143</v>
      </c>
      <c r="H120" s="39" t="s">
        <v>144</v>
      </c>
      <c r="I120" s="12" t="str">
        <f ca="1">(IF(E123&gt;99%,"All work completed. Please provide OC.",IF(E123&gt;89.8%,"Plinth, RCC, Brick, Plaster, Flooring, Wooden, Plumbing, Electrification, etc., work Completed. Finishing work is in process.",IF(E123&lt;94%,(IF(C123=0,"Work not yet Started.",IF(D123=25%,"Piling work in process",IF(D123=50%,"Excavation work in process",IF(D123=100%,"Excavation work Completed. ","0")))&amp;(IF(C124=0%,"",IF(C124=J125,"Footing work is process",IF(C124=J126,"Footing work Completed",IF(C124=J127,"1st Basement Completed",IF(C124=J128,"1st &amp; 2nd Basement Completed",IF(C124=J129,"1st to 3rd Basement Completed",IF(C124=J130,"1st to 4th Basement Completed",IF(C124=J131,"Plinth work is process",IF(C124=J132,"Plinth work completed","0")))))))))))&amp;(IF(C125=(E121+G121+H121),", RCC Slab",IF(C125&gt;0,", RCC upto "&amp;C125&amp;" Slab",""))&amp;(IF(C126=H121,", Brickwork",IF(C126&gt;0,", Brickwork upto "&amp;C126&amp;" Floor",""))&amp;(IF(C127=H121,", Internal Plaster",IF(C127&gt;0,", Internal Plaster upto "&amp;C127&amp;" Floor",""))&amp;(IF(C128=H121,", External Plaster",IF(C128&gt;0,", External Plaster upto "&amp;C128&amp;" Floor",""))&amp;(IF(C129=H121,", External Plumbing, Elevation and Waterproofing",IF(C129&gt;0,", External Plumbing, Elevation and Waterproofing upto "&amp;C129&amp;" Floor",""))&amp;(IF(C130=H121,", Flooring &amp; Fitting",IF(C130&gt;0,", Flooring &amp; Fitting upto "&amp;C130&amp;" Floor",""))&amp;(IF(C131=H121,", Wooden Work",IF(C131&gt;0,", Wooden Work upto "&amp;C131&amp;" Floor",""))&amp;(IF(C132=H121,", Electrical &amp; Sanitary fittings",IF(C132&gt;0,", Electrical &amp; Sanitary fittings upto "&amp;C132&amp;" Floor",""))&amp;(IF(C133&gt;0,", Finishing upto "&amp;C133&amp;" Floor","")&amp;(IF(C125&gt;0.5," Completed",""))))))))))))))))</f>
        <v>All work completed. Please provide OC.</v>
      </c>
      <c r="J120" s="14"/>
    </row>
    <row r="121" spans="1:10" ht="20.25" x14ac:dyDescent="0.3">
      <c r="A121" s="113"/>
      <c r="B121" s="114"/>
      <c r="C121" s="115"/>
      <c r="D121" s="39">
        <v>0</v>
      </c>
      <c r="E121" s="68">
        <v>1</v>
      </c>
      <c r="F121" s="69"/>
      <c r="G121" s="39">
        <v>3</v>
      </c>
      <c r="H121" s="39">
        <f ca="1">--TRIM(RIGHT(SUBSTITUTE(LEFT(A120,_xlfn.AGGREGATE(16,6,FIND({0,1,2,3,4,5,6,7,8,9},A120,ROW(INDIRECT("1:"&amp;LEN(A120)))),1))," ",REPT(" ",LEN(A120))),LEN(A120)))</f>
        <v>18</v>
      </c>
      <c r="I121" s="13" t="s">
        <v>275</v>
      </c>
      <c r="J121" s="14"/>
    </row>
    <row r="122" spans="1:10" ht="20.25" customHeight="1" x14ac:dyDescent="0.3">
      <c r="A122" s="70" t="s">
        <v>146</v>
      </c>
      <c r="B122" s="71"/>
      <c r="C122" s="40" t="s">
        <v>157</v>
      </c>
      <c r="D122" s="40" t="s">
        <v>158</v>
      </c>
      <c r="E122" s="70" t="s">
        <v>147</v>
      </c>
      <c r="F122" s="71"/>
      <c r="G122" s="24" t="s">
        <v>145</v>
      </c>
      <c r="H122" s="24"/>
      <c r="I122" s="16" t="s">
        <v>159</v>
      </c>
      <c r="J122" s="15">
        <f ca="1">H121*25%</f>
        <v>4.5</v>
      </c>
    </row>
    <row r="123" spans="1:10" ht="20.25" customHeight="1" x14ac:dyDescent="0.3">
      <c r="A123" s="81" t="s">
        <v>160</v>
      </c>
      <c r="B123" s="82"/>
      <c r="C123" s="39">
        <f ca="1">J124</f>
        <v>18</v>
      </c>
      <c r="D123" s="38">
        <f ca="1">((100/H121)*C123)/100</f>
        <v>1</v>
      </c>
      <c r="E123" s="72">
        <f ca="1">(((C123/H121*10)+(C124/H121*15)+(25/(E121+G121+H121)*C125)+(5/(H121)*C126)+(2.5/(H121)*C127)+(2.5/(H121)*C128)+(5/H121*C129)+(10/H121*C130)+(2.5/H121*C131)+(2.5/H121*C132)+(10/H121*C133)+(10/H121*C134))/100)</f>
        <v>1</v>
      </c>
      <c r="F123" s="73"/>
      <c r="G123" s="72" t="str">
        <f>I121</f>
        <v>All work Completed. Part OC Received up to 16th Floor.</v>
      </c>
      <c r="H123" s="73"/>
      <c r="I123" s="16" t="s">
        <v>149</v>
      </c>
      <c r="J123" s="20">
        <f ca="1">H121*50%</f>
        <v>9</v>
      </c>
    </row>
    <row r="124" spans="1:10" ht="20.25" x14ac:dyDescent="0.3">
      <c r="A124" s="81" t="s">
        <v>130</v>
      </c>
      <c r="B124" s="82"/>
      <c r="C124" s="41">
        <f ca="1">J132</f>
        <v>18</v>
      </c>
      <c r="D124" s="38">
        <f ca="1">((100/H121)*C124)/100</f>
        <v>1</v>
      </c>
      <c r="E124" s="74"/>
      <c r="F124" s="75"/>
      <c r="G124" s="74"/>
      <c r="H124" s="75"/>
      <c r="I124" s="16" t="s">
        <v>150</v>
      </c>
      <c r="J124" s="20">
        <f ca="1">H121</f>
        <v>18</v>
      </c>
    </row>
    <row r="125" spans="1:10" ht="21" customHeight="1" x14ac:dyDescent="0.35">
      <c r="A125" s="81" t="s">
        <v>161</v>
      </c>
      <c r="B125" s="82"/>
      <c r="C125" s="39">
        <f ca="1">E121+G121+H121</f>
        <v>22</v>
      </c>
      <c r="D125" s="38">
        <f ca="1">((100/(E121+G121+H121))*C125)/100</f>
        <v>1.0000000000000002</v>
      </c>
      <c r="E125" s="74"/>
      <c r="F125" s="75"/>
      <c r="G125" s="74"/>
      <c r="H125" s="75"/>
      <c r="I125" s="16" t="s">
        <v>151</v>
      </c>
      <c r="J125" s="21">
        <f ca="1">(IF(D121&gt;1,(H121/(D121+2)),H121*0.2))</f>
        <v>3.6</v>
      </c>
    </row>
    <row r="126" spans="1:10" ht="21" customHeight="1" x14ac:dyDescent="0.35">
      <c r="A126" s="81" t="s">
        <v>162</v>
      </c>
      <c r="B126" s="82"/>
      <c r="C126" s="39">
        <v>18</v>
      </c>
      <c r="D126" s="38">
        <f ca="1">((100/H121)*C126)/100</f>
        <v>1</v>
      </c>
      <c r="E126" s="74"/>
      <c r="F126" s="75"/>
      <c r="G126" s="74"/>
      <c r="H126" s="75"/>
      <c r="I126" s="16" t="s">
        <v>152</v>
      </c>
      <c r="J126" s="21">
        <f ca="1">(IF(D121&gt;1,(H121/(D121+2)+J125),H121*0.2+J125))</f>
        <v>7.2</v>
      </c>
    </row>
    <row r="127" spans="1:10" ht="21" customHeight="1" x14ac:dyDescent="0.35">
      <c r="A127" s="81" t="s">
        <v>163</v>
      </c>
      <c r="B127" s="82"/>
      <c r="C127" s="39">
        <v>18</v>
      </c>
      <c r="D127" s="38">
        <f ca="1">((100/H121)*C127)/100</f>
        <v>1</v>
      </c>
      <c r="E127" s="74"/>
      <c r="F127" s="75"/>
      <c r="G127" s="74"/>
      <c r="H127" s="75"/>
      <c r="I127" s="16" t="s">
        <v>164</v>
      </c>
      <c r="J127" s="21">
        <f>(IF(D121&gt;1,(H121/(D121+2)+J126),0))</f>
        <v>0</v>
      </c>
    </row>
    <row r="128" spans="1:10" ht="21" customHeight="1" x14ac:dyDescent="0.35">
      <c r="A128" s="81" t="s">
        <v>263</v>
      </c>
      <c r="B128" s="82"/>
      <c r="C128" s="39">
        <v>18</v>
      </c>
      <c r="D128" s="38">
        <f ca="1">((100/H121)*C128)/100</f>
        <v>1</v>
      </c>
      <c r="E128" s="74"/>
      <c r="F128" s="75"/>
      <c r="G128" s="74"/>
      <c r="H128" s="75"/>
      <c r="I128" s="16" t="s">
        <v>165</v>
      </c>
      <c r="J128" s="21">
        <f>(IF(D121&gt;2,(H121/(D121+2)+J127),0))</f>
        <v>0</v>
      </c>
    </row>
    <row r="129" spans="1:10" ht="64.5" customHeight="1" x14ac:dyDescent="0.35">
      <c r="A129" s="81" t="s">
        <v>264</v>
      </c>
      <c r="B129" s="82"/>
      <c r="C129" s="39">
        <v>18</v>
      </c>
      <c r="D129" s="38">
        <f ca="1">((100/(H121))*C129)/100</f>
        <v>1</v>
      </c>
      <c r="E129" s="74"/>
      <c r="F129" s="75"/>
      <c r="G129" s="74"/>
      <c r="H129" s="75"/>
      <c r="I129" s="16" t="s">
        <v>167</v>
      </c>
      <c r="J129" s="22">
        <f>(IF(D121&gt;3,(H121/(D121+2)+J128),0))</f>
        <v>0</v>
      </c>
    </row>
    <row r="130" spans="1:10" ht="21" customHeight="1" x14ac:dyDescent="0.35">
      <c r="A130" s="81" t="s">
        <v>166</v>
      </c>
      <c r="B130" s="82"/>
      <c r="C130" s="39">
        <v>18</v>
      </c>
      <c r="D130" s="38">
        <f ca="1">((100/(H121))*C130)/100</f>
        <v>1</v>
      </c>
      <c r="E130" s="74"/>
      <c r="F130" s="75"/>
      <c r="G130" s="74"/>
      <c r="H130" s="75"/>
      <c r="I130" s="16" t="s">
        <v>168</v>
      </c>
      <c r="J130" s="21">
        <f>(IF(D121&gt;4,(H121/(D121+2)+J129),0))</f>
        <v>0</v>
      </c>
    </row>
    <row r="131" spans="1:10" ht="21" customHeight="1" x14ac:dyDescent="0.35">
      <c r="A131" s="81" t="s">
        <v>265</v>
      </c>
      <c r="B131" s="82"/>
      <c r="C131" s="39">
        <v>18</v>
      </c>
      <c r="D131" s="38">
        <f ca="1">((100/H121)*C131)/100</f>
        <v>1</v>
      </c>
      <c r="E131" s="74"/>
      <c r="F131" s="75"/>
      <c r="G131" s="74"/>
      <c r="H131" s="75"/>
      <c r="I131" s="16" t="s">
        <v>153</v>
      </c>
      <c r="J131" s="21">
        <f ca="1">(IF(D121=1,(H121/(D121+3)+J126),IF(D121=0,(H121*0.3+J126),IF(D121&gt;1,0))))</f>
        <v>12.6</v>
      </c>
    </row>
    <row r="132" spans="1:10" ht="42.75" customHeight="1" thickBot="1" x14ac:dyDescent="0.4">
      <c r="A132" s="81" t="s">
        <v>266</v>
      </c>
      <c r="B132" s="82"/>
      <c r="C132" s="39">
        <v>18</v>
      </c>
      <c r="D132" s="38">
        <f ca="1">((100/H121)*C132)/100</f>
        <v>1</v>
      </c>
      <c r="E132" s="74"/>
      <c r="F132" s="75"/>
      <c r="G132" s="74"/>
      <c r="H132" s="75"/>
      <c r="I132" s="18" t="s">
        <v>154</v>
      </c>
      <c r="J132" s="23">
        <f ca="1">(IF(D121&gt;1.5,(H121/(D121+2)+J126+MAX(0,J127-J126)+MAX(0,J128-J127)+MAX(0,J129-J128)+MAX(0,J130-J129)+MAX(0,J131-J130)),IF(D121=1,(H121/(D121+3)+J131),IF(D121=0,H121*0.3+J131))))</f>
        <v>18</v>
      </c>
    </row>
    <row r="133" spans="1:10" ht="20.25" customHeight="1" x14ac:dyDescent="0.25">
      <c r="A133" s="81" t="s">
        <v>169</v>
      </c>
      <c r="B133" s="82"/>
      <c r="C133" s="39">
        <v>18</v>
      </c>
      <c r="D133" s="38">
        <f ca="1">((100/(H121))*C133)/100</f>
        <v>1</v>
      </c>
      <c r="E133" s="74"/>
      <c r="F133" s="75"/>
      <c r="G133" s="74"/>
      <c r="H133" s="75"/>
    </row>
    <row r="134" spans="1:10" ht="20.25" x14ac:dyDescent="0.25">
      <c r="A134" s="81" t="s">
        <v>170</v>
      </c>
      <c r="B134" s="82"/>
      <c r="C134" s="39">
        <v>18</v>
      </c>
      <c r="D134" s="38">
        <f ca="1">((100/(H121))*C134)/100</f>
        <v>1</v>
      </c>
      <c r="E134" s="76"/>
      <c r="F134" s="77"/>
      <c r="G134" s="76"/>
      <c r="H134" s="77"/>
    </row>
    <row r="135" spans="1:10" ht="21" hidden="1" thickBot="1" x14ac:dyDescent="0.3">
      <c r="A135" s="83" t="s">
        <v>71</v>
      </c>
      <c r="B135" s="84"/>
      <c r="C135" s="84"/>
      <c r="D135" s="84"/>
      <c r="E135" s="84"/>
      <c r="F135" s="84"/>
      <c r="G135" s="84"/>
      <c r="H135" s="85"/>
    </row>
    <row r="136" spans="1:10" ht="28.5" hidden="1" customHeight="1" x14ac:dyDescent="0.3">
      <c r="A136" s="110" t="s">
        <v>261</v>
      </c>
      <c r="B136" s="111"/>
      <c r="C136" s="112"/>
      <c r="D136" s="39" t="s">
        <v>142</v>
      </c>
      <c r="E136" s="68" t="s">
        <v>129</v>
      </c>
      <c r="F136" s="69"/>
      <c r="G136" s="39" t="s">
        <v>143</v>
      </c>
      <c r="H136" s="39" t="s">
        <v>144</v>
      </c>
      <c r="I136" s="12" t="str">
        <f ca="1">(IF(E139&gt;99%,"All work completed. Please provide OC.",IF(E139&gt;89.8%,"Plinth, RCC, Brick, Plaster, Flooring, Wooden, Plumbing, Electrification, etc., work Completed. Finishing work is in process.",IF(E139&lt;94%,(IF(C139=0,"Work not yet Started.",IF(D139=25%,"Piling work in process",IF(D139=50%,"Excavation work in process",IF(D139=100%,"Excavation work Completed. ","0")))&amp;(IF(C140=0%,"",IF(C140=J141,"Footing work is process",IF(C140=J142,"Footing work Completed",IF(C140=J143,"1st Basement Completed",IF(C140=J144,"1st &amp; 2nd Basement Completed",IF(C140=J145,"1st to 3rd Basement Completed",IF(C140=J146,"1st to 4th Basement Completed",IF(C140=J147,"Plinth work is process",IF(C140=J148,"Plinth work completed","0")))))))))))&amp;(IF(C141=(E137+G137+H137),", RCC Slab",IF(C141&gt;0,", RCC upto "&amp;C141&amp;" Slab",""))&amp;(IF(C142=H137,", Brickwork",IF(C142&gt;0,", Brickwork upto "&amp;C142&amp;" Floor",""))&amp;(IF(C143=H137,", Internal Plaster",IF(C143&gt;0,", Internal Plaster upto "&amp;C143&amp;" Floor",""))&amp;(IF(C144=H137,", External Plaster",IF(C144&gt;0,", External Plaster upto "&amp;C144&amp;" Floor",""))&amp;(IF(C145=H137,", External Plumbing, Elevation and Waterproofing",IF(C145&gt;0,", External Plumbing, Elevation and Waterproofing upto "&amp;C145&amp;" Floor",""))&amp;(IF(C146=H137,", Flooring &amp; Fitting",IF(C146&gt;0,", Flooring &amp; Fitting upto "&amp;C146&amp;" Floor",""))&amp;(IF(C147=H137,", Wooden Work",IF(C147&gt;0,", Wooden Work upto "&amp;C147&amp;" Floor",""))&amp;(IF(C148=H137,", Electrical &amp; Sanitary fittings",IF(C148&gt;0,", Electrical &amp; Sanitary fittings upto "&amp;C148&amp;" Floor",""))&amp;(IF(C149&gt;0,", Finishing upto "&amp;C149&amp;" Floor","")&amp;(IF(C141&gt;0.5," Completed",""))))))))))))))))</f>
        <v>All work completed. Please provide OC.</v>
      </c>
      <c r="J136" s="14"/>
    </row>
    <row r="137" spans="1:10" ht="20.25" hidden="1" x14ac:dyDescent="0.3">
      <c r="A137" s="113"/>
      <c r="B137" s="114"/>
      <c r="C137" s="115"/>
      <c r="D137" s="39">
        <v>0</v>
      </c>
      <c r="E137" s="68">
        <v>1</v>
      </c>
      <c r="F137" s="69"/>
      <c r="G137" s="39">
        <v>3</v>
      </c>
      <c r="H137" s="39">
        <f ca="1">--TRIM(RIGHT(SUBSTITUTE(LEFT(A136,_xlfn.AGGREGATE(16,6,FIND({0,1,2,3,4,5,6,7,8,9},A136,ROW(INDIRECT("1:"&amp;LEN(A136)))),1))," ",REPT(" ",LEN(A136))),LEN(A136)))</f>
        <v>18</v>
      </c>
      <c r="I137" s="13" t="s">
        <v>148</v>
      </c>
      <c r="J137" s="14"/>
    </row>
    <row r="138" spans="1:10" ht="20.25" hidden="1" customHeight="1" x14ac:dyDescent="0.3">
      <c r="A138" s="70" t="s">
        <v>146</v>
      </c>
      <c r="B138" s="71"/>
      <c r="C138" s="40" t="s">
        <v>157</v>
      </c>
      <c r="D138" s="40" t="s">
        <v>158</v>
      </c>
      <c r="E138" s="70" t="s">
        <v>147</v>
      </c>
      <c r="F138" s="71"/>
      <c r="G138" s="24" t="s">
        <v>145</v>
      </c>
      <c r="H138" s="24"/>
      <c r="I138" s="16" t="s">
        <v>159</v>
      </c>
      <c r="J138" s="15">
        <f ca="1">H137*25%</f>
        <v>4.5</v>
      </c>
    </row>
    <row r="139" spans="1:10" ht="20.25" hidden="1" customHeight="1" x14ac:dyDescent="0.3">
      <c r="A139" s="81" t="s">
        <v>160</v>
      </c>
      <c r="B139" s="82"/>
      <c r="C139" s="39">
        <f ca="1">J140</f>
        <v>18</v>
      </c>
      <c r="D139" s="38">
        <f ca="1">((100/H137)*C139)/100</f>
        <v>1</v>
      </c>
      <c r="E139" s="72">
        <f ca="1">(((C139/H137*10)+(C140/H137*15)+(25/(E137+G137+H137)*C141)+(5/(H137)*C142)+(2.5/(H137)*C143)+(2.5/(H137)*C144)+(5/H137*C145)+(10/H137*C146)+(2.5/H137*C147)+(2.5/H137*C148)+(10/H137*C149)+(10/H137*C150))/100)</f>
        <v>1</v>
      </c>
      <c r="F139" s="73"/>
      <c r="G139" s="72" t="s">
        <v>275</v>
      </c>
      <c r="H139" s="73"/>
      <c r="I139" s="16" t="s">
        <v>149</v>
      </c>
      <c r="J139" s="20">
        <f ca="1">H137*50%</f>
        <v>9</v>
      </c>
    </row>
    <row r="140" spans="1:10" ht="20.25" hidden="1" x14ac:dyDescent="0.3">
      <c r="A140" s="81" t="s">
        <v>130</v>
      </c>
      <c r="B140" s="82"/>
      <c r="C140" s="41">
        <f ca="1">J148</f>
        <v>18</v>
      </c>
      <c r="D140" s="38">
        <f ca="1">((100/H137)*C140)/100</f>
        <v>1</v>
      </c>
      <c r="E140" s="74"/>
      <c r="F140" s="75"/>
      <c r="G140" s="74"/>
      <c r="H140" s="75"/>
      <c r="I140" s="16" t="s">
        <v>150</v>
      </c>
      <c r="J140" s="20">
        <f ca="1">H137</f>
        <v>18</v>
      </c>
    </row>
    <row r="141" spans="1:10" ht="21" hidden="1" customHeight="1" x14ac:dyDescent="0.35">
      <c r="A141" s="81" t="s">
        <v>161</v>
      </c>
      <c r="B141" s="82"/>
      <c r="C141" s="39">
        <f ca="1">E137+G137+H137</f>
        <v>22</v>
      </c>
      <c r="D141" s="38">
        <f ca="1">((100/(E137+G137+H137))*C141)/100</f>
        <v>1.0000000000000002</v>
      </c>
      <c r="E141" s="74"/>
      <c r="F141" s="75"/>
      <c r="G141" s="74"/>
      <c r="H141" s="75"/>
      <c r="I141" s="16" t="s">
        <v>151</v>
      </c>
      <c r="J141" s="21">
        <f ca="1">(IF(D137&gt;1,(H137/(D137+2)),H137*0.2))</f>
        <v>3.6</v>
      </c>
    </row>
    <row r="142" spans="1:10" ht="21" hidden="1" customHeight="1" x14ac:dyDescent="0.35">
      <c r="A142" s="81" t="s">
        <v>162</v>
      </c>
      <c r="B142" s="82"/>
      <c r="C142" s="39">
        <v>18</v>
      </c>
      <c r="D142" s="38">
        <f ca="1">((100/H137)*C142)/100</f>
        <v>1</v>
      </c>
      <c r="E142" s="74"/>
      <c r="F142" s="75"/>
      <c r="G142" s="74"/>
      <c r="H142" s="75"/>
      <c r="I142" s="16" t="s">
        <v>152</v>
      </c>
      <c r="J142" s="21">
        <f ca="1">(IF(D137&gt;1,(H137/(D137+2)+J141),H137*0.2+J141))</f>
        <v>7.2</v>
      </c>
    </row>
    <row r="143" spans="1:10" ht="21" hidden="1" customHeight="1" x14ac:dyDescent="0.35">
      <c r="A143" s="81" t="s">
        <v>163</v>
      </c>
      <c r="B143" s="82"/>
      <c r="C143" s="39">
        <v>18</v>
      </c>
      <c r="D143" s="38">
        <f ca="1">((100/H137)*C143)/100</f>
        <v>1</v>
      </c>
      <c r="E143" s="74"/>
      <c r="F143" s="75"/>
      <c r="G143" s="74"/>
      <c r="H143" s="75"/>
      <c r="I143" s="16" t="s">
        <v>164</v>
      </c>
      <c r="J143" s="21">
        <f>(IF(D137&gt;1,(H137/(D137+2)+J142),0))</f>
        <v>0</v>
      </c>
    </row>
    <row r="144" spans="1:10" ht="21" hidden="1" customHeight="1" x14ac:dyDescent="0.35">
      <c r="A144" s="81" t="s">
        <v>263</v>
      </c>
      <c r="B144" s="82"/>
      <c r="C144" s="39">
        <v>18</v>
      </c>
      <c r="D144" s="38">
        <f ca="1">((100/H137)*C144)/100</f>
        <v>1</v>
      </c>
      <c r="E144" s="74"/>
      <c r="F144" s="75"/>
      <c r="G144" s="74"/>
      <c r="H144" s="75"/>
      <c r="I144" s="16" t="s">
        <v>165</v>
      </c>
      <c r="J144" s="21">
        <f>(IF(D137&gt;2,(H137/(D137+2)+J143),0))</f>
        <v>0</v>
      </c>
    </row>
    <row r="145" spans="1:11" ht="69" hidden="1" customHeight="1" x14ac:dyDescent="0.35">
      <c r="A145" s="81" t="s">
        <v>264</v>
      </c>
      <c r="B145" s="82"/>
      <c r="C145" s="39">
        <v>18</v>
      </c>
      <c r="D145" s="38">
        <f ca="1">((100/(H137))*C145)/100</f>
        <v>1</v>
      </c>
      <c r="E145" s="74"/>
      <c r="F145" s="75"/>
      <c r="G145" s="74"/>
      <c r="H145" s="75"/>
      <c r="I145" s="16" t="s">
        <v>167</v>
      </c>
      <c r="J145" s="22">
        <f>(IF(D137&gt;3,(H137/(D137+2)+J144),0))</f>
        <v>0</v>
      </c>
    </row>
    <row r="146" spans="1:11" ht="21" hidden="1" customHeight="1" x14ac:dyDescent="0.35">
      <c r="A146" s="81" t="s">
        <v>166</v>
      </c>
      <c r="B146" s="82"/>
      <c r="C146" s="39">
        <v>18</v>
      </c>
      <c r="D146" s="38">
        <f ca="1">((100/(H137))*C146)/100</f>
        <v>1</v>
      </c>
      <c r="E146" s="74"/>
      <c r="F146" s="75"/>
      <c r="G146" s="74"/>
      <c r="H146" s="75"/>
      <c r="I146" s="16" t="s">
        <v>168</v>
      </c>
      <c r="J146" s="21">
        <f>(IF(D137&gt;4,(H137/(D137+2)+J145),0))</f>
        <v>0</v>
      </c>
    </row>
    <row r="147" spans="1:11" ht="21" hidden="1" customHeight="1" x14ac:dyDescent="0.35">
      <c r="A147" s="81" t="s">
        <v>265</v>
      </c>
      <c r="B147" s="82"/>
      <c r="C147" s="39">
        <v>18</v>
      </c>
      <c r="D147" s="38">
        <f ca="1">((100/H137)*C147)/100</f>
        <v>1</v>
      </c>
      <c r="E147" s="74"/>
      <c r="F147" s="75"/>
      <c r="G147" s="74"/>
      <c r="H147" s="75"/>
      <c r="I147" s="16" t="s">
        <v>153</v>
      </c>
      <c r="J147" s="21">
        <f ca="1">(IF(D137=1,(H137/(D137+3)+J142),IF(D137=0,(H137*0.3+J142),IF(D137&gt;1,0))))</f>
        <v>12.6</v>
      </c>
    </row>
    <row r="148" spans="1:11" ht="21.75" hidden="1" thickBot="1" x14ac:dyDescent="0.4">
      <c r="A148" s="81" t="s">
        <v>266</v>
      </c>
      <c r="B148" s="82"/>
      <c r="C148" s="39">
        <v>18</v>
      </c>
      <c r="D148" s="38">
        <f ca="1">((100/H137)*C148)/100</f>
        <v>1</v>
      </c>
      <c r="E148" s="74"/>
      <c r="F148" s="75"/>
      <c r="G148" s="74"/>
      <c r="H148" s="75"/>
      <c r="I148" s="18" t="s">
        <v>154</v>
      </c>
      <c r="J148" s="23">
        <f ca="1">(IF(D137&gt;1.5,(H137/(D137+2)+J142+MAX(0,J143-J142)+MAX(0,J144-J143)+MAX(0,J145-J144)+MAX(0,J146-J145)+MAX(0,J147-J146)),IF(D137=1,(H137/(D137+3)+J147),IF(D137=0,H137*0.3+J147))))</f>
        <v>18</v>
      </c>
    </row>
    <row r="149" spans="1:11" ht="20.25" hidden="1" customHeight="1" x14ac:dyDescent="0.25">
      <c r="A149" s="81" t="s">
        <v>169</v>
      </c>
      <c r="B149" s="82"/>
      <c r="C149" s="39">
        <v>18</v>
      </c>
      <c r="D149" s="38">
        <f ca="1">((100/(H137))*C149)/100</f>
        <v>1</v>
      </c>
      <c r="E149" s="74"/>
      <c r="F149" s="75"/>
      <c r="G149" s="74"/>
      <c r="H149" s="75"/>
    </row>
    <row r="150" spans="1:11" ht="20.25" hidden="1" x14ac:dyDescent="0.25">
      <c r="A150" s="81" t="s">
        <v>170</v>
      </c>
      <c r="B150" s="82"/>
      <c r="C150" s="39">
        <v>18</v>
      </c>
      <c r="D150" s="38">
        <f ca="1">((100/(H137))*C150)/100</f>
        <v>1</v>
      </c>
      <c r="E150" s="76"/>
      <c r="F150" s="77"/>
      <c r="G150" s="76"/>
      <c r="H150" s="77"/>
    </row>
    <row r="151" spans="1:11" ht="36.75" customHeight="1" x14ac:dyDescent="0.3">
      <c r="A151" s="117" t="s">
        <v>155</v>
      </c>
      <c r="B151" s="118"/>
      <c r="C151" s="118"/>
      <c r="D151" s="118"/>
      <c r="E151" s="118"/>
      <c r="F151" s="118"/>
      <c r="G151" s="119">
        <f ca="1">AVERAGE(E59,E59,E75,E91,E107,E123,E123,E123,E123)</f>
        <v>0.98765432098765438</v>
      </c>
      <c r="H151" s="120"/>
      <c r="I151" s="16"/>
      <c r="J151" s="17"/>
      <c r="K151" s="17"/>
    </row>
    <row r="152" spans="1:11" ht="20.25" x14ac:dyDescent="0.25">
      <c r="A152" s="153" t="s">
        <v>75</v>
      </c>
      <c r="B152" s="154"/>
      <c r="C152" s="154"/>
      <c r="D152" s="154"/>
      <c r="E152" s="154"/>
      <c r="F152" s="154"/>
      <c r="G152" s="154"/>
      <c r="H152" s="155"/>
    </row>
    <row r="153" spans="1:11" ht="66" customHeight="1" x14ac:dyDescent="0.25">
      <c r="A153" s="78" t="s">
        <v>76</v>
      </c>
      <c r="B153" s="79"/>
      <c r="C153" s="79"/>
      <c r="D153" s="80"/>
      <c r="E153" s="9" t="s">
        <v>134</v>
      </c>
      <c r="F153" s="35" t="s">
        <v>171</v>
      </c>
      <c r="G153" s="158" t="s">
        <v>225</v>
      </c>
      <c r="H153" s="159"/>
    </row>
    <row r="154" spans="1:11" ht="63" customHeight="1" x14ac:dyDescent="0.25">
      <c r="A154" s="86" t="s">
        <v>184</v>
      </c>
      <c r="B154" s="88"/>
      <c r="C154" s="88"/>
      <c r="D154" s="87"/>
      <c r="E154" s="28" t="s">
        <v>237</v>
      </c>
      <c r="F154" s="35" t="s">
        <v>185</v>
      </c>
      <c r="G154" s="108" t="s">
        <v>172</v>
      </c>
      <c r="H154" s="109"/>
    </row>
    <row r="155" spans="1:11" ht="26.25" customHeight="1" x14ac:dyDescent="0.25">
      <c r="A155" s="89" t="s">
        <v>79</v>
      </c>
      <c r="B155" s="90"/>
      <c r="C155" s="90"/>
      <c r="D155" s="91"/>
      <c r="E155" s="28" t="s">
        <v>236</v>
      </c>
      <c r="F155" s="2" t="s">
        <v>128</v>
      </c>
      <c r="G155" s="149" t="s">
        <v>135</v>
      </c>
      <c r="H155" s="150"/>
    </row>
    <row r="156" spans="1:11" ht="21" hidden="1" customHeight="1" x14ac:dyDescent="0.25">
      <c r="A156" s="205" t="s">
        <v>118</v>
      </c>
      <c r="B156" s="206"/>
      <c r="C156" s="206"/>
      <c r="D156" s="29" t="s">
        <v>4</v>
      </c>
      <c r="E156" s="28" t="s">
        <v>119</v>
      </c>
      <c r="F156" s="35" t="s">
        <v>120</v>
      </c>
      <c r="G156" s="108" t="s">
        <v>97</v>
      </c>
      <c r="H156" s="109"/>
    </row>
    <row r="157" spans="1:11" ht="21" hidden="1" customHeight="1" x14ac:dyDescent="0.25">
      <c r="A157" s="205" t="s">
        <v>121</v>
      </c>
      <c r="B157" s="206"/>
      <c r="C157" s="206"/>
      <c r="D157" s="29" t="s">
        <v>4</v>
      </c>
      <c r="E157" s="28" t="s">
        <v>122</v>
      </c>
      <c r="F157" s="35" t="s">
        <v>123</v>
      </c>
      <c r="G157" s="108" t="s">
        <v>124</v>
      </c>
      <c r="H157" s="109"/>
    </row>
    <row r="158" spans="1:11" ht="21" hidden="1" customHeight="1" x14ac:dyDescent="0.25">
      <c r="A158" s="205" t="s">
        <v>78</v>
      </c>
      <c r="B158" s="206"/>
      <c r="C158" s="206"/>
      <c r="D158" s="29" t="s">
        <v>4</v>
      </c>
      <c r="E158" s="28" t="s">
        <v>99</v>
      </c>
      <c r="F158" s="35" t="s">
        <v>77</v>
      </c>
      <c r="G158" s="130" t="s">
        <v>99</v>
      </c>
      <c r="H158" s="131"/>
    </row>
    <row r="159" spans="1:11" ht="21" hidden="1" customHeight="1" x14ac:dyDescent="0.25">
      <c r="A159" s="205" t="s">
        <v>125</v>
      </c>
      <c r="B159" s="206"/>
      <c r="C159" s="206"/>
      <c r="D159" s="29" t="s">
        <v>4</v>
      </c>
      <c r="E159" s="28" t="s">
        <v>98</v>
      </c>
      <c r="F159" s="35" t="s">
        <v>79</v>
      </c>
      <c r="G159" s="108" t="s">
        <v>117</v>
      </c>
      <c r="H159" s="109"/>
    </row>
    <row r="160" spans="1:11" ht="21" hidden="1" customHeight="1" x14ac:dyDescent="0.25">
      <c r="A160" s="205" t="s">
        <v>126</v>
      </c>
      <c r="B160" s="206"/>
      <c r="C160" s="206"/>
      <c r="D160" s="29" t="s">
        <v>4</v>
      </c>
      <c r="E160" s="33" t="s">
        <v>110</v>
      </c>
      <c r="F160" s="35" t="s">
        <v>127</v>
      </c>
      <c r="G160" s="207" t="s">
        <v>110</v>
      </c>
      <c r="H160" s="208"/>
    </row>
    <row r="161" spans="1:150 16226:16383" ht="18" hidden="1" customHeight="1" x14ac:dyDescent="0.25">
      <c r="A161" s="160" t="s">
        <v>128</v>
      </c>
      <c r="B161" s="161"/>
      <c r="C161" s="161"/>
      <c r="D161" s="2" t="s">
        <v>4</v>
      </c>
      <c r="E161" s="6"/>
      <c r="F161" s="2" t="s">
        <v>128</v>
      </c>
      <c r="G161" s="162" t="s">
        <v>110</v>
      </c>
      <c r="H161" s="163"/>
    </row>
    <row r="162" spans="1:150 16226:16383" ht="20.25" x14ac:dyDescent="0.25">
      <c r="A162" s="153" t="s">
        <v>74</v>
      </c>
      <c r="B162" s="154"/>
      <c r="C162" s="154"/>
      <c r="D162" s="154"/>
      <c r="E162" s="154"/>
      <c r="F162" s="154"/>
      <c r="G162" s="154"/>
      <c r="H162" s="155"/>
    </row>
    <row r="163" spans="1:150 16226:16383" ht="20.25" x14ac:dyDescent="0.25">
      <c r="A163" s="86" t="s">
        <v>9</v>
      </c>
      <c r="B163" s="88"/>
      <c r="C163" s="88"/>
      <c r="D163" s="88"/>
      <c r="E163" s="88"/>
      <c r="F163" s="87"/>
      <c r="G163" s="184">
        <f>107250/10.764</f>
        <v>9963.7681159420299</v>
      </c>
      <c r="H163" s="185"/>
    </row>
    <row r="164" spans="1:150 16226:16383" ht="20.25" x14ac:dyDescent="0.25">
      <c r="A164" s="86" t="s">
        <v>32</v>
      </c>
      <c r="B164" s="88"/>
      <c r="C164" s="88"/>
      <c r="D164" s="88"/>
      <c r="E164" s="88"/>
      <c r="F164" s="87"/>
      <c r="G164" s="151">
        <f>182140/10.764</f>
        <v>16921.218877740619</v>
      </c>
      <c r="H164" s="152"/>
    </row>
    <row r="165" spans="1:150 16226:16383" ht="20.25" x14ac:dyDescent="0.25">
      <c r="A165" s="86" t="s">
        <v>136</v>
      </c>
      <c r="B165" s="88"/>
      <c r="C165" s="88"/>
      <c r="D165" s="88"/>
      <c r="E165" s="88"/>
      <c r="F165" s="87"/>
      <c r="G165" s="151">
        <f>G163*0.8</f>
        <v>7971.0144927536239</v>
      </c>
      <c r="H165" s="152"/>
    </row>
    <row r="166" spans="1:150 16226:16383" ht="20.25" x14ac:dyDescent="0.25">
      <c r="A166" s="178" t="s">
        <v>82</v>
      </c>
      <c r="B166" s="179"/>
      <c r="C166" s="179"/>
      <c r="D166" s="179"/>
      <c r="E166" s="179"/>
      <c r="F166" s="179"/>
      <c r="G166" s="179"/>
      <c r="H166" s="126"/>
    </row>
    <row r="167" spans="1:150 16226:16383" s="7" customFormat="1" ht="40.5" x14ac:dyDescent="0.25">
      <c r="A167" s="127" t="s">
        <v>180</v>
      </c>
      <c r="B167" s="128"/>
      <c r="C167" s="129" t="s">
        <v>181</v>
      </c>
      <c r="D167" s="128"/>
      <c r="E167" s="25" t="s">
        <v>182</v>
      </c>
      <c r="F167" s="44" t="s">
        <v>179</v>
      </c>
      <c r="G167" s="25" t="s">
        <v>178</v>
      </c>
      <c r="H167" s="52" t="s">
        <v>177</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7" customFormat="1" ht="20.25" x14ac:dyDescent="0.25">
      <c r="A168" s="121" t="s">
        <v>226</v>
      </c>
      <c r="B168" s="122"/>
      <c r="C168" s="123" t="s">
        <v>110</v>
      </c>
      <c r="D168" s="122"/>
      <c r="E168" s="26" t="s">
        <v>231</v>
      </c>
      <c r="F168" s="43">
        <f>COUNT(F182:F183)+COUNT(F185:F188)+COUNT(F190:F193)*15+COUNT(F195:F197)*2</f>
        <v>72</v>
      </c>
      <c r="G168" s="26">
        <f>SUM(F182:F183)+SUM(F185:F188)+SUM(F190:F193)*15+SUM(F195:F197)*2</f>
        <v>33829.6374</v>
      </c>
      <c r="H168" s="53">
        <f>SUM(H182:H183)+SUM(H185:H188)+SUM(H190:H193)*15+SUM(H195:H197)*2</f>
        <v>54127.419840000002</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7" customFormat="1" ht="20.25" x14ac:dyDescent="0.25">
      <c r="A169" s="121" t="s">
        <v>227</v>
      </c>
      <c r="B169" s="122"/>
      <c r="C169" s="123" t="s">
        <v>110</v>
      </c>
      <c r="D169" s="122"/>
      <c r="E169" s="26" t="s">
        <v>231</v>
      </c>
      <c r="F169" s="43">
        <f>COUNT(F203:F204)+COUNT(F206:F209)+COUNT(F211:F214)*10+COUNT(F216:F219)*7</f>
        <v>74</v>
      </c>
      <c r="G169" s="26">
        <f>SUM(F203:F204)+SUM(F206:F209)+SUM(F211:F214)*10+SUM(F216:F219)*7</f>
        <v>34255.461239999997</v>
      </c>
      <c r="H169" s="53">
        <f>SUM(H203:H204)+SUM(H206:H209)+SUM(H211:H214)*10+SUM(H216:H219)*7</f>
        <v>54808.737983999999</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7" customFormat="1" ht="20.25" x14ac:dyDescent="0.25">
      <c r="A170" s="121" t="s">
        <v>228</v>
      </c>
      <c r="B170" s="122"/>
      <c r="C170" s="123" t="s">
        <v>110</v>
      </c>
      <c r="D170" s="122"/>
      <c r="E170" s="26" t="s">
        <v>231</v>
      </c>
      <c r="F170" s="43">
        <f>COUNT(F225:F226)+COUNT(F228:F231)+COUNT(F233:F236)*16+COUNT(F239:F241)*2</f>
        <v>76</v>
      </c>
      <c r="G170" s="26">
        <f>SUM(F225:F226)+SUM(F228:F231)+SUM(F233:F236)*16+SUM(F239:F241)*2</f>
        <v>50668.946640000002</v>
      </c>
      <c r="H170" s="53">
        <f>SUM(H225:H226)+SUM(H228:H231)+SUM(H233:H236)*16+SUM(H239:H241)*2</f>
        <v>81070.314623999991</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7" customFormat="1" ht="20.25" x14ac:dyDescent="0.25">
      <c r="A171" s="121" t="s">
        <v>229</v>
      </c>
      <c r="B171" s="122"/>
      <c r="C171" s="123" t="s">
        <v>110</v>
      </c>
      <c r="D171" s="122"/>
      <c r="E171" s="26" t="s">
        <v>231</v>
      </c>
      <c r="F171" s="43">
        <f>COUNT(F247:F248)+COUNT(F250:F251)+COUNT(F253:F256)*11+COUNT(F258:F261)*7</f>
        <v>76</v>
      </c>
      <c r="G171" s="26">
        <f>SUM(F247:F248)+SUM(F250:F251)+SUM(F253:F256)*11+SUM(F258:F261)*7</f>
        <v>49479.094079999995</v>
      </c>
      <c r="H171" s="53">
        <f>SUM(H247:H248)+SUM(H250:H251)+SUM(H253:H256)*11+SUM(H258:H261)*7</f>
        <v>79166.550527999992</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7" customFormat="1" ht="20.25" x14ac:dyDescent="0.25">
      <c r="A172" s="121" t="s">
        <v>230</v>
      </c>
      <c r="B172" s="122"/>
      <c r="C172" s="123" t="s">
        <v>110</v>
      </c>
      <c r="D172" s="122"/>
      <c r="E172" s="26" t="s">
        <v>231</v>
      </c>
      <c r="F172" s="43">
        <f>COUNT(F267:F268)+COUNT(F270:F273)+COUNT(F275:F278)*11+COUNT(F280:F283)*7</f>
        <v>78</v>
      </c>
      <c r="G172" s="26">
        <f>SUM(F267:F268)+SUM(F270:F273)+SUM(F275:F278)*11+SUM(F280:F283)*7</f>
        <v>46695.63132</v>
      </c>
      <c r="H172" s="53">
        <f>SUM(H267:H268)+SUM(H270:H273)+SUM(H275:H278)*11+SUM(H280:H283)*7</f>
        <v>74713.010112000018</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7" customFormat="1" ht="20.25" x14ac:dyDescent="0.25">
      <c r="A173" s="127" t="s">
        <v>183</v>
      </c>
      <c r="B173" s="128"/>
      <c r="C173" s="129">
        <f>SUM(C168:D169)</f>
        <v>0</v>
      </c>
      <c r="D173" s="128"/>
      <c r="E173" s="25">
        <f>SUM(E168:E169)</f>
        <v>0</v>
      </c>
      <c r="F173" s="44">
        <f>SUM(F168:F172)</f>
        <v>376</v>
      </c>
      <c r="G173" s="25">
        <f>SUM(G168:G172)</f>
        <v>214928.77067999996</v>
      </c>
      <c r="H173" s="52">
        <f>SUM(H168:H172)</f>
        <v>343886.03308800003</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ht="20.25" x14ac:dyDescent="0.25">
      <c r="A174" s="124" t="s">
        <v>176</v>
      </c>
      <c r="B174" s="125"/>
      <c r="C174" s="125"/>
      <c r="D174" s="125"/>
      <c r="E174" s="125"/>
      <c r="F174" s="125"/>
      <c r="G174" s="125"/>
      <c r="H174" s="126"/>
    </row>
    <row r="175" spans="1:150 16226:16383" ht="44.25" customHeight="1" x14ac:dyDescent="0.25">
      <c r="A175" s="157" t="s">
        <v>104</v>
      </c>
      <c r="B175" s="156"/>
      <c r="C175" s="156" t="s">
        <v>100</v>
      </c>
      <c r="D175" s="156"/>
      <c r="E175" s="156" t="s">
        <v>101</v>
      </c>
      <c r="F175" s="156" t="s">
        <v>102</v>
      </c>
      <c r="G175" s="156" t="s">
        <v>103</v>
      </c>
      <c r="H175" s="54" t="s">
        <v>156</v>
      </c>
    </row>
    <row r="176" spans="1:150 16226:16383" s="7" customFormat="1" ht="20.25" x14ac:dyDescent="0.25">
      <c r="A176" s="157"/>
      <c r="B176" s="156"/>
      <c r="C176" s="156"/>
      <c r="D176" s="156"/>
      <c r="E176" s="156"/>
      <c r="F176" s="156"/>
      <c r="G176" s="156"/>
      <c r="H176" s="55">
        <v>0.6</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7" customFormat="1" ht="20.25" x14ac:dyDescent="0.25">
      <c r="A177" s="94" t="s">
        <v>197</v>
      </c>
      <c r="B177" s="95"/>
      <c r="C177" s="95"/>
      <c r="D177" s="95"/>
      <c r="E177" s="95"/>
      <c r="F177" s="95"/>
      <c r="G177" s="95"/>
      <c r="H177" s="96"/>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7" customFormat="1" ht="20.25" x14ac:dyDescent="0.25">
      <c r="A178" s="94" t="s">
        <v>222</v>
      </c>
      <c r="B178" s="95"/>
      <c r="C178" s="95"/>
      <c r="D178" s="95"/>
      <c r="E178" s="95"/>
      <c r="F178" s="95"/>
      <c r="G178" s="95"/>
      <c r="H178" s="9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7" customFormat="1" ht="20.25" x14ac:dyDescent="0.25">
      <c r="A179" s="94" t="s">
        <v>198</v>
      </c>
      <c r="B179" s="95"/>
      <c r="C179" s="95"/>
      <c r="D179" s="95"/>
      <c r="E179" s="95"/>
      <c r="F179" s="95"/>
      <c r="G179" s="95"/>
      <c r="H179" s="96"/>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7" customFormat="1" ht="20.25" x14ac:dyDescent="0.25">
      <c r="A180" s="94" t="s">
        <v>199</v>
      </c>
      <c r="B180" s="95"/>
      <c r="C180" s="95"/>
      <c r="D180" s="95"/>
      <c r="E180" s="95"/>
      <c r="F180" s="95"/>
      <c r="G180" s="95"/>
      <c r="H180" s="96"/>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7" customFormat="1" ht="20.25" x14ac:dyDescent="0.25">
      <c r="A181" s="94" t="s">
        <v>200</v>
      </c>
      <c r="B181" s="95"/>
      <c r="C181" s="95"/>
      <c r="D181" s="95"/>
      <c r="E181" s="95"/>
      <c r="F181" s="95"/>
      <c r="G181" s="95"/>
      <c r="H181" s="9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7" customFormat="1" ht="20.25" x14ac:dyDescent="0.25">
      <c r="A182" s="92" t="str">
        <f>A181</f>
        <v>2nd Podium Floor Residental &amp; Amenities</v>
      </c>
      <c r="B182" s="93"/>
      <c r="C182" s="97" t="s">
        <v>201</v>
      </c>
      <c r="D182" s="98"/>
      <c r="E182" s="31" t="s">
        <v>203</v>
      </c>
      <c r="F182" s="42">
        <f>51.7*10.764</f>
        <v>556.49879999999996</v>
      </c>
      <c r="G182" s="31">
        <v>0</v>
      </c>
      <c r="H182" s="56">
        <f>F182*(($H$176)+1)+G182</f>
        <v>890.39807999999994</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7" customFormat="1" ht="20.25" x14ac:dyDescent="0.25">
      <c r="A183" s="92" t="str">
        <f t="shared" ref="A183:A188" si="0">A182</f>
        <v>2nd Podium Floor Residental &amp; Amenities</v>
      </c>
      <c r="B183" s="93"/>
      <c r="C183" s="97" t="s">
        <v>202</v>
      </c>
      <c r="D183" s="98"/>
      <c r="E183" s="31" t="s">
        <v>204</v>
      </c>
      <c r="F183" s="42">
        <f>35.6*10.764</f>
        <v>383.19839999999999</v>
      </c>
      <c r="G183" s="31">
        <v>0</v>
      </c>
      <c r="H183" s="56">
        <f>F183*(($H$176)+1)+G183</f>
        <v>613.11743999999999</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7" customFormat="1" ht="20.25" x14ac:dyDescent="0.25">
      <c r="A184" s="94" t="s">
        <v>205</v>
      </c>
      <c r="B184" s="95"/>
      <c r="C184" s="95"/>
      <c r="D184" s="95"/>
      <c r="E184" s="95"/>
      <c r="F184" s="95"/>
      <c r="G184" s="95"/>
      <c r="H184" s="9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7" customFormat="1" ht="20.25" x14ac:dyDescent="0.25">
      <c r="A185" s="92" t="str">
        <f>A184</f>
        <v>Stilt Floor Residental &amp; Amenities</v>
      </c>
      <c r="B185" s="93"/>
      <c r="C185" s="97">
        <v>1</v>
      </c>
      <c r="D185" s="98"/>
      <c r="E185" s="31" t="s">
        <v>204</v>
      </c>
      <c r="F185" s="42">
        <f>35.59*10.764</f>
        <v>383.09075999999999</v>
      </c>
      <c r="G185" s="31">
        <v>0</v>
      </c>
      <c r="H185" s="56">
        <f>F185*(($H$176)+1)+G185</f>
        <v>612.94521599999996</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7" customFormat="1" ht="20.25" x14ac:dyDescent="0.25">
      <c r="A186" s="92" t="str">
        <f t="shared" si="0"/>
        <v>Stilt Floor Residental &amp; Amenities</v>
      </c>
      <c r="B186" s="93"/>
      <c r="C186" s="97">
        <v>2</v>
      </c>
      <c r="D186" s="98"/>
      <c r="E186" s="31" t="s">
        <v>204</v>
      </c>
      <c r="F186" s="42">
        <f>45.67*10.764</f>
        <v>491.59188</v>
      </c>
      <c r="G186" s="31">
        <v>0</v>
      </c>
      <c r="H186" s="56">
        <f>F186*(($H$176)+1)+G186</f>
        <v>786.54700800000001</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7" customFormat="1" ht="20.25" x14ac:dyDescent="0.25">
      <c r="A187" s="92" t="str">
        <f>A185</f>
        <v>Stilt Floor Residental &amp; Amenities</v>
      </c>
      <c r="B187" s="93"/>
      <c r="C187" s="97">
        <v>3</v>
      </c>
      <c r="D187" s="98"/>
      <c r="E187" s="31" t="s">
        <v>203</v>
      </c>
      <c r="F187" s="42">
        <f>51.7*10.764</f>
        <v>556.49879999999996</v>
      </c>
      <c r="G187" s="31">
        <v>0</v>
      </c>
      <c r="H187" s="56">
        <f>F187*(($H$176)+1)+G187</f>
        <v>890.39807999999994</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7" customFormat="1" ht="20.25" customHeight="1" x14ac:dyDescent="0.25">
      <c r="A188" s="92" t="str">
        <f t="shared" si="0"/>
        <v>Stilt Floor Residental &amp; Amenities</v>
      </c>
      <c r="B188" s="93"/>
      <c r="C188" s="97">
        <f t="shared" ref="C188" si="1">C187+1</f>
        <v>4</v>
      </c>
      <c r="D188" s="98"/>
      <c r="E188" s="31" t="s">
        <v>204</v>
      </c>
      <c r="F188" s="42">
        <f>35.6*10.764</f>
        <v>383.19839999999999</v>
      </c>
      <c r="G188" s="31">
        <v>0</v>
      </c>
      <c r="H188" s="56">
        <f>F188*(($H$176)+1)+G188</f>
        <v>613.11743999999999</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7" customFormat="1" ht="20.25" x14ac:dyDescent="0.25">
      <c r="A189" s="94" t="s">
        <v>206</v>
      </c>
      <c r="B189" s="95"/>
      <c r="C189" s="95"/>
      <c r="D189" s="95"/>
      <c r="E189" s="95"/>
      <c r="F189" s="95"/>
      <c r="G189" s="95"/>
      <c r="H189" s="116"/>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7" customFormat="1" ht="20.25" customHeight="1" x14ac:dyDescent="0.25">
      <c r="A190" s="92" t="str">
        <f>A189</f>
        <v xml:space="preserve">1st to 3rd, 5th to 10th, 12th to 17th Floor </v>
      </c>
      <c r="B190" s="93"/>
      <c r="C190" s="97">
        <v>1</v>
      </c>
      <c r="D190" s="98"/>
      <c r="E190" s="31" t="s">
        <v>204</v>
      </c>
      <c r="F190" s="42">
        <f>35.59*10.764</f>
        <v>383.09075999999999</v>
      </c>
      <c r="G190" s="31">
        <v>0</v>
      </c>
      <c r="H190" s="56">
        <f>F190*(($H$176)+1)+G190</f>
        <v>612.94521599999996</v>
      </c>
      <c r="I190" s="1"/>
      <c r="J190" s="1"/>
      <c r="K190" s="1"/>
      <c r="L190" s="1"/>
      <c r="M190" s="1"/>
      <c r="N190" s="1"/>
      <c r="O190" s="1"/>
      <c r="P190" s="1"/>
      <c r="Q190" s="1"/>
      <c r="R190" s="1"/>
      <c r="S190" s="1"/>
      <c r="T190" s="19" t="str">
        <f t="shared" ref="T190:T193" ca="1" si="2">U190&amp;""&amp;",..,"&amp;""&amp;V190</f>
        <v>101,..,1701</v>
      </c>
      <c r="U190" s="19">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101</v>
      </c>
      <c r="V190" s="19">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1701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7" customFormat="1" ht="20.25" customHeight="1" x14ac:dyDescent="0.25">
      <c r="A191" s="92" t="str">
        <f t="shared" ref="A191:A193" si="3">A190</f>
        <v xml:space="preserve">1st to 3rd, 5th to 10th, 12th to 17th Floor </v>
      </c>
      <c r="B191" s="93"/>
      <c r="C191" s="97">
        <v>2</v>
      </c>
      <c r="D191" s="98"/>
      <c r="E191" s="31" t="s">
        <v>203</v>
      </c>
      <c r="F191" s="42">
        <f>51.13*10.764</f>
        <v>550.36332000000004</v>
      </c>
      <c r="G191" s="31">
        <v>0</v>
      </c>
      <c r="H191" s="56">
        <f>F191*(($H$176)+1)+G191</f>
        <v>880.58131200000014</v>
      </c>
      <c r="I191" s="1"/>
      <c r="J191" s="1"/>
      <c r="K191" s="1"/>
      <c r="L191" s="1"/>
      <c r="M191" s="1"/>
      <c r="N191" s="1"/>
      <c r="O191" s="1"/>
      <c r="P191" s="1"/>
      <c r="Q191" s="1"/>
      <c r="R191" s="1"/>
      <c r="S191" s="1"/>
      <c r="T191" s="19" t="str">
        <f t="shared" ca="1" si="2"/>
        <v>102,..,1702</v>
      </c>
      <c r="U191" s="19">
        <f ca="1">U190+1</f>
        <v>102</v>
      </c>
      <c r="V191" s="19">
        <f ca="1">V190+1</f>
        <v>1702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7" customFormat="1" ht="20.25" customHeight="1" x14ac:dyDescent="0.25">
      <c r="A192" s="92" t="str">
        <f t="shared" si="3"/>
        <v xml:space="preserve">1st to 3rd, 5th to 10th, 12th to 17th Floor </v>
      </c>
      <c r="B192" s="93"/>
      <c r="C192" s="97">
        <v>3</v>
      </c>
      <c r="D192" s="98"/>
      <c r="E192" s="31" t="s">
        <v>203</v>
      </c>
      <c r="F192" s="42">
        <f>51.7*10.764</f>
        <v>556.49879999999996</v>
      </c>
      <c r="G192" s="31">
        <v>0</v>
      </c>
      <c r="H192" s="56">
        <f>F192*(($H$176)+1)+G192</f>
        <v>890.39807999999994</v>
      </c>
      <c r="I192" s="1"/>
      <c r="J192" s="1"/>
      <c r="K192" s="1"/>
      <c r="L192" s="1"/>
      <c r="M192" s="1"/>
      <c r="N192" s="1"/>
      <c r="O192" s="1"/>
      <c r="P192" s="1"/>
      <c r="Q192" s="1"/>
      <c r="R192" s="1"/>
      <c r="S192" s="1"/>
      <c r="T192" s="19" t="str">
        <f t="shared" ca="1" si="2"/>
        <v>103,..,1703</v>
      </c>
      <c r="U192" s="19">
        <f t="shared" ref="U192:U193" ca="1" si="4">U191+1</f>
        <v>103</v>
      </c>
      <c r="V192" s="19">
        <f t="shared" ref="V192:V193" ca="1" si="5">V191+1</f>
        <v>1703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7" customFormat="1" ht="20.25" customHeight="1" x14ac:dyDescent="0.25">
      <c r="A193" s="92" t="str">
        <f t="shared" si="3"/>
        <v xml:space="preserve">1st to 3rd, 5th to 10th, 12th to 17th Floor </v>
      </c>
      <c r="B193" s="93"/>
      <c r="C193" s="97">
        <v>4</v>
      </c>
      <c r="D193" s="98"/>
      <c r="E193" s="31" t="s">
        <v>204</v>
      </c>
      <c r="F193" s="42">
        <f>35.59*10.764</f>
        <v>383.09075999999999</v>
      </c>
      <c r="G193" s="31">
        <v>0</v>
      </c>
      <c r="H193" s="56">
        <f>F193*(($H$176)+1)+G193</f>
        <v>612.94521599999996</v>
      </c>
      <c r="I193" s="1"/>
      <c r="J193" s="1"/>
      <c r="K193" s="1"/>
      <c r="L193" s="1"/>
      <c r="M193" s="1"/>
      <c r="N193" s="1"/>
      <c r="O193" s="1"/>
      <c r="P193" s="1"/>
      <c r="Q193" s="1"/>
      <c r="R193" s="1"/>
      <c r="S193" s="1"/>
      <c r="T193" s="19" t="str">
        <f t="shared" ca="1" si="2"/>
        <v>104,..,1704</v>
      </c>
      <c r="U193" s="19">
        <f t="shared" ca="1" si="4"/>
        <v>104</v>
      </c>
      <c r="V193" s="19">
        <f t="shared" ca="1" si="5"/>
        <v>1704</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7" customFormat="1" ht="20.25" x14ac:dyDescent="0.25">
      <c r="A194" s="94" t="s">
        <v>207</v>
      </c>
      <c r="B194" s="95"/>
      <c r="C194" s="95"/>
      <c r="D194" s="95"/>
      <c r="E194" s="95"/>
      <c r="F194" s="95"/>
      <c r="G194" s="95"/>
      <c r="H194" s="116"/>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7" customFormat="1" ht="20.25" customHeight="1" x14ac:dyDescent="0.25">
      <c r="A195" s="92" t="str">
        <f>A194</f>
        <v>4th &amp; 11th Floor (Part Refuge Area)</v>
      </c>
      <c r="B195" s="93"/>
      <c r="C195" s="97">
        <v>1</v>
      </c>
      <c r="D195" s="98"/>
      <c r="E195" s="31" t="s">
        <v>204</v>
      </c>
      <c r="F195" s="42">
        <f>35.59*10.764</f>
        <v>383.09075999999999</v>
      </c>
      <c r="G195" s="31">
        <v>0</v>
      </c>
      <c r="H195" s="56">
        <f>F195*(($H$176)+1)+G195</f>
        <v>612.94521599999996</v>
      </c>
      <c r="I195" s="1"/>
      <c r="J195" s="1"/>
      <c r="K195" s="1"/>
      <c r="L195" s="1"/>
      <c r="M195" s="1"/>
      <c r="N195" s="1"/>
      <c r="O195" s="1"/>
      <c r="P195" s="1"/>
      <c r="Q195" s="1"/>
      <c r="R195" s="1"/>
      <c r="S195" s="1"/>
      <c r="T195" s="19" t="str">
        <f ca="1">U195&amp;""&amp;" &amp; "&amp;""&amp;V195</f>
        <v>401 &amp; 1101</v>
      </c>
      <c r="U195" s="19">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401</v>
      </c>
      <c r="V195" s="19">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1101</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7" customFormat="1" ht="20.25" customHeight="1" x14ac:dyDescent="0.25">
      <c r="A196" s="92" t="str">
        <f t="shared" ref="A196:A197" si="6">A195</f>
        <v>4th &amp; 11th Floor (Part Refuge Area)</v>
      </c>
      <c r="B196" s="93"/>
      <c r="C196" s="97">
        <v>2</v>
      </c>
      <c r="D196" s="98"/>
      <c r="E196" s="31" t="s">
        <v>203</v>
      </c>
      <c r="F196" s="42">
        <f>51.13*10.764</f>
        <v>550.36332000000004</v>
      </c>
      <c r="G196" s="31">
        <v>0</v>
      </c>
      <c r="H196" s="56">
        <f>F196*(($H$176)+1)+G196</f>
        <v>880.58131200000014</v>
      </c>
      <c r="I196" s="1"/>
      <c r="J196" s="1"/>
      <c r="K196" s="1"/>
      <c r="L196" s="1"/>
      <c r="M196" s="1"/>
      <c r="N196" s="1"/>
      <c r="O196" s="1"/>
      <c r="P196" s="1"/>
      <c r="Q196" s="1"/>
      <c r="R196" s="1"/>
      <c r="S196" s="1"/>
      <c r="T196" s="19" t="str">
        <f t="shared" ref="T196:T197" ca="1" si="7">U196&amp;""&amp;" &amp; "&amp;""&amp;V196</f>
        <v>402 &amp; 1102</v>
      </c>
      <c r="U196" s="19">
        <f ca="1">U195+1</f>
        <v>402</v>
      </c>
      <c r="V196" s="19">
        <f ca="1">V195+1</f>
        <v>1102</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7" customFormat="1" ht="20.25" customHeight="1" x14ac:dyDescent="0.25">
      <c r="A197" s="92" t="str">
        <f t="shared" si="6"/>
        <v>4th &amp; 11th Floor (Part Refuge Area)</v>
      </c>
      <c r="B197" s="93"/>
      <c r="C197" s="97">
        <v>3</v>
      </c>
      <c r="D197" s="98"/>
      <c r="E197" s="31" t="s">
        <v>203</v>
      </c>
      <c r="F197" s="42">
        <f>51.7*10.764</f>
        <v>556.49879999999996</v>
      </c>
      <c r="G197" s="31">
        <v>0</v>
      </c>
      <c r="H197" s="56">
        <f>F197*(($H$176)+1)+G197</f>
        <v>890.39807999999994</v>
      </c>
      <c r="I197" s="1"/>
      <c r="J197" s="1"/>
      <c r="K197" s="1"/>
      <c r="L197" s="1"/>
      <c r="M197" s="1"/>
      <c r="N197" s="1"/>
      <c r="O197" s="1"/>
      <c r="P197" s="1"/>
      <c r="Q197" s="1"/>
      <c r="R197" s="1"/>
      <c r="S197" s="1"/>
      <c r="T197" s="19" t="str">
        <f t="shared" ca="1" si="7"/>
        <v>403 &amp; 1103</v>
      </c>
      <c r="U197" s="19">
        <f t="shared" ref="U197" ca="1" si="8">U196+1</f>
        <v>403</v>
      </c>
      <c r="V197" s="19">
        <f t="shared" ref="V197" ca="1" si="9">V196+1</f>
        <v>1103</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7" customFormat="1" ht="20.25" x14ac:dyDescent="0.25">
      <c r="A198" s="94" t="s">
        <v>208</v>
      </c>
      <c r="B198" s="95"/>
      <c r="C198" s="95"/>
      <c r="D198" s="95"/>
      <c r="E198" s="95"/>
      <c r="F198" s="95"/>
      <c r="G198" s="95"/>
      <c r="H198" s="9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7" customFormat="1" ht="20.25" x14ac:dyDescent="0.25">
      <c r="A199" s="94" t="s">
        <v>222</v>
      </c>
      <c r="B199" s="95"/>
      <c r="C199" s="95"/>
      <c r="D199" s="95"/>
      <c r="E199" s="95"/>
      <c r="F199" s="95"/>
      <c r="G199" s="95"/>
      <c r="H199" s="96"/>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7" customFormat="1" ht="20.25" x14ac:dyDescent="0.25">
      <c r="A200" s="94" t="s">
        <v>198</v>
      </c>
      <c r="B200" s="95"/>
      <c r="C200" s="95"/>
      <c r="D200" s="95"/>
      <c r="E200" s="95"/>
      <c r="F200" s="95"/>
      <c r="G200" s="95"/>
      <c r="H200" s="96"/>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7" customFormat="1" ht="20.25" x14ac:dyDescent="0.25">
      <c r="A201" s="94" t="s">
        <v>199</v>
      </c>
      <c r="B201" s="95"/>
      <c r="C201" s="95"/>
      <c r="D201" s="95"/>
      <c r="E201" s="95"/>
      <c r="F201" s="95"/>
      <c r="G201" s="95"/>
      <c r="H201" s="96"/>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7" customFormat="1" ht="20.25" x14ac:dyDescent="0.25">
      <c r="A202" s="94" t="s">
        <v>200</v>
      </c>
      <c r="B202" s="95"/>
      <c r="C202" s="95"/>
      <c r="D202" s="95"/>
      <c r="E202" s="95"/>
      <c r="F202" s="95"/>
      <c r="G202" s="95"/>
      <c r="H202" s="96"/>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7" customFormat="1" ht="20.25" x14ac:dyDescent="0.25">
      <c r="A203" s="92" t="str">
        <f>A202</f>
        <v>2nd Podium Floor Residental &amp; Amenities</v>
      </c>
      <c r="B203" s="93"/>
      <c r="C203" s="97" t="s">
        <v>201</v>
      </c>
      <c r="D203" s="98"/>
      <c r="E203" s="31" t="s">
        <v>203</v>
      </c>
      <c r="F203" s="42">
        <f>50.88*10.764</f>
        <v>547.67232000000001</v>
      </c>
      <c r="G203" s="31">
        <v>0</v>
      </c>
      <c r="H203" s="56">
        <f>F203*(($H$176)+1)+G203</f>
        <v>876.27571200000011</v>
      </c>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7" customFormat="1" ht="20.25" x14ac:dyDescent="0.25">
      <c r="A204" s="92" t="str">
        <f t="shared" ref="A204:A209" si="10">A203</f>
        <v>2nd Podium Floor Residental &amp; Amenities</v>
      </c>
      <c r="B204" s="93"/>
      <c r="C204" s="97" t="s">
        <v>202</v>
      </c>
      <c r="D204" s="98"/>
      <c r="E204" s="31" t="s">
        <v>204</v>
      </c>
      <c r="F204" s="42">
        <f>35.28*10.764</f>
        <v>379.75391999999999</v>
      </c>
      <c r="G204" s="31">
        <v>0</v>
      </c>
      <c r="H204" s="56">
        <f>F204*(($H$176)+1)+G204</f>
        <v>607.60627199999999</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7" customFormat="1" ht="20.25" x14ac:dyDescent="0.25">
      <c r="A205" s="94" t="s">
        <v>205</v>
      </c>
      <c r="B205" s="95"/>
      <c r="C205" s="95"/>
      <c r="D205" s="95"/>
      <c r="E205" s="95"/>
      <c r="F205" s="95"/>
      <c r="G205" s="95"/>
      <c r="H205" s="96"/>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7" customFormat="1" ht="20.25" x14ac:dyDescent="0.25">
      <c r="A206" s="92" t="str">
        <f>A205</f>
        <v>Stilt Floor Residental &amp; Amenities</v>
      </c>
      <c r="B206" s="93"/>
      <c r="C206" s="97">
        <v>1</v>
      </c>
      <c r="D206" s="98"/>
      <c r="E206" s="31" t="s">
        <v>204</v>
      </c>
      <c r="F206" s="42">
        <f>35.28*10.764</f>
        <v>379.75391999999999</v>
      </c>
      <c r="G206" s="31">
        <v>0</v>
      </c>
      <c r="H206" s="56">
        <f>F206*(($H$176)+1)+G206</f>
        <v>607.60627199999999</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7" customFormat="1" ht="20.25" x14ac:dyDescent="0.25">
      <c r="A207" s="92" t="str">
        <f t="shared" si="10"/>
        <v>Stilt Floor Residental &amp; Amenities</v>
      </c>
      <c r="B207" s="93"/>
      <c r="C207" s="97">
        <v>2</v>
      </c>
      <c r="D207" s="98"/>
      <c r="E207" s="31" t="s">
        <v>204</v>
      </c>
      <c r="F207" s="42">
        <f>45.37*10.764</f>
        <v>488.36267999999995</v>
      </c>
      <c r="G207" s="31">
        <v>0</v>
      </c>
      <c r="H207" s="56">
        <f>F207*(($H$176)+1)+G207</f>
        <v>781.38028799999995</v>
      </c>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7" customFormat="1" ht="20.25" x14ac:dyDescent="0.25">
      <c r="A208" s="92" t="str">
        <f>A206</f>
        <v>Stilt Floor Residental &amp; Amenities</v>
      </c>
      <c r="B208" s="93"/>
      <c r="C208" s="97">
        <v>3</v>
      </c>
      <c r="D208" s="98"/>
      <c r="E208" s="31" t="s">
        <v>203</v>
      </c>
      <c r="F208" s="42">
        <f>50.88*10.764</f>
        <v>547.67232000000001</v>
      </c>
      <c r="G208" s="31">
        <v>0</v>
      </c>
      <c r="H208" s="56">
        <f>F208*(($H$176)+1)+G208</f>
        <v>876.27571200000011</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7" customFormat="1" ht="20.25" customHeight="1" x14ac:dyDescent="0.25">
      <c r="A209" s="92" t="str">
        <f t="shared" si="10"/>
        <v>Stilt Floor Residental &amp; Amenities</v>
      </c>
      <c r="B209" s="93"/>
      <c r="C209" s="97">
        <f t="shared" ref="C209" si="11">C208+1</f>
        <v>4</v>
      </c>
      <c r="D209" s="98"/>
      <c r="E209" s="31" t="s">
        <v>204</v>
      </c>
      <c r="F209" s="42">
        <f>35.28*10.764</f>
        <v>379.75391999999999</v>
      </c>
      <c r="G209" s="31">
        <v>0</v>
      </c>
      <c r="H209" s="56">
        <f>F209*(($H$176)+1)+G209</f>
        <v>607.60627199999999</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7" customFormat="1" ht="20.25" x14ac:dyDescent="0.25">
      <c r="A210" s="94" t="s">
        <v>209</v>
      </c>
      <c r="B210" s="95"/>
      <c r="C210" s="95"/>
      <c r="D210" s="95"/>
      <c r="E210" s="95"/>
      <c r="F210" s="95"/>
      <c r="G210" s="95"/>
      <c r="H210" s="116"/>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7" customFormat="1" ht="20.25" customHeight="1" x14ac:dyDescent="0.25">
      <c r="A211" s="92" t="str">
        <f>A210</f>
        <v xml:space="preserve">1st to 3rd, 5th, 7th, 9th, 11th, 13th, 15th to 17th Floor </v>
      </c>
      <c r="B211" s="93"/>
      <c r="C211" s="97">
        <v>1</v>
      </c>
      <c r="D211" s="98"/>
      <c r="E211" s="31" t="s">
        <v>204</v>
      </c>
      <c r="F211" s="42">
        <f>35.28*10.764</f>
        <v>379.75391999999999</v>
      </c>
      <c r="G211" s="31">
        <v>0</v>
      </c>
      <c r="H211" s="56">
        <f>F211*(($H$176)+1)+G211</f>
        <v>607.60627199999999</v>
      </c>
      <c r="I211" s="1"/>
      <c r="J211" s="1"/>
      <c r="K211" s="1"/>
      <c r="L211" s="1"/>
      <c r="M211" s="1"/>
      <c r="N211" s="1"/>
      <c r="O211" s="1"/>
      <c r="P211" s="1"/>
      <c r="Q211" s="1"/>
      <c r="R211" s="1"/>
      <c r="S211" s="1"/>
      <c r="T211" s="19" t="str">
        <f t="shared" ref="T211:T214" ca="1" si="12">U211&amp;""&amp;",..,"&amp;""&amp;V211</f>
        <v>1301,..,1701</v>
      </c>
      <c r="U211" s="19">
        <f ca="1">(SUMPRODUCT(MID(0&amp;(LEFT(A210,SUM(LEN(A210)-LEN(SUBSTITUTE(A210,{"0","1","2","3"},""))))), LARGE(INDEX(ISNUMBER(--MID((LEFT(A210,SUM(LEN(A210)-LEN(SUBSTITUTE(A210,{"0","1","2","3"},""))))), ROW(INDIRECT("1:"&amp;LEN((LEFT(A210,SUM(LEN(A210)-LEN(SUBSTITUTE(A210,{"0","1","2","3"},"")))))))), 1)) * ROW(INDIRECT("1:"&amp;LEN((LEFT(A210,SUM(LEN(A210)-LEN(SUBSTITUTE(A210,{"0","1","2","3"},"")))))))), 0), ROW(INDIRECT("1:"&amp;LEN((LEFT(A210,SUM(LEN(A210)-LEN(SUBSTITUTE(A210,{"0","1","2","3"},"")))))))))+1, 1) * 10^ROW(INDIRECT("1:"&amp;LEN((LEFT(A210,SUM(LEN(A210)-LEN(SUBSTITUTE(A210,{"0","1","2","3"},""))))))))/10))*100+1</f>
        <v>1301</v>
      </c>
      <c r="V211" s="19">
        <f ca="1">(SUMPRODUCT(MID(0&amp;(--TRIM(RIGHT(SUBSTITUTE(LEFT(A210,_xlfn.AGGREGATE(16,6,FIND({0,1,2,3,4,5,6,7,8,9},A210,ROW(INDIRECT("1:"&amp;LEN(A210)))),1)),"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1701</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7" customFormat="1" ht="20.25" customHeight="1" x14ac:dyDescent="0.25">
      <c r="A212" s="92" t="str">
        <f t="shared" ref="A212:A214" si="13">A211</f>
        <v xml:space="preserve">1st to 3rd, 5th, 7th, 9th, 11th, 13th, 15th to 17th Floor </v>
      </c>
      <c r="B212" s="93"/>
      <c r="C212" s="97">
        <v>2</v>
      </c>
      <c r="D212" s="98"/>
      <c r="E212" s="31" t="s">
        <v>203</v>
      </c>
      <c r="F212" s="42">
        <f>50.88*10.764</f>
        <v>547.67232000000001</v>
      </c>
      <c r="G212" s="31">
        <v>0</v>
      </c>
      <c r="H212" s="56">
        <f>F212*(($H$176)+1)+G212</f>
        <v>876.27571200000011</v>
      </c>
      <c r="I212" s="1"/>
      <c r="J212" s="1"/>
      <c r="K212" s="1"/>
      <c r="L212" s="1"/>
      <c r="M212" s="1"/>
      <c r="N212" s="1"/>
      <c r="O212" s="1"/>
      <c r="P212" s="1"/>
      <c r="Q212" s="1"/>
      <c r="R212" s="1"/>
      <c r="S212" s="1"/>
      <c r="T212" s="19" t="str">
        <f t="shared" ca="1" si="12"/>
        <v>1302,..,1702</v>
      </c>
      <c r="U212" s="19">
        <f ca="1">U211+1</f>
        <v>1302</v>
      </c>
      <c r="V212" s="19">
        <f ca="1">V211+1</f>
        <v>1702</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7" customFormat="1" ht="20.25" customHeight="1" x14ac:dyDescent="0.25">
      <c r="A213" s="92" t="str">
        <f t="shared" si="13"/>
        <v xml:space="preserve">1st to 3rd, 5th, 7th, 9th, 11th, 13th, 15th to 17th Floor </v>
      </c>
      <c r="B213" s="93"/>
      <c r="C213" s="97">
        <v>3</v>
      </c>
      <c r="D213" s="98"/>
      <c r="E213" s="31" t="s">
        <v>203</v>
      </c>
      <c r="F213" s="42">
        <f>50.88*10.764</f>
        <v>547.67232000000001</v>
      </c>
      <c r="G213" s="31">
        <v>0</v>
      </c>
      <c r="H213" s="56">
        <f>F213*(($H$176)+1)+G213</f>
        <v>876.27571200000011</v>
      </c>
      <c r="I213" s="1"/>
      <c r="J213" s="1"/>
      <c r="K213" s="1"/>
      <c r="L213" s="1"/>
      <c r="M213" s="1"/>
      <c r="N213" s="1"/>
      <c r="O213" s="1"/>
      <c r="P213" s="1"/>
      <c r="Q213" s="1"/>
      <c r="R213" s="1"/>
      <c r="S213" s="1"/>
      <c r="T213" s="19" t="str">
        <f t="shared" ca="1" si="12"/>
        <v>1303,..,1703</v>
      </c>
      <c r="U213" s="19">
        <f t="shared" ref="U213:V214" ca="1" si="14">U212+1</f>
        <v>1303</v>
      </c>
      <c r="V213" s="19">
        <f t="shared" ca="1" si="14"/>
        <v>1703</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7" customFormat="1" ht="20.25" customHeight="1" x14ac:dyDescent="0.25">
      <c r="A214" s="92" t="str">
        <f t="shared" si="13"/>
        <v xml:space="preserve">1st to 3rd, 5th, 7th, 9th, 11th, 13th, 15th to 17th Floor </v>
      </c>
      <c r="B214" s="93"/>
      <c r="C214" s="97">
        <v>4</v>
      </c>
      <c r="D214" s="98"/>
      <c r="E214" s="31" t="s">
        <v>204</v>
      </c>
      <c r="F214" s="42">
        <f>35.28*10.764</f>
        <v>379.75391999999999</v>
      </c>
      <c r="G214" s="31">
        <v>0</v>
      </c>
      <c r="H214" s="56">
        <f>F214*(($H$176)+1)+G214</f>
        <v>607.60627199999999</v>
      </c>
      <c r="I214" s="1"/>
      <c r="J214" s="1"/>
      <c r="K214" s="1"/>
      <c r="L214" s="1"/>
      <c r="M214" s="1"/>
      <c r="N214" s="1"/>
      <c r="O214" s="1"/>
      <c r="P214" s="1"/>
      <c r="Q214" s="1"/>
      <c r="R214" s="1"/>
      <c r="S214" s="1"/>
      <c r="T214" s="19" t="str">
        <f t="shared" ca="1" si="12"/>
        <v>1304,..,1704</v>
      </c>
      <c r="U214" s="19">
        <f t="shared" ca="1" si="14"/>
        <v>1304</v>
      </c>
      <c r="V214" s="19">
        <f t="shared" ca="1" si="14"/>
        <v>1704</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7" customFormat="1" ht="20.25" x14ac:dyDescent="0.25">
      <c r="A215" s="94" t="s">
        <v>210</v>
      </c>
      <c r="B215" s="95"/>
      <c r="C215" s="95"/>
      <c r="D215" s="95"/>
      <c r="E215" s="95"/>
      <c r="F215" s="95"/>
      <c r="G215" s="95"/>
      <c r="H215" s="116"/>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7" customFormat="1" ht="20.25" customHeight="1" x14ac:dyDescent="0.25">
      <c r="A216" s="92" t="str">
        <f>A215</f>
        <v>4th, 6th, 8th, 10th, 12th, 14th &amp; 16th Floor (Part Refuge Area)</v>
      </c>
      <c r="B216" s="93"/>
      <c r="C216" s="97">
        <v>1</v>
      </c>
      <c r="D216" s="98"/>
      <c r="E216" s="31" t="s">
        <v>204</v>
      </c>
      <c r="F216" s="42">
        <f>35.28*10.764</f>
        <v>379.75391999999999</v>
      </c>
      <c r="G216" s="31">
        <v>0</v>
      </c>
      <c r="H216" s="56">
        <f>F216*(($H$176)+1)+G216</f>
        <v>607.60627199999999</v>
      </c>
      <c r="I216" s="1"/>
      <c r="J216" s="1"/>
      <c r="K216" s="1"/>
      <c r="L216" s="1"/>
      <c r="M216" s="1"/>
      <c r="N216" s="1"/>
      <c r="O216" s="1"/>
      <c r="P216" s="1"/>
      <c r="Q216" s="1"/>
      <c r="R216" s="1"/>
      <c r="S216" s="1"/>
      <c r="T216" s="19" t="str">
        <f ca="1">U216&amp;""&amp;" &amp; "&amp;""&amp;V216</f>
        <v>4601 &amp; 1601</v>
      </c>
      <c r="U216" s="19">
        <f ca="1">(SUMPRODUCT(MID(0&amp;(LEFT(A215,SUM(LEN(A215)-LEN(SUBSTITUTE(A215,{"0","1","2","3"},""))))), LARGE(INDEX(ISNUMBER(--MID((LEFT(A215,SUM(LEN(A215)-LEN(SUBSTITUTE(A215,{"0","1","2","3"},""))))), ROW(INDIRECT("1:"&amp;LEN((LEFT(A215,SUM(LEN(A215)-LEN(SUBSTITUTE(A215,{"0","1","2","3"},"")))))))), 1)) * ROW(INDIRECT("1:"&amp;LEN((LEFT(A215,SUM(LEN(A215)-LEN(SUBSTITUTE(A215,{"0","1","2","3"},"")))))))), 0), ROW(INDIRECT("1:"&amp;LEN((LEFT(A215,SUM(LEN(A215)-LEN(SUBSTITUTE(A215,{"0","1","2","3"},"")))))))))+1, 1) * 10^ROW(INDIRECT("1:"&amp;LEN((LEFT(A215,SUM(LEN(A215)-LEN(SUBSTITUTE(A215,{"0","1","2","3"},""))))))))/10))*100+1</f>
        <v>4601</v>
      </c>
      <c r="V216" s="19">
        <f ca="1">(SUMPRODUCT(MID(0&amp;(--TRIM(RIGHT(SUBSTITUTE(LEFT(A215,_xlfn.AGGREGATE(16,6,FIND({0,1,2,3,4,5,6,7,8,9},A215,ROW(INDIRECT("1:"&amp;LEN(A215)))),1)),"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",LEN(A215))),LEN(A215)))))))/10))*100+1</f>
        <v>1601</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7" customFormat="1" ht="20.25" customHeight="1" x14ac:dyDescent="0.25">
      <c r="A217" s="92" t="str">
        <f t="shared" ref="A217:A219" si="15">A216</f>
        <v>4th, 6th, 8th, 10th, 12th, 14th &amp; 16th Floor (Part Refuge Area)</v>
      </c>
      <c r="B217" s="93"/>
      <c r="C217" s="97">
        <v>2</v>
      </c>
      <c r="D217" s="98"/>
      <c r="E217" s="31" t="s">
        <v>203</v>
      </c>
      <c r="F217" s="42">
        <f>50.88*10.764</f>
        <v>547.67232000000001</v>
      </c>
      <c r="G217" s="31">
        <v>0</v>
      </c>
      <c r="H217" s="56">
        <f>F217*(($H$176)+1)+G217</f>
        <v>876.27571200000011</v>
      </c>
      <c r="I217" s="1"/>
      <c r="J217" s="1"/>
      <c r="K217" s="1"/>
      <c r="L217" s="1"/>
      <c r="M217" s="1"/>
      <c r="N217" s="1"/>
      <c r="O217" s="1"/>
      <c r="P217" s="1"/>
      <c r="Q217" s="1"/>
      <c r="R217" s="1"/>
      <c r="S217" s="1"/>
      <c r="T217" s="19" t="str">
        <f t="shared" ref="T217:T218" ca="1" si="16">U217&amp;""&amp;" &amp; "&amp;""&amp;V217</f>
        <v>4602 &amp; 1602</v>
      </c>
      <c r="U217" s="19">
        <f ca="1">U216+1</f>
        <v>4602</v>
      </c>
      <c r="V217" s="19">
        <f ca="1">V216+1</f>
        <v>1602</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7" customFormat="1" ht="20.25" customHeight="1" x14ac:dyDescent="0.25">
      <c r="A218" s="92" t="str">
        <f t="shared" si="15"/>
        <v>4th, 6th, 8th, 10th, 12th, 14th &amp; 16th Floor (Part Refuge Area)</v>
      </c>
      <c r="B218" s="93"/>
      <c r="C218" s="97">
        <v>3</v>
      </c>
      <c r="D218" s="98"/>
      <c r="E218" s="31" t="s">
        <v>203</v>
      </c>
      <c r="F218" s="42">
        <f>50.88*10.764</f>
        <v>547.67232000000001</v>
      </c>
      <c r="G218" s="31">
        <v>0</v>
      </c>
      <c r="H218" s="56">
        <f>F218*(($H$176)+1)+G218</f>
        <v>876.27571200000011</v>
      </c>
      <c r="I218" s="1"/>
      <c r="J218" s="1"/>
      <c r="K218" s="1"/>
      <c r="L218" s="1"/>
      <c r="M218" s="1"/>
      <c r="N218" s="1"/>
      <c r="O218" s="1"/>
      <c r="P218" s="1"/>
      <c r="Q218" s="1"/>
      <c r="R218" s="1"/>
      <c r="S218" s="1"/>
      <c r="T218" s="19" t="str">
        <f t="shared" ca="1" si="16"/>
        <v>4603 &amp; 1603</v>
      </c>
      <c r="U218" s="19">
        <f t="shared" ref="U218:V219" ca="1" si="17">U217+1</f>
        <v>4603</v>
      </c>
      <c r="V218" s="19">
        <f t="shared" ca="1" si="17"/>
        <v>1603</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7" customFormat="1" ht="20.25" customHeight="1" x14ac:dyDescent="0.25">
      <c r="A219" s="92" t="str">
        <f t="shared" si="15"/>
        <v>4th, 6th, 8th, 10th, 12th, 14th &amp; 16th Floor (Part Refuge Area)</v>
      </c>
      <c r="B219" s="93"/>
      <c r="C219" s="97">
        <v>4</v>
      </c>
      <c r="D219" s="98"/>
      <c r="E219" s="31" t="s">
        <v>204</v>
      </c>
      <c r="F219" s="42">
        <f>35.28*10.764</f>
        <v>379.75391999999999</v>
      </c>
      <c r="G219" s="31">
        <v>0</v>
      </c>
      <c r="H219" s="56">
        <f>F219*(($H$176)+1)+G219</f>
        <v>607.60627199999999</v>
      </c>
      <c r="I219" s="1"/>
      <c r="J219" s="1"/>
      <c r="K219" s="1"/>
      <c r="L219" s="1"/>
      <c r="M219" s="1"/>
      <c r="N219" s="1"/>
      <c r="O219" s="1"/>
      <c r="P219" s="1"/>
      <c r="Q219" s="1"/>
      <c r="R219" s="1"/>
      <c r="S219" s="1"/>
      <c r="T219" s="19" t="str">
        <f t="shared" ref="T219" ca="1" si="18">U219&amp;""&amp;" &amp; "&amp;""&amp;V219</f>
        <v>4604 &amp; 1604</v>
      </c>
      <c r="U219" s="19">
        <f t="shared" ca="1" si="17"/>
        <v>4604</v>
      </c>
      <c r="V219" s="19">
        <f t="shared" ca="1" si="17"/>
        <v>1604</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7" customFormat="1" ht="20.25" x14ac:dyDescent="0.25">
      <c r="A220" s="94" t="s">
        <v>211</v>
      </c>
      <c r="B220" s="95"/>
      <c r="C220" s="95"/>
      <c r="D220" s="95"/>
      <c r="E220" s="95"/>
      <c r="F220" s="95"/>
      <c r="G220" s="95"/>
      <c r="H220" s="96"/>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7" customFormat="1" ht="20.25" x14ac:dyDescent="0.25">
      <c r="A221" s="94" t="s">
        <v>222</v>
      </c>
      <c r="B221" s="95"/>
      <c r="C221" s="95"/>
      <c r="D221" s="95"/>
      <c r="E221" s="95"/>
      <c r="F221" s="95"/>
      <c r="G221" s="95"/>
      <c r="H221" s="96"/>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7" customFormat="1" ht="20.25" x14ac:dyDescent="0.25">
      <c r="A222" s="94" t="s">
        <v>198</v>
      </c>
      <c r="B222" s="95"/>
      <c r="C222" s="95"/>
      <c r="D222" s="95"/>
      <c r="E222" s="95"/>
      <c r="F222" s="95"/>
      <c r="G222" s="95"/>
      <c r="H222" s="96"/>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7" customFormat="1" ht="20.25" x14ac:dyDescent="0.25">
      <c r="A223" s="94" t="s">
        <v>199</v>
      </c>
      <c r="B223" s="95"/>
      <c r="C223" s="95"/>
      <c r="D223" s="95"/>
      <c r="E223" s="95"/>
      <c r="F223" s="95"/>
      <c r="G223" s="95"/>
      <c r="H223" s="9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7" customFormat="1" ht="20.25" x14ac:dyDescent="0.25">
      <c r="A224" s="94" t="s">
        <v>200</v>
      </c>
      <c r="B224" s="95"/>
      <c r="C224" s="95"/>
      <c r="D224" s="95"/>
      <c r="E224" s="95"/>
      <c r="F224" s="95"/>
      <c r="G224" s="95"/>
      <c r="H224" s="96"/>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7" customFormat="1" ht="20.25" x14ac:dyDescent="0.25">
      <c r="A225" s="92" t="str">
        <f>A224</f>
        <v>2nd Podium Floor Residental &amp; Amenities</v>
      </c>
      <c r="B225" s="93"/>
      <c r="C225" s="97" t="s">
        <v>212</v>
      </c>
      <c r="D225" s="98"/>
      <c r="E225" s="31" t="s">
        <v>203</v>
      </c>
      <c r="F225" s="42">
        <f>52.26*10.764</f>
        <v>562.52663999999993</v>
      </c>
      <c r="G225" s="31">
        <v>0</v>
      </c>
      <c r="H225" s="56">
        <f>F225*(($H$176)+1)+G225</f>
        <v>900.04262399999993</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7" customFormat="1" ht="20.25" x14ac:dyDescent="0.25">
      <c r="A226" s="92" t="str">
        <f t="shared" ref="A226:A231" si="19">A225</f>
        <v>2nd Podium Floor Residental &amp; Amenities</v>
      </c>
      <c r="B226" s="93"/>
      <c r="C226" s="97" t="s">
        <v>213</v>
      </c>
      <c r="D226" s="98"/>
      <c r="E226" s="31" t="s">
        <v>204</v>
      </c>
      <c r="F226" s="42">
        <f>35.12*10.764</f>
        <v>378.03167999999994</v>
      </c>
      <c r="G226" s="31">
        <v>0</v>
      </c>
      <c r="H226" s="56">
        <f>F226*(($H$176)+1)+G226</f>
        <v>604.85068799999988</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7" customFormat="1" ht="20.25" x14ac:dyDescent="0.25">
      <c r="A227" s="94" t="s">
        <v>205</v>
      </c>
      <c r="B227" s="95"/>
      <c r="C227" s="95"/>
      <c r="D227" s="95"/>
      <c r="E227" s="95"/>
      <c r="F227" s="95"/>
      <c r="G227" s="95"/>
      <c r="H227" s="96"/>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7" customFormat="1" ht="20.25" x14ac:dyDescent="0.25">
      <c r="A228" s="92" t="str">
        <f>A227</f>
        <v>Stilt Floor Residental &amp; Amenities</v>
      </c>
      <c r="B228" s="93"/>
      <c r="C228" s="97">
        <v>1</v>
      </c>
      <c r="D228" s="98"/>
      <c r="E228" s="31" t="s">
        <v>203</v>
      </c>
      <c r="F228" s="42">
        <f>52.26*10.764</f>
        <v>562.52663999999993</v>
      </c>
      <c r="G228" s="31">
        <v>0</v>
      </c>
      <c r="H228" s="56">
        <f>F228*(($H$176)+1)+G228</f>
        <v>900.04262399999993</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7" customFormat="1" ht="20.25" x14ac:dyDescent="0.25">
      <c r="A229" s="92" t="str">
        <f t="shared" si="19"/>
        <v>Stilt Floor Residental &amp; Amenities</v>
      </c>
      <c r="B229" s="93"/>
      <c r="C229" s="97">
        <v>2</v>
      </c>
      <c r="D229" s="98"/>
      <c r="E229" s="31" t="s">
        <v>204</v>
      </c>
      <c r="F229" s="42">
        <f>35.12*10.764</f>
        <v>378.03167999999994</v>
      </c>
      <c r="G229" s="31">
        <v>0</v>
      </c>
      <c r="H229" s="56">
        <f>F229*(($H$176)+1)+G229</f>
        <v>604.85068799999988</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7" customFormat="1" ht="20.25" x14ac:dyDescent="0.25">
      <c r="A230" s="92" t="str">
        <f>A228</f>
        <v>Stilt Floor Residental &amp; Amenities</v>
      </c>
      <c r="B230" s="93"/>
      <c r="C230" s="97">
        <v>3</v>
      </c>
      <c r="D230" s="98"/>
      <c r="E230" s="31" t="s">
        <v>203</v>
      </c>
      <c r="F230" s="42">
        <f>76.91*10.764</f>
        <v>827.85923999999989</v>
      </c>
      <c r="G230" s="31">
        <v>0</v>
      </c>
      <c r="H230" s="56">
        <f>F230*(($H$176)+1)+G230</f>
        <v>1324.5747839999999</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7" customFormat="1" ht="20.25" customHeight="1" x14ac:dyDescent="0.25">
      <c r="A231" s="92" t="str">
        <f t="shared" si="19"/>
        <v>Stilt Floor Residental &amp; Amenities</v>
      </c>
      <c r="B231" s="93"/>
      <c r="C231" s="97">
        <f t="shared" ref="C231" si="20">C230+1</f>
        <v>4</v>
      </c>
      <c r="D231" s="98"/>
      <c r="E231" s="31" t="s">
        <v>203</v>
      </c>
      <c r="F231" s="42">
        <f>76.91*10.764</f>
        <v>827.85923999999989</v>
      </c>
      <c r="G231" s="31">
        <v>0</v>
      </c>
      <c r="H231" s="56">
        <f>F231*(($H$176)+1)+G231</f>
        <v>1324.5747839999999</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7" customFormat="1" ht="20.25" x14ac:dyDescent="0.25">
      <c r="A232" s="94" t="s">
        <v>214</v>
      </c>
      <c r="B232" s="95"/>
      <c r="C232" s="95"/>
      <c r="D232" s="95"/>
      <c r="E232" s="95"/>
      <c r="F232" s="95"/>
      <c r="G232" s="95"/>
      <c r="H232" s="116"/>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7" customFormat="1" ht="20.25" customHeight="1" x14ac:dyDescent="0.25">
      <c r="A233" s="92" t="str">
        <f>A232</f>
        <v xml:space="preserve">1st to 4th, 6th to 11th, 13th to 18th Floor </v>
      </c>
      <c r="B233" s="93"/>
      <c r="C233" s="97">
        <v>1</v>
      </c>
      <c r="D233" s="98"/>
      <c r="E233" s="31" t="s">
        <v>203</v>
      </c>
      <c r="F233" s="42">
        <f>35.28*10.764</f>
        <v>379.75391999999999</v>
      </c>
      <c r="G233" s="31">
        <v>0</v>
      </c>
      <c r="H233" s="56">
        <f>F233*(($H$176)+1)+G233</f>
        <v>607.60627199999999</v>
      </c>
      <c r="I233" s="1"/>
      <c r="J233" s="1"/>
      <c r="K233" s="1"/>
      <c r="L233" s="1"/>
      <c r="M233" s="1"/>
      <c r="N233" s="1"/>
      <c r="O233" s="1"/>
      <c r="P233" s="1"/>
      <c r="Q233" s="1"/>
      <c r="R233" s="1"/>
      <c r="S233" s="1"/>
      <c r="T233" s="19" t="str">
        <f t="shared" ref="T233:T236" ca="1" si="21">U233&amp;""&amp;",..,"&amp;""&amp;V233</f>
        <v>101,..,1801</v>
      </c>
      <c r="U233" s="19">
        <f ca="1">(SUMPRODUCT(MID(0&amp;(LEFT(A232,SUM(LEN(A232)-LEN(SUBSTITUTE(A232,{"0","1","2","3"},""))))), LARGE(INDEX(ISNUMBER(--MID((LEFT(A232,SUM(LEN(A232)-LEN(SUBSTITUTE(A232,{"0","1","2","3"},""))))), ROW(INDIRECT("1:"&amp;LEN((LEFT(A232,SUM(LEN(A232)-LEN(SUBSTITUTE(A232,{"0","1","2","3"},"")))))))), 1)) * ROW(INDIRECT("1:"&amp;LEN((LEFT(A232,SUM(LEN(A232)-LEN(SUBSTITUTE(A232,{"0","1","2","3"},"")))))))), 0), ROW(INDIRECT("1:"&amp;LEN((LEFT(A232,SUM(LEN(A232)-LEN(SUBSTITUTE(A232,{"0","1","2","3"},"")))))))))+1, 1) * 10^ROW(INDIRECT("1:"&amp;LEN((LEFT(A232,SUM(LEN(A232)-LEN(SUBSTITUTE(A232,{"0","1","2","3"},""))))))))/10))*100+1</f>
        <v>101</v>
      </c>
      <c r="V233" s="19">
        <f ca="1">(SUMPRODUCT(MID(0&amp;(--TRIM(RIGHT(SUBSTITUTE(LEFT(A232,_xlfn.AGGREGATE(16,6,FIND({0,1,2,3,4,5,6,7,8,9},A232,ROW(INDIRECT("1:"&amp;LEN(A232)))),1)),"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1801</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7" customFormat="1" ht="20.25" customHeight="1" x14ac:dyDescent="0.25">
      <c r="A234" s="92" t="str">
        <f t="shared" ref="A234:A236" si="22">A233</f>
        <v xml:space="preserve">1st to 4th, 6th to 11th, 13th to 18th Floor </v>
      </c>
      <c r="B234" s="93"/>
      <c r="C234" s="97">
        <v>2</v>
      </c>
      <c r="D234" s="98"/>
      <c r="E234" s="31" t="s">
        <v>204</v>
      </c>
      <c r="F234" s="42">
        <f>35.12*10.764</f>
        <v>378.03167999999994</v>
      </c>
      <c r="G234" s="31">
        <v>0</v>
      </c>
      <c r="H234" s="56">
        <f>F234*(($H$176)+1)+G234</f>
        <v>604.85068799999988</v>
      </c>
      <c r="I234" s="1"/>
      <c r="J234" s="1"/>
      <c r="K234" s="1"/>
      <c r="L234" s="1"/>
      <c r="M234" s="1"/>
      <c r="N234" s="1"/>
      <c r="O234" s="1"/>
      <c r="P234" s="1"/>
      <c r="Q234" s="1"/>
      <c r="R234" s="1"/>
      <c r="S234" s="1"/>
      <c r="T234" s="19" t="str">
        <f t="shared" ca="1" si="21"/>
        <v>102,..,1802</v>
      </c>
      <c r="U234" s="19">
        <f ca="1">U233+1</f>
        <v>102</v>
      </c>
      <c r="V234" s="19">
        <f ca="1">V233+1</f>
        <v>1802</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7" customFormat="1" ht="20.25" customHeight="1" x14ac:dyDescent="0.25">
      <c r="A235" s="92" t="str">
        <f t="shared" si="22"/>
        <v xml:space="preserve">1st to 4th, 6th to 11th, 13th to 18th Floor </v>
      </c>
      <c r="B235" s="93"/>
      <c r="C235" s="97">
        <v>3</v>
      </c>
      <c r="D235" s="98"/>
      <c r="E235" s="31" t="s">
        <v>215</v>
      </c>
      <c r="F235" s="42">
        <f>88.39*10.764</f>
        <v>951.42995999999994</v>
      </c>
      <c r="G235" s="31">
        <v>0</v>
      </c>
      <c r="H235" s="56">
        <f>F235*(($H$176)+1)+G235</f>
        <v>1522.2879359999999</v>
      </c>
      <c r="I235" s="1"/>
      <c r="J235" s="1"/>
      <c r="K235" s="1"/>
      <c r="L235" s="1"/>
      <c r="M235" s="1"/>
      <c r="N235" s="1"/>
      <c r="O235" s="1"/>
      <c r="P235" s="1"/>
      <c r="Q235" s="1"/>
      <c r="R235" s="1"/>
      <c r="S235" s="1"/>
      <c r="T235" s="19" t="str">
        <f t="shared" ca="1" si="21"/>
        <v>103,..,1803</v>
      </c>
      <c r="U235" s="19">
        <f t="shared" ref="U235:V235" ca="1" si="23">U234+1</f>
        <v>103</v>
      </c>
      <c r="V235" s="19">
        <f t="shared" ca="1" si="23"/>
        <v>1803</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7" customFormat="1" ht="20.25" customHeight="1" x14ac:dyDescent="0.25">
      <c r="A236" s="92" t="str">
        <f t="shared" si="22"/>
        <v xml:space="preserve">1st to 4th, 6th to 11th, 13th to 18th Floor </v>
      </c>
      <c r="B236" s="93"/>
      <c r="C236" s="97">
        <v>4</v>
      </c>
      <c r="D236" s="98"/>
      <c r="E236" s="31" t="s">
        <v>215</v>
      </c>
      <c r="F236" s="42">
        <f>88.39*10.764</f>
        <v>951.42995999999994</v>
      </c>
      <c r="G236" s="31">
        <v>0</v>
      </c>
      <c r="H236" s="56">
        <f>F236*(($H$176)+1)+G236</f>
        <v>1522.2879359999999</v>
      </c>
      <c r="I236" s="1"/>
      <c r="J236" s="1"/>
      <c r="K236" s="1"/>
      <c r="L236" s="1"/>
      <c r="M236" s="1"/>
      <c r="N236" s="1"/>
      <c r="O236" s="1"/>
      <c r="P236" s="1"/>
      <c r="Q236" s="1"/>
      <c r="R236" s="1"/>
      <c r="S236" s="1"/>
      <c r="T236" s="19" t="str">
        <f t="shared" ca="1" si="21"/>
        <v>104,..,1804</v>
      </c>
      <c r="U236" s="19">
        <f t="shared" ref="U236:V236" ca="1" si="24">U235+1</f>
        <v>104</v>
      </c>
      <c r="V236" s="19">
        <f t="shared" ca="1" si="24"/>
        <v>1804</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7" customFormat="1" ht="20.25" x14ac:dyDescent="0.25">
      <c r="A237" s="94" t="s">
        <v>216</v>
      </c>
      <c r="B237" s="95"/>
      <c r="C237" s="95"/>
      <c r="D237" s="95"/>
      <c r="E237" s="95"/>
      <c r="F237" s="95"/>
      <c r="G237" s="95"/>
      <c r="H237" s="116"/>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7" customFormat="1" ht="20.25" customHeight="1" x14ac:dyDescent="0.25">
      <c r="A238" s="92" t="str">
        <f>A237</f>
        <v>5th &amp; 12th Floor (Part Refuge Area)</v>
      </c>
      <c r="B238" s="93"/>
      <c r="C238" s="97">
        <v>1</v>
      </c>
      <c r="D238" s="98"/>
      <c r="E238" s="97" t="s">
        <v>217</v>
      </c>
      <c r="F238" s="209"/>
      <c r="G238" s="209"/>
      <c r="H238" s="210"/>
      <c r="I238" s="1"/>
      <c r="J238" s="1"/>
      <c r="K238" s="1"/>
      <c r="L238" s="1"/>
      <c r="M238" s="1"/>
      <c r="N238" s="1"/>
      <c r="O238" s="1"/>
      <c r="P238" s="1"/>
      <c r="Q238" s="1"/>
      <c r="R238" s="1"/>
      <c r="S238" s="1"/>
      <c r="T238" s="19" t="str">
        <f ca="1">U238&amp;""&amp;" &amp; "&amp;""&amp;V238</f>
        <v>501 &amp; 1201</v>
      </c>
      <c r="U238" s="19">
        <f ca="1">(SUMPRODUCT(MID(0&amp;(LEFT(A237,SUM(LEN(A237)-LEN(SUBSTITUTE(A237,{"0","1","2","3"},""))))), LARGE(INDEX(ISNUMBER(--MID((LEFT(A237,SUM(LEN(A237)-LEN(SUBSTITUTE(A237,{"0","1","2","3"},""))))), ROW(INDIRECT("1:"&amp;LEN((LEFT(A237,SUM(LEN(A237)-LEN(SUBSTITUTE(A237,{"0","1","2","3"},"")))))))), 1)) * ROW(INDIRECT("1:"&amp;LEN((LEFT(A237,SUM(LEN(A237)-LEN(SUBSTITUTE(A237,{"0","1","2","3"},"")))))))), 0), ROW(INDIRECT("1:"&amp;LEN((LEFT(A237,SUM(LEN(A237)-LEN(SUBSTITUTE(A237,{"0","1","2","3"},"")))))))))+1, 1) * 10^ROW(INDIRECT("1:"&amp;LEN((LEFT(A237,SUM(LEN(A237)-LEN(SUBSTITUTE(A237,{"0","1","2","3"},""))))))))/10))*100+1</f>
        <v>501</v>
      </c>
      <c r="V238" s="19">
        <f ca="1">(SUMPRODUCT(MID(0&amp;(--TRIM(RIGHT(SUBSTITUTE(LEFT(A237,_xlfn.AGGREGATE(16,6,FIND({0,1,2,3,4,5,6,7,8,9},A237,ROW(INDIRECT("1:"&amp;LEN(A237)))),1))," ",REPT(" ",LEN(A237))),LEN(A237)))), LARGE(INDEX(ISNUMBER(--MID((--TRIM(RIGHT(SUBSTITUTE(LEFT(A237,_xlfn.AGGREGATE(16,6,FIND({0,1,2,3,4,5,6,7,8,9},A237,ROW(INDIRECT("1:"&amp;LEN(A237)))),1))," ",REPT(" ",LEN(A237))),LEN(A237)))), ROW(INDIRECT("1:"&amp;LEN((--TRIM(RIGHT(SUBSTITUTE(LEFT(A237,_xlfn.AGGREGATE(16,6,FIND({0,1,2,3,4,5,6,7,8,9},A237,ROW(INDIRECT("1:"&amp;LEN(A237)))),1))," ",REPT(" ",LEN(A237))),LEN(A237))))))), 1)) * ROW(INDIRECT("1:"&amp;LEN((--TRIM(RIGHT(SUBSTITUTE(LEFT(A237,_xlfn.AGGREGATE(16,6,FIND({0,1,2,3,4,5,6,7,8,9},A237,ROW(INDIRECT("1:"&amp;LEN(A237)))),1))," ",REPT(" ",LEN(A237))),LEN(A237))))))), 0), ROW(INDIRECT("1:"&amp;LEN((--TRIM(RIGHT(SUBSTITUTE(LEFT(A237,_xlfn.AGGREGATE(16,6,FIND({0,1,2,3,4,5,6,7,8,9},A237,ROW(INDIRECT("1:"&amp;LEN(A237)))),1))," ",REPT(" ",LEN(A237))),LEN(A237))))))))+1, 1) * 10^ROW(INDIRECT("1:"&amp;LEN((--TRIM(RIGHT(SUBSTITUTE(LEFT(A237,_xlfn.AGGREGATE(16,6,FIND({0,1,2,3,4,5,6,7,8,9},A237,ROW(INDIRECT("1:"&amp;LEN(A237)))),1))," ",REPT(" ",LEN(A237))),LEN(A237)))))))/10))*100+1</f>
        <v>1201</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7" customFormat="1" ht="20.25" customHeight="1" x14ac:dyDescent="0.25">
      <c r="A239" s="92" t="str">
        <f t="shared" ref="A239:A241" si="25">A238</f>
        <v>5th &amp; 12th Floor (Part Refuge Area)</v>
      </c>
      <c r="B239" s="93"/>
      <c r="C239" s="97">
        <v>2</v>
      </c>
      <c r="D239" s="98"/>
      <c r="E239" s="31" t="s">
        <v>204</v>
      </c>
      <c r="F239" s="42">
        <f>35.12*10.764</f>
        <v>378.03167999999994</v>
      </c>
      <c r="G239" s="31">
        <v>0</v>
      </c>
      <c r="H239" s="56">
        <f>F239*(($H$176)+1)+G239</f>
        <v>604.85068799999988</v>
      </c>
      <c r="I239" s="1"/>
      <c r="J239" s="1"/>
      <c r="K239" s="1"/>
      <c r="L239" s="1"/>
      <c r="M239" s="1"/>
      <c r="N239" s="1"/>
      <c r="O239" s="1"/>
      <c r="P239" s="1"/>
      <c r="Q239" s="1"/>
      <c r="R239" s="1"/>
      <c r="S239" s="1"/>
      <c r="T239" s="19" t="str">
        <f t="shared" ref="T239:T241" ca="1" si="26">U239&amp;""&amp;" &amp; "&amp;""&amp;V239</f>
        <v>502 &amp; 1202</v>
      </c>
      <c r="U239" s="19">
        <f ca="1">U238+1</f>
        <v>502</v>
      </c>
      <c r="V239" s="19">
        <f ca="1">V238+1</f>
        <v>1202</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7" customFormat="1" ht="20.25" customHeight="1" x14ac:dyDescent="0.25">
      <c r="A240" s="92" t="str">
        <f t="shared" si="25"/>
        <v>5th &amp; 12th Floor (Part Refuge Area)</v>
      </c>
      <c r="B240" s="93"/>
      <c r="C240" s="97">
        <v>3</v>
      </c>
      <c r="D240" s="98"/>
      <c r="E240" s="31" t="s">
        <v>215</v>
      </c>
      <c r="F240" s="42">
        <f>88.39*10.764</f>
        <v>951.42995999999994</v>
      </c>
      <c r="G240" s="31">
        <v>0</v>
      </c>
      <c r="H240" s="56">
        <f>F240*(($H$176)+1)+G240</f>
        <v>1522.2879359999999</v>
      </c>
      <c r="I240" s="1"/>
      <c r="J240" s="1"/>
      <c r="K240" s="1"/>
      <c r="L240" s="1"/>
      <c r="M240" s="1"/>
      <c r="N240" s="1"/>
      <c r="O240" s="1"/>
      <c r="P240" s="1"/>
      <c r="Q240" s="1"/>
      <c r="R240" s="1"/>
      <c r="S240" s="1"/>
      <c r="T240" s="19" t="str">
        <f t="shared" ca="1" si="26"/>
        <v>503 &amp; 1203</v>
      </c>
      <c r="U240" s="19">
        <f t="shared" ref="U240:V240" ca="1" si="27">U239+1</f>
        <v>503</v>
      </c>
      <c r="V240" s="19">
        <f t="shared" ca="1" si="27"/>
        <v>1203</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7" customFormat="1" ht="20.25" customHeight="1" x14ac:dyDescent="0.25">
      <c r="A241" s="92" t="str">
        <f t="shared" si="25"/>
        <v>5th &amp; 12th Floor (Part Refuge Area)</v>
      </c>
      <c r="B241" s="93"/>
      <c r="C241" s="97">
        <v>4</v>
      </c>
      <c r="D241" s="98"/>
      <c r="E241" s="31" t="s">
        <v>215</v>
      </c>
      <c r="F241" s="42">
        <f>88.39*10.764</f>
        <v>951.42995999999994</v>
      </c>
      <c r="G241" s="31">
        <v>0</v>
      </c>
      <c r="H241" s="56">
        <f>F241*(($H$176)+1)+G241</f>
        <v>1522.2879359999999</v>
      </c>
      <c r="I241" s="1"/>
      <c r="J241" s="1"/>
      <c r="K241" s="1"/>
      <c r="L241" s="1"/>
      <c r="M241" s="1"/>
      <c r="N241" s="1"/>
      <c r="O241" s="1"/>
      <c r="P241" s="1"/>
      <c r="Q241" s="1"/>
      <c r="R241" s="1"/>
      <c r="S241" s="1"/>
      <c r="T241" s="19" t="str">
        <f t="shared" ca="1" si="26"/>
        <v>504 &amp; 1204</v>
      </c>
      <c r="U241" s="19">
        <f t="shared" ref="U241:V241" ca="1" si="28">U240+1</f>
        <v>504</v>
      </c>
      <c r="V241" s="19">
        <f t="shared" ca="1" si="28"/>
        <v>1204</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7" customFormat="1" ht="20.25" x14ac:dyDescent="0.25">
      <c r="A242" s="94" t="s">
        <v>218</v>
      </c>
      <c r="B242" s="95"/>
      <c r="C242" s="95"/>
      <c r="D242" s="95"/>
      <c r="E242" s="95"/>
      <c r="F242" s="95"/>
      <c r="G242" s="95"/>
      <c r="H242" s="96"/>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7" customFormat="1" ht="20.25" x14ac:dyDescent="0.25">
      <c r="A243" s="94" t="s">
        <v>222</v>
      </c>
      <c r="B243" s="95"/>
      <c r="C243" s="95"/>
      <c r="D243" s="95"/>
      <c r="E243" s="95"/>
      <c r="F243" s="95"/>
      <c r="G243" s="95"/>
      <c r="H243" s="96"/>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7" customFormat="1" ht="20.25" x14ac:dyDescent="0.25">
      <c r="A244" s="94" t="s">
        <v>198</v>
      </c>
      <c r="B244" s="95"/>
      <c r="C244" s="95"/>
      <c r="D244" s="95"/>
      <c r="E244" s="95"/>
      <c r="F244" s="95"/>
      <c r="G244" s="95"/>
      <c r="H244" s="96"/>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7" customFormat="1" ht="20.25" x14ac:dyDescent="0.25">
      <c r="A245" s="94" t="s">
        <v>199</v>
      </c>
      <c r="B245" s="95"/>
      <c r="C245" s="95"/>
      <c r="D245" s="95"/>
      <c r="E245" s="95"/>
      <c r="F245" s="95"/>
      <c r="G245" s="95"/>
      <c r="H245" s="96"/>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7" customFormat="1" ht="20.25" x14ac:dyDescent="0.25">
      <c r="A246" s="94" t="s">
        <v>200</v>
      </c>
      <c r="B246" s="95"/>
      <c r="C246" s="95"/>
      <c r="D246" s="95"/>
      <c r="E246" s="95"/>
      <c r="F246" s="95"/>
      <c r="G246" s="95"/>
      <c r="H246" s="96"/>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7" customFormat="1" ht="20.25" x14ac:dyDescent="0.25">
      <c r="A247" s="92" t="str">
        <f>A246</f>
        <v>2nd Podium Floor Residental &amp; Amenities</v>
      </c>
      <c r="B247" s="93"/>
      <c r="C247" s="97" t="s">
        <v>212</v>
      </c>
      <c r="D247" s="98"/>
      <c r="E247" s="31" t="s">
        <v>204</v>
      </c>
      <c r="F247" s="42">
        <f>35.5*10.764</f>
        <v>382.12199999999996</v>
      </c>
      <c r="G247" s="31">
        <v>0</v>
      </c>
      <c r="H247" s="56">
        <f>F247*(($H$176)+1)+G247</f>
        <v>611.39519999999993</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7" customFormat="1" ht="20.25" x14ac:dyDescent="0.25">
      <c r="A248" s="92" t="str">
        <f t="shared" ref="A248:A251" si="29">A247</f>
        <v>2nd Podium Floor Residental &amp; Amenities</v>
      </c>
      <c r="B248" s="93"/>
      <c r="C248" s="97" t="s">
        <v>213</v>
      </c>
      <c r="D248" s="98"/>
      <c r="E248" s="31" t="s">
        <v>204</v>
      </c>
      <c r="F248" s="42">
        <f>35.5*10.764</f>
        <v>382.12199999999996</v>
      </c>
      <c r="G248" s="31">
        <v>0</v>
      </c>
      <c r="H248" s="56">
        <f>F248*(($H$176)+1)+G248</f>
        <v>611.39519999999993</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7" customFormat="1" ht="20.25" x14ac:dyDescent="0.25">
      <c r="A249" s="94" t="s">
        <v>205</v>
      </c>
      <c r="B249" s="95"/>
      <c r="C249" s="95"/>
      <c r="D249" s="95"/>
      <c r="E249" s="95"/>
      <c r="F249" s="95"/>
      <c r="G249" s="95"/>
      <c r="H249" s="96"/>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7" customFormat="1" ht="20.25" x14ac:dyDescent="0.25">
      <c r="A250" s="92" t="str">
        <f>A249</f>
        <v>Stilt Floor Residental &amp; Amenities</v>
      </c>
      <c r="B250" s="93"/>
      <c r="C250" s="97">
        <v>1</v>
      </c>
      <c r="D250" s="98"/>
      <c r="E250" s="31" t="s">
        <v>204</v>
      </c>
      <c r="F250" s="42">
        <f>35.5*10.764</f>
        <v>382.12199999999996</v>
      </c>
      <c r="G250" s="31">
        <v>0</v>
      </c>
      <c r="H250" s="56">
        <f>F250*(($H$176)+1)+G250</f>
        <v>611.39519999999993</v>
      </c>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7" customFormat="1" ht="20.25" x14ac:dyDescent="0.25">
      <c r="A251" s="92" t="str">
        <f t="shared" si="29"/>
        <v>Stilt Floor Residental &amp; Amenities</v>
      </c>
      <c r="B251" s="93"/>
      <c r="C251" s="97">
        <v>2</v>
      </c>
      <c r="D251" s="98"/>
      <c r="E251" s="31" t="s">
        <v>204</v>
      </c>
      <c r="F251" s="42">
        <f>35.5*10.764</f>
        <v>382.12199999999996</v>
      </c>
      <c r="G251" s="31">
        <v>0</v>
      </c>
      <c r="H251" s="56">
        <f>F251*(($H$176)+1)+G251</f>
        <v>611.39519999999993</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7" customFormat="1" ht="20.25" x14ac:dyDescent="0.25">
      <c r="A252" s="94" t="s">
        <v>219</v>
      </c>
      <c r="B252" s="95"/>
      <c r="C252" s="95"/>
      <c r="D252" s="95"/>
      <c r="E252" s="95"/>
      <c r="F252" s="95"/>
      <c r="G252" s="95"/>
      <c r="H252" s="116"/>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7" customFormat="1" ht="20.25" customHeight="1" x14ac:dyDescent="0.25">
      <c r="A253" s="92" t="str">
        <f>A252</f>
        <v xml:space="preserve">1st to 4th, 6th, 8th, 10th, 12th, 14th, 16th &amp; 18th Floor </v>
      </c>
      <c r="B253" s="93"/>
      <c r="C253" s="97">
        <v>1</v>
      </c>
      <c r="D253" s="98"/>
      <c r="E253" s="31" t="s">
        <v>204</v>
      </c>
      <c r="F253" s="42">
        <f t="shared" ref="F253:F254" si="30">35.5*10.764</f>
        <v>382.12199999999996</v>
      </c>
      <c r="G253" s="31">
        <v>0</v>
      </c>
      <c r="H253" s="56">
        <f>F253*(($H$176)+1)+G253</f>
        <v>611.39519999999993</v>
      </c>
      <c r="I253" s="1"/>
      <c r="J253" s="1"/>
      <c r="K253" s="1"/>
      <c r="L253" s="1"/>
      <c r="M253" s="1"/>
      <c r="N253" s="1"/>
      <c r="O253" s="1"/>
      <c r="P253" s="1"/>
      <c r="Q253" s="1"/>
      <c r="R253" s="1"/>
      <c r="S253" s="1"/>
      <c r="T253" s="19" t="str">
        <f t="shared" ref="T253:T256" ca="1" si="31">U253&amp;""&amp;",..,"&amp;""&amp;V253</f>
        <v>1401,..,1801</v>
      </c>
      <c r="U253" s="19">
        <f ca="1">(SUMPRODUCT(MID(0&amp;(LEFT(A252,SUM(LEN(A252)-LEN(SUBSTITUTE(A252,{"0","1","2","3"},""))))), LARGE(INDEX(ISNUMBER(--MID((LEFT(A252,SUM(LEN(A252)-LEN(SUBSTITUTE(A252,{"0","1","2","3"},""))))), ROW(INDIRECT("1:"&amp;LEN((LEFT(A252,SUM(LEN(A252)-LEN(SUBSTITUTE(A252,{"0","1","2","3"},"")))))))), 1)) * ROW(INDIRECT("1:"&amp;LEN((LEFT(A252,SUM(LEN(A252)-LEN(SUBSTITUTE(A252,{"0","1","2","3"},"")))))))), 0), ROW(INDIRECT("1:"&amp;LEN((LEFT(A252,SUM(LEN(A252)-LEN(SUBSTITUTE(A252,{"0","1","2","3"},"")))))))))+1, 1) * 10^ROW(INDIRECT("1:"&amp;LEN((LEFT(A252,SUM(LEN(A252)-LEN(SUBSTITUTE(A252,{"0","1","2","3"},""))))))))/10))*100+1</f>
        <v>1401</v>
      </c>
      <c r="V253" s="19">
        <f ca="1">(SUMPRODUCT(MID(0&amp;(--TRIM(RIGHT(SUBSTITUTE(LEFT(A252,_xlfn.AGGREGATE(16,6,FIND({0,1,2,3,4,5,6,7,8,9},A252,ROW(INDIRECT("1:"&amp;LEN(A252)))),1)),"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",LEN(A252))),LEN(A252)))))))/10))*100+1</f>
        <v>1801</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7" customFormat="1" ht="20.25" customHeight="1" x14ac:dyDescent="0.25">
      <c r="A254" s="92" t="str">
        <f t="shared" ref="A254:A256" si="32">A253</f>
        <v xml:space="preserve">1st to 4th, 6th, 8th, 10th, 12th, 14th, 16th &amp; 18th Floor </v>
      </c>
      <c r="B254" s="93"/>
      <c r="C254" s="97">
        <v>2</v>
      </c>
      <c r="D254" s="98"/>
      <c r="E254" s="31" t="s">
        <v>204</v>
      </c>
      <c r="F254" s="42">
        <f t="shared" si="30"/>
        <v>382.12199999999996</v>
      </c>
      <c r="G254" s="31">
        <v>0</v>
      </c>
      <c r="H254" s="56">
        <f>F254*(($H$176)+1)+G254</f>
        <v>611.39519999999993</v>
      </c>
      <c r="I254" s="1"/>
      <c r="J254" s="1"/>
      <c r="K254" s="1"/>
      <c r="L254" s="1"/>
      <c r="M254" s="1"/>
      <c r="N254" s="1"/>
      <c r="O254" s="1"/>
      <c r="P254" s="1"/>
      <c r="Q254" s="1"/>
      <c r="R254" s="1"/>
      <c r="S254" s="1"/>
      <c r="T254" s="19" t="str">
        <f t="shared" ca="1" si="31"/>
        <v>1402,..,1802</v>
      </c>
      <c r="U254" s="19">
        <f ca="1">U253+1</f>
        <v>1402</v>
      </c>
      <c r="V254" s="19">
        <f ca="1">V253+1</f>
        <v>1802</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7" customFormat="1" ht="20.25" customHeight="1" x14ac:dyDescent="0.25">
      <c r="A255" s="92" t="str">
        <f t="shared" si="32"/>
        <v xml:space="preserve">1st to 4th, 6th, 8th, 10th, 12th, 14th, 16th &amp; 18th Floor </v>
      </c>
      <c r="B255" s="93"/>
      <c r="C255" s="97">
        <v>3</v>
      </c>
      <c r="D255" s="98"/>
      <c r="E255" s="31" t="s">
        <v>215</v>
      </c>
      <c r="F255" s="42">
        <f>88.39*10.764</f>
        <v>951.42995999999994</v>
      </c>
      <c r="G255" s="31">
        <v>0</v>
      </c>
      <c r="H255" s="56">
        <f>F255*(($H$176)+1)+G255</f>
        <v>1522.2879359999999</v>
      </c>
      <c r="I255" s="1"/>
      <c r="J255" s="1"/>
      <c r="K255" s="1"/>
      <c r="L255" s="1"/>
      <c r="M255" s="1"/>
      <c r="N255" s="1"/>
      <c r="O255" s="1"/>
      <c r="P255" s="1"/>
      <c r="Q255" s="1"/>
      <c r="R255" s="1"/>
      <c r="S255" s="1"/>
      <c r="T255" s="19" t="str">
        <f t="shared" ca="1" si="31"/>
        <v>1403,..,1803</v>
      </c>
      <c r="U255" s="19">
        <f t="shared" ref="U255:V255" ca="1" si="33">U254+1</f>
        <v>1403</v>
      </c>
      <c r="V255" s="19">
        <f t="shared" ca="1" si="33"/>
        <v>1803</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7" customFormat="1" ht="20.25" customHeight="1" x14ac:dyDescent="0.25">
      <c r="A256" s="92" t="str">
        <f t="shared" si="32"/>
        <v xml:space="preserve">1st to 4th, 6th, 8th, 10th, 12th, 14th, 16th &amp; 18th Floor </v>
      </c>
      <c r="B256" s="93"/>
      <c r="C256" s="97">
        <v>4</v>
      </c>
      <c r="D256" s="98"/>
      <c r="E256" s="31" t="s">
        <v>215</v>
      </c>
      <c r="F256" s="42">
        <f>88.39*10.764</f>
        <v>951.42995999999994</v>
      </c>
      <c r="G256" s="31">
        <v>0</v>
      </c>
      <c r="H256" s="56">
        <f>F256*(($H$176)+1)+G256</f>
        <v>1522.2879359999999</v>
      </c>
      <c r="I256" s="1"/>
      <c r="J256" s="1"/>
      <c r="K256" s="1"/>
      <c r="L256" s="1"/>
      <c r="M256" s="1"/>
      <c r="N256" s="1"/>
      <c r="O256" s="1"/>
      <c r="P256" s="1"/>
      <c r="Q256" s="1"/>
      <c r="R256" s="1"/>
      <c r="S256" s="1"/>
      <c r="T256" s="19" t="str">
        <f t="shared" ca="1" si="31"/>
        <v>1404,..,1804</v>
      </c>
      <c r="U256" s="19">
        <f t="shared" ref="U256:V256" ca="1" si="34">U255+1</f>
        <v>1404</v>
      </c>
      <c r="V256" s="19">
        <f t="shared" ca="1" si="34"/>
        <v>1804</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7" customFormat="1" ht="20.25" x14ac:dyDescent="0.25">
      <c r="A257" s="94" t="s">
        <v>220</v>
      </c>
      <c r="B257" s="95"/>
      <c r="C257" s="95"/>
      <c r="D257" s="95"/>
      <c r="E257" s="95"/>
      <c r="F257" s="95"/>
      <c r="G257" s="95"/>
      <c r="H257" s="116"/>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7" customFormat="1" ht="20.25" customHeight="1" x14ac:dyDescent="0.25">
      <c r="A258" s="92" t="str">
        <f>A257</f>
        <v>5th, 7th, 9th, 11th, 13th, 15th &amp; 17th Floor (Part Refuge Area)</v>
      </c>
      <c r="B258" s="93"/>
      <c r="C258" s="97">
        <v>1</v>
      </c>
      <c r="D258" s="98"/>
      <c r="E258" s="31" t="s">
        <v>204</v>
      </c>
      <c r="F258" s="42">
        <f>35.12*10.764</f>
        <v>378.03167999999994</v>
      </c>
      <c r="G258" s="31">
        <v>0</v>
      </c>
      <c r="H258" s="56">
        <f>F258*(($H$176)+1)+G258</f>
        <v>604.85068799999988</v>
      </c>
      <c r="I258" s="1"/>
      <c r="J258" s="1"/>
      <c r="K258" s="1"/>
      <c r="L258" s="1"/>
      <c r="M258" s="1"/>
      <c r="N258" s="1"/>
      <c r="O258" s="1"/>
      <c r="P258" s="1"/>
      <c r="Q258" s="1"/>
      <c r="R258" s="1"/>
      <c r="S258" s="1"/>
      <c r="T258" s="19" t="str">
        <f ca="1">U258&amp;""&amp;" &amp; "&amp;""&amp;V258</f>
        <v>5701 &amp; 1701</v>
      </c>
      <c r="U258" s="19">
        <f ca="1">(SUMPRODUCT(MID(0&amp;(LEFT(A257,SUM(LEN(A257)-LEN(SUBSTITUTE(A257,{"0","1","2","3"},""))))), LARGE(INDEX(ISNUMBER(--MID((LEFT(A257,SUM(LEN(A257)-LEN(SUBSTITUTE(A257,{"0","1","2","3"},""))))), ROW(INDIRECT("1:"&amp;LEN((LEFT(A257,SUM(LEN(A257)-LEN(SUBSTITUTE(A257,{"0","1","2","3"},"")))))))), 1)) * ROW(INDIRECT("1:"&amp;LEN((LEFT(A257,SUM(LEN(A257)-LEN(SUBSTITUTE(A257,{"0","1","2","3"},"")))))))), 0), ROW(INDIRECT("1:"&amp;LEN((LEFT(A257,SUM(LEN(A257)-LEN(SUBSTITUTE(A257,{"0","1","2","3"},"")))))))))+1, 1) * 10^ROW(INDIRECT("1:"&amp;LEN((LEFT(A257,SUM(LEN(A257)-LEN(SUBSTITUTE(A257,{"0","1","2","3"},""))))))))/10))*100+1</f>
        <v>5701</v>
      </c>
      <c r="V258" s="19">
        <f ca="1">(SUMPRODUCT(MID(0&amp;(--TRIM(RIGHT(SUBSTITUTE(LEFT(A257,_xlfn.AGGREGATE(16,6,FIND({0,1,2,3,4,5,6,7,8,9},A257,ROW(INDIRECT("1:"&amp;LEN(A257)))),1))," ",REPT(" ",LEN(A257))),LEN(A257)))), LARGE(INDEX(ISNUMBER(--MID((--TRIM(RIGHT(SUBSTITUTE(LEFT(A257,_xlfn.AGGREGATE(16,6,FIND({0,1,2,3,4,5,6,7,8,9},A257,ROW(INDIRECT("1:"&amp;LEN(A257)))),1))," ",REPT(" ",LEN(A257))),LEN(A257)))), ROW(INDIRECT("1:"&amp;LEN((--TRIM(RIGHT(SUBSTITUTE(LEFT(A257,_xlfn.AGGREGATE(16,6,FIND({0,1,2,3,4,5,6,7,8,9},A257,ROW(INDIRECT("1:"&amp;LEN(A257)))),1))," ",REPT(" ",LEN(A257))),LEN(A257))))))), 1)) * ROW(INDIRECT("1:"&amp;LEN((--TRIM(RIGHT(SUBSTITUTE(LEFT(A257,_xlfn.AGGREGATE(16,6,FIND({0,1,2,3,4,5,6,7,8,9},A257,ROW(INDIRECT("1:"&amp;LEN(A257)))),1))," ",REPT(" ",LEN(A257))),LEN(A257))))))), 0), ROW(INDIRECT("1:"&amp;LEN((--TRIM(RIGHT(SUBSTITUTE(LEFT(A257,_xlfn.AGGREGATE(16,6,FIND({0,1,2,3,4,5,6,7,8,9},A257,ROW(INDIRECT("1:"&amp;LEN(A257)))),1))," ",REPT(" ",LEN(A257))),LEN(A257))))))))+1, 1) * 10^ROW(INDIRECT("1:"&amp;LEN((--TRIM(RIGHT(SUBSTITUTE(LEFT(A257,_xlfn.AGGREGATE(16,6,FIND({0,1,2,3,4,5,6,7,8,9},A257,ROW(INDIRECT("1:"&amp;LEN(A257)))),1))," ",REPT(" ",LEN(A257))),LEN(A257)))))))/10))*100+1</f>
        <v>1701</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7" customFormat="1" ht="20.25" customHeight="1" x14ac:dyDescent="0.25">
      <c r="A259" s="92" t="str">
        <f t="shared" ref="A259:A261" si="35">A258</f>
        <v>5th, 7th, 9th, 11th, 13th, 15th &amp; 17th Floor (Part Refuge Area)</v>
      </c>
      <c r="B259" s="93"/>
      <c r="C259" s="97">
        <v>2</v>
      </c>
      <c r="D259" s="98"/>
      <c r="E259" s="31" t="s">
        <v>204</v>
      </c>
      <c r="F259" s="42">
        <f>35.12*10.764</f>
        <v>378.03167999999994</v>
      </c>
      <c r="G259" s="31">
        <v>0</v>
      </c>
      <c r="H259" s="56">
        <f>F259*(($H$176)+1)+G259</f>
        <v>604.85068799999988</v>
      </c>
      <c r="I259" s="1"/>
      <c r="J259" s="1"/>
      <c r="K259" s="1"/>
      <c r="L259" s="1"/>
      <c r="M259" s="1"/>
      <c r="N259" s="1"/>
      <c r="O259" s="1"/>
      <c r="P259" s="1"/>
      <c r="Q259" s="1"/>
      <c r="R259" s="1"/>
      <c r="S259" s="1"/>
      <c r="T259" s="19" t="str">
        <f t="shared" ref="T259:T261" ca="1" si="36">U259&amp;""&amp;" &amp; "&amp;""&amp;V259</f>
        <v>5702 &amp; 1702</v>
      </c>
      <c r="U259" s="19">
        <f ca="1">U258+1</f>
        <v>5702</v>
      </c>
      <c r="V259" s="19">
        <f ca="1">V258+1</f>
        <v>1702</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7" customFormat="1" ht="20.25" customHeight="1" x14ac:dyDescent="0.25">
      <c r="A260" s="92" t="str">
        <f t="shared" si="35"/>
        <v>5th, 7th, 9th, 11th, 13th, 15th &amp; 17th Floor (Part Refuge Area)</v>
      </c>
      <c r="B260" s="93"/>
      <c r="C260" s="97">
        <v>3</v>
      </c>
      <c r="D260" s="98"/>
      <c r="E260" s="31" t="s">
        <v>215</v>
      </c>
      <c r="F260" s="42">
        <f>88.39*10.764</f>
        <v>951.42995999999994</v>
      </c>
      <c r="G260" s="31">
        <v>0</v>
      </c>
      <c r="H260" s="56">
        <f>F260*(($H$176)+1)+G260</f>
        <v>1522.2879359999999</v>
      </c>
      <c r="I260" s="1"/>
      <c r="J260" s="1"/>
      <c r="K260" s="1"/>
      <c r="L260" s="1"/>
      <c r="M260" s="1"/>
      <c r="N260" s="1"/>
      <c r="O260" s="1"/>
      <c r="P260" s="1"/>
      <c r="Q260" s="1"/>
      <c r="R260" s="1"/>
      <c r="S260" s="1"/>
      <c r="T260" s="19" t="str">
        <f t="shared" ca="1" si="36"/>
        <v>5703 &amp; 1703</v>
      </c>
      <c r="U260" s="19">
        <f t="shared" ref="U260:V260" ca="1" si="37">U259+1</f>
        <v>5703</v>
      </c>
      <c r="V260" s="19">
        <f t="shared" ca="1" si="37"/>
        <v>1703</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7" customFormat="1" ht="20.25" customHeight="1" x14ac:dyDescent="0.25">
      <c r="A261" s="92" t="str">
        <f t="shared" si="35"/>
        <v>5th, 7th, 9th, 11th, 13th, 15th &amp; 17th Floor (Part Refuge Area)</v>
      </c>
      <c r="B261" s="93"/>
      <c r="C261" s="97">
        <v>4</v>
      </c>
      <c r="D261" s="98"/>
      <c r="E261" s="31" t="s">
        <v>215</v>
      </c>
      <c r="F261" s="42">
        <f>88.39*10.764</f>
        <v>951.42995999999994</v>
      </c>
      <c r="G261" s="31">
        <v>0</v>
      </c>
      <c r="H261" s="56">
        <f>F261*(($H$176)+1)+G261</f>
        <v>1522.2879359999999</v>
      </c>
      <c r="I261" s="1"/>
      <c r="J261" s="1"/>
      <c r="K261" s="1"/>
      <c r="L261" s="1"/>
      <c r="M261" s="1"/>
      <c r="N261" s="1"/>
      <c r="O261" s="1"/>
      <c r="P261" s="1"/>
      <c r="Q261" s="1"/>
      <c r="R261" s="1"/>
      <c r="S261" s="1"/>
      <c r="T261" s="19" t="str">
        <f t="shared" ca="1" si="36"/>
        <v>5704 &amp; 1704</v>
      </c>
      <c r="U261" s="19">
        <f t="shared" ref="U261:V261" ca="1" si="38">U260+1</f>
        <v>5704</v>
      </c>
      <c r="V261" s="19">
        <f t="shared" ca="1" si="38"/>
        <v>1704</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7" customFormat="1" ht="20.25" x14ac:dyDescent="0.25">
      <c r="A262" s="94" t="s">
        <v>221</v>
      </c>
      <c r="B262" s="95"/>
      <c r="C262" s="95"/>
      <c r="D262" s="95"/>
      <c r="E262" s="95"/>
      <c r="F262" s="95"/>
      <c r="G262" s="95"/>
      <c r="H262" s="96"/>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7" customFormat="1" ht="20.25" x14ac:dyDescent="0.25">
      <c r="A263" s="94" t="s">
        <v>222</v>
      </c>
      <c r="B263" s="95"/>
      <c r="C263" s="95"/>
      <c r="D263" s="95"/>
      <c r="E263" s="95"/>
      <c r="F263" s="95"/>
      <c r="G263" s="95"/>
      <c r="H263" s="96"/>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7" customFormat="1" ht="20.25" x14ac:dyDescent="0.25">
      <c r="A264" s="94" t="s">
        <v>198</v>
      </c>
      <c r="B264" s="95"/>
      <c r="C264" s="95"/>
      <c r="D264" s="95"/>
      <c r="E264" s="95"/>
      <c r="F264" s="95"/>
      <c r="G264" s="95"/>
      <c r="H264" s="96"/>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7" customFormat="1" ht="20.25" x14ac:dyDescent="0.25">
      <c r="A265" s="94" t="s">
        <v>199</v>
      </c>
      <c r="B265" s="95"/>
      <c r="C265" s="95"/>
      <c r="D265" s="95"/>
      <c r="E265" s="95"/>
      <c r="F265" s="95"/>
      <c r="G265" s="95"/>
      <c r="H265" s="96"/>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7" customFormat="1" ht="20.25" x14ac:dyDescent="0.25">
      <c r="A266" s="94" t="s">
        <v>200</v>
      </c>
      <c r="B266" s="95"/>
      <c r="C266" s="95"/>
      <c r="D266" s="95"/>
      <c r="E266" s="95"/>
      <c r="F266" s="95"/>
      <c r="G266" s="95"/>
      <c r="H266" s="96"/>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7" customFormat="1" ht="20.25" x14ac:dyDescent="0.25">
      <c r="A267" s="92" t="str">
        <f>A266</f>
        <v>2nd Podium Floor Residental &amp; Amenities</v>
      </c>
      <c r="B267" s="93"/>
      <c r="C267" s="97" t="s">
        <v>212</v>
      </c>
      <c r="D267" s="98"/>
      <c r="E267" s="31" t="s">
        <v>204</v>
      </c>
      <c r="F267" s="42">
        <f>(34.35)*10.764</f>
        <v>369.74340000000001</v>
      </c>
      <c r="G267" s="31">
        <v>0</v>
      </c>
      <c r="H267" s="56">
        <f>F267*(($H$176)+1)+G267</f>
        <v>591.58944000000008</v>
      </c>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7" customFormat="1" ht="20.25" x14ac:dyDescent="0.25">
      <c r="A268" s="92" t="str">
        <f t="shared" ref="A268" si="39">A267</f>
        <v>2nd Podium Floor Residental &amp; Amenities</v>
      </c>
      <c r="B268" s="93"/>
      <c r="C268" s="97" t="s">
        <v>213</v>
      </c>
      <c r="D268" s="98"/>
      <c r="E268" s="31" t="s">
        <v>204</v>
      </c>
      <c r="F268" s="42">
        <f>(33.53)*10.764</f>
        <v>360.91692</v>
      </c>
      <c r="G268" s="31">
        <v>0</v>
      </c>
      <c r="H268" s="56">
        <f>F268*(($H$176)+1)+G268</f>
        <v>577.46707200000003</v>
      </c>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7" customFormat="1" ht="20.25" x14ac:dyDescent="0.25">
      <c r="A269" s="94" t="s">
        <v>223</v>
      </c>
      <c r="B269" s="95"/>
      <c r="C269" s="95"/>
      <c r="D269" s="95"/>
      <c r="E269" s="95"/>
      <c r="F269" s="95"/>
      <c r="G269" s="95"/>
      <c r="H269" s="96"/>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7" customFormat="1" ht="20.25" x14ac:dyDescent="0.25">
      <c r="A270" s="92" t="str">
        <f>A269</f>
        <v>Stilt Floor Residental</v>
      </c>
      <c r="B270" s="93"/>
      <c r="C270" s="97">
        <v>1</v>
      </c>
      <c r="D270" s="98"/>
      <c r="E270" s="31" t="s">
        <v>204</v>
      </c>
      <c r="F270" s="42">
        <f>(34.35)*10.764</f>
        <v>369.74340000000001</v>
      </c>
      <c r="G270" s="31">
        <v>0</v>
      </c>
      <c r="H270" s="56">
        <f>F270*(($H$176)+1)+G270</f>
        <v>591.58944000000008</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7" customFormat="1" ht="20.25" x14ac:dyDescent="0.25">
      <c r="A271" s="92" t="str">
        <f t="shared" ref="A271:A273" si="40">A270</f>
        <v>Stilt Floor Residental</v>
      </c>
      <c r="B271" s="93"/>
      <c r="C271" s="97">
        <v>2</v>
      </c>
      <c r="D271" s="98"/>
      <c r="E271" s="31" t="s">
        <v>204</v>
      </c>
      <c r="F271" s="42">
        <f>(33.53)*10.764</f>
        <v>360.91692</v>
      </c>
      <c r="G271" s="31">
        <v>0</v>
      </c>
      <c r="H271" s="56">
        <f>F271*(($H$176)+1)+G271</f>
        <v>577.46707200000003</v>
      </c>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7" customFormat="1" ht="20.25" x14ac:dyDescent="0.25">
      <c r="A272" s="92" t="str">
        <f>A270</f>
        <v>Stilt Floor Residental</v>
      </c>
      <c r="B272" s="93"/>
      <c r="C272" s="97">
        <v>3</v>
      </c>
      <c r="D272" s="98"/>
      <c r="E272" s="31" t="s">
        <v>215</v>
      </c>
      <c r="F272" s="42">
        <f>85.66*10.764</f>
        <v>922.04423999999995</v>
      </c>
      <c r="G272" s="31">
        <v>0</v>
      </c>
      <c r="H272" s="56">
        <f>F272*(($H$176)+1)+G272</f>
        <v>1475.270784</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7" customFormat="1" ht="20.25" customHeight="1" x14ac:dyDescent="0.25">
      <c r="A273" s="92" t="str">
        <f t="shared" si="40"/>
        <v>Stilt Floor Residental</v>
      </c>
      <c r="B273" s="93"/>
      <c r="C273" s="97">
        <f t="shared" ref="C273" si="41">C272+1</f>
        <v>4</v>
      </c>
      <c r="D273" s="98"/>
      <c r="E273" s="31" t="s">
        <v>203</v>
      </c>
      <c r="F273" s="42">
        <f>71.21*10.764</f>
        <v>766.50443999999993</v>
      </c>
      <c r="G273" s="31">
        <v>0</v>
      </c>
      <c r="H273" s="56">
        <f>F273*(($H$176)+1)+G273</f>
        <v>1226.4071039999999</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7" customFormat="1" ht="20.25" x14ac:dyDescent="0.25">
      <c r="A274" s="94" t="s">
        <v>224</v>
      </c>
      <c r="B274" s="95"/>
      <c r="C274" s="95"/>
      <c r="D274" s="95"/>
      <c r="E274" s="95"/>
      <c r="F274" s="95"/>
      <c r="G274" s="95"/>
      <c r="H274" s="96"/>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7" customFormat="1" ht="20.25" x14ac:dyDescent="0.25">
      <c r="A275" s="92" t="str">
        <f>A274</f>
        <v>1st to 4th, 6th, 8th, 10th, 12th, 14th, 16th &amp; 18th Floor Residental</v>
      </c>
      <c r="B275" s="93"/>
      <c r="C275" s="97">
        <v>1</v>
      </c>
      <c r="D275" s="98"/>
      <c r="E275" s="31" t="s">
        <v>204</v>
      </c>
      <c r="F275" s="42">
        <f>(34.35)*10.764</f>
        <v>369.74340000000001</v>
      </c>
      <c r="G275" s="31">
        <v>0</v>
      </c>
      <c r="H275" s="56">
        <f>F275*(($H$176)+1)+G275</f>
        <v>591.58944000000008</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7" customFormat="1" ht="20.25" x14ac:dyDescent="0.25">
      <c r="A276" s="92" t="str">
        <f t="shared" ref="A276:A278" si="42">A275</f>
        <v>1st to 4th, 6th, 8th, 10th, 12th, 14th, 16th &amp; 18th Floor Residental</v>
      </c>
      <c r="B276" s="93"/>
      <c r="C276" s="97">
        <v>2</v>
      </c>
      <c r="D276" s="98"/>
      <c r="E276" s="31" t="s">
        <v>204</v>
      </c>
      <c r="F276" s="42">
        <f>(33.53)*10.764</f>
        <v>360.91692</v>
      </c>
      <c r="G276" s="31">
        <v>0</v>
      </c>
      <c r="H276" s="56">
        <f>F276*(($H$176)+1)+G276</f>
        <v>577.46707200000003</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7" customFormat="1" ht="20.25" x14ac:dyDescent="0.25">
      <c r="A277" s="92" t="str">
        <f>A275</f>
        <v>1st to 4th, 6th, 8th, 10th, 12th, 14th, 16th &amp; 18th Floor Residental</v>
      </c>
      <c r="B277" s="93"/>
      <c r="C277" s="97">
        <v>3</v>
      </c>
      <c r="D277" s="98"/>
      <c r="E277" s="31" t="s">
        <v>215</v>
      </c>
      <c r="F277" s="42">
        <f>85.66*10.764</f>
        <v>922.04423999999995</v>
      </c>
      <c r="G277" s="31">
        <v>0</v>
      </c>
      <c r="H277" s="56">
        <f>F277*(($H$176)+1)+G277</f>
        <v>1475.270784</v>
      </c>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7" customFormat="1" ht="20.25" customHeight="1" x14ac:dyDescent="0.25">
      <c r="A278" s="92" t="str">
        <f t="shared" si="42"/>
        <v>1st to 4th, 6th, 8th, 10th, 12th, 14th, 16th &amp; 18th Floor Residental</v>
      </c>
      <c r="B278" s="93"/>
      <c r="C278" s="97">
        <f t="shared" ref="C278" si="43">C277+1</f>
        <v>4</v>
      </c>
      <c r="D278" s="98"/>
      <c r="E278" s="31" t="s">
        <v>215</v>
      </c>
      <c r="F278" s="42">
        <f>71.21*10.764</f>
        <v>766.50443999999993</v>
      </c>
      <c r="G278" s="31">
        <v>0</v>
      </c>
      <c r="H278" s="56">
        <f>F278*(($H$176)+1)+G278</f>
        <v>1226.4071039999999</v>
      </c>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7" customFormat="1" ht="20.25" x14ac:dyDescent="0.25">
      <c r="A279" s="94" t="s">
        <v>220</v>
      </c>
      <c r="B279" s="95"/>
      <c r="C279" s="95"/>
      <c r="D279" s="95"/>
      <c r="E279" s="95"/>
      <c r="F279" s="95"/>
      <c r="G279" s="95"/>
      <c r="H279" s="96"/>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7" customFormat="1" ht="20.25" x14ac:dyDescent="0.25">
      <c r="A280" s="92" t="str">
        <f>A279</f>
        <v>5th, 7th, 9th, 11th, 13th, 15th &amp; 17th Floor (Part Refuge Area)</v>
      </c>
      <c r="B280" s="93"/>
      <c r="C280" s="97">
        <v>1</v>
      </c>
      <c r="D280" s="98"/>
      <c r="E280" s="31" t="s">
        <v>204</v>
      </c>
      <c r="F280" s="42">
        <f>(34.35)*10.764</f>
        <v>369.74340000000001</v>
      </c>
      <c r="G280" s="31">
        <v>0</v>
      </c>
      <c r="H280" s="56">
        <f>F280*(($H$176)+1)+G280</f>
        <v>591.58944000000008</v>
      </c>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7" customFormat="1" ht="20.25" x14ac:dyDescent="0.25">
      <c r="A281" s="92" t="str">
        <f t="shared" ref="A281:A283" si="44">A280</f>
        <v>5th, 7th, 9th, 11th, 13th, 15th &amp; 17th Floor (Part Refuge Area)</v>
      </c>
      <c r="B281" s="93"/>
      <c r="C281" s="97">
        <v>2</v>
      </c>
      <c r="D281" s="98"/>
      <c r="E281" s="31" t="s">
        <v>204</v>
      </c>
      <c r="F281" s="42">
        <f>(33.53)*10.764</f>
        <v>360.91692</v>
      </c>
      <c r="G281" s="31">
        <v>0</v>
      </c>
      <c r="H281" s="56">
        <f>F281*(($H$176)+1)+G281</f>
        <v>577.46707200000003</v>
      </c>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7" customFormat="1" ht="20.25" x14ac:dyDescent="0.25">
      <c r="A282" s="92" t="str">
        <f>A280</f>
        <v>5th, 7th, 9th, 11th, 13th, 15th &amp; 17th Floor (Part Refuge Area)</v>
      </c>
      <c r="B282" s="93"/>
      <c r="C282" s="97">
        <v>3</v>
      </c>
      <c r="D282" s="98"/>
      <c r="E282" s="31" t="s">
        <v>215</v>
      </c>
      <c r="F282" s="42">
        <f>85.66*10.764</f>
        <v>922.04423999999995</v>
      </c>
      <c r="G282" s="31">
        <v>0</v>
      </c>
      <c r="H282" s="56">
        <f>F282*(($H$176)+1)+G282</f>
        <v>1475.270784</v>
      </c>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7" customFormat="1" ht="20.25" customHeight="1" x14ac:dyDescent="0.25">
      <c r="A283" s="92" t="str">
        <f t="shared" si="44"/>
        <v>5th, 7th, 9th, 11th, 13th, 15th &amp; 17th Floor (Part Refuge Area)</v>
      </c>
      <c r="B283" s="93"/>
      <c r="C283" s="97">
        <f t="shared" ref="C283" si="45">C282+1</f>
        <v>4</v>
      </c>
      <c r="D283" s="98"/>
      <c r="E283" s="31" t="s">
        <v>215</v>
      </c>
      <c r="F283" s="42">
        <f>71.21*10.764</f>
        <v>766.50443999999993</v>
      </c>
      <c r="G283" s="31">
        <v>0</v>
      </c>
      <c r="H283" s="56">
        <f>F283*(($H$176)+1)+G283</f>
        <v>1226.4071039999999</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ht="20.25" x14ac:dyDescent="0.25">
      <c r="A284" s="83" t="s">
        <v>72</v>
      </c>
      <c r="B284" s="84"/>
      <c r="C284" s="84"/>
      <c r="D284" s="84"/>
      <c r="E284" s="84"/>
      <c r="F284" s="84"/>
      <c r="G284" s="84"/>
      <c r="H284" s="85"/>
    </row>
    <row r="285" spans="1:150 16226:16383" ht="331.5" customHeight="1" x14ac:dyDescent="0.25">
      <c r="A285" s="106" t="s">
        <v>271</v>
      </c>
      <c r="B285" s="107"/>
      <c r="C285" s="108" t="s">
        <v>288</v>
      </c>
      <c r="D285" s="108"/>
      <c r="E285" s="108"/>
      <c r="F285" s="108"/>
      <c r="G285" s="108"/>
      <c r="H285" s="109"/>
      <c r="I285" s="1" t="s">
        <v>269</v>
      </c>
    </row>
    <row r="286" spans="1:150 16226:16383" ht="20.25" x14ac:dyDescent="0.25">
      <c r="A286" s="190" t="s">
        <v>80</v>
      </c>
      <c r="B286" s="191"/>
      <c r="C286" s="191"/>
      <c r="D286" s="191"/>
      <c r="E286" s="191"/>
      <c r="F286" s="191"/>
      <c r="G286" s="191"/>
      <c r="H286" s="192"/>
    </row>
    <row r="287" spans="1:150 16226:16383" ht="20.25" x14ac:dyDescent="0.25">
      <c r="A287" s="78" t="s">
        <v>73</v>
      </c>
      <c r="B287" s="79"/>
      <c r="C287" s="79"/>
      <c r="D287" s="80"/>
      <c r="E287" s="130" t="str">
        <f>E3</f>
        <v>Veridian at Emerald Isle - 11A, 11B, 12A, 12B, 12C, 13A, 13B, 14A &amp; 14B</v>
      </c>
      <c r="F287" s="142"/>
      <c r="G287" s="142"/>
      <c r="H287" s="131"/>
    </row>
    <row r="288" spans="1:150 16226:16383" ht="61.5" customHeight="1" x14ac:dyDescent="0.25">
      <c r="A288" s="86" t="s">
        <v>131</v>
      </c>
      <c r="B288" s="88"/>
      <c r="C288" s="88"/>
      <c r="D288" s="87"/>
      <c r="E288" s="130" t="str">
        <f>E9</f>
        <v>Veridian at Emerald Isle 11A, 11B, 12A &amp; 12B, CTS No.117A, 117A/1, 117­B Part and 117­C, near L&amp;T Emerald Isle Tower 8, Saki Vihar Road, Tungwa, Vikhroli East, Kurla, Mumbai, 400072</v>
      </c>
      <c r="F288" s="142"/>
      <c r="G288" s="142"/>
      <c r="H288" s="131"/>
    </row>
    <row r="289" spans="1:8" ht="20.25" customHeight="1" x14ac:dyDescent="0.25">
      <c r="A289" s="86" t="s">
        <v>137</v>
      </c>
      <c r="B289" s="88"/>
      <c r="C289" s="88"/>
      <c r="D289" s="87"/>
      <c r="E289" s="199" t="str">
        <f>H3</f>
        <v>03/07/2025 at 02:02PM</v>
      </c>
      <c r="F289" s="200"/>
      <c r="G289" s="200"/>
      <c r="H289" s="201"/>
    </row>
    <row r="290" spans="1:8" ht="20.25" x14ac:dyDescent="0.25">
      <c r="A290" s="57"/>
      <c r="B290" s="10"/>
      <c r="C290" s="10"/>
      <c r="D290" s="10"/>
      <c r="E290" s="10"/>
      <c r="F290" s="10"/>
      <c r="G290" s="10"/>
      <c r="H290" s="58"/>
    </row>
    <row r="291" spans="1:8" ht="20.25" x14ac:dyDescent="0.25">
      <c r="A291" s="59"/>
      <c r="B291" s="27"/>
      <c r="C291" s="27"/>
      <c r="D291" s="27"/>
      <c r="E291" s="27"/>
      <c r="F291" s="27"/>
      <c r="G291" s="27"/>
      <c r="H291" s="60"/>
    </row>
    <row r="292" spans="1:8" ht="20.25" x14ac:dyDescent="0.25">
      <c r="A292" s="59"/>
      <c r="B292" s="27"/>
      <c r="C292" s="27"/>
      <c r="D292" s="27"/>
      <c r="E292" s="27"/>
      <c r="F292" s="27"/>
      <c r="G292" s="27"/>
      <c r="H292" s="60"/>
    </row>
    <row r="293" spans="1:8" ht="20.25" x14ac:dyDescent="0.25">
      <c r="A293" s="59"/>
      <c r="B293" s="27"/>
      <c r="C293" s="27"/>
      <c r="D293" s="27"/>
      <c r="E293" s="27"/>
      <c r="F293" s="27"/>
      <c r="G293" s="27"/>
      <c r="H293" s="60"/>
    </row>
    <row r="294" spans="1:8" ht="20.25" x14ac:dyDescent="0.25">
      <c r="A294" s="59"/>
      <c r="B294" s="27"/>
      <c r="C294" s="27"/>
      <c r="D294" s="27"/>
      <c r="E294" s="27"/>
      <c r="F294" s="27"/>
      <c r="G294" s="27"/>
      <c r="H294" s="60"/>
    </row>
    <row r="295" spans="1:8" ht="20.25" x14ac:dyDescent="0.25">
      <c r="A295" s="59"/>
      <c r="B295" s="27"/>
      <c r="C295" s="27"/>
      <c r="D295" s="27"/>
      <c r="E295" s="27"/>
      <c r="F295" s="27"/>
      <c r="G295" s="27"/>
      <c r="H295" s="60"/>
    </row>
    <row r="296" spans="1:8" ht="20.25" x14ac:dyDescent="0.25">
      <c r="A296" s="59"/>
      <c r="B296" s="27"/>
      <c r="C296" s="27"/>
      <c r="D296" s="27"/>
      <c r="E296" s="27"/>
      <c r="F296" s="27"/>
      <c r="G296" s="27"/>
      <c r="H296" s="60"/>
    </row>
    <row r="297" spans="1:8" ht="20.25" x14ac:dyDescent="0.25">
      <c r="A297" s="59"/>
      <c r="B297" s="27"/>
      <c r="C297" s="27"/>
      <c r="D297" s="27"/>
      <c r="E297" s="27"/>
      <c r="F297" s="27"/>
      <c r="G297" s="27"/>
      <c r="H297" s="60"/>
    </row>
    <row r="298" spans="1:8" ht="20.25" x14ac:dyDescent="0.25">
      <c r="A298" s="59"/>
      <c r="B298" s="27"/>
      <c r="C298" s="27"/>
      <c r="D298" s="27"/>
      <c r="E298" s="27"/>
      <c r="F298" s="27"/>
      <c r="G298" s="27"/>
      <c r="H298" s="60"/>
    </row>
    <row r="299" spans="1:8" ht="20.25" x14ac:dyDescent="0.25">
      <c r="A299" s="59"/>
      <c r="B299" s="27"/>
      <c r="C299" s="27"/>
      <c r="D299" s="27"/>
      <c r="E299" s="27"/>
      <c r="F299" s="27"/>
      <c r="G299" s="27"/>
      <c r="H299" s="60"/>
    </row>
    <row r="300" spans="1:8" ht="20.25" x14ac:dyDescent="0.25">
      <c r="A300" s="59"/>
      <c r="B300" s="27"/>
      <c r="C300" s="27"/>
      <c r="D300" s="27"/>
      <c r="E300" s="27"/>
      <c r="F300" s="27"/>
      <c r="G300" s="27"/>
      <c r="H300" s="60"/>
    </row>
    <row r="301" spans="1:8" ht="20.25" x14ac:dyDescent="0.25">
      <c r="A301" s="59"/>
      <c r="B301" s="27"/>
      <c r="C301" s="27"/>
      <c r="D301" s="27"/>
      <c r="E301" s="27"/>
      <c r="F301" s="27"/>
      <c r="G301" s="27"/>
      <c r="H301" s="60"/>
    </row>
    <row r="302" spans="1:8" ht="20.25" x14ac:dyDescent="0.25">
      <c r="A302" s="59"/>
      <c r="B302" s="27"/>
      <c r="C302" s="27"/>
      <c r="D302" s="27"/>
      <c r="E302" s="27"/>
      <c r="F302" s="27"/>
      <c r="G302" s="27"/>
      <c r="H302" s="60"/>
    </row>
    <row r="303" spans="1:8" ht="20.25" x14ac:dyDescent="0.25">
      <c r="A303" s="59"/>
      <c r="B303" s="27"/>
      <c r="C303" s="27"/>
      <c r="D303" s="27"/>
      <c r="E303" s="27"/>
      <c r="F303" s="27"/>
      <c r="G303" s="27"/>
      <c r="H303" s="60"/>
    </row>
    <row r="304" spans="1:8" ht="20.25" x14ac:dyDescent="0.25">
      <c r="A304" s="59"/>
      <c r="B304" s="27"/>
      <c r="C304" s="27"/>
      <c r="D304" s="27"/>
      <c r="E304" s="27"/>
      <c r="F304" s="27"/>
      <c r="G304" s="27"/>
      <c r="H304" s="60"/>
    </row>
    <row r="305" spans="1:8" ht="20.25" x14ac:dyDescent="0.25">
      <c r="A305" s="59"/>
      <c r="B305" s="27"/>
      <c r="C305" s="27"/>
      <c r="D305" s="27"/>
      <c r="E305" s="27"/>
      <c r="F305" s="27"/>
      <c r="G305" s="27"/>
      <c r="H305" s="60"/>
    </row>
    <row r="306" spans="1:8" ht="20.25" x14ac:dyDescent="0.25">
      <c r="A306" s="59"/>
      <c r="B306" s="27"/>
      <c r="C306" s="27"/>
      <c r="D306" s="27"/>
      <c r="E306" s="27"/>
      <c r="F306" s="27"/>
      <c r="G306" s="27"/>
      <c r="H306" s="60"/>
    </row>
    <row r="307" spans="1:8" ht="20.25" x14ac:dyDescent="0.25">
      <c r="A307" s="59"/>
      <c r="B307" s="27"/>
      <c r="C307" s="27"/>
      <c r="D307" s="27"/>
      <c r="E307" s="27"/>
      <c r="F307" s="27"/>
      <c r="G307" s="27"/>
      <c r="H307" s="60"/>
    </row>
    <row r="308" spans="1:8" ht="20.25" x14ac:dyDescent="0.25">
      <c r="A308" s="59"/>
      <c r="B308" s="27"/>
      <c r="C308" s="27"/>
      <c r="D308" s="27"/>
      <c r="E308" s="27"/>
      <c r="F308" s="27"/>
      <c r="G308" s="27"/>
      <c r="H308" s="60"/>
    </row>
    <row r="309" spans="1:8" ht="20.25" x14ac:dyDescent="0.25">
      <c r="A309" s="59"/>
      <c r="B309" s="27"/>
      <c r="C309" s="27"/>
      <c r="D309" s="27"/>
      <c r="E309" s="27"/>
      <c r="F309" s="27"/>
      <c r="G309" s="27"/>
      <c r="H309" s="60"/>
    </row>
    <row r="310" spans="1:8" ht="20.25" x14ac:dyDescent="0.25">
      <c r="A310" s="59"/>
      <c r="B310" s="27"/>
      <c r="C310" s="27"/>
      <c r="D310" s="27"/>
      <c r="E310" s="27"/>
      <c r="F310" s="27"/>
      <c r="G310" s="27"/>
      <c r="H310" s="60"/>
    </row>
    <row r="311" spans="1:8" ht="20.25" x14ac:dyDescent="0.25">
      <c r="A311" s="59"/>
      <c r="B311" s="27"/>
      <c r="C311" s="27"/>
      <c r="D311" s="27"/>
      <c r="E311" s="27"/>
      <c r="F311" s="27"/>
      <c r="G311" s="27"/>
      <c r="H311" s="60"/>
    </row>
    <row r="312" spans="1:8" ht="20.25" x14ac:dyDescent="0.25">
      <c r="A312" s="59"/>
      <c r="B312" s="27"/>
      <c r="C312" s="27"/>
      <c r="D312" s="27"/>
      <c r="E312" s="27"/>
      <c r="F312" s="27"/>
      <c r="G312" s="27"/>
      <c r="H312" s="60"/>
    </row>
    <row r="313" spans="1:8" ht="20.25" x14ac:dyDescent="0.25">
      <c r="A313" s="59"/>
      <c r="B313" s="27"/>
      <c r="C313" s="27"/>
      <c r="D313" s="27"/>
      <c r="E313" s="27"/>
      <c r="F313" s="27"/>
      <c r="G313" s="27"/>
      <c r="H313" s="60"/>
    </row>
    <row r="314" spans="1:8" ht="20.25" x14ac:dyDescent="0.25">
      <c r="A314" s="59"/>
      <c r="B314" s="27"/>
      <c r="C314" s="27"/>
      <c r="D314" s="27"/>
      <c r="E314" s="27"/>
      <c r="F314" s="27"/>
      <c r="G314" s="27"/>
      <c r="H314" s="60"/>
    </row>
    <row r="315" spans="1:8" ht="20.25" x14ac:dyDescent="0.25">
      <c r="A315" s="59"/>
      <c r="B315" s="27"/>
      <c r="C315" s="27"/>
      <c r="D315" s="27"/>
      <c r="E315" s="27"/>
      <c r="F315" s="27"/>
      <c r="G315" s="27"/>
      <c r="H315" s="60"/>
    </row>
    <row r="316" spans="1:8" ht="20.25" x14ac:dyDescent="0.25">
      <c r="A316" s="59"/>
      <c r="B316" s="27"/>
      <c r="C316" s="27"/>
      <c r="D316" s="27"/>
      <c r="E316" s="27"/>
      <c r="F316" s="27"/>
      <c r="G316" s="27"/>
      <c r="H316" s="60"/>
    </row>
    <row r="317" spans="1:8" ht="20.25" x14ac:dyDescent="0.25">
      <c r="A317" s="59"/>
      <c r="B317" s="27"/>
      <c r="C317" s="27"/>
      <c r="D317" s="27"/>
      <c r="E317" s="27"/>
      <c r="F317" s="27"/>
      <c r="G317" s="27"/>
      <c r="H317" s="60"/>
    </row>
    <row r="318" spans="1:8" ht="20.25" x14ac:dyDescent="0.25">
      <c r="A318" s="59"/>
      <c r="B318" s="27"/>
      <c r="C318" s="27"/>
      <c r="D318" s="27"/>
      <c r="E318" s="27"/>
      <c r="F318" s="27"/>
      <c r="G318" s="27"/>
      <c r="H318" s="60"/>
    </row>
    <row r="319" spans="1:8" ht="20.25" x14ac:dyDescent="0.25">
      <c r="A319" s="59"/>
      <c r="B319" s="27"/>
      <c r="C319" s="27"/>
      <c r="D319" s="27"/>
      <c r="E319" s="27"/>
      <c r="F319" s="27"/>
      <c r="G319" s="27"/>
      <c r="H319" s="60"/>
    </row>
    <row r="320" spans="1:8" ht="20.25" x14ac:dyDescent="0.25">
      <c r="A320" s="59"/>
      <c r="B320" s="27"/>
      <c r="C320" s="27"/>
      <c r="D320" s="27"/>
      <c r="E320" s="27"/>
      <c r="F320" s="27"/>
      <c r="G320" s="27"/>
      <c r="H320" s="60"/>
    </row>
    <row r="321" spans="1:8" ht="20.25" x14ac:dyDescent="0.25">
      <c r="A321" s="59"/>
      <c r="B321" s="27"/>
      <c r="C321" s="27"/>
      <c r="D321" s="27"/>
      <c r="E321" s="27"/>
      <c r="F321" s="27"/>
      <c r="G321" s="27"/>
      <c r="H321" s="60"/>
    </row>
    <row r="322" spans="1:8" ht="20.25" x14ac:dyDescent="0.25">
      <c r="A322" s="59"/>
      <c r="B322" s="27"/>
      <c r="C322" s="27"/>
      <c r="D322" s="27"/>
      <c r="E322" s="27"/>
      <c r="F322" s="27"/>
      <c r="G322" s="27"/>
      <c r="H322" s="60"/>
    </row>
    <row r="323" spans="1:8" ht="20.25" x14ac:dyDescent="0.25">
      <c r="A323" s="59"/>
      <c r="B323" s="27"/>
      <c r="C323" s="27"/>
      <c r="D323" s="27"/>
      <c r="E323" s="27"/>
      <c r="F323" s="27"/>
      <c r="G323" s="27"/>
      <c r="H323" s="60"/>
    </row>
    <row r="324" spans="1:8" ht="20.25" x14ac:dyDescent="0.25">
      <c r="A324" s="59"/>
      <c r="B324" s="27"/>
      <c r="C324" s="27"/>
      <c r="D324" s="27"/>
      <c r="E324" s="27"/>
      <c r="F324" s="27"/>
      <c r="G324" s="27"/>
      <c r="H324" s="60"/>
    </row>
    <row r="325" spans="1:8" ht="20.25" x14ac:dyDescent="0.25">
      <c r="A325" s="59"/>
      <c r="B325" s="27"/>
      <c r="C325" s="27"/>
      <c r="D325" s="27"/>
      <c r="E325" s="27"/>
      <c r="F325" s="27"/>
      <c r="G325" s="27"/>
      <c r="H325" s="60"/>
    </row>
    <row r="326" spans="1:8" ht="20.25" x14ac:dyDescent="0.25">
      <c r="A326" s="59"/>
      <c r="B326" s="27"/>
      <c r="C326" s="27"/>
      <c r="D326" s="27"/>
      <c r="E326" s="27"/>
      <c r="F326" s="27"/>
      <c r="G326" s="27"/>
      <c r="H326" s="60"/>
    </row>
    <row r="327" spans="1:8" ht="20.25" x14ac:dyDescent="0.25">
      <c r="A327" s="59"/>
      <c r="B327" s="27"/>
      <c r="C327" s="27"/>
      <c r="D327" s="27"/>
      <c r="E327" s="27"/>
      <c r="F327" s="27"/>
      <c r="G327" s="27"/>
      <c r="H327" s="60"/>
    </row>
    <row r="328" spans="1:8" ht="20.25" x14ac:dyDescent="0.25">
      <c r="A328" s="59"/>
      <c r="B328" s="27"/>
      <c r="C328" s="27"/>
      <c r="D328" s="27"/>
      <c r="E328" s="27"/>
      <c r="F328" s="27"/>
      <c r="G328" s="27"/>
      <c r="H328" s="60"/>
    </row>
    <row r="329" spans="1:8" ht="20.25" x14ac:dyDescent="0.25">
      <c r="A329" s="59"/>
      <c r="B329" s="27"/>
      <c r="C329" s="27"/>
      <c r="D329" s="27"/>
      <c r="E329" s="27"/>
      <c r="F329" s="27"/>
      <c r="G329" s="27"/>
      <c r="H329" s="60"/>
    </row>
    <row r="330" spans="1:8" ht="20.25" x14ac:dyDescent="0.25">
      <c r="A330" s="59"/>
      <c r="B330" s="27"/>
      <c r="C330" s="27"/>
      <c r="D330" s="27"/>
      <c r="E330" s="27"/>
      <c r="F330" s="27"/>
      <c r="G330" s="27"/>
      <c r="H330" s="60"/>
    </row>
    <row r="331" spans="1:8" ht="20.25" x14ac:dyDescent="0.25">
      <c r="A331" s="59"/>
      <c r="B331" s="27"/>
      <c r="C331" s="27"/>
      <c r="D331" s="27"/>
      <c r="E331" s="27"/>
      <c r="F331" s="27"/>
      <c r="G331" s="27"/>
      <c r="H331" s="60"/>
    </row>
    <row r="332" spans="1:8" ht="20.25" x14ac:dyDescent="0.25">
      <c r="A332" s="59"/>
      <c r="B332" s="27"/>
      <c r="C332" s="27"/>
      <c r="D332" s="27"/>
      <c r="E332" s="27"/>
      <c r="F332" s="27"/>
      <c r="G332" s="27"/>
      <c r="H332" s="60"/>
    </row>
    <row r="333" spans="1:8" ht="20.25" x14ac:dyDescent="0.25">
      <c r="A333" s="59"/>
      <c r="B333" s="27"/>
      <c r="C333" s="27"/>
      <c r="D333" s="27"/>
      <c r="E333" s="27"/>
      <c r="F333" s="27"/>
      <c r="G333" s="27"/>
      <c r="H333" s="60"/>
    </row>
    <row r="334" spans="1:8" ht="20.25" x14ac:dyDescent="0.25">
      <c r="A334" s="59"/>
      <c r="B334" s="27"/>
      <c r="C334" s="27"/>
      <c r="D334" s="27"/>
      <c r="E334" s="27"/>
      <c r="F334" s="27"/>
      <c r="G334" s="27"/>
      <c r="H334" s="60"/>
    </row>
    <row r="335" spans="1:8" ht="20.25" x14ac:dyDescent="0.25">
      <c r="A335" s="59"/>
      <c r="B335" s="27"/>
      <c r="C335" s="27"/>
      <c r="D335" s="27"/>
      <c r="E335" s="27"/>
      <c r="F335" s="27"/>
      <c r="G335" s="27"/>
      <c r="H335" s="60"/>
    </row>
    <row r="336" spans="1:8" ht="20.25" x14ac:dyDescent="0.25">
      <c r="A336" s="59"/>
      <c r="B336" s="27"/>
      <c r="C336" s="27"/>
      <c r="D336" s="27"/>
      <c r="E336" s="27"/>
      <c r="F336" s="27"/>
      <c r="G336" s="27"/>
      <c r="H336" s="60"/>
    </row>
    <row r="337" spans="1:8" ht="20.25" x14ac:dyDescent="0.25">
      <c r="A337" s="59"/>
      <c r="B337" s="27"/>
      <c r="C337" s="27"/>
      <c r="D337" s="27"/>
      <c r="E337" s="27"/>
      <c r="F337" s="27"/>
      <c r="G337" s="27"/>
      <c r="H337" s="60"/>
    </row>
    <row r="338" spans="1:8" ht="20.25" x14ac:dyDescent="0.25">
      <c r="A338" s="61"/>
      <c r="B338" s="11"/>
      <c r="C338" s="11"/>
      <c r="D338" s="11"/>
      <c r="E338" s="11"/>
      <c r="F338" s="11"/>
      <c r="G338" s="11"/>
      <c r="H338" s="62"/>
    </row>
    <row r="339" spans="1:8" ht="25.5" x14ac:dyDescent="0.25">
      <c r="A339" s="63" t="s">
        <v>256</v>
      </c>
      <c r="B339" s="10"/>
      <c r="C339" s="10"/>
      <c r="D339" s="10"/>
      <c r="E339" s="10"/>
      <c r="F339" s="10"/>
      <c r="G339" s="10"/>
      <c r="H339" s="58"/>
    </row>
    <row r="340" spans="1:8" ht="20.25" x14ac:dyDescent="0.25">
      <c r="A340" s="59"/>
      <c r="B340" s="27"/>
      <c r="C340" s="27"/>
      <c r="D340" s="27"/>
      <c r="E340" s="27"/>
      <c r="F340" s="27"/>
      <c r="G340" s="27"/>
      <c r="H340" s="60"/>
    </row>
    <row r="341" spans="1:8" ht="20.25" x14ac:dyDescent="0.25">
      <c r="A341" s="59"/>
      <c r="B341" s="27"/>
      <c r="C341" s="27"/>
      <c r="D341" s="27"/>
      <c r="E341" s="27"/>
      <c r="F341" s="27"/>
      <c r="G341" s="27"/>
      <c r="H341" s="60"/>
    </row>
    <row r="342" spans="1:8" ht="20.25" x14ac:dyDescent="0.25">
      <c r="A342" s="59"/>
      <c r="B342" s="27"/>
      <c r="C342" s="27"/>
      <c r="D342" s="27"/>
      <c r="E342" s="27"/>
      <c r="F342" s="27"/>
      <c r="G342" s="27"/>
      <c r="H342" s="60"/>
    </row>
    <row r="343" spans="1:8" ht="20.25" x14ac:dyDescent="0.25">
      <c r="A343" s="59"/>
      <c r="B343" s="27"/>
      <c r="C343" s="27"/>
      <c r="D343" s="27"/>
      <c r="E343" s="27"/>
      <c r="F343" s="27"/>
      <c r="G343" s="27"/>
      <c r="H343" s="60"/>
    </row>
    <row r="344" spans="1:8" ht="20.25" x14ac:dyDescent="0.25">
      <c r="A344" s="59"/>
      <c r="B344" s="27"/>
      <c r="C344" s="27"/>
      <c r="D344" s="27"/>
      <c r="E344" s="27"/>
      <c r="F344" s="27"/>
      <c r="G344" s="27"/>
      <c r="H344" s="60"/>
    </row>
    <row r="345" spans="1:8" ht="20.25" x14ac:dyDescent="0.25">
      <c r="A345" s="59"/>
      <c r="B345" s="27"/>
      <c r="C345" s="27"/>
      <c r="D345" s="27"/>
      <c r="E345" s="27"/>
      <c r="F345" s="27"/>
      <c r="G345" s="27"/>
      <c r="H345" s="60"/>
    </row>
    <row r="346" spans="1:8" ht="20.25" x14ac:dyDescent="0.25">
      <c r="A346" s="59"/>
      <c r="B346" s="27"/>
      <c r="C346" s="27"/>
      <c r="D346" s="27"/>
      <c r="E346" s="27"/>
      <c r="F346" s="27"/>
      <c r="G346" s="27"/>
      <c r="H346" s="60"/>
    </row>
    <row r="347" spans="1:8" ht="20.25" x14ac:dyDescent="0.25">
      <c r="A347" s="59"/>
      <c r="B347" s="27"/>
      <c r="C347" s="27"/>
      <c r="D347" s="27"/>
      <c r="E347" s="27"/>
      <c r="F347" s="27"/>
      <c r="G347" s="27"/>
      <c r="H347" s="60"/>
    </row>
    <row r="348" spans="1:8" ht="20.25" x14ac:dyDescent="0.25">
      <c r="A348" s="59"/>
      <c r="B348" s="27"/>
      <c r="C348" s="27"/>
      <c r="D348" s="27"/>
      <c r="E348" s="27"/>
      <c r="F348" s="27"/>
      <c r="G348" s="27"/>
      <c r="H348" s="60"/>
    </row>
    <row r="349" spans="1:8" ht="20.25" x14ac:dyDescent="0.25">
      <c r="A349" s="59"/>
      <c r="B349" s="27"/>
      <c r="C349" s="27"/>
      <c r="D349" s="27"/>
      <c r="E349" s="27"/>
      <c r="F349" s="27"/>
      <c r="G349" s="27"/>
      <c r="H349" s="60"/>
    </row>
    <row r="350" spans="1:8" ht="20.25" x14ac:dyDescent="0.25">
      <c r="A350" s="59"/>
      <c r="B350" s="27"/>
      <c r="C350" s="27"/>
      <c r="D350" s="27"/>
      <c r="E350" s="27"/>
      <c r="F350" s="27"/>
      <c r="G350" s="27"/>
      <c r="H350" s="60"/>
    </row>
    <row r="351" spans="1:8" ht="20.25" x14ac:dyDescent="0.25">
      <c r="A351" s="59"/>
      <c r="B351" s="27"/>
      <c r="C351" s="27"/>
      <c r="D351" s="27"/>
      <c r="E351" s="27"/>
      <c r="F351" s="27"/>
      <c r="G351" s="27"/>
      <c r="H351" s="60"/>
    </row>
    <row r="352" spans="1:8" ht="20.25" x14ac:dyDescent="0.25">
      <c r="A352" s="59"/>
      <c r="B352" s="27"/>
      <c r="C352" s="27"/>
      <c r="D352" s="27"/>
      <c r="E352" s="27"/>
      <c r="F352" s="27"/>
      <c r="G352" s="27"/>
      <c r="H352" s="60"/>
    </row>
    <row r="353" spans="1:8" ht="20.25" x14ac:dyDescent="0.25">
      <c r="A353" s="59"/>
      <c r="B353" s="27"/>
      <c r="C353" s="27"/>
      <c r="D353" s="27"/>
      <c r="E353" s="27"/>
      <c r="F353" s="27"/>
      <c r="G353" s="27"/>
      <c r="H353" s="60"/>
    </row>
    <row r="354" spans="1:8" ht="20.25" x14ac:dyDescent="0.25">
      <c r="A354" s="59"/>
      <c r="B354" s="27"/>
      <c r="C354" s="27"/>
      <c r="D354" s="27"/>
      <c r="E354" s="27"/>
      <c r="F354" s="27"/>
      <c r="G354" s="27"/>
      <c r="H354" s="60"/>
    </row>
    <row r="355" spans="1:8" ht="20.25" x14ac:dyDescent="0.25">
      <c r="A355" s="59"/>
      <c r="B355" s="27"/>
      <c r="C355" s="27"/>
      <c r="D355" s="27"/>
      <c r="E355" s="27"/>
      <c r="F355" s="27"/>
      <c r="G355" s="27"/>
      <c r="H355" s="60"/>
    </row>
    <row r="356" spans="1:8" ht="20.25" x14ac:dyDescent="0.25">
      <c r="A356" s="59"/>
      <c r="B356" s="27"/>
      <c r="C356" s="27"/>
      <c r="D356" s="27"/>
      <c r="E356" s="27"/>
      <c r="F356" s="27"/>
      <c r="G356" s="27"/>
      <c r="H356" s="60"/>
    </row>
    <row r="357" spans="1:8" ht="20.25" x14ac:dyDescent="0.25">
      <c r="A357" s="59"/>
      <c r="B357" s="27"/>
      <c r="C357" s="27"/>
      <c r="D357" s="27"/>
      <c r="E357" s="27"/>
      <c r="F357" s="27"/>
      <c r="G357" s="27"/>
      <c r="H357" s="60"/>
    </row>
    <row r="358" spans="1:8" ht="20.25" x14ac:dyDescent="0.25">
      <c r="A358" s="59"/>
      <c r="B358" s="27"/>
      <c r="C358" s="27"/>
      <c r="D358" s="27"/>
      <c r="E358" s="27"/>
      <c r="F358" s="27"/>
      <c r="G358" s="27"/>
      <c r="H358" s="60"/>
    </row>
    <row r="359" spans="1:8" ht="20.25" x14ac:dyDescent="0.25">
      <c r="A359" s="59"/>
      <c r="B359" s="27"/>
      <c r="C359" s="27"/>
      <c r="D359" s="27"/>
      <c r="E359" s="27"/>
      <c r="F359" s="27"/>
      <c r="G359" s="27"/>
      <c r="H359" s="60"/>
    </row>
    <row r="360" spans="1:8" ht="20.25" x14ac:dyDescent="0.25">
      <c r="A360" s="59"/>
      <c r="B360" s="27"/>
      <c r="C360" s="27"/>
      <c r="D360" s="27"/>
      <c r="E360" s="27"/>
      <c r="F360" s="27"/>
      <c r="G360" s="27"/>
      <c r="H360" s="60"/>
    </row>
    <row r="361" spans="1:8" ht="20.25" x14ac:dyDescent="0.25">
      <c r="A361" s="59"/>
      <c r="B361" s="27"/>
      <c r="C361" s="27"/>
      <c r="D361" s="27"/>
      <c r="E361" s="27"/>
      <c r="F361" s="27"/>
      <c r="G361" s="27"/>
      <c r="H361" s="60"/>
    </row>
    <row r="362" spans="1:8" ht="20.25" x14ac:dyDescent="0.25">
      <c r="A362" s="59"/>
      <c r="B362" s="27"/>
      <c r="C362" s="27"/>
      <c r="D362" s="27"/>
      <c r="E362" s="27"/>
      <c r="F362" s="27"/>
      <c r="G362" s="27"/>
      <c r="H362" s="60"/>
    </row>
    <row r="363" spans="1:8" ht="20.25" x14ac:dyDescent="0.25">
      <c r="A363" s="59"/>
      <c r="B363" s="27"/>
      <c r="C363" s="27"/>
      <c r="D363" s="27"/>
      <c r="E363" s="27"/>
      <c r="F363" s="27"/>
      <c r="G363" s="27"/>
      <c r="H363" s="60"/>
    </row>
    <row r="364" spans="1:8" ht="20.25" x14ac:dyDescent="0.25">
      <c r="A364" s="59"/>
      <c r="B364" s="27"/>
      <c r="C364" s="27"/>
      <c r="D364" s="27"/>
      <c r="E364" s="27"/>
      <c r="F364" s="27"/>
      <c r="G364" s="27"/>
      <c r="H364" s="60"/>
    </row>
    <row r="365" spans="1:8" ht="20.25" x14ac:dyDescent="0.25">
      <c r="A365" s="59"/>
      <c r="B365" s="27"/>
      <c r="C365" s="27"/>
      <c r="D365" s="27"/>
      <c r="E365" s="27"/>
      <c r="F365" s="27"/>
      <c r="G365" s="27"/>
      <c r="H365" s="60"/>
    </row>
    <row r="366" spans="1:8" ht="20.25" x14ac:dyDescent="0.25">
      <c r="A366" s="59"/>
      <c r="B366" s="27"/>
      <c r="C366" s="27"/>
      <c r="D366" s="27"/>
      <c r="E366" s="27"/>
      <c r="F366" s="27"/>
      <c r="G366" s="27"/>
      <c r="H366" s="60"/>
    </row>
    <row r="367" spans="1:8" ht="20.25" x14ac:dyDescent="0.25">
      <c r="A367" s="59"/>
      <c r="B367" s="27"/>
      <c r="C367" s="27"/>
      <c r="D367" s="27"/>
      <c r="E367" s="27"/>
      <c r="F367" s="27"/>
      <c r="G367" s="27"/>
      <c r="H367" s="60"/>
    </row>
    <row r="368" spans="1:8" ht="20.25" x14ac:dyDescent="0.25">
      <c r="A368" s="59"/>
      <c r="B368" s="27"/>
      <c r="C368" s="27"/>
      <c r="D368" s="27"/>
      <c r="E368" s="27"/>
      <c r="F368" s="27"/>
      <c r="G368" s="27"/>
      <c r="H368" s="60"/>
    </row>
    <row r="369" spans="1:8" ht="20.25" x14ac:dyDescent="0.25">
      <c r="A369" s="59"/>
      <c r="B369" s="27"/>
      <c r="C369" s="27"/>
      <c r="D369" s="27"/>
      <c r="E369" s="27"/>
      <c r="F369" s="27"/>
      <c r="G369" s="27"/>
      <c r="H369" s="60"/>
    </row>
    <row r="370" spans="1:8" ht="20.25" x14ac:dyDescent="0.25">
      <c r="A370" s="59"/>
      <c r="B370" s="27"/>
      <c r="C370" s="27"/>
      <c r="D370" s="27"/>
      <c r="E370" s="27"/>
      <c r="F370" s="27"/>
      <c r="G370" s="27"/>
      <c r="H370" s="60"/>
    </row>
    <row r="371" spans="1:8" ht="20.25" x14ac:dyDescent="0.25">
      <c r="A371" s="59"/>
      <c r="B371" s="27"/>
      <c r="C371" s="27"/>
      <c r="D371" s="27"/>
      <c r="E371" s="27"/>
      <c r="F371" s="27"/>
      <c r="G371" s="27"/>
      <c r="H371" s="60"/>
    </row>
    <row r="372" spans="1:8" ht="20.25" x14ac:dyDescent="0.25">
      <c r="A372" s="59"/>
      <c r="B372" s="27"/>
      <c r="C372" s="27"/>
      <c r="D372" s="27"/>
      <c r="E372" s="27"/>
      <c r="F372" s="27"/>
      <c r="G372" s="27"/>
      <c r="H372" s="60"/>
    </row>
    <row r="373" spans="1:8" ht="20.25" x14ac:dyDescent="0.25">
      <c r="A373" s="59"/>
      <c r="B373" s="27"/>
      <c r="C373" s="27"/>
      <c r="D373" s="27"/>
      <c r="E373" s="27"/>
      <c r="F373" s="27"/>
      <c r="G373" s="27"/>
      <c r="H373" s="60"/>
    </row>
    <row r="374" spans="1:8" ht="20.25" x14ac:dyDescent="0.25">
      <c r="A374" s="59"/>
      <c r="B374" s="27"/>
      <c r="C374" s="27"/>
      <c r="D374" s="27"/>
      <c r="E374" s="27"/>
      <c r="F374" s="27"/>
      <c r="G374" s="27"/>
      <c r="H374" s="60"/>
    </row>
    <row r="375" spans="1:8" ht="20.25" x14ac:dyDescent="0.25">
      <c r="A375" s="59"/>
      <c r="B375" s="27"/>
      <c r="C375" s="27"/>
      <c r="D375" s="27"/>
      <c r="E375" s="27"/>
      <c r="F375" s="27"/>
      <c r="G375" s="27"/>
      <c r="H375" s="60"/>
    </row>
    <row r="376" spans="1:8" ht="20.25" x14ac:dyDescent="0.25">
      <c r="A376" s="59"/>
      <c r="B376" s="27"/>
      <c r="C376" s="27"/>
      <c r="D376" s="27"/>
      <c r="E376" s="27"/>
      <c r="F376" s="27"/>
      <c r="G376" s="27"/>
      <c r="H376" s="60"/>
    </row>
    <row r="377" spans="1:8" ht="20.25" x14ac:dyDescent="0.25">
      <c r="A377" s="59"/>
      <c r="B377" s="27"/>
      <c r="C377" s="27"/>
      <c r="D377" s="27"/>
      <c r="E377" s="27"/>
      <c r="F377" s="27"/>
      <c r="G377" s="27"/>
      <c r="H377" s="60"/>
    </row>
    <row r="378" spans="1:8" ht="20.25" x14ac:dyDescent="0.25">
      <c r="A378" s="61"/>
      <c r="B378" s="11"/>
      <c r="C378" s="11"/>
      <c r="D378" s="11"/>
      <c r="E378" s="11"/>
      <c r="F378" s="11"/>
      <c r="G378" s="11"/>
      <c r="H378" s="62"/>
    </row>
    <row r="379" spans="1:8" ht="20.25" x14ac:dyDescent="0.25">
      <c r="A379" s="153" t="s">
        <v>81</v>
      </c>
      <c r="B379" s="154"/>
      <c r="C379" s="154"/>
      <c r="D379" s="154"/>
      <c r="E379" s="154"/>
      <c r="F379" s="154"/>
      <c r="G379" s="154"/>
      <c r="H379" s="155"/>
    </row>
    <row r="380" spans="1:8" ht="20.25" x14ac:dyDescent="0.25">
      <c r="A380" s="57"/>
      <c r="B380" s="10"/>
      <c r="C380" s="10"/>
      <c r="D380" s="10"/>
      <c r="E380" s="10"/>
      <c r="F380" s="10"/>
      <c r="G380" s="10"/>
      <c r="H380" s="58"/>
    </row>
    <row r="381" spans="1:8" ht="20.25" x14ac:dyDescent="0.25">
      <c r="A381" s="59"/>
      <c r="B381" s="27"/>
      <c r="C381" s="27"/>
      <c r="D381" s="27"/>
      <c r="E381" s="27"/>
      <c r="F381" s="27"/>
      <c r="G381" s="27"/>
      <c r="H381" s="60"/>
    </row>
    <row r="382" spans="1:8" ht="20.25" x14ac:dyDescent="0.25">
      <c r="A382" s="59"/>
      <c r="B382" s="27"/>
      <c r="C382" s="27"/>
      <c r="D382" s="27"/>
      <c r="E382" s="27"/>
      <c r="F382" s="27"/>
      <c r="G382" s="27"/>
      <c r="H382" s="60"/>
    </row>
    <row r="383" spans="1:8" ht="20.25" x14ac:dyDescent="0.25">
      <c r="A383" s="59"/>
      <c r="B383" s="27"/>
      <c r="C383" s="27"/>
      <c r="D383" s="27"/>
      <c r="E383" s="27"/>
      <c r="F383" s="27"/>
      <c r="G383" s="27"/>
      <c r="H383" s="60"/>
    </row>
    <row r="384" spans="1:8" ht="20.25" x14ac:dyDescent="0.25">
      <c r="A384" s="59"/>
      <c r="B384" s="27"/>
      <c r="C384" s="27"/>
      <c r="D384" s="27"/>
      <c r="E384" s="27"/>
      <c r="F384" s="27"/>
      <c r="G384" s="27"/>
      <c r="H384" s="60"/>
    </row>
    <row r="385" spans="1:8" ht="20.25" x14ac:dyDescent="0.25">
      <c r="A385" s="59"/>
      <c r="B385" s="27"/>
      <c r="C385" s="27"/>
      <c r="D385" s="27"/>
      <c r="E385" s="27"/>
      <c r="F385" s="27"/>
      <c r="G385" s="27"/>
      <c r="H385" s="60"/>
    </row>
    <row r="386" spans="1:8" ht="20.25" x14ac:dyDescent="0.25">
      <c r="A386" s="59"/>
      <c r="B386" s="27"/>
      <c r="C386" s="27"/>
      <c r="D386" s="27"/>
      <c r="E386" s="27"/>
      <c r="F386" s="27"/>
      <c r="G386" s="27"/>
      <c r="H386" s="60"/>
    </row>
    <row r="387" spans="1:8" ht="20.25" x14ac:dyDescent="0.25">
      <c r="A387" s="59"/>
      <c r="B387" s="27"/>
      <c r="C387" s="27"/>
      <c r="D387" s="27"/>
      <c r="E387" s="27"/>
      <c r="F387" s="27"/>
      <c r="G387" s="27"/>
      <c r="H387" s="60"/>
    </row>
    <row r="388" spans="1:8" ht="20.25" x14ac:dyDescent="0.25">
      <c r="A388" s="59"/>
      <c r="B388" s="27"/>
      <c r="C388" s="27"/>
      <c r="D388" s="27"/>
      <c r="E388" s="27"/>
      <c r="F388" s="27"/>
      <c r="G388" s="27"/>
      <c r="H388" s="60"/>
    </row>
    <row r="389" spans="1:8" ht="20.25" x14ac:dyDescent="0.25">
      <c r="A389" s="59"/>
      <c r="B389" s="27"/>
      <c r="C389" s="27"/>
      <c r="D389" s="27"/>
      <c r="E389" s="27"/>
      <c r="F389" s="27"/>
      <c r="G389" s="27"/>
      <c r="H389" s="60"/>
    </row>
    <row r="390" spans="1:8" ht="20.25" x14ac:dyDescent="0.25">
      <c r="A390" s="59"/>
      <c r="B390" s="27"/>
      <c r="C390" s="27"/>
      <c r="D390" s="27"/>
      <c r="E390" s="27"/>
      <c r="F390" s="27"/>
      <c r="G390" s="27"/>
      <c r="H390" s="60"/>
    </row>
    <row r="391" spans="1:8" ht="20.25" x14ac:dyDescent="0.25">
      <c r="A391" s="59"/>
      <c r="B391" s="27"/>
      <c r="C391" s="27"/>
      <c r="D391" s="27"/>
      <c r="E391" s="27"/>
      <c r="F391" s="27"/>
      <c r="G391" s="27"/>
      <c r="H391" s="60"/>
    </row>
    <row r="392" spans="1:8" ht="20.25" x14ac:dyDescent="0.25">
      <c r="A392" s="59"/>
      <c r="B392" s="27"/>
      <c r="C392" s="27"/>
      <c r="D392" s="27"/>
      <c r="E392" s="27"/>
      <c r="F392" s="27"/>
      <c r="G392" s="27"/>
      <c r="H392" s="60"/>
    </row>
    <row r="393" spans="1:8" ht="20.25" x14ac:dyDescent="0.25">
      <c r="A393" s="59"/>
      <c r="B393" s="27"/>
      <c r="C393" s="27"/>
      <c r="D393" s="27"/>
      <c r="E393" s="27"/>
      <c r="F393" s="27"/>
      <c r="G393" s="27"/>
      <c r="H393" s="60"/>
    </row>
    <row r="394" spans="1:8" ht="20.25" x14ac:dyDescent="0.25">
      <c r="A394" s="59"/>
      <c r="B394" s="27"/>
      <c r="C394" s="27"/>
      <c r="D394" s="27"/>
      <c r="E394" s="27"/>
      <c r="F394" s="27"/>
      <c r="G394" s="27"/>
      <c r="H394" s="60"/>
    </row>
    <row r="395" spans="1:8" ht="20.25" x14ac:dyDescent="0.25">
      <c r="A395" s="59"/>
      <c r="B395" s="27"/>
      <c r="C395" s="27"/>
      <c r="D395" s="27"/>
      <c r="E395" s="27"/>
      <c r="F395" s="27"/>
      <c r="G395" s="27"/>
      <c r="H395" s="60"/>
    </row>
    <row r="396" spans="1:8" ht="20.25" x14ac:dyDescent="0.25">
      <c r="A396" s="59"/>
      <c r="B396" s="27"/>
      <c r="C396" s="27"/>
      <c r="D396" s="27"/>
      <c r="E396" s="27"/>
      <c r="F396" s="27"/>
      <c r="G396" s="27"/>
      <c r="H396" s="60"/>
    </row>
    <row r="397" spans="1:8" ht="20.25" x14ac:dyDescent="0.25">
      <c r="A397" s="59"/>
      <c r="B397" s="27"/>
      <c r="C397" s="27"/>
      <c r="D397" s="27"/>
      <c r="E397" s="27"/>
      <c r="F397" s="27"/>
      <c r="G397" s="27"/>
      <c r="H397" s="60"/>
    </row>
    <row r="398" spans="1:8" ht="20.25" x14ac:dyDescent="0.25">
      <c r="A398" s="59"/>
      <c r="B398" s="27"/>
      <c r="C398" s="27"/>
      <c r="D398" s="27"/>
      <c r="E398" s="27"/>
      <c r="F398" s="27"/>
      <c r="G398" s="27"/>
      <c r="H398" s="60"/>
    </row>
    <row r="399" spans="1:8" ht="20.25" x14ac:dyDescent="0.25">
      <c r="A399" s="59"/>
      <c r="B399" s="27"/>
      <c r="C399" s="27"/>
      <c r="D399" s="27"/>
      <c r="E399" s="27"/>
      <c r="F399" s="27"/>
      <c r="G399" s="27"/>
      <c r="H399" s="60"/>
    </row>
    <row r="400" spans="1:8" ht="20.25" x14ac:dyDescent="0.25">
      <c r="A400" s="59"/>
      <c r="B400" s="27"/>
      <c r="C400" s="27"/>
      <c r="D400" s="27"/>
      <c r="E400" s="27"/>
      <c r="F400" s="27"/>
      <c r="G400" s="27"/>
      <c r="H400" s="60"/>
    </row>
    <row r="401" spans="1:8" ht="20.25" x14ac:dyDescent="0.25">
      <c r="A401" s="59"/>
      <c r="B401" s="27"/>
      <c r="C401" s="27"/>
      <c r="D401" s="27"/>
      <c r="E401" s="27"/>
      <c r="F401" s="27"/>
      <c r="G401" s="27"/>
      <c r="H401" s="60"/>
    </row>
    <row r="402" spans="1:8" ht="20.25" x14ac:dyDescent="0.25">
      <c r="A402" s="59"/>
      <c r="B402" s="27"/>
      <c r="C402" s="27"/>
      <c r="D402" s="27"/>
      <c r="E402" s="27"/>
      <c r="F402" s="27"/>
      <c r="G402" s="27"/>
      <c r="H402" s="60"/>
    </row>
    <row r="403" spans="1:8" ht="20.25" x14ac:dyDescent="0.25">
      <c r="A403" s="59"/>
      <c r="B403" s="27"/>
      <c r="C403" s="27"/>
      <c r="D403" s="27"/>
      <c r="E403" s="27"/>
      <c r="F403" s="27"/>
      <c r="G403" s="27"/>
      <c r="H403" s="60"/>
    </row>
    <row r="404" spans="1:8" ht="20.25" x14ac:dyDescent="0.25">
      <c r="A404" s="59"/>
      <c r="B404" s="27"/>
      <c r="C404" s="27"/>
      <c r="D404" s="27"/>
      <c r="E404" s="27"/>
      <c r="F404" s="27"/>
      <c r="G404" s="27"/>
      <c r="H404" s="60"/>
    </row>
    <row r="405" spans="1:8" ht="20.25" x14ac:dyDescent="0.25">
      <c r="A405" s="59"/>
      <c r="B405" s="27"/>
      <c r="C405" s="27"/>
      <c r="D405" s="27"/>
      <c r="E405" s="27"/>
      <c r="F405" s="27"/>
      <c r="G405" s="27"/>
      <c r="H405" s="60"/>
    </row>
    <row r="406" spans="1:8" ht="20.25" x14ac:dyDescent="0.25">
      <c r="A406" s="59"/>
      <c r="B406" s="27"/>
      <c r="C406" s="27"/>
      <c r="D406" s="27"/>
      <c r="E406" s="27"/>
      <c r="F406" s="27"/>
      <c r="G406" s="27"/>
      <c r="H406" s="60"/>
    </row>
    <row r="407" spans="1:8" ht="20.25" x14ac:dyDescent="0.25">
      <c r="A407" s="59"/>
      <c r="B407" s="27"/>
      <c r="C407" s="27"/>
      <c r="D407" s="27"/>
      <c r="E407" s="27"/>
      <c r="F407" s="27"/>
      <c r="G407" s="27"/>
      <c r="H407" s="60"/>
    </row>
    <row r="408" spans="1:8" ht="20.25" x14ac:dyDescent="0.25">
      <c r="A408" s="59"/>
      <c r="B408" s="27"/>
      <c r="C408" s="27"/>
      <c r="D408" s="27"/>
      <c r="E408" s="27"/>
      <c r="F408" s="27"/>
      <c r="G408" s="27"/>
      <c r="H408" s="60"/>
    </row>
    <row r="409" spans="1:8" ht="20.25" x14ac:dyDescent="0.25">
      <c r="A409" s="59"/>
      <c r="B409" s="27"/>
      <c r="C409" s="27"/>
      <c r="D409" s="27"/>
      <c r="E409" s="27"/>
      <c r="F409" s="27"/>
      <c r="G409" s="27"/>
      <c r="H409" s="60"/>
    </row>
    <row r="410" spans="1:8" ht="20.25" x14ac:dyDescent="0.25">
      <c r="A410" s="59"/>
      <c r="B410" s="27"/>
      <c r="C410" s="27"/>
      <c r="D410" s="27"/>
      <c r="E410" s="27"/>
      <c r="F410" s="27"/>
      <c r="G410" s="27"/>
      <c r="H410" s="60"/>
    </row>
    <row r="411" spans="1:8" ht="20.25" hidden="1" x14ac:dyDescent="0.25">
      <c r="A411" s="59"/>
      <c r="B411" s="27"/>
      <c r="C411" s="27"/>
      <c r="D411" s="27"/>
      <c r="E411" s="27"/>
      <c r="F411" s="27"/>
      <c r="G411" s="27"/>
      <c r="H411" s="60"/>
    </row>
    <row r="412" spans="1:8" ht="20.25" hidden="1" x14ac:dyDescent="0.25">
      <c r="A412" s="59"/>
      <c r="B412" s="27"/>
      <c r="C412" s="27"/>
      <c r="D412" s="27"/>
      <c r="E412" s="27"/>
      <c r="F412" s="27"/>
      <c r="G412" s="27"/>
      <c r="H412" s="60"/>
    </row>
    <row r="413" spans="1:8" ht="20.25" hidden="1" x14ac:dyDescent="0.25">
      <c r="A413" s="59"/>
      <c r="B413" s="27"/>
      <c r="C413" s="27"/>
      <c r="D413" s="27"/>
      <c r="E413" s="27"/>
      <c r="F413" s="27"/>
      <c r="G413" s="27"/>
      <c r="H413" s="60"/>
    </row>
    <row r="414" spans="1:8" ht="20.25" hidden="1" x14ac:dyDescent="0.25">
      <c r="A414" s="59"/>
      <c r="B414" s="27"/>
      <c r="C414" s="27"/>
      <c r="D414" s="27"/>
      <c r="E414" s="27"/>
      <c r="F414" s="27"/>
      <c r="G414" s="27"/>
      <c r="H414" s="60"/>
    </row>
    <row r="415" spans="1:8" ht="20.25" hidden="1" x14ac:dyDescent="0.25">
      <c r="A415" s="59"/>
      <c r="B415" s="27"/>
      <c r="C415" s="27"/>
      <c r="D415" s="27"/>
      <c r="E415" s="27"/>
      <c r="F415" s="27"/>
      <c r="G415" s="27"/>
      <c r="H415" s="60"/>
    </row>
    <row r="416" spans="1:8" ht="20.25" hidden="1" x14ac:dyDescent="0.25">
      <c r="A416" s="59"/>
      <c r="B416" s="27"/>
      <c r="C416" s="27"/>
      <c r="D416" s="27"/>
      <c r="E416" s="27"/>
      <c r="F416" s="27"/>
      <c r="G416" s="27"/>
      <c r="H416" s="60"/>
    </row>
    <row r="417" spans="1:8" ht="20.25" hidden="1" x14ac:dyDescent="0.25">
      <c r="A417" s="59"/>
      <c r="B417" s="27"/>
      <c r="C417" s="27"/>
      <c r="D417" s="27"/>
      <c r="E417" s="27"/>
      <c r="F417" s="27"/>
      <c r="G417" s="27"/>
      <c r="H417" s="60"/>
    </row>
    <row r="418" spans="1:8" ht="20.25" hidden="1" x14ac:dyDescent="0.25">
      <c r="A418" s="59"/>
      <c r="B418" s="27"/>
      <c r="C418" s="27"/>
      <c r="D418" s="27"/>
      <c r="E418" s="27"/>
      <c r="F418" s="27"/>
      <c r="G418" s="27"/>
      <c r="H418" s="60"/>
    </row>
    <row r="419" spans="1:8" ht="20.25" x14ac:dyDescent="0.25">
      <c r="A419" s="83" t="s">
        <v>28</v>
      </c>
      <c r="B419" s="84"/>
      <c r="C419" s="84"/>
      <c r="D419" s="84"/>
      <c r="E419" s="84"/>
      <c r="F419" s="84"/>
      <c r="G419" s="84"/>
      <c r="H419" s="85"/>
    </row>
    <row r="420" spans="1:8" ht="20.25" x14ac:dyDescent="0.25">
      <c r="A420" s="100" t="s">
        <v>83</v>
      </c>
      <c r="B420" s="193"/>
      <c r="C420" s="193"/>
      <c r="D420" s="193"/>
      <c r="E420" s="193"/>
      <c r="F420" s="193"/>
      <c r="G420" s="193"/>
      <c r="H420" s="194"/>
    </row>
    <row r="421" spans="1:8" ht="20.25" x14ac:dyDescent="0.25">
      <c r="A421" s="102" t="s">
        <v>84</v>
      </c>
      <c r="B421" s="195"/>
      <c r="C421" s="195"/>
      <c r="D421" s="195"/>
      <c r="E421" s="195"/>
      <c r="F421" s="195"/>
      <c r="G421" s="195"/>
      <c r="H421" s="196"/>
    </row>
    <row r="422" spans="1:8" ht="45" customHeight="1" x14ac:dyDescent="0.25">
      <c r="A422" s="102" t="s">
        <v>85</v>
      </c>
      <c r="B422" s="195"/>
      <c r="C422" s="195"/>
      <c r="D422" s="195"/>
      <c r="E422" s="195"/>
      <c r="F422" s="195"/>
      <c r="G422" s="195"/>
      <c r="H422" s="196"/>
    </row>
    <row r="423" spans="1:8" ht="42.75" customHeight="1" x14ac:dyDescent="0.25">
      <c r="A423" s="102" t="s">
        <v>86</v>
      </c>
      <c r="B423" s="195"/>
      <c r="C423" s="195"/>
      <c r="D423" s="195"/>
      <c r="E423" s="195"/>
      <c r="F423" s="195"/>
      <c r="G423" s="195"/>
      <c r="H423" s="196"/>
    </row>
    <row r="424" spans="1:8" ht="20.25" x14ac:dyDescent="0.25">
      <c r="A424" s="102" t="s">
        <v>87</v>
      </c>
      <c r="B424" s="195"/>
      <c r="C424" s="195"/>
      <c r="D424" s="195"/>
      <c r="E424" s="195"/>
      <c r="F424" s="195"/>
      <c r="G424" s="195"/>
      <c r="H424" s="196"/>
    </row>
    <row r="425" spans="1:8" ht="20.25" x14ac:dyDescent="0.25">
      <c r="A425" s="102" t="s">
        <v>88</v>
      </c>
      <c r="B425" s="195"/>
      <c r="C425" s="195"/>
      <c r="D425" s="195"/>
      <c r="E425" s="195"/>
      <c r="F425" s="195"/>
      <c r="G425" s="195"/>
      <c r="H425" s="196"/>
    </row>
    <row r="426" spans="1:8" ht="45" customHeight="1" x14ac:dyDescent="0.25">
      <c r="A426" s="102" t="s">
        <v>89</v>
      </c>
      <c r="B426" s="195"/>
      <c r="C426" s="195"/>
      <c r="D426" s="195"/>
      <c r="E426" s="195"/>
      <c r="F426" s="195"/>
      <c r="G426" s="195"/>
      <c r="H426" s="196"/>
    </row>
    <row r="427" spans="1:8" ht="45" customHeight="1" x14ac:dyDescent="0.25">
      <c r="A427" s="102" t="s">
        <v>90</v>
      </c>
      <c r="B427" s="195"/>
      <c r="C427" s="195"/>
      <c r="D427" s="195"/>
      <c r="E427" s="195"/>
      <c r="F427" s="195"/>
      <c r="G427" s="195"/>
      <c r="H427" s="196"/>
    </row>
    <row r="428" spans="1:8" ht="47.25" customHeight="1" x14ac:dyDescent="0.25">
      <c r="A428" s="104" t="s">
        <v>91</v>
      </c>
      <c r="B428" s="197"/>
      <c r="C428" s="197"/>
      <c r="D428" s="197"/>
      <c r="E428" s="197"/>
      <c r="F428" s="197"/>
      <c r="G428" s="197"/>
      <c r="H428" s="198"/>
    </row>
    <row r="429" spans="1:8" ht="63" customHeight="1" thickBot="1" x14ac:dyDescent="0.3">
      <c r="A429" s="202" t="s">
        <v>34</v>
      </c>
      <c r="B429" s="203"/>
      <c r="C429" s="203"/>
      <c r="D429" s="204" t="s">
        <v>276</v>
      </c>
      <c r="E429" s="204"/>
      <c r="F429" s="64" t="s">
        <v>10</v>
      </c>
      <c r="G429" s="188"/>
      <c r="H429" s="189"/>
    </row>
  </sheetData>
  <mergeCells count="497">
    <mergeCell ref="A53:B53"/>
    <mergeCell ref="C53:H53"/>
    <mergeCell ref="L2:N2"/>
    <mergeCell ref="L1:N1"/>
    <mergeCell ref="J2:K2"/>
    <mergeCell ref="A54:B54"/>
    <mergeCell ref="C54:H54"/>
    <mergeCell ref="A61:B61"/>
    <mergeCell ref="A62:B62"/>
    <mergeCell ref="E56:F56"/>
    <mergeCell ref="E57:F57"/>
    <mergeCell ref="E58:F58"/>
    <mergeCell ref="E59:F70"/>
    <mergeCell ref="A72:C73"/>
    <mergeCell ref="E72:F72"/>
    <mergeCell ref="E73:F73"/>
    <mergeCell ref="G59:H70"/>
    <mergeCell ref="A60:B60"/>
    <mergeCell ref="A55:H55"/>
    <mergeCell ref="A58:B58"/>
    <mergeCell ref="A59:B59"/>
    <mergeCell ref="G75:H86"/>
    <mergeCell ref="A76:B76"/>
    <mergeCell ref="A77:B77"/>
    <mergeCell ref="A78:B78"/>
    <mergeCell ref="A79:B79"/>
    <mergeCell ref="A80:B80"/>
    <mergeCell ref="A81:B81"/>
    <mergeCell ref="A82:B82"/>
    <mergeCell ref="A83:B83"/>
    <mergeCell ref="A84:B84"/>
    <mergeCell ref="A85:B85"/>
    <mergeCell ref="A86:B86"/>
    <mergeCell ref="A71:H71"/>
    <mergeCell ref="A63:B63"/>
    <mergeCell ref="A66:B66"/>
    <mergeCell ref="A64:B64"/>
    <mergeCell ref="A74:B74"/>
    <mergeCell ref="E74:F74"/>
    <mergeCell ref="A75:B75"/>
    <mergeCell ref="E75:F86"/>
    <mergeCell ref="A252:H252"/>
    <mergeCell ref="A253:B253"/>
    <mergeCell ref="C253:D253"/>
    <mergeCell ref="A148:B148"/>
    <mergeCell ref="A149:B149"/>
    <mergeCell ref="A150:B150"/>
    <mergeCell ref="A138:B138"/>
    <mergeCell ref="A139:B139"/>
    <mergeCell ref="A70:B70"/>
    <mergeCell ref="A248:B248"/>
    <mergeCell ref="C248:D248"/>
    <mergeCell ref="A249:H249"/>
    <mergeCell ref="A250:B250"/>
    <mergeCell ref="C250:D250"/>
    <mergeCell ref="A251:B251"/>
    <mergeCell ref="C251:D251"/>
    <mergeCell ref="A239:B239"/>
    <mergeCell ref="C239:D239"/>
    <mergeCell ref="A240:B240"/>
    <mergeCell ref="C240:D240"/>
    <mergeCell ref="A241:B241"/>
    <mergeCell ref="C241:D241"/>
    <mergeCell ref="A245:H245"/>
    <mergeCell ref="A246:H246"/>
    <mergeCell ref="A254:B254"/>
    <mergeCell ref="A255:B255"/>
    <mergeCell ref="A256:B256"/>
    <mergeCell ref="A261:B261"/>
    <mergeCell ref="C261:D261"/>
    <mergeCell ref="A257:H257"/>
    <mergeCell ref="A258:B258"/>
    <mergeCell ref="C258:D258"/>
    <mergeCell ref="A259:B259"/>
    <mergeCell ref="C259:D259"/>
    <mergeCell ref="A260:B260"/>
    <mergeCell ref="C260:D260"/>
    <mergeCell ref="A231:B231"/>
    <mergeCell ref="C231:D231"/>
    <mergeCell ref="A247:B247"/>
    <mergeCell ref="C247:D247"/>
    <mergeCell ref="E238:H238"/>
    <mergeCell ref="A242:H242"/>
    <mergeCell ref="A244:H244"/>
    <mergeCell ref="A243:H243"/>
    <mergeCell ref="A232:H232"/>
    <mergeCell ref="A233:B233"/>
    <mergeCell ref="C233:D233"/>
    <mergeCell ref="A234:B234"/>
    <mergeCell ref="A235:B235"/>
    <mergeCell ref="A236:B236"/>
    <mergeCell ref="A237:H237"/>
    <mergeCell ref="A238:B238"/>
    <mergeCell ref="C238:D238"/>
    <mergeCell ref="C226:D226"/>
    <mergeCell ref="A221:H221"/>
    <mergeCell ref="A227:H227"/>
    <mergeCell ref="A228:B228"/>
    <mergeCell ref="C228:D228"/>
    <mergeCell ref="A229:B229"/>
    <mergeCell ref="C229:D229"/>
    <mergeCell ref="A230:B230"/>
    <mergeCell ref="C230:D230"/>
    <mergeCell ref="C187:D187"/>
    <mergeCell ref="A219:B219"/>
    <mergeCell ref="C219:D219"/>
    <mergeCell ref="A220:H220"/>
    <mergeCell ref="A222:H222"/>
    <mergeCell ref="A223:H223"/>
    <mergeCell ref="A224:H224"/>
    <mergeCell ref="C186:D186"/>
    <mergeCell ref="C218:D218"/>
    <mergeCell ref="A216:B216"/>
    <mergeCell ref="C216:D216"/>
    <mergeCell ref="A213:B213"/>
    <mergeCell ref="C213:D213"/>
    <mergeCell ref="A214:B214"/>
    <mergeCell ref="C214:D214"/>
    <mergeCell ref="A211:B211"/>
    <mergeCell ref="C211:D211"/>
    <mergeCell ref="A212:B212"/>
    <mergeCell ref="A189:H189"/>
    <mergeCell ref="A190:B190"/>
    <mergeCell ref="C190:D190"/>
    <mergeCell ref="C188:D188"/>
    <mergeCell ref="G52:H52"/>
    <mergeCell ref="G49:H49"/>
    <mergeCell ref="A158:C158"/>
    <mergeCell ref="G158:H158"/>
    <mergeCell ref="A159:C159"/>
    <mergeCell ref="G159:H159"/>
    <mergeCell ref="A160:C160"/>
    <mergeCell ref="G160:H160"/>
    <mergeCell ref="G154:H154"/>
    <mergeCell ref="A156:C156"/>
    <mergeCell ref="G156:H156"/>
    <mergeCell ref="A157:C157"/>
    <mergeCell ref="G157:H157"/>
    <mergeCell ref="A122:B122"/>
    <mergeCell ref="A123:B123"/>
    <mergeCell ref="G123:H134"/>
    <mergeCell ref="A124:B124"/>
    <mergeCell ref="A119:H119"/>
    <mergeCell ref="A120:C121"/>
    <mergeCell ref="A56:C57"/>
    <mergeCell ref="A65:B65"/>
    <mergeCell ref="A67:B67"/>
    <mergeCell ref="A68:B68"/>
    <mergeCell ref="A69:B69"/>
    <mergeCell ref="G429:H429"/>
    <mergeCell ref="A286:H286"/>
    <mergeCell ref="E288:H288"/>
    <mergeCell ref="A420:H420"/>
    <mergeCell ref="A426:H426"/>
    <mergeCell ref="A427:H427"/>
    <mergeCell ref="A428:H428"/>
    <mergeCell ref="A421:H421"/>
    <mergeCell ref="A422:H422"/>
    <mergeCell ref="A423:H423"/>
    <mergeCell ref="A424:H424"/>
    <mergeCell ref="A419:H419"/>
    <mergeCell ref="A425:H425"/>
    <mergeCell ref="A379:H379"/>
    <mergeCell ref="E287:H287"/>
    <mergeCell ref="E289:H289"/>
    <mergeCell ref="A429:C429"/>
    <mergeCell ref="D429:E429"/>
    <mergeCell ref="A287:D287"/>
    <mergeCell ref="A288:D288"/>
    <mergeCell ref="A289:D289"/>
    <mergeCell ref="C14:E14"/>
    <mergeCell ref="C15:E15"/>
    <mergeCell ref="A1:H1"/>
    <mergeCell ref="G26:H26"/>
    <mergeCell ref="G27:H27"/>
    <mergeCell ref="A36:H36"/>
    <mergeCell ref="G48:H48"/>
    <mergeCell ref="G51:H51"/>
    <mergeCell ref="A41:H41"/>
    <mergeCell ref="A47:H47"/>
    <mergeCell ref="E2:F2"/>
    <mergeCell ref="G40:H40"/>
    <mergeCell ref="E4:F4"/>
    <mergeCell ref="E12:H12"/>
    <mergeCell ref="E8:H8"/>
    <mergeCell ref="G7:H7"/>
    <mergeCell ref="E9:H9"/>
    <mergeCell ref="G33:H33"/>
    <mergeCell ref="G14:H14"/>
    <mergeCell ref="G16:H16"/>
    <mergeCell ref="G17:H17"/>
    <mergeCell ref="G15:H15"/>
    <mergeCell ref="G18:H18"/>
    <mergeCell ref="A118:B118"/>
    <mergeCell ref="A103:H103"/>
    <mergeCell ref="E3:F3"/>
    <mergeCell ref="A24:H24"/>
    <mergeCell ref="G25:H25"/>
    <mergeCell ref="G20:H20"/>
    <mergeCell ref="G21:H21"/>
    <mergeCell ref="E10:H10"/>
    <mergeCell ref="E11:H11"/>
    <mergeCell ref="G6:H6"/>
    <mergeCell ref="A5:H5"/>
    <mergeCell ref="A13:H13"/>
    <mergeCell ref="C25:E25"/>
    <mergeCell ref="G19:H19"/>
    <mergeCell ref="G22:H22"/>
    <mergeCell ref="C16:E16"/>
    <mergeCell ref="C17:E17"/>
    <mergeCell ref="C18:E18"/>
    <mergeCell ref="C19:E19"/>
    <mergeCell ref="C20:E20"/>
    <mergeCell ref="C21:E21"/>
    <mergeCell ref="C22:E22"/>
    <mergeCell ref="C23:H23"/>
    <mergeCell ref="A12:D12"/>
    <mergeCell ref="A87:H87"/>
    <mergeCell ref="A88:C89"/>
    <mergeCell ref="E88:F88"/>
    <mergeCell ref="E89:F89"/>
    <mergeCell ref="A90:B90"/>
    <mergeCell ref="E90:F90"/>
    <mergeCell ref="A91:B91"/>
    <mergeCell ref="E91:F102"/>
    <mergeCell ref="G91:H102"/>
    <mergeCell ref="A92:B92"/>
    <mergeCell ref="A93:B93"/>
    <mergeCell ref="A94:B94"/>
    <mergeCell ref="A95:B95"/>
    <mergeCell ref="A96:B96"/>
    <mergeCell ref="A97:B97"/>
    <mergeCell ref="A98:B98"/>
    <mergeCell ref="A99:B99"/>
    <mergeCell ref="A100:B100"/>
    <mergeCell ref="A101:B101"/>
    <mergeCell ref="A102:B102"/>
    <mergeCell ref="A104:C105"/>
    <mergeCell ref="A106:B106"/>
    <mergeCell ref="A107:B107"/>
    <mergeCell ref="G107:H118"/>
    <mergeCell ref="A108:B108"/>
    <mergeCell ref="A109:B109"/>
    <mergeCell ref="A130:B130"/>
    <mergeCell ref="G153:H153"/>
    <mergeCell ref="A161:C161"/>
    <mergeCell ref="G161:H161"/>
    <mergeCell ref="A152:H152"/>
    <mergeCell ref="E104:F104"/>
    <mergeCell ref="E105:F105"/>
    <mergeCell ref="E106:F106"/>
    <mergeCell ref="E107:F118"/>
    <mergeCell ref="A114:B114"/>
    <mergeCell ref="A115:B115"/>
    <mergeCell ref="A116:B116"/>
    <mergeCell ref="A110:B110"/>
    <mergeCell ref="A111:B111"/>
    <mergeCell ref="A112:B112"/>
    <mergeCell ref="A113:B113"/>
    <mergeCell ref="E120:F120"/>
    <mergeCell ref="A117:B117"/>
    <mergeCell ref="A186:B186"/>
    <mergeCell ref="C182:D182"/>
    <mergeCell ref="C183:D183"/>
    <mergeCell ref="A183:B183"/>
    <mergeCell ref="A163:F163"/>
    <mergeCell ref="G175:G176"/>
    <mergeCell ref="F175:F176"/>
    <mergeCell ref="E175:E176"/>
    <mergeCell ref="C175:D176"/>
    <mergeCell ref="A175:B176"/>
    <mergeCell ref="A166:H166"/>
    <mergeCell ref="G164:H164"/>
    <mergeCell ref="G163:H163"/>
    <mergeCell ref="C48:E48"/>
    <mergeCell ref="A48:B48"/>
    <mergeCell ref="A49:B49"/>
    <mergeCell ref="A51:B51"/>
    <mergeCell ref="A50:B50"/>
    <mergeCell ref="C50:H50"/>
    <mergeCell ref="A182:B182"/>
    <mergeCell ref="C203:D203"/>
    <mergeCell ref="A204:B204"/>
    <mergeCell ref="C204:D204"/>
    <mergeCell ref="A187:B187"/>
    <mergeCell ref="A179:H179"/>
    <mergeCell ref="A177:H177"/>
    <mergeCell ref="A178:H178"/>
    <mergeCell ref="G155:H155"/>
    <mergeCell ref="A165:F165"/>
    <mergeCell ref="G165:H165"/>
    <mergeCell ref="A164:F164"/>
    <mergeCell ref="A162:H162"/>
    <mergeCell ref="A180:H180"/>
    <mergeCell ref="A181:H181"/>
    <mergeCell ref="A184:H184"/>
    <mergeCell ref="A185:B185"/>
    <mergeCell ref="C185:D185"/>
    <mergeCell ref="E42:F42"/>
    <mergeCell ref="E44:F44"/>
    <mergeCell ref="C42:D42"/>
    <mergeCell ref="C43:D43"/>
    <mergeCell ref="C44:D44"/>
    <mergeCell ref="A45:B45"/>
    <mergeCell ref="C45:D45"/>
    <mergeCell ref="E45:F45"/>
    <mergeCell ref="A46:B46"/>
    <mergeCell ref="C46:D46"/>
    <mergeCell ref="E46:F46"/>
    <mergeCell ref="G35:H35"/>
    <mergeCell ref="G34:H34"/>
    <mergeCell ref="G44:H44"/>
    <mergeCell ref="G42:H42"/>
    <mergeCell ref="A32:H32"/>
    <mergeCell ref="G29:H29"/>
    <mergeCell ref="G28:H28"/>
    <mergeCell ref="C26:E26"/>
    <mergeCell ref="G43:H43"/>
    <mergeCell ref="G30:H30"/>
    <mergeCell ref="A33:D33"/>
    <mergeCell ref="A34:D34"/>
    <mergeCell ref="A35:D35"/>
    <mergeCell ref="A37:D37"/>
    <mergeCell ref="A40:D40"/>
    <mergeCell ref="A39:D39"/>
    <mergeCell ref="A38:D38"/>
    <mergeCell ref="C27:E27"/>
    <mergeCell ref="C28:E28"/>
    <mergeCell ref="C29:E29"/>
    <mergeCell ref="C30:E30"/>
    <mergeCell ref="C31:H31"/>
    <mergeCell ref="A31:B31"/>
    <mergeCell ref="A42:B42"/>
    <mergeCell ref="G45:H45"/>
    <mergeCell ref="G46:H46"/>
    <mergeCell ref="A151:F151"/>
    <mergeCell ref="G151:H151"/>
    <mergeCell ref="A262:H262"/>
    <mergeCell ref="A264:H264"/>
    <mergeCell ref="A265:H265"/>
    <mergeCell ref="A266:H266"/>
    <mergeCell ref="A170:B170"/>
    <mergeCell ref="C170:D170"/>
    <mergeCell ref="A171:B171"/>
    <mergeCell ref="C171:D171"/>
    <mergeCell ref="A172:B172"/>
    <mergeCell ref="C172:D172"/>
    <mergeCell ref="A174:H174"/>
    <mergeCell ref="A167:B167"/>
    <mergeCell ref="C167:D167"/>
    <mergeCell ref="A168:B168"/>
    <mergeCell ref="C168:D168"/>
    <mergeCell ref="A169:B169"/>
    <mergeCell ref="C169:D169"/>
    <mergeCell ref="A173:B173"/>
    <mergeCell ref="C173:D173"/>
    <mergeCell ref="A188:B188"/>
    <mergeCell ref="A268:B268"/>
    <mergeCell ref="C268:D268"/>
    <mergeCell ref="A263:H263"/>
    <mergeCell ref="C212:D212"/>
    <mergeCell ref="A194:H194"/>
    <mergeCell ref="A195:B195"/>
    <mergeCell ref="C195:D195"/>
    <mergeCell ref="A196:B196"/>
    <mergeCell ref="C196:D196"/>
    <mergeCell ref="A197:B197"/>
    <mergeCell ref="C197:D197"/>
    <mergeCell ref="A203:B203"/>
    <mergeCell ref="A206:B206"/>
    <mergeCell ref="A207:B207"/>
    <mergeCell ref="A208:B208"/>
    <mergeCell ref="A209:B209"/>
    <mergeCell ref="C209:D209"/>
    <mergeCell ref="A210:H210"/>
    <mergeCell ref="A215:H215"/>
    <mergeCell ref="A217:B217"/>
    <mergeCell ref="C217:D217"/>
    <mergeCell ref="A218:B218"/>
    <mergeCell ref="A205:H205"/>
    <mergeCell ref="A225:B225"/>
    <mergeCell ref="C273:D273"/>
    <mergeCell ref="A274:H274"/>
    <mergeCell ref="A275:B275"/>
    <mergeCell ref="C275:D275"/>
    <mergeCell ref="A276:B276"/>
    <mergeCell ref="C276:D276"/>
    <mergeCell ref="A269:H269"/>
    <mergeCell ref="A270:B270"/>
    <mergeCell ref="C270:D270"/>
    <mergeCell ref="A271:B271"/>
    <mergeCell ref="C271:D271"/>
    <mergeCell ref="A272:B272"/>
    <mergeCell ref="C272:D272"/>
    <mergeCell ref="A273:B273"/>
    <mergeCell ref="A282:B282"/>
    <mergeCell ref="A283:B283"/>
    <mergeCell ref="A277:B277"/>
    <mergeCell ref="C277:D277"/>
    <mergeCell ref="A278:B278"/>
    <mergeCell ref="A285:B285"/>
    <mergeCell ref="C278:D278"/>
    <mergeCell ref="A279:H279"/>
    <mergeCell ref="A280:B280"/>
    <mergeCell ref="C280:D280"/>
    <mergeCell ref="C285:H285"/>
    <mergeCell ref="A284:H284"/>
    <mergeCell ref="A281:B281"/>
    <mergeCell ref="C283:D283"/>
    <mergeCell ref="C282:D282"/>
    <mergeCell ref="C281:D281"/>
    <mergeCell ref="A2:D2"/>
    <mergeCell ref="A3:D3"/>
    <mergeCell ref="A4:D4"/>
    <mergeCell ref="A6:D6"/>
    <mergeCell ref="A7:D7"/>
    <mergeCell ref="A8:D8"/>
    <mergeCell ref="C9:D9"/>
    <mergeCell ref="C10:D10"/>
    <mergeCell ref="C11:D11"/>
    <mergeCell ref="A9:B11"/>
    <mergeCell ref="A14:B14"/>
    <mergeCell ref="A15:B15"/>
    <mergeCell ref="A16:B16"/>
    <mergeCell ref="A17:B17"/>
    <mergeCell ref="A18:B18"/>
    <mergeCell ref="A19:B19"/>
    <mergeCell ref="A20:B20"/>
    <mergeCell ref="A21:B21"/>
    <mergeCell ref="A22:B22"/>
    <mergeCell ref="A267:B267"/>
    <mergeCell ref="A200:H200"/>
    <mergeCell ref="A201:H201"/>
    <mergeCell ref="A191:B191"/>
    <mergeCell ref="C191:D191"/>
    <mergeCell ref="A193:B193"/>
    <mergeCell ref="C193:D193"/>
    <mergeCell ref="C192:D192"/>
    <mergeCell ref="A192:B192"/>
    <mergeCell ref="A202:H202"/>
    <mergeCell ref="A198:H198"/>
    <mergeCell ref="A199:H199"/>
    <mergeCell ref="C256:D256"/>
    <mergeCell ref="C255:D255"/>
    <mergeCell ref="C254:D254"/>
    <mergeCell ref="C236:D236"/>
    <mergeCell ref="C235:D235"/>
    <mergeCell ref="C234:D234"/>
    <mergeCell ref="C208:D208"/>
    <mergeCell ref="C207:D207"/>
    <mergeCell ref="C206:D206"/>
    <mergeCell ref="C267:D267"/>
    <mergeCell ref="C225:D225"/>
    <mergeCell ref="A226:B226"/>
    <mergeCell ref="A23:B23"/>
    <mergeCell ref="A25:B25"/>
    <mergeCell ref="A26:B26"/>
    <mergeCell ref="A27:B27"/>
    <mergeCell ref="A28:B28"/>
    <mergeCell ref="A29:B29"/>
    <mergeCell ref="A30:B30"/>
    <mergeCell ref="A154:D154"/>
    <mergeCell ref="A155:D155"/>
    <mergeCell ref="A136:C137"/>
    <mergeCell ref="A140:B140"/>
    <mergeCell ref="A141:B141"/>
    <mergeCell ref="A142:B142"/>
    <mergeCell ref="A143:B143"/>
    <mergeCell ref="A144:B144"/>
    <mergeCell ref="A145:B145"/>
    <mergeCell ref="A146:B146"/>
    <mergeCell ref="A147:B147"/>
    <mergeCell ref="C49:E49"/>
    <mergeCell ref="C51:E51"/>
    <mergeCell ref="C52:E52"/>
    <mergeCell ref="A43:B43"/>
    <mergeCell ref="A44:B44"/>
    <mergeCell ref="E43:F43"/>
    <mergeCell ref="E121:F121"/>
    <mergeCell ref="E122:F122"/>
    <mergeCell ref="E123:F134"/>
    <mergeCell ref="E136:F136"/>
    <mergeCell ref="E137:F137"/>
    <mergeCell ref="E138:F138"/>
    <mergeCell ref="E139:F150"/>
    <mergeCell ref="A153:D153"/>
    <mergeCell ref="A131:B131"/>
    <mergeCell ref="A132:B132"/>
    <mergeCell ref="A133:B133"/>
    <mergeCell ref="A134:B134"/>
    <mergeCell ref="A135:H135"/>
    <mergeCell ref="G139:H150"/>
    <mergeCell ref="A125:B125"/>
    <mergeCell ref="A126:B126"/>
    <mergeCell ref="A127:B127"/>
    <mergeCell ref="A128:B128"/>
    <mergeCell ref="A129:B129"/>
  </mergeCells>
  <printOptions horizontalCentered="1"/>
  <pageMargins left="0.43307086614173229" right="0.43307086614173229" top="0.59055118110236227" bottom="0.59055118110236227" header="0.15748031496062992" footer="0.15748031496062992"/>
  <pageSetup paperSize="9" scale="54" fitToHeight="0" orientation="portrait" r:id="rId1"/>
  <headerFooter>
    <oddHeader>&amp;C&amp;25&amp;G</oddHeader>
    <oddFooter>&amp;L&amp;"Times New Roman,Bold"&amp;16Ref No: &amp;F&amp;R&amp;"Times New Roman,Bold"&amp;16&amp;P</oddFooter>
  </headerFooter>
  <rowBreaks count="5" manualBreakCount="5">
    <brk id="54" max="16383" man="1"/>
    <brk id="102" max="16383" man="1"/>
    <brk id="285" max="8" man="1"/>
    <brk id="338" max="16383" man="1"/>
    <brk id="378"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2025-07-05T13:03:55Z</cp:lastPrinted>
  <dcterms:created xsi:type="dcterms:W3CDTF">2010-11-23T11:42:48Z</dcterms:created>
  <dcterms:modified xsi:type="dcterms:W3CDTF">2025-07-05T13:04:37Z</dcterms:modified>
</cp:coreProperties>
</file>