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61"/>
  <workbookPr defaultThemeVersion="124226"/>
  <mc:AlternateContent xmlns:mc="http://schemas.openxmlformats.org/markup-compatibility/2006">
    <mc:Choice Requires="x15">
      <x15ac:absPath xmlns:x15ac="http://schemas.microsoft.com/office/spreadsheetml/2010/11/ac" url="D:\Gaurav\July 25\OLD\GHF\"/>
    </mc:Choice>
  </mc:AlternateContent>
  <xr:revisionPtr revIDLastSave="0" documentId="13_ncr:1_{CFF1A795-2A5C-49EC-B781-76DE66704C20}" xr6:coauthVersionLast="36" xr6:coauthVersionMax="36" xr10:uidLastSave="{00000000-0000-0000-0000-000000000000}"/>
  <bookViews>
    <workbookView xWindow="0" yWindow="0" windowWidth="20490" windowHeight="7125" xr2:uid="{00000000-000D-0000-FFFF-FFFF00000000}"/>
  </bookViews>
  <sheets>
    <sheet name="report" sheetId="7" r:id="rId1"/>
    <sheet name="T1" sheetId="4" r:id="rId2"/>
    <sheet name="T2" sheetId="5" r:id="rId3"/>
  </sheets>
  <definedNames>
    <definedName name="_xlnm.Print_Area" localSheetId="0">report!$A$1:$I$336</definedName>
  </definedNames>
  <calcPr calcId="191029"/>
</workbook>
</file>

<file path=xl/calcChain.xml><?xml version="1.0" encoding="utf-8"?>
<calcChain xmlns="http://schemas.openxmlformats.org/spreadsheetml/2006/main">
  <c r="J3" i="7" l="1"/>
  <c r="K2" i="7"/>
  <c r="C58" i="7" l="1"/>
  <c r="C59" i="7" s="1"/>
  <c r="C60" i="7" s="1"/>
  <c r="M80" i="7"/>
  <c r="C74" i="7"/>
  <c r="C75" i="7" s="1"/>
  <c r="C76" i="7" s="1"/>
  <c r="M64" i="7"/>
  <c r="K63" i="7"/>
  <c r="K62" i="7"/>
  <c r="K61" i="7"/>
  <c r="I53" i="7"/>
  <c r="I69" i="7"/>
  <c r="E82" i="7" l="1"/>
  <c r="E80" i="7"/>
  <c r="E78" i="7"/>
  <c r="E76" i="7"/>
  <c r="K73" i="7"/>
  <c r="K74" i="7" s="1"/>
  <c r="K75" i="7" s="1"/>
  <c r="K76" i="7" s="1"/>
  <c r="E81" i="7"/>
  <c r="E73" i="7"/>
  <c r="K71" i="7"/>
  <c r="E79" i="7"/>
  <c r="E77" i="7"/>
  <c r="E74" i="7"/>
  <c r="K72" i="7"/>
  <c r="K70" i="7"/>
  <c r="E75" i="7"/>
  <c r="E63" i="7"/>
  <c r="E61" i="7"/>
  <c r="E58" i="7"/>
  <c r="K56" i="7"/>
  <c r="C55" i="7" s="1"/>
  <c r="E59" i="7"/>
  <c r="E66" i="7"/>
  <c r="E64" i="7"/>
  <c r="E62" i="7"/>
  <c r="E60" i="7"/>
  <c r="K57" i="7"/>
  <c r="K55" i="7"/>
  <c r="E65" i="7"/>
  <c r="E57" i="7"/>
  <c r="K54" i="7"/>
  <c r="K79" i="7" l="1"/>
  <c r="E71" i="7"/>
  <c r="K58" i="7"/>
  <c r="K59" i="7" s="1"/>
  <c r="K60" i="7" s="1"/>
  <c r="E56" i="7"/>
  <c r="F55" i="7"/>
  <c r="E55" i="7"/>
  <c r="K77" i="7"/>
  <c r="K78" i="7" s="1"/>
  <c r="K64" i="7" l="1"/>
  <c r="J52" i="7" s="1"/>
  <c r="H55" i="7" s="1"/>
  <c r="K80" i="7"/>
  <c r="E72" i="7" s="1"/>
  <c r="O119" i="7"/>
  <c r="M119" i="7"/>
  <c r="P97" i="7"/>
  <c r="N162" i="7"/>
  <c r="N95" i="7"/>
  <c r="F164" i="7"/>
  <c r="F159" i="7"/>
  <c r="E17" i="7"/>
  <c r="F71" i="7" l="1"/>
  <c r="H83" i="7" s="1"/>
  <c r="F233" i="7"/>
  <c r="I233" i="7" s="1"/>
  <c r="F232" i="7"/>
  <c r="I232" i="7" s="1"/>
  <c r="F231" i="7"/>
  <c r="I231" i="7" s="1"/>
  <c r="F230" i="7"/>
  <c r="I230" i="7" s="1"/>
  <c r="F229" i="7"/>
  <c r="I229" i="7" s="1"/>
  <c r="F227" i="7"/>
  <c r="F226" i="7"/>
  <c r="I226" i="7" s="1"/>
  <c r="F224" i="7"/>
  <c r="I224" i="7" s="1"/>
  <c r="F223" i="7"/>
  <c r="I223" i="7" s="1"/>
  <c r="F222" i="7"/>
  <c r="I222" i="7" s="1"/>
  <c r="F221" i="7"/>
  <c r="I221" i="7" s="1"/>
  <c r="F220" i="7"/>
  <c r="I220" i="7" s="1"/>
  <c r="F219" i="7"/>
  <c r="I219" i="7" s="1"/>
  <c r="F218" i="7"/>
  <c r="I218" i="7" s="1"/>
  <c r="F217" i="7"/>
  <c r="I217" i="7" s="1"/>
  <c r="F215" i="7"/>
  <c r="I215" i="7" s="1"/>
  <c r="F214" i="7"/>
  <c r="I214" i="7" s="1"/>
  <c r="F213" i="7"/>
  <c r="I213" i="7" s="1"/>
  <c r="F212" i="7"/>
  <c r="I212" i="7" s="1"/>
  <c r="F211" i="7"/>
  <c r="I211" i="7" s="1"/>
  <c r="F210" i="7"/>
  <c r="I210" i="7" s="1"/>
  <c r="F209" i="7"/>
  <c r="I209" i="7" s="1"/>
  <c r="F208" i="7"/>
  <c r="I208" i="7" s="1"/>
  <c r="F206" i="7"/>
  <c r="I206" i="7" s="1"/>
  <c r="F205" i="7"/>
  <c r="I205" i="7" s="1"/>
  <c r="F204" i="7"/>
  <c r="I204" i="7" s="1"/>
  <c r="F203" i="7"/>
  <c r="I203" i="7" s="1"/>
  <c r="F202" i="7"/>
  <c r="I202" i="7" s="1"/>
  <c r="F201" i="7"/>
  <c r="I201" i="7" s="1"/>
  <c r="F200" i="7"/>
  <c r="I200" i="7" s="1"/>
  <c r="F199" i="7"/>
  <c r="I199" i="7" s="1"/>
  <c r="F197" i="7"/>
  <c r="I197" i="7" s="1"/>
  <c r="F196" i="7"/>
  <c r="I196" i="7" s="1"/>
  <c r="F195" i="7"/>
  <c r="I195" i="7" s="1"/>
  <c r="F194" i="7"/>
  <c r="I194" i="7" s="1"/>
  <c r="F193" i="7"/>
  <c r="I193" i="7" s="1"/>
  <c r="F192" i="7"/>
  <c r="I192" i="7" s="1"/>
  <c r="F190" i="7"/>
  <c r="I190" i="7" s="1"/>
  <c r="F189" i="7"/>
  <c r="I189" i="7" s="1"/>
  <c r="F188" i="7"/>
  <c r="I188" i="7" s="1"/>
  <c r="F187" i="7"/>
  <c r="I187" i="7" s="1"/>
  <c r="F186" i="7"/>
  <c r="I186" i="7" s="1"/>
  <c r="F185" i="7"/>
  <c r="I185" i="7" s="1"/>
  <c r="F182" i="7"/>
  <c r="I182" i="7" s="1"/>
  <c r="F181" i="7"/>
  <c r="I181" i="7" s="1"/>
  <c r="F180" i="7"/>
  <c r="I180" i="7" s="1"/>
  <c r="F179" i="7"/>
  <c r="I179" i="7" s="1"/>
  <c r="F176" i="7"/>
  <c r="I176" i="7" s="1"/>
  <c r="F175" i="7"/>
  <c r="I175" i="7" s="1"/>
  <c r="F174" i="7"/>
  <c r="I174" i="7" s="1"/>
  <c r="F173" i="7"/>
  <c r="F170" i="7"/>
  <c r="I170" i="7" s="1"/>
  <c r="F169" i="7"/>
  <c r="I169" i="7" s="1"/>
  <c r="F168" i="7"/>
  <c r="I168" i="7" s="1"/>
  <c r="F167" i="7"/>
  <c r="I167" i="7" s="1"/>
  <c r="I164" i="7"/>
  <c r="F163" i="7"/>
  <c r="I163" i="7" s="1"/>
  <c r="F162" i="7"/>
  <c r="F161" i="7"/>
  <c r="I161" i="7" s="1"/>
  <c r="M159" i="7"/>
  <c r="I227" i="7"/>
  <c r="I173" i="7"/>
  <c r="I159" i="7"/>
  <c r="J68" i="7" l="1"/>
  <c r="H71" i="7" s="1"/>
  <c r="F95" i="7"/>
  <c r="H95" i="7"/>
  <c r="I162" i="7"/>
  <c r="I95" i="7" s="1"/>
  <c r="I4" i="7"/>
  <c r="K117" i="7" l="1"/>
  <c r="F155" i="7"/>
  <c r="I155" i="7" s="1"/>
  <c r="F154" i="7"/>
  <c r="I154" i="7" s="1"/>
  <c r="F153" i="7"/>
  <c r="I153" i="7" s="1"/>
  <c r="F152" i="7"/>
  <c r="I152" i="7" s="1"/>
  <c r="F151" i="7"/>
  <c r="I151" i="7" s="1"/>
  <c r="F150" i="7"/>
  <c r="I150" i="7" s="1"/>
  <c r="F149" i="7"/>
  <c r="I149" i="7" s="1"/>
  <c r="F148" i="7"/>
  <c r="I148" i="7" s="1"/>
  <c r="A148" i="7"/>
  <c r="F146" i="7"/>
  <c r="I146" i="7" s="1"/>
  <c r="F145" i="7"/>
  <c r="I145" i="7" s="1"/>
  <c r="F144" i="7"/>
  <c r="I144" i="7" s="1"/>
  <c r="F143" i="7"/>
  <c r="I143" i="7" s="1"/>
  <c r="F142" i="7"/>
  <c r="I142" i="7" s="1"/>
  <c r="F141" i="7"/>
  <c r="I141" i="7" s="1"/>
  <c r="F140" i="7"/>
  <c r="I140" i="7" s="1"/>
  <c r="F139" i="7"/>
  <c r="I139" i="7" s="1"/>
  <c r="A139" i="7"/>
  <c r="F136" i="7"/>
  <c r="I136" i="7" s="1"/>
  <c r="F135" i="7"/>
  <c r="I135" i="7" s="1"/>
  <c r="F127" i="7"/>
  <c r="I127" i="7" s="1"/>
  <c r="F126" i="7"/>
  <c r="I126" i="7" s="1"/>
  <c r="F130" i="7"/>
  <c r="I130" i="7" s="1"/>
  <c r="F137" i="7"/>
  <c r="I137" i="7" s="1"/>
  <c r="F134" i="7"/>
  <c r="I134" i="7" s="1"/>
  <c r="F133" i="7"/>
  <c r="I133" i="7" s="1"/>
  <c r="F132" i="7"/>
  <c r="I132" i="7" s="1"/>
  <c r="F131" i="7"/>
  <c r="I131" i="7" s="1"/>
  <c r="A130" i="7"/>
  <c r="F128" i="7"/>
  <c r="I128" i="7" s="1"/>
  <c r="F125" i="7"/>
  <c r="I125" i="7" s="1"/>
  <c r="F124" i="7"/>
  <c r="I124" i="7" s="1"/>
  <c r="F121" i="7"/>
  <c r="I121" i="7" s="1"/>
  <c r="F108" i="7"/>
  <c r="F106" i="7"/>
  <c r="F116" i="7"/>
  <c r="I116" i="7" s="1"/>
  <c r="F115" i="7"/>
  <c r="I115" i="7" s="1"/>
  <c r="F112" i="7"/>
  <c r="I112" i="7" s="1"/>
  <c r="F119" i="7"/>
  <c r="I119" i="7" s="1"/>
  <c r="F118" i="7"/>
  <c r="I118" i="7" s="1"/>
  <c r="F117" i="7"/>
  <c r="I117" i="7" s="1"/>
  <c r="F123" i="7"/>
  <c r="I123" i="7" s="1"/>
  <c r="F122" i="7"/>
  <c r="I122" i="7" s="1"/>
  <c r="A121" i="7"/>
  <c r="F114" i="7"/>
  <c r="I114" i="7" s="1"/>
  <c r="F113" i="7"/>
  <c r="I113" i="7" s="1"/>
  <c r="F110" i="7"/>
  <c r="F109" i="7"/>
  <c r="A112" i="7"/>
  <c r="F94" i="7" l="1"/>
  <c r="F96" i="7" s="1"/>
  <c r="H94" i="7"/>
  <c r="H96" i="7" s="1"/>
  <c r="I110" i="7"/>
  <c r="I109" i="7"/>
  <c r="I108" i="7"/>
  <c r="A108" i="7"/>
  <c r="I106" i="7"/>
  <c r="A106" i="7"/>
  <c r="I94" i="7" l="1"/>
  <c r="I96" i="7" s="1"/>
  <c r="E239" i="7"/>
  <c r="E240" i="7" l="1"/>
  <c r="E238" i="7" l="1"/>
  <c r="B16" i="5" l="1"/>
  <c r="O6" i="5" s="1"/>
  <c r="G19" i="5" s="1"/>
  <c r="B14" i="5"/>
  <c r="E9" i="5" s="1"/>
  <c r="B12" i="5"/>
  <c r="E8" i="5" s="1"/>
  <c r="B10" i="5"/>
  <c r="E7" i="5" s="1"/>
  <c r="B8" i="5"/>
  <c r="K7" i="5" s="1"/>
  <c r="H15" i="5" s="1"/>
  <c r="M6" i="5"/>
  <c r="G17" i="5" s="1"/>
  <c r="I6" i="5"/>
  <c r="I7" i="5" s="1"/>
  <c r="H13" i="5" s="1"/>
  <c r="E6" i="5"/>
  <c r="B6" i="5"/>
  <c r="J7" i="5" s="1"/>
  <c r="H14" i="5" s="1"/>
  <c r="E5" i="5"/>
  <c r="E4" i="5"/>
  <c r="B16" i="4"/>
  <c r="E10" i="4" s="1"/>
  <c r="B14" i="4"/>
  <c r="E9" i="4" s="1"/>
  <c r="B12" i="4"/>
  <c r="E8" i="4" s="1"/>
  <c r="B10" i="4"/>
  <c r="L7" i="4" s="1"/>
  <c r="H16" i="4" s="1"/>
  <c r="B8" i="4"/>
  <c r="K7" i="4" s="1"/>
  <c r="H15" i="4" s="1"/>
  <c r="I6" i="4"/>
  <c r="G13" i="4" s="1"/>
  <c r="B6" i="4"/>
  <c r="J7" i="4" s="1"/>
  <c r="H14" i="4" s="1"/>
  <c r="E4" i="4"/>
  <c r="M7" i="5" l="1"/>
  <c r="H17" i="5" s="1"/>
  <c r="N7" i="5"/>
  <c r="H18" i="5" s="1"/>
  <c r="N7" i="4"/>
  <c r="H18" i="4" s="1"/>
  <c r="K6" i="4"/>
  <c r="G15" i="4" s="1"/>
  <c r="O6" i="4"/>
  <c r="G19" i="4" s="1"/>
  <c r="E10" i="5"/>
  <c r="E6" i="4"/>
  <c r="O7" i="5"/>
  <c r="H19" i="5" s="1"/>
  <c r="J6" i="5"/>
  <c r="G14" i="5" s="1"/>
  <c r="G13" i="5"/>
  <c r="L7" i="5"/>
  <c r="H16" i="5" s="1"/>
  <c r="M7" i="4"/>
  <c r="H17" i="4" s="1"/>
  <c r="N6" i="5"/>
  <c r="G18" i="5" s="1"/>
  <c r="M6" i="4"/>
  <c r="G17" i="4" s="1"/>
  <c r="L6" i="5"/>
  <c r="G16" i="5" s="1"/>
  <c r="O7" i="4"/>
  <c r="H19" i="4" s="1"/>
  <c r="N6" i="4"/>
  <c r="G18" i="4" s="1"/>
  <c r="I7" i="4"/>
  <c r="H13" i="4" s="1"/>
  <c r="E5" i="4"/>
  <c r="J6" i="4"/>
  <c r="G14" i="4" s="1"/>
  <c r="L6" i="4"/>
  <c r="G16" i="4" s="1"/>
  <c r="E7" i="4"/>
  <c r="K6" i="5"/>
  <c r="G15" i="5" s="1"/>
  <c r="H20" i="5" l="1"/>
  <c r="G20" i="5"/>
  <c r="G20" i="4"/>
  <c r="H20" i="4"/>
</calcChain>
</file>

<file path=xl/sharedStrings.xml><?xml version="1.0" encoding="utf-8"?>
<sst xmlns="http://schemas.openxmlformats.org/spreadsheetml/2006/main" count="605" uniqueCount="302">
  <si>
    <t>Boundaries</t>
  </si>
  <si>
    <t>North</t>
  </si>
  <si>
    <t>East</t>
  </si>
  <si>
    <t>West</t>
  </si>
  <si>
    <t>:</t>
  </si>
  <si>
    <t>As per Actual at site</t>
  </si>
  <si>
    <t>South</t>
  </si>
  <si>
    <t>As per Documents</t>
  </si>
  <si>
    <t>As per Site / Actual</t>
  </si>
  <si>
    <t>Government Guideline/ Circle rate for Land (Rs per sqft)</t>
  </si>
  <si>
    <t>Authorized Signatory Name &amp; Signature</t>
  </si>
  <si>
    <t>Name of Valuation Agency</t>
  </si>
  <si>
    <t>Boundaries Matching</t>
  </si>
  <si>
    <t>If No, then reason thereon</t>
  </si>
  <si>
    <t>As per Legal Documents</t>
  </si>
  <si>
    <t>Date of Technical Initiation</t>
  </si>
  <si>
    <t>Class of Locality</t>
  </si>
  <si>
    <t>Type of Road</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</si>
  <si>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</si>
  <si>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</si>
  <si>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</si>
  <si>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</si>
  <si>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</si>
  <si>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</si>
  <si>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</si>
  <si>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</si>
  <si>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Valuer Certification/Disclaimer</t>
  </si>
  <si>
    <t>Extra Amenities available</t>
  </si>
  <si>
    <t>Infrastructure in the area</t>
  </si>
  <si>
    <t>Status of Holding</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</si>
  <si>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</si>
  <si>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</si>
  <si>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</si>
  <si>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</si>
  <si>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</si>
  <si>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</si>
  <si>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</si>
  <si>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</si>
  <si>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Width of the Road in ft.</t>
  </si>
  <si>
    <t>NDMA Guidelines</t>
  </si>
  <si>
    <t>APF Report Format</t>
  </si>
  <si>
    <t>Project Name</t>
  </si>
  <si>
    <t>Project Address</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</si>
  <si>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</si>
  <si>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</si>
  <si>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</si>
  <si>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</si>
  <si>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</si>
  <si>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</si>
  <si>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</si>
  <si>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</si>
  <si>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</si>
  <si>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</si>
  <si>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</si>
  <si>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</si>
  <si>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</si>
  <si>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</si>
  <si>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Free/ Fungible FSI</t>
  </si>
  <si>
    <t>Total Number of Units Planned</t>
  </si>
  <si>
    <t>Total Number of Units Approved</t>
  </si>
  <si>
    <t>If Mixed, No. of Commercial Units</t>
  </si>
  <si>
    <t>Project Structure</t>
  </si>
  <si>
    <t>Building/Tower Name/No.</t>
  </si>
  <si>
    <t>Type (Sale/Rehab)</t>
  </si>
  <si>
    <t>No. of Floors Planned</t>
  </si>
  <si>
    <t>No. of Floors Approved</t>
  </si>
  <si>
    <t>Building Permission &amp; Other Approvals</t>
  </si>
  <si>
    <t>Construction as per Approved/ Sanctioned Plans</t>
  </si>
  <si>
    <t>LOI/IOD Details</t>
  </si>
  <si>
    <t>Approved Plan Details</t>
  </si>
  <si>
    <t>Environmental Clearance Details</t>
  </si>
  <si>
    <t>Airport Authority Clearance Details</t>
  </si>
  <si>
    <t>Other NOC Details</t>
  </si>
  <si>
    <t>Construction Status</t>
  </si>
  <si>
    <t xml:space="preserve">Project Specific Remarks &amp; Observation </t>
  </si>
  <si>
    <t>Name of the Project</t>
  </si>
  <si>
    <t>Measurement Unit of Area (Sq. Ft./Sq. Mt.)</t>
  </si>
  <si>
    <t>Car Parking Charges</t>
  </si>
  <si>
    <t>Other Charges</t>
  </si>
  <si>
    <t>Remarks / Observations</t>
  </si>
  <si>
    <t>Site &amp; Building/Tower Photographs</t>
  </si>
  <si>
    <t>Location Cum Root Map (Satelite View)</t>
  </si>
  <si>
    <t>Unit Details, Nomenclature and Area Details</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</si>
  <si>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</si>
  <si>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</si>
  <si>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</si>
  <si>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</si>
  <si>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</si>
  <si>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</si>
  <si>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</si>
  <si>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</si>
  <si>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</si>
  <si>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V.S.JADON &amp; CO VALUERS  LLP</t>
  </si>
  <si>
    <t>Freehold</t>
  </si>
  <si>
    <t>Residential</t>
  </si>
  <si>
    <t>Plot Area (In Sq.Mt)</t>
  </si>
  <si>
    <t>Proposed Built up Area (In Sq.Mt)</t>
  </si>
  <si>
    <t>Permissible Built up Area (In Sq.Mt)</t>
  </si>
  <si>
    <t>-</t>
  </si>
  <si>
    <t>Developing</t>
  </si>
  <si>
    <t>Bitumen</t>
  </si>
  <si>
    <t>Yes</t>
  </si>
  <si>
    <t>III</t>
  </si>
  <si>
    <t>No</t>
  </si>
  <si>
    <t>None</t>
  </si>
  <si>
    <t>Low</t>
  </si>
  <si>
    <t>Open Plot</t>
  </si>
  <si>
    <t>Sale</t>
  </si>
  <si>
    <t>CC Details</t>
  </si>
  <si>
    <t>Particulars</t>
  </si>
  <si>
    <t xml:space="preserve">totaL floor </t>
  </si>
  <si>
    <t xml:space="preserve">total </t>
  </si>
  <si>
    <t xml:space="preserve">completed  </t>
  </si>
  <si>
    <t>plinth</t>
  </si>
  <si>
    <t>slab</t>
  </si>
  <si>
    <t>total slab</t>
  </si>
  <si>
    <t>completed slab</t>
  </si>
  <si>
    <t>p</t>
  </si>
  <si>
    <t>rcc</t>
  </si>
  <si>
    <t>Bricks</t>
  </si>
  <si>
    <t>Plaster</t>
  </si>
  <si>
    <t>Flooring</t>
  </si>
  <si>
    <t>Wood &amp; painting</t>
  </si>
  <si>
    <t>Finishing</t>
  </si>
  <si>
    <t>Progress</t>
  </si>
  <si>
    <t xml:space="preserve">Bricks </t>
  </si>
  <si>
    <t>Total Floor</t>
  </si>
  <si>
    <t>completed Floor</t>
  </si>
  <si>
    <t xml:space="preserve">Recommended </t>
  </si>
  <si>
    <t>plaster</t>
  </si>
  <si>
    <t>Recommended</t>
  </si>
  <si>
    <t xml:space="preserve"> </t>
  </si>
  <si>
    <t>Plinth</t>
  </si>
  <si>
    <t>RCC</t>
  </si>
  <si>
    <t>total</t>
  </si>
  <si>
    <t>Godrej One, Vikhroli East, Mumbai</t>
  </si>
  <si>
    <t>Description</t>
  </si>
  <si>
    <t>Gross Carpet area</t>
  </si>
  <si>
    <t>Attached Terrace area</t>
  </si>
  <si>
    <t>Project Site Address</t>
  </si>
  <si>
    <t>Distance from nearest Railway/Metro/Airport (Km)</t>
  </si>
  <si>
    <t>Distance from the nearest School (Km)</t>
  </si>
  <si>
    <t>Distance from Hospital (Km)</t>
  </si>
  <si>
    <t>Market Value</t>
  </si>
  <si>
    <t>Guideline Values &amp; Distress Value</t>
  </si>
  <si>
    <t>Distress Value (Rs. Per sqft)</t>
  </si>
  <si>
    <t>Building/Tower &amp; Floor</t>
  </si>
  <si>
    <t>Site Visit Date &amp; Time</t>
  </si>
  <si>
    <t xml:space="preserve"> -</t>
  </si>
  <si>
    <t>Under Construction</t>
  </si>
  <si>
    <t>Sq. Ft</t>
  </si>
  <si>
    <t>500000/-</t>
  </si>
  <si>
    <t>Government Guideline/ Circle rate for Flat Built up(Rs per sqft)</t>
  </si>
  <si>
    <t>2BHK</t>
  </si>
  <si>
    <t>Type of Saleable Area (CA/BUA/SBA/PlotArea)</t>
  </si>
  <si>
    <t>As applicable and documented.</t>
  </si>
  <si>
    <t>Basement</t>
  </si>
  <si>
    <t>Ground</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</si>
  <si>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</si>
  <si>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</si>
  <si>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</si>
  <si>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</si>
  <si>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</si>
  <si>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</si>
  <si>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</si>
  <si>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</si>
  <si>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</si>
  <si>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</si>
  <si>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</si>
  <si>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</si>
  <si>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 xml:space="preserve">Water Supply </t>
  </si>
  <si>
    <t>Being Provisioned</t>
  </si>
  <si>
    <t>Electricity Supply</t>
  </si>
  <si>
    <t>Drainage Connection</t>
  </si>
  <si>
    <t>Middle class</t>
  </si>
  <si>
    <t>About 5 km form Mangal Murti Clinic Dr Raut.</t>
  </si>
  <si>
    <t>Basement 0 + Parking Floor 0 (Level 0.6 M)</t>
  </si>
  <si>
    <t>Saleable area
(60% Loading)</t>
  </si>
  <si>
    <t xml:space="preserve">Caroa Properties LLP
</t>
  </si>
  <si>
    <t>Godrej Group</t>
  </si>
  <si>
    <t>Office at Godrej One, 5th floor, Pirojshanagar, Eastern Express Highway, Vikhroli (East), Mumbai 400 079</t>
  </si>
  <si>
    <t>About 6.6KM from Rasayani Bus Depot</t>
  </si>
  <si>
    <t>About 3.7 KM from St. Wilfred's School, Panvel</t>
  </si>
  <si>
    <t>1. Approx. 2KM from
Village Market.
2. Approx. 10KM
from Panvel Main
Market.</t>
  </si>
  <si>
    <t>5.4KM from Somatne Railway
Station
10.5KM from Panvel Railway
Station</t>
  </si>
  <si>
    <t>MSRDC/SPA/ITP-3/CC/2020/502
Dated: 06/10/2020.</t>
  </si>
  <si>
    <t>Tree NOC details</t>
  </si>
  <si>
    <t>CA</t>
  </si>
  <si>
    <t>60/- from 2nd Floor</t>
  </si>
  <si>
    <t>RZ-5</t>
  </si>
  <si>
    <t>Basement 2 + Parking Floor 2 (Level 6.9 M)</t>
  </si>
  <si>
    <t>Basement 1 + Parking Floor 1 (Level 3.75 M)</t>
  </si>
  <si>
    <t>Rate Per Sq. Ft. (on Carpet area)</t>
  </si>
  <si>
    <t>Floor Rise Details Per Sq. Ft. (on Carpet area)</t>
  </si>
  <si>
    <t>Integrated Township Project (ITP) on land bearing S.No.38/0, 74/0, 36/1, 73/0, 30/1, 75/0, 42/4, 42/1, 42/3, 32/2, 39/0, 43/0, 44/4, 70/1, 70/2, 72/0, 76/1, 76/2, 68/0, 81/2A, 81/2B, 40/0, 47/2, 50/12, 50/13, 69/0, 41/1, 41/2, 44/3, 47/1, 71/0, 36/2, 37/1, 37/2, 78/0 of village -Khanavale, Taluka-Panvel, Dist -Raigad, And
S.No.6/1, 6/5, 7/1, 6/6, 7/2, 7/3A, 7/4, 5/2B, 9/2, 4/1, 4/2, 4/3, 4/4, 4/5, 4/6, 7/3B, 7/B/1, 7/B/2, 7B/3, 7B/4, 7B/5, 7B/6, 7B/7, 7C/1, 7C/2, 7C/3, 7C/4, 7C/5, 7C/6, 7C/7, 7C/8, 8/3A/1, 8/3A/2, 8/3A/3, 8/3A/4, 8/3A/5, 8/3A/6, 8/3A/7, 8/3A/8, 8/3A/9, 8/3A/10, 8/D/1, 8/D/2, 8/D/3, 8/D/4, 8/D/5, 8/D/6, 8/D/7, 8/D/8, 8/B/1, 8/B/2, 8/B/3, 8/B/4, 8/B/5, 8/D/6, 8/D/7, 8/D/8, 8/B/1, 8/B/2, 8/B/3, 8/B/4, 8/B/5, 8/B/6, 8/C/1, 8/C/2, 8/1A/1, 8/1A/2, 8/1A/3, 8/1A/4, 8/1A/5, 8/1A/6, 9/B/1, 9/B/2, 9/B/3, 9/B/4, 9/B/5, 9/B/6, 9/B/7, 9/B/8, 9/D/1, 9/D/2, 9/D/3, 9/D/4, 9/D/5, 9/D/6, 9/D/7, 9/D/8, 9/C/1, 9/C/2, 9/C/3, 9/C/4, 9/C/5, 9/C/5, 9/C/6, 9/C/7, 9/C/8, 9/C/9, 7/C/9, 7/C/10 of village Talegaon, Taluka-Khalapur, Dist-Raigad - 410221</t>
  </si>
  <si>
    <t>S. Nos.4/1,4/2,4/3pt,4/4pt,4/5pt,4/6,5pt,6/6pt at Village- Talegaon, Taluka- Khalapur, Dist- Raigad - 410221</t>
  </si>
  <si>
    <t>The Highlands at Godrej City situated at Village- Talegaon, Taluka- Khalapur, Dist- Raigad - 410221</t>
  </si>
  <si>
    <t>Tower No.4</t>
  </si>
  <si>
    <t>Ground Floor + Parking Floor 3 (Level 10.050 M)</t>
  </si>
  <si>
    <t>3BHK</t>
  </si>
  <si>
    <t>1st Floor + Parking Floor 4 + Amenities(Level 13.200 M)</t>
  </si>
  <si>
    <t>2nd Floor + Parking Floor 5 + Amenities(Level 16.35 M)</t>
  </si>
  <si>
    <t>3rd Floor + Parking Floor 6 (Level 19.675 M)</t>
  </si>
  <si>
    <t>4th Floor (Level 22.825 M)</t>
  </si>
  <si>
    <t>5th Floor (Level 25.775 M)</t>
  </si>
  <si>
    <t xml:space="preserve"> 6th to 10th, 12th, 14th, 16th, 18th, 20th, 22nd, 24th, 26th, 28th, 30th, 32nd, 34th, 36th &amp; 38th Floor</t>
  </si>
  <si>
    <t xml:space="preserve"> 11th, 13th, 15th, 17th, 19th, 21st, 23rd, 25th, 27th, 29th, 31st, 33rd, 35th &amp; 37th Floor ( Part Refuge Area)</t>
  </si>
  <si>
    <t>Tower No.4 (Type B)</t>
  </si>
  <si>
    <t>Axis Bank
IFSC Code - UTIB0000004</t>
  </si>
  <si>
    <t>Road</t>
  </si>
  <si>
    <t>Building</t>
  </si>
  <si>
    <t>Tower 3</t>
  </si>
  <si>
    <t>Tower 5</t>
  </si>
  <si>
    <t>Approved Layout &amp; Floor Plans</t>
  </si>
  <si>
    <t>Maharashtra State Road Development Corporation. (MSRDC)</t>
  </si>
  <si>
    <t>9ft</t>
  </si>
  <si>
    <t>Slab/Floor</t>
  </si>
  <si>
    <t>Complition %</t>
  </si>
  <si>
    <t>Piling Work in process</t>
  </si>
  <si>
    <t>Excavation</t>
  </si>
  <si>
    <t>Brickwork</t>
  </si>
  <si>
    <t>Internal Plaster</t>
  </si>
  <si>
    <t>Basement 1</t>
  </si>
  <si>
    <t>Basement 2</t>
  </si>
  <si>
    <t>Flooring &amp; Fitting</t>
  </si>
  <si>
    <t>Basement 3</t>
  </si>
  <si>
    <t>Basement 4</t>
  </si>
  <si>
    <t>Building Common Amenities</t>
  </si>
  <si>
    <t>Possession</t>
  </si>
  <si>
    <t>B0/P0 + B1/P1 to B2/P2 + G + 1st to 38th Floor</t>
  </si>
  <si>
    <t>SEIAA-EC-0000002285
Dated : 25/06/2020.</t>
  </si>
  <si>
    <t>NOC for Height Clearance
NAVI/West/B/02820/450961
Dated : 12/03/2020.
Valid upto : 10/03/2028.</t>
  </si>
  <si>
    <t>Fire NOC
Dated : 29/08/2020. (By MFS)</t>
  </si>
  <si>
    <t>JVK No. B/20/JMIN/970/2019-20 
Dated : 03/12/2019.</t>
  </si>
  <si>
    <t>Date of Site Visit</t>
  </si>
  <si>
    <t>RCC (Including podiums)</t>
  </si>
  <si>
    <t>11000 to 12000</t>
  </si>
  <si>
    <t>verbal</t>
  </si>
  <si>
    <t>Rushil</t>
  </si>
  <si>
    <t>The Highlands at Godrej City, Panvel  (Tower 4 &amp; 5)</t>
  </si>
  <si>
    <t>Tower 4 = P52000030367
Tower 5 = P52000049669</t>
  </si>
  <si>
    <t>Tower 4 = 31/12/2026
Tower 5 = 31/05/2029</t>
  </si>
  <si>
    <t>Tower 4 = 17/08/2021
Tower 5 = 22/02/2023</t>
  </si>
  <si>
    <t xml:space="preserve">Tower 4 = June 2021
Tower 5 = January 2023
</t>
  </si>
  <si>
    <t>Latitude, Longitude</t>
  </si>
  <si>
    <t>Location Link</t>
  </si>
  <si>
    <t>https://goo.gl/maps/A7kCtSnFsg7HVfhp8?coh=178572&amp;entry=tt</t>
  </si>
  <si>
    <t>Kids Pool, Gymnasium, Kids Play Area, Badminton Court, Barbeque Counter, Basketball Court, Board Games, Cafe Style Sitting Area, Community Stitting Area, Creche, Cricket Box, Indoor Games Room,  Jogging-walking Track, Library, Skating, Squash Court, Multipurpose Court</t>
  </si>
  <si>
    <t>1BHK</t>
  </si>
  <si>
    <t>Drivers Room</t>
  </si>
  <si>
    <t>Servant Toilet</t>
  </si>
  <si>
    <t>7th Floor For Residential</t>
  </si>
  <si>
    <t>8th Floor</t>
  </si>
  <si>
    <t>9th Floor</t>
  </si>
  <si>
    <t>10th to 13th, 15th to 18th, 20th to 23rd, 25th to 28th, 30th to 33rd, 35th to 38th, 40th &amp; 41st Floor</t>
  </si>
  <si>
    <t>14th, 19th, 24th, 29th, 34th &amp; 39th Floor (Part Refuge Area)</t>
  </si>
  <si>
    <t>Refuge Area</t>
  </si>
  <si>
    <t>Building &amp; Wing</t>
  </si>
  <si>
    <t>Sale / Rehab</t>
  </si>
  <si>
    <t>Flats/ Shops/ Offices</t>
  </si>
  <si>
    <t>No. of Unit</t>
  </si>
  <si>
    <t>Total Carpet Area</t>
  </si>
  <si>
    <t>Total Saleable Area</t>
  </si>
  <si>
    <t>Flats</t>
  </si>
  <si>
    <t>Total</t>
  </si>
  <si>
    <t>Details of Flats in Building</t>
  </si>
  <si>
    <t>Tower 4</t>
  </si>
  <si>
    <t>292+299</t>
  </si>
  <si>
    <t>Layout Plan</t>
  </si>
  <si>
    <t>Tower No.5 (Type C &amp; A)</t>
  </si>
  <si>
    <t>G + 1st to 41st Floor</t>
  </si>
  <si>
    <t>Tower No. 5 (Type C &amp; A)</t>
  </si>
  <si>
    <t>ABOVE 7 = TYPE A</t>
  </si>
  <si>
    <t xml:space="preserve"> FROM G TO 6TH = TYPE C</t>
  </si>
  <si>
    <t>Ground Floor + Parking Floor 0
For Parking, Doubled Heighted Lobby, Amenity Room, Meter Room &amp; Garbage Room</t>
  </si>
  <si>
    <t>1st Floor + Parking Floor 1 
For Parking, Doubled Heighted Lobby, Amenity Room, Letter Room &amp; Residential</t>
  </si>
  <si>
    <t>6th Floor + Parking Floor 6
For Parking &amp; Residential</t>
  </si>
  <si>
    <t>2nd Floor + Parking Floor 2
For Parking, Drivers Room &amp; Residential</t>
  </si>
  <si>
    <t>3rd Floor + Parking Floor 3
For Parking, Drivers Room &amp; Residential</t>
  </si>
  <si>
    <t>4th Floor + Parking Floor 4
For Parking, Drivers Room &amp; Residential</t>
  </si>
  <si>
    <t>5th Floor + Parking Floor 5
For Parking, Servant Toilet &amp; Residential</t>
  </si>
  <si>
    <t>Flat/Shop No.
as per approved plan</t>
  </si>
  <si>
    <t>As per sale plan - 4</t>
  </si>
  <si>
    <t>18.927472,73.183503</t>
  </si>
  <si>
    <t>Mr.Shantanu - 7262030139</t>
  </si>
  <si>
    <t>Overall Project Completion %</t>
  </si>
  <si>
    <t>1. Tower 4 &amp; 5 = Construction work was in process at the time of visit.
2. We considered Saleable area as per our calculation.
3. We considered Carpet area as per Approved Plan.
4. We considered Gross carpet area = Net carpet + Deck Area + Balcony + Chajja.
5. We considered Flat rate as per Market Inquires.
6. Car parking is subjected to authentic documentation.
7. Construction details are collected from Mr. Micheal - 7710024861.
8.We have updated Approved floor plan &amp; CC of Tower No.5 on (02/05/2023).
8. RZ-5 plot consist of 7 towers but on RERA site only 6 towers are registered.</t>
  </si>
  <si>
    <t>External Plaster</t>
  </si>
  <si>
    <t>External Plumbing, Elevation and Waterproofing</t>
  </si>
  <si>
    <t>Wooden Work</t>
  </si>
  <si>
    <t>Electrical &amp; Sanitary fittings</t>
  </si>
  <si>
    <t>Tower No. 5 = Gr + 1st to 41st Floor</t>
  </si>
  <si>
    <t>Tower No.4 = B0/P0 + B1/P1 &amp; B2/P2 + G + 1st to 38th Floor</t>
  </si>
  <si>
    <t>Mr. Nitesh patil</t>
  </si>
  <si>
    <t xml:space="preserve">MSRDC/SPA/ITP-3/RZ-5/Amended CC/2023/1178
Dated: 07/07/2023.
Valid Up to: Tower No.4 = B + B1 to B2 + Gr + 1st to 38th Floor 
Tower No.5 = Gr + 1st to 41st Floor </t>
  </si>
  <si>
    <t xml:space="preserve">Rate matched with Tower 6 on 08/01/2025 by gaurav </t>
  </si>
  <si>
    <t>12000/- to 13700/-</t>
  </si>
  <si>
    <t>&gt; 90</t>
  </si>
  <si>
    <t>Old Int date</t>
  </si>
  <si>
    <t>04/07/2025 at 10:51AM</t>
  </si>
  <si>
    <t>Mr. Suraj Khare</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</si>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</sst>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x14ac:knownFonts="1">
    <font>
      <sz val="11"/>
      <color theme="1"/>
      <name val="Calibri"/>
      <family val="2"/>
    </font>
    <font>
      <sz val="11"/>
      <color theme="1"/>
      <name val="Calibri"/>
      <family val="2"/>
      <scheme val="minor"/>
    </font>
    <font>
      <sz val="11"/>
      <color theme="1"/>
      <name val="Calibri"/>
      <family val="2"/>
    </font>
    <font>
      <sz val="11"/>
      <color rgb="FFFF0000"/>
      <name val="Calibri"/>
      <family val="2"/>
      <scheme val="minor"/>
    </font>
    <font>
      <b/>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sz val="16"/>
      <color rgb="FF000000"/>
      <name val="Times New Roman"/>
      <family val="1"/>
    </font>
    <font>
      <sz val="16"/>
      <color theme="1"/>
      <name val="Calibri"/>
      <family val="2"/>
      <scheme val="minor"/>
    </font>
    <font>
      <u/>
      <sz val="11"/>
      <color theme="10"/>
      <name val="Calibri"/>
      <family val="2"/>
    </font>
    <font>
      <u/>
      <sz val="14"/>
      <color theme="10"/>
      <name val="Calibri"/>
      <family val="2"/>
    </font>
    <font>
      <sz val="14"/>
      <name val="Times New Roman"/>
      <family val="1"/>
    </font>
    <font>
      <sz val="16"/>
      <color rgb="FFFF0000"/>
      <name val="Times New Roman"/>
      <family val="1"/>
    </font>
  </fonts>
  <fills count="6">
    <fill>
      <patternFill patternType="none"/>
    </fill>
    <fill>
      <patternFill patternType="gray125"/>
    </fill>
    <fill>
      <patternFill patternType="solid">
        <fgColor rgb="FFFFFF00"/>
        <bgColor indexed="64"/>
      </patternFill>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s>
  <cellStyleXfs count="4">
    <xf numFmtId="0" fontId="0" fillId="0" borderId="0"/>
    <xf numFmtId="9" fontId="2" fillId="0" borderId="0" applyFont="0" applyFill="0" applyBorder="0" applyAlignment="0" applyProtection="0"/>
    <xf numFmtId="0" fontId="1" fillId="0" borderId="0"/>
    <xf numFmtId="0" fontId="12" fillId="0" borderId="0" applyNumberFormat="0" applyFill="0" applyBorder="0" applyAlignment="0" applyProtection="0"/>
  </cellStyleXfs>
  <cellXfs count="164">
    <xf numFmtId="0" fontId="0" fillId="0" borderId="0" xfId="0"/>
    <xf numFmtId="0" fontId="4" fillId="2" borderId="1" xfId="0" applyFont="1" applyFill="1" applyBorder="1"/>
    <xf numFmtId="0" fontId="0" fillId="0" borderId="1" xfId="0" applyBorder="1"/>
    <xf numFmtId="0" fontId="0" fillId="0" borderId="7" xfId="0" applyBorder="1"/>
    <xf numFmtId="0" fontId="0" fillId="0" borderId="0" xfId="0" applyAlignment="1">
      <alignment wrapText="1"/>
    </xf>
    <xf numFmtId="0" fontId="0" fillId="0" borderId="1" xfId="0" applyBorder="1" applyAlignment="1">
      <alignment wrapText="1"/>
    </xf>
    <xf numFmtId="0" fontId="3" fillId="0" borderId="0" xfId="0" applyFont="1"/>
    <xf numFmtId="9" fontId="0" fillId="0" borderId="1" xfId="1" applyFont="1" applyBorder="1"/>
    <xf numFmtId="0" fontId="7" fillId="0" borderId="1" xfId="0" applyFont="1" applyBorder="1" applyAlignment="1">
      <alignment horizontal="center" vertical="top" wrapText="1"/>
    </xf>
    <xf numFmtId="0" fontId="6" fillId="0" borderId="0" xfId="0" applyFont="1" applyAlignment="1">
      <alignment vertical="top"/>
    </xf>
    <xf numFmtId="0" fontId="7" fillId="0" borderId="11" xfId="0" applyFont="1" applyBorder="1" applyAlignment="1">
      <alignment vertical="top" wrapText="1"/>
    </xf>
    <xf numFmtId="0" fontId="7" fillId="5" borderId="2" xfId="0" applyFont="1" applyFill="1" applyBorder="1" applyAlignment="1">
      <alignment vertical="top" wrapText="1"/>
    </xf>
    <xf numFmtId="0" fontId="7" fillId="0" borderId="5" xfId="0" applyFont="1" applyBorder="1" applyAlignment="1">
      <alignment vertical="top" wrapText="1"/>
    </xf>
    <xf numFmtId="0" fontId="7" fillId="0" borderId="7" xfId="0" applyFont="1" applyBorder="1" applyAlignment="1">
      <alignment horizontal="center" vertical="top" wrapText="1"/>
    </xf>
    <xf numFmtId="0" fontId="7" fillId="0" borderId="7" xfId="0" applyFont="1" applyBorder="1" applyAlignment="1">
      <alignment vertical="top" wrapText="1"/>
    </xf>
    <xf numFmtId="0" fontId="7" fillId="0" borderId="1" xfId="0" applyFont="1" applyBorder="1" applyAlignment="1">
      <alignment vertical="top"/>
    </xf>
    <xf numFmtId="0" fontId="7" fillId="4" borderId="1" xfId="0" applyFont="1" applyFill="1" applyBorder="1" applyAlignment="1">
      <alignment vertical="top" wrapText="1"/>
    </xf>
    <xf numFmtId="0" fontId="5" fillId="0" borderId="1" xfId="0" applyFont="1" applyBorder="1" applyAlignment="1">
      <alignment vertical="top" wrapText="1"/>
    </xf>
    <xf numFmtId="0" fontId="6" fillId="0" borderId="0" xfId="0" applyFont="1" applyAlignment="1">
      <alignment horizontal="center" vertical="top"/>
    </xf>
    <xf numFmtId="0" fontId="7" fillId="0" borderId="1" xfId="0" applyFont="1" applyBorder="1" applyAlignment="1">
      <alignment horizontal="left" vertical="top" wrapText="1"/>
    </xf>
    <xf numFmtId="0" fontId="7" fillId="5" borderId="1" xfId="0" applyFont="1" applyFill="1" applyBorder="1" applyAlignment="1">
      <alignment horizontal="left" vertical="top" wrapText="1"/>
    </xf>
    <xf numFmtId="0" fontId="5" fillId="0" borderId="1" xfId="0" applyFont="1" applyBorder="1" applyAlignment="1">
      <alignment horizontal="center" vertical="top" wrapText="1"/>
    </xf>
    <xf numFmtId="0" fontId="7" fillId="0" borderId="9" xfId="0" applyFont="1" applyBorder="1" applyAlignment="1">
      <alignment vertical="top" wrapText="1"/>
    </xf>
    <xf numFmtId="0" fontId="5" fillId="0" borderId="1" xfId="0" applyFont="1" applyBorder="1" applyAlignment="1">
      <alignment horizontal="left" vertical="top" wrapText="1"/>
    </xf>
    <xf numFmtId="0" fontId="7" fillId="5" borderId="1" xfId="0" applyFont="1" applyFill="1" applyBorder="1" applyAlignment="1">
      <alignment horizontal="center" vertical="top" wrapText="1"/>
    </xf>
    <xf numFmtId="0" fontId="7" fillId="0" borderId="1" xfId="0" applyFont="1" applyBorder="1" applyAlignment="1">
      <alignment vertical="top" wrapText="1"/>
    </xf>
    <xf numFmtId="0" fontId="7" fillId="5" borderId="1" xfId="0" applyFont="1" applyFill="1" applyBorder="1" applyAlignment="1">
      <alignment vertical="top" wrapText="1"/>
    </xf>
    <xf numFmtId="0" fontId="7" fillId="0" borderId="1" xfId="0" applyFont="1" applyBorder="1" applyAlignment="1">
      <alignment horizontal="center" vertical="top"/>
    </xf>
    <xf numFmtId="1" fontId="8" fillId="0" borderId="1" xfId="2" applyNumberFormat="1" applyFont="1" applyBorder="1" applyAlignment="1">
      <alignment horizontal="center" vertical="top" wrapText="1"/>
    </xf>
    <xf numFmtId="0" fontId="7" fillId="0" borderId="1" xfId="0" applyFont="1" applyBorder="1" applyAlignment="1">
      <alignment horizontal="left" vertical="top"/>
    </xf>
    <xf numFmtId="0" fontId="7" fillId="0" borderId="7" xfId="0" applyFont="1" applyBorder="1" applyAlignment="1">
      <alignment horizontal="left" vertical="top" wrapText="1"/>
    </xf>
    <xf numFmtId="1" fontId="9" fillId="5" borderId="1" xfId="2" applyNumberFormat="1" applyFont="1" applyFill="1" applyBorder="1" applyAlignment="1">
      <alignment horizontal="center" vertical="center" wrapText="1"/>
    </xf>
    <xf numFmtId="14" fontId="7" fillId="5" borderId="1" xfId="0" applyNumberFormat="1" applyFont="1" applyFill="1" applyBorder="1" applyAlignment="1">
      <alignment horizontal="left" vertical="top" wrapText="1"/>
    </xf>
    <xf numFmtId="0" fontId="6" fillId="0" borderId="19" xfId="2" applyFont="1" applyBorder="1" applyProtection="1">
      <protection hidden="1"/>
    </xf>
    <xf numFmtId="0" fontId="6" fillId="0" borderId="20" xfId="2" applyFont="1" applyBorder="1" applyProtection="1">
      <protection hidden="1"/>
    </xf>
    <xf numFmtId="0" fontId="6" fillId="0" borderId="0" xfId="2" applyFont="1" applyProtection="1">
      <protection hidden="1"/>
    </xf>
    <xf numFmtId="0" fontId="7" fillId="3" borderId="1" xfId="0" applyFont="1" applyFill="1" applyBorder="1" applyAlignment="1">
      <alignment vertical="top"/>
    </xf>
    <xf numFmtId="0" fontId="10" fillId="0" borderId="0" xfId="0" applyFont="1" applyProtection="1">
      <protection hidden="1"/>
    </xf>
    <xf numFmtId="0" fontId="6" fillId="0" borderId="20" xfId="2" applyFont="1" applyBorder="1"/>
    <xf numFmtId="0" fontId="10" fillId="0" borderId="20" xfId="0" applyFont="1" applyBorder="1" applyProtection="1">
      <protection hidden="1"/>
    </xf>
    <xf numFmtId="1" fontId="11" fillId="0" borderId="20" xfId="0" applyNumberFormat="1" applyFont="1" applyBorder="1"/>
    <xf numFmtId="1" fontId="11" fillId="0" borderId="20" xfId="0" applyNumberFormat="1" applyFont="1" applyBorder="1" applyAlignment="1">
      <alignment horizontal="right"/>
    </xf>
    <xf numFmtId="0" fontId="10" fillId="0" borderId="23" xfId="0" applyFont="1" applyBorder="1" applyProtection="1">
      <protection hidden="1"/>
    </xf>
    <xf numFmtId="1" fontId="11" fillId="0" borderId="24" xfId="0" applyNumberFormat="1" applyFont="1" applyBorder="1"/>
    <xf numFmtId="0" fontId="6" fillId="2" borderId="0" xfId="0" applyFont="1" applyFill="1" applyAlignment="1">
      <alignment vertical="top"/>
    </xf>
    <xf numFmtId="14" fontId="6" fillId="2" borderId="0" xfId="0" applyNumberFormat="1" applyFont="1" applyFill="1" applyAlignment="1">
      <alignment vertical="top"/>
    </xf>
    <xf numFmtId="14" fontId="6" fillId="0" borderId="0" xfId="0" applyNumberFormat="1" applyFont="1" applyAlignment="1">
      <alignment vertical="top"/>
    </xf>
    <xf numFmtId="0" fontId="7" fillId="5" borderId="12" xfId="0" applyFont="1" applyFill="1" applyBorder="1" applyAlignment="1">
      <alignment horizontal="center" vertical="top" wrapText="1"/>
    </xf>
    <xf numFmtId="0" fontId="7" fillId="5" borderId="14" xfId="0" applyFont="1" applyFill="1" applyBorder="1" applyAlignment="1">
      <alignment horizontal="center" vertical="top" wrapText="1"/>
    </xf>
    <xf numFmtId="1" fontId="8" fillId="5" borderId="1" xfId="2" applyNumberFormat="1" applyFont="1" applyFill="1" applyBorder="1" applyAlignment="1">
      <alignment horizontal="center" vertical="top" wrapText="1"/>
    </xf>
    <xf numFmtId="0" fontId="6" fillId="4" borderId="0" xfId="0" applyFont="1" applyFill="1" applyAlignment="1">
      <alignment vertical="top"/>
    </xf>
    <xf numFmtId="1" fontId="9" fillId="5" borderId="1" xfId="2" applyNumberFormat="1" applyFont="1" applyFill="1" applyBorder="1" applyAlignment="1">
      <alignment horizontal="center" vertical="top" wrapText="1"/>
    </xf>
    <xf numFmtId="0" fontId="7" fillId="5" borderId="8" xfId="0" applyFont="1" applyFill="1" applyBorder="1" applyAlignment="1">
      <alignment vertical="top" wrapText="1"/>
    </xf>
    <xf numFmtId="0" fontId="7" fillId="5" borderId="4" xfId="0" applyFont="1" applyFill="1" applyBorder="1" applyAlignment="1">
      <alignment vertical="top" wrapText="1"/>
    </xf>
    <xf numFmtId="0" fontId="7" fillId="5" borderId="13" xfId="0" applyFont="1" applyFill="1" applyBorder="1" applyAlignment="1">
      <alignment vertical="top" wrapText="1"/>
    </xf>
    <xf numFmtId="0" fontId="7" fillId="5" borderId="0" xfId="0" applyFont="1" applyFill="1" applyAlignment="1">
      <alignment vertical="top" wrapText="1"/>
    </xf>
    <xf numFmtId="0" fontId="7" fillId="5" borderId="17" xfId="0" applyFont="1" applyFill="1" applyBorder="1" applyAlignment="1">
      <alignment vertical="top" wrapText="1"/>
    </xf>
    <xf numFmtId="0" fontId="7" fillId="5" borderId="10" xfId="0" applyFont="1" applyFill="1" applyBorder="1" applyAlignment="1">
      <alignment vertical="top" wrapText="1"/>
    </xf>
    <xf numFmtId="0" fontId="7" fillId="5" borderId="18" xfId="0" applyFont="1" applyFill="1" applyBorder="1" applyAlignment="1">
      <alignment horizontal="center" vertical="top" wrapText="1"/>
    </xf>
    <xf numFmtId="9" fontId="7" fillId="5" borderId="1" xfId="2" applyNumberFormat="1" applyFont="1" applyFill="1" applyBorder="1" applyAlignment="1" applyProtection="1">
      <alignment horizontal="center" vertical="center" wrapText="1"/>
      <protection hidden="1"/>
    </xf>
    <xf numFmtId="0" fontId="7" fillId="5" borderId="1" xfId="2" applyFont="1" applyFill="1" applyBorder="1" applyAlignment="1" applyProtection="1">
      <alignment horizontal="center" vertical="center" wrapText="1"/>
      <protection hidden="1"/>
    </xf>
    <xf numFmtId="0" fontId="7" fillId="3" borderId="1" xfId="0" applyFont="1" applyFill="1" applyBorder="1" applyAlignment="1">
      <alignment horizontal="center" vertical="top"/>
    </xf>
    <xf numFmtId="0" fontId="15" fillId="0" borderId="0" xfId="0" applyFont="1" applyAlignment="1">
      <alignment vertical="top"/>
    </xf>
    <xf numFmtId="14" fontId="15" fillId="5" borderId="1" xfId="0" applyNumberFormat="1" applyFont="1" applyFill="1" applyBorder="1" applyAlignment="1">
      <alignment horizontal="left" vertical="top" wrapText="1"/>
    </xf>
    <xf numFmtId="9" fontId="5" fillId="5" borderId="2" xfId="2" applyNumberFormat="1" applyFont="1" applyFill="1" applyBorder="1" applyAlignment="1" applyProtection="1">
      <alignment horizontal="center" vertical="center" wrapText="1"/>
      <protection hidden="1"/>
    </xf>
    <xf numFmtId="9" fontId="5" fillId="5" borderId="3" xfId="2" applyNumberFormat="1" applyFont="1" applyFill="1" applyBorder="1" applyAlignment="1" applyProtection="1">
      <alignment horizontal="center" vertical="center" wrapText="1"/>
      <protection hidden="1"/>
    </xf>
    <xf numFmtId="9" fontId="5" fillId="5" borderId="5" xfId="2" applyNumberFormat="1" applyFont="1" applyFill="1" applyBorder="1" applyAlignment="1" applyProtection="1">
      <alignment horizontal="center" vertical="center" wrapText="1"/>
      <protection hidden="1"/>
    </xf>
    <xf numFmtId="1" fontId="9" fillId="5" borderId="1" xfId="2" applyNumberFormat="1" applyFont="1" applyFill="1" applyBorder="1" applyAlignment="1">
      <alignment horizontal="center" vertical="center" wrapText="1"/>
    </xf>
    <xf numFmtId="0" fontId="5" fillId="5" borderId="2" xfId="0" applyFont="1" applyFill="1" applyBorder="1" applyAlignment="1">
      <alignment horizontal="center" vertical="top" wrapText="1"/>
    </xf>
    <xf numFmtId="0" fontId="5" fillId="5" borderId="3" xfId="0" applyFont="1" applyFill="1" applyBorder="1" applyAlignment="1">
      <alignment horizontal="center" vertical="top" wrapText="1"/>
    </xf>
    <xf numFmtId="0" fontId="5" fillId="5" borderId="5" xfId="0" applyFont="1" applyFill="1" applyBorder="1" applyAlignment="1">
      <alignment horizontal="center" vertical="top" wrapText="1"/>
    </xf>
    <xf numFmtId="0" fontId="7" fillId="5" borderId="2" xfId="0" applyFont="1" applyFill="1" applyBorder="1" applyAlignment="1">
      <alignment horizontal="center" vertical="top" wrapText="1"/>
    </xf>
    <xf numFmtId="0" fontId="7" fillId="5" borderId="3" xfId="0" applyFont="1" applyFill="1" applyBorder="1" applyAlignment="1">
      <alignment horizontal="center" vertical="top" wrapText="1"/>
    </xf>
    <xf numFmtId="0" fontId="7" fillId="5" borderId="5" xfId="0" applyFont="1" applyFill="1" applyBorder="1" applyAlignment="1">
      <alignment horizontal="center" vertical="top" wrapText="1"/>
    </xf>
    <xf numFmtId="1" fontId="9" fillId="5" borderId="2" xfId="2" applyNumberFormat="1" applyFont="1" applyFill="1" applyBorder="1" applyAlignment="1">
      <alignment horizontal="center" vertical="center" wrapText="1"/>
    </xf>
    <xf numFmtId="1" fontId="9" fillId="5" borderId="5" xfId="2" applyNumberFormat="1" applyFont="1" applyFill="1" applyBorder="1" applyAlignment="1">
      <alignment horizontal="center" vertical="center" wrapText="1"/>
    </xf>
    <xf numFmtId="1" fontId="9" fillId="5" borderId="2" xfId="2" applyNumberFormat="1" applyFont="1" applyFill="1" applyBorder="1" applyAlignment="1">
      <alignment horizontal="center" vertical="top" wrapText="1"/>
    </xf>
    <xf numFmtId="1" fontId="9" fillId="5" borderId="3" xfId="2" applyNumberFormat="1" applyFont="1" applyFill="1" applyBorder="1" applyAlignment="1">
      <alignment horizontal="center" vertical="top" wrapText="1"/>
    </xf>
    <xf numFmtId="1" fontId="9" fillId="5" borderId="5" xfId="2" applyNumberFormat="1" applyFont="1" applyFill="1" applyBorder="1" applyAlignment="1">
      <alignment horizontal="center" vertical="top" wrapText="1"/>
    </xf>
    <xf numFmtId="1" fontId="9" fillId="5" borderId="3" xfId="2" applyNumberFormat="1" applyFont="1" applyFill="1" applyBorder="1" applyAlignment="1">
      <alignment horizontal="center" vertical="center" wrapText="1"/>
    </xf>
    <xf numFmtId="0" fontId="5" fillId="3" borderId="1" xfId="0" applyFont="1" applyFill="1" applyBorder="1" applyAlignment="1">
      <alignment horizontal="center" vertical="top"/>
    </xf>
    <xf numFmtId="0" fontId="7" fillId="0" borderId="1" xfId="0" applyFont="1" applyBorder="1" applyAlignment="1">
      <alignment horizontal="left" vertical="top" wrapText="1"/>
    </xf>
    <xf numFmtId="0" fontId="7" fillId="5" borderId="1" xfId="0" applyFont="1" applyFill="1" applyBorder="1" applyAlignment="1">
      <alignment horizontal="left" vertical="top" wrapText="1"/>
    </xf>
    <xf numFmtId="0" fontId="7" fillId="0" borderId="2" xfId="0" applyFont="1" applyBorder="1" applyAlignment="1">
      <alignment horizontal="left" vertical="top" wrapText="1"/>
    </xf>
    <xf numFmtId="0" fontId="7" fillId="0" borderId="3" xfId="0" applyFont="1" applyBorder="1" applyAlignment="1">
      <alignment horizontal="left" vertical="top" wrapText="1"/>
    </xf>
    <xf numFmtId="0" fontId="7" fillId="0" borderId="5" xfId="0" applyFont="1" applyBorder="1" applyAlignment="1">
      <alignment horizontal="left" vertical="top" wrapText="1"/>
    </xf>
    <xf numFmtId="2" fontId="7" fillId="5" borderId="1" xfId="0" applyNumberFormat="1" applyFont="1" applyFill="1" applyBorder="1" applyAlignment="1">
      <alignment horizontal="left" vertical="top" wrapText="1"/>
    </xf>
    <xf numFmtId="1" fontId="8" fillId="5" borderId="1" xfId="2" applyNumberFormat="1" applyFont="1" applyFill="1" applyBorder="1" applyAlignment="1">
      <alignment horizontal="center" vertical="center" wrapText="1"/>
    </xf>
    <xf numFmtId="1" fontId="8" fillId="0" borderId="1" xfId="2" applyNumberFormat="1" applyFont="1" applyBorder="1" applyAlignment="1">
      <alignment horizontal="center" vertical="top" wrapText="1"/>
    </xf>
    <xf numFmtId="1" fontId="8" fillId="0" borderId="2" xfId="2" applyNumberFormat="1" applyFont="1" applyBorder="1" applyAlignment="1">
      <alignment horizontal="center" vertical="top" wrapText="1"/>
    </xf>
    <xf numFmtId="1" fontId="8" fillId="0" borderId="5" xfId="2" applyNumberFormat="1" applyFont="1" applyBorder="1" applyAlignment="1">
      <alignment horizontal="center" vertical="top" wrapText="1"/>
    </xf>
    <xf numFmtId="0" fontId="7" fillId="0" borderId="1" xfId="0" applyFont="1" applyBorder="1" applyAlignment="1">
      <alignment horizontal="left" vertical="top"/>
    </xf>
    <xf numFmtId="0" fontId="5" fillId="3" borderId="2" xfId="0" applyFont="1" applyFill="1" applyBorder="1" applyAlignment="1">
      <alignment horizontal="center" vertical="top" wrapText="1"/>
    </xf>
    <xf numFmtId="0" fontId="5" fillId="3" borderId="3" xfId="0" applyFont="1" applyFill="1" applyBorder="1" applyAlignment="1">
      <alignment horizontal="center" vertical="top" wrapText="1"/>
    </xf>
    <xf numFmtId="0" fontId="5" fillId="3" borderId="5" xfId="0" applyFont="1" applyFill="1" applyBorder="1" applyAlignment="1">
      <alignment horizontal="center" vertical="top" wrapText="1"/>
    </xf>
    <xf numFmtId="0" fontId="5" fillId="3" borderId="2" xfId="0" applyFont="1" applyFill="1" applyBorder="1" applyAlignment="1">
      <alignment horizontal="center" vertical="top"/>
    </xf>
    <xf numFmtId="0" fontId="5" fillId="3" borderId="3" xfId="0" applyFont="1" applyFill="1" applyBorder="1" applyAlignment="1">
      <alignment horizontal="center" vertical="top"/>
    </xf>
    <xf numFmtId="0" fontId="5" fillId="3" borderId="5" xfId="0" applyFont="1" applyFill="1" applyBorder="1" applyAlignment="1">
      <alignment horizontal="center" vertical="top"/>
    </xf>
    <xf numFmtId="2" fontId="7" fillId="5" borderId="2" xfId="0" applyNumberFormat="1" applyFont="1" applyFill="1" applyBorder="1" applyAlignment="1">
      <alignment horizontal="left" vertical="top" wrapText="1"/>
    </xf>
    <xf numFmtId="2" fontId="7" fillId="5" borderId="5" xfId="0" applyNumberFormat="1" applyFont="1" applyFill="1" applyBorder="1" applyAlignment="1">
      <alignment horizontal="left" vertical="top" wrapText="1"/>
    </xf>
    <xf numFmtId="1" fontId="8" fillId="5" borderId="2" xfId="2" applyNumberFormat="1" applyFont="1" applyFill="1" applyBorder="1" applyAlignment="1">
      <alignment horizontal="center" vertical="top" wrapText="1"/>
    </xf>
    <xf numFmtId="1" fontId="8" fillId="5" borderId="5" xfId="2" applyNumberFormat="1" applyFont="1" applyFill="1" applyBorder="1" applyAlignment="1">
      <alignment horizontal="center" vertical="top" wrapText="1"/>
    </xf>
    <xf numFmtId="0" fontId="7" fillId="5" borderId="2" xfId="0" applyFont="1" applyFill="1" applyBorder="1" applyAlignment="1">
      <alignment horizontal="left" vertical="top" wrapText="1"/>
    </xf>
    <xf numFmtId="0" fontId="7" fillId="5" borderId="5" xfId="0" applyFont="1" applyFill="1" applyBorder="1" applyAlignment="1">
      <alignment horizontal="left" vertical="top" wrapText="1"/>
    </xf>
    <xf numFmtId="0" fontId="5" fillId="3" borderId="9" xfId="0" applyFont="1" applyFill="1" applyBorder="1" applyAlignment="1">
      <alignment horizontal="center" vertical="top"/>
    </xf>
    <xf numFmtId="0" fontId="7" fillId="0" borderId="1" xfId="0" applyFont="1" applyBorder="1" applyAlignment="1">
      <alignment vertical="top" wrapText="1"/>
    </xf>
    <xf numFmtId="0" fontId="7" fillId="0" borderId="9" xfId="0" applyFont="1" applyBorder="1" applyAlignment="1">
      <alignment vertical="top" wrapText="1"/>
    </xf>
    <xf numFmtId="0" fontId="7" fillId="5" borderId="9" xfId="0" applyFont="1" applyFill="1" applyBorder="1" applyAlignment="1">
      <alignment horizontal="left" vertical="top" wrapText="1"/>
    </xf>
    <xf numFmtId="0" fontId="5" fillId="5" borderId="2" xfId="0" applyFont="1" applyFill="1" applyBorder="1" applyAlignment="1">
      <alignment horizontal="left" vertical="top" wrapText="1"/>
    </xf>
    <xf numFmtId="0" fontId="5" fillId="5" borderId="3" xfId="0" applyFont="1" applyFill="1" applyBorder="1" applyAlignment="1">
      <alignment horizontal="left" vertical="top" wrapText="1"/>
    </xf>
    <xf numFmtId="0" fontId="6" fillId="5" borderId="1" xfId="0" applyFont="1" applyFill="1" applyBorder="1" applyAlignment="1">
      <alignment horizontal="left" vertical="top" wrapText="1"/>
    </xf>
    <xf numFmtId="14" fontId="7" fillId="5" borderId="1" xfId="0" applyNumberFormat="1" applyFont="1" applyFill="1" applyBorder="1" applyAlignment="1">
      <alignment horizontal="left" vertical="top" wrapText="1"/>
    </xf>
    <xf numFmtId="0" fontId="7" fillId="5" borderId="1" xfId="0" applyFont="1" applyFill="1" applyBorder="1" applyAlignment="1">
      <alignment vertical="top" wrapText="1"/>
    </xf>
    <xf numFmtId="0" fontId="7" fillId="5" borderId="3" xfId="0" applyFont="1" applyFill="1" applyBorder="1" applyAlignment="1">
      <alignment horizontal="left" vertical="top" wrapText="1"/>
    </xf>
    <xf numFmtId="0" fontId="6" fillId="5" borderId="2" xfId="0" applyFont="1" applyFill="1" applyBorder="1" applyAlignment="1">
      <alignment horizontal="left" vertical="top" wrapText="1"/>
    </xf>
    <xf numFmtId="0" fontId="6" fillId="5" borderId="5" xfId="0" applyFont="1" applyFill="1" applyBorder="1" applyAlignment="1">
      <alignment horizontal="left" vertical="top" wrapText="1"/>
    </xf>
    <xf numFmtId="0" fontId="7" fillId="0" borderId="2" xfId="0" applyFont="1" applyBorder="1" applyAlignment="1">
      <alignment horizontal="left" vertical="top"/>
    </xf>
    <xf numFmtId="0" fontId="7" fillId="0" borderId="3" xfId="0" applyFont="1" applyBorder="1" applyAlignment="1">
      <alignment horizontal="left" vertical="top"/>
    </xf>
    <xf numFmtId="0" fontId="7" fillId="0" borderId="5" xfId="0" applyFont="1" applyBorder="1" applyAlignment="1">
      <alignment horizontal="left" vertical="top"/>
    </xf>
    <xf numFmtId="0" fontId="13" fillId="5" borderId="2" xfId="3" applyFont="1" applyFill="1" applyBorder="1" applyAlignment="1">
      <alignment horizontal="left" vertical="top" wrapText="1"/>
    </xf>
    <xf numFmtId="0" fontId="14" fillId="5" borderId="3" xfId="0" applyFont="1" applyFill="1" applyBorder="1" applyAlignment="1">
      <alignment horizontal="left" vertical="top" wrapText="1"/>
    </xf>
    <xf numFmtId="0" fontId="14" fillId="5" borderId="5" xfId="0" applyFont="1" applyFill="1" applyBorder="1" applyAlignment="1">
      <alignment horizontal="left" vertical="top" wrapText="1"/>
    </xf>
    <xf numFmtId="0" fontId="5" fillId="0" borderId="1" xfId="0" applyFont="1" applyBorder="1" applyAlignment="1">
      <alignment horizontal="center" vertical="top" wrapText="1"/>
    </xf>
    <xf numFmtId="0" fontId="7" fillId="5" borderId="1" xfId="0" applyFont="1" applyFill="1" applyBorder="1" applyAlignment="1">
      <alignment horizontal="center" vertical="top" wrapText="1"/>
    </xf>
    <xf numFmtId="0" fontId="5" fillId="0" borderId="2" xfId="0" applyFont="1" applyBorder="1" applyAlignment="1">
      <alignment horizontal="center" vertical="top" wrapText="1"/>
    </xf>
    <xf numFmtId="0" fontId="5" fillId="0" borderId="5" xfId="0" applyFont="1" applyBorder="1" applyAlignment="1">
      <alignment horizontal="center" vertical="top" wrapText="1"/>
    </xf>
    <xf numFmtId="0" fontId="7" fillId="0" borderId="13" xfId="0" applyFont="1" applyBorder="1" applyAlignment="1">
      <alignment horizontal="left" vertical="top" wrapText="1"/>
    </xf>
    <xf numFmtId="0" fontId="7" fillId="0" borderId="0" xfId="0" applyFont="1" applyAlignment="1">
      <alignment horizontal="left" vertical="top" wrapText="1"/>
    </xf>
    <xf numFmtId="0" fontId="7" fillId="0" borderId="14" xfId="0" applyFont="1" applyBorder="1" applyAlignment="1">
      <alignment horizontal="left" vertical="top" wrapText="1"/>
    </xf>
    <xf numFmtId="0" fontId="7" fillId="0" borderId="17" xfId="0" applyFont="1" applyBorder="1" applyAlignment="1">
      <alignment horizontal="left" vertical="top" wrapText="1"/>
    </xf>
    <xf numFmtId="0" fontId="7" fillId="0" borderId="10" xfId="0" applyFont="1" applyBorder="1" applyAlignment="1">
      <alignment horizontal="left" vertical="top" wrapText="1"/>
    </xf>
    <xf numFmtId="0" fontId="7" fillId="0" borderId="18" xfId="0" applyFont="1" applyBorder="1" applyAlignment="1">
      <alignment horizontal="left" vertical="top" wrapText="1"/>
    </xf>
    <xf numFmtId="0" fontId="5" fillId="0" borderId="1" xfId="0" applyFont="1" applyBorder="1" applyAlignment="1">
      <alignment horizontal="left" vertical="top" wrapText="1"/>
    </xf>
    <xf numFmtId="0" fontId="7" fillId="4" borderId="1" xfId="0" applyFont="1" applyFill="1" applyBorder="1" applyAlignment="1">
      <alignment horizontal="center" vertical="top" wrapText="1"/>
    </xf>
    <xf numFmtId="0" fontId="7" fillId="4" borderId="22" xfId="0" applyFont="1" applyFill="1" applyBorder="1" applyAlignment="1">
      <alignment horizontal="center" vertical="top" wrapText="1"/>
    </xf>
    <xf numFmtId="0" fontId="7" fillId="4" borderId="25" xfId="0" applyFont="1" applyFill="1" applyBorder="1" applyAlignment="1">
      <alignment horizontal="center" vertical="top" wrapText="1"/>
    </xf>
    <xf numFmtId="0" fontId="7" fillId="4" borderId="21" xfId="0" applyFont="1" applyFill="1" applyBorder="1" applyAlignment="1">
      <alignment horizontal="center" vertical="top" wrapText="1"/>
    </xf>
    <xf numFmtId="0" fontId="7" fillId="4" borderId="15" xfId="0" applyFont="1" applyFill="1" applyBorder="1" applyAlignment="1">
      <alignment horizontal="center" vertical="top" wrapText="1"/>
    </xf>
    <xf numFmtId="0" fontId="7" fillId="4" borderId="6" xfId="0" applyFont="1" applyFill="1" applyBorder="1" applyAlignment="1">
      <alignment horizontal="center" vertical="top" wrapText="1"/>
    </xf>
    <xf numFmtId="0" fontId="7" fillId="4" borderId="16" xfId="0" applyFont="1" applyFill="1" applyBorder="1" applyAlignment="1">
      <alignment horizontal="center" vertical="top" wrapText="1"/>
    </xf>
    <xf numFmtId="0" fontId="7" fillId="0" borderId="7" xfId="0" applyFont="1" applyBorder="1" applyAlignment="1">
      <alignment horizontal="left" vertical="top" wrapText="1"/>
    </xf>
    <xf numFmtId="0" fontId="7" fillId="5" borderId="8" xfId="0" applyFont="1" applyFill="1" applyBorder="1" applyAlignment="1">
      <alignment horizontal="left" vertical="top" wrapText="1"/>
    </xf>
    <xf numFmtId="0" fontId="7" fillId="5" borderId="4" xfId="0" applyFont="1" applyFill="1" applyBorder="1" applyAlignment="1">
      <alignment horizontal="left" vertical="top" wrapText="1"/>
    </xf>
    <xf numFmtId="0" fontId="7" fillId="5" borderId="12" xfId="0" applyFont="1" applyFill="1" applyBorder="1" applyAlignment="1">
      <alignment horizontal="left" vertical="top" wrapText="1"/>
    </xf>
    <xf numFmtId="14" fontId="7" fillId="5" borderId="8" xfId="0" applyNumberFormat="1" applyFont="1" applyFill="1" applyBorder="1" applyAlignment="1">
      <alignment horizontal="left" vertical="top"/>
    </xf>
    <xf numFmtId="14" fontId="7" fillId="5" borderId="4" xfId="0" applyNumberFormat="1" applyFont="1" applyFill="1" applyBorder="1" applyAlignment="1">
      <alignment horizontal="left" vertical="top"/>
    </xf>
    <xf numFmtId="14" fontId="7" fillId="5" borderId="12" xfId="0" applyNumberFormat="1" applyFont="1" applyFill="1" applyBorder="1" applyAlignment="1">
      <alignment horizontal="left" vertical="top"/>
    </xf>
    <xf numFmtId="1" fontId="9" fillId="5" borderId="8" xfId="2" applyNumberFormat="1" applyFont="1" applyFill="1" applyBorder="1" applyAlignment="1">
      <alignment horizontal="center" vertical="center" wrapText="1"/>
    </xf>
    <xf numFmtId="1" fontId="9" fillId="5" borderId="12" xfId="2" applyNumberFormat="1" applyFont="1" applyFill="1" applyBorder="1" applyAlignment="1">
      <alignment horizontal="center" vertical="center" wrapText="1"/>
    </xf>
    <xf numFmtId="1" fontId="9" fillId="5" borderId="13" xfId="2" applyNumberFormat="1" applyFont="1" applyFill="1" applyBorder="1" applyAlignment="1">
      <alignment horizontal="center" vertical="center" wrapText="1"/>
    </xf>
    <xf numFmtId="1" fontId="9" fillId="5" borderId="14" xfId="2" applyNumberFormat="1" applyFont="1" applyFill="1" applyBorder="1" applyAlignment="1">
      <alignment horizontal="center" vertical="center" wrapText="1"/>
    </xf>
    <xf numFmtId="1" fontId="9" fillId="5" borderId="17" xfId="2" applyNumberFormat="1" applyFont="1" applyFill="1" applyBorder="1" applyAlignment="1">
      <alignment horizontal="center" vertical="center" wrapText="1"/>
    </xf>
    <xf numFmtId="1" fontId="9" fillId="5" borderId="18" xfId="2" applyNumberFormat="1" applyFont="1" applyFill="1" applyBorder="1" applyAlignment="1">
      <alignment horizontal="center" vertical="center" wrapText="1"/>
    </xf>
    <xf numFmtId="0" fontId="5" fillId="3" borderId="12" xfId="0" applyFont="1" applyFill="1" applyBorder="1" applyAlignment="1">
      <alignment horizontal="center" vertical="top" wrapText="1"/>
    </xf>
    <xf numFmtId="0" fontId="5" fillId="5" borderId="1" xfId="2" applyFont="1" applyFill="1" applyBorder="1" applyAlignment="1" applyProtection="1">
      <alignment horizontal="left" vertical="top" wrapText="1"/>
      <protection hidden="1"/>
    </xf>
    <xf numFmtId="9" fontId="5" fillId="5" borderId="1" xfId="2" applyNumberFormat="1" applyFont="1" applyFill="1" applyBorder="1" applyAlignment="1" applyProtection="1">
      <alignment horizontal="center" vertical="center" wrapText="1"/>
      <protection hidden="1"/>
    </xf>
    <xf numFmtId="0" fontId="7" fillId="5" borderId="1" xfId="2" applyFont="1" applyFill="1" applyBorder="1" applyAlignment="1" applyProtection="1">
      <alignment horizontal="center" vertical="center" wrapText="1"/>
      <protection hidden="1"/>
    </xf>
    <xf numFmtId="0" fontId="7" fillId="3" borderId="1" xfId="0" applyFont="1" applyFill="1" applyBorder="1" applyAlignment="1">
      <alignment horizontal="center" vertical="top"/>
    </xf>
    <xf numFmtId="9" fontId="7" fillId="5" borderId="1" xfId="2" applyNumberFormat="1" applyFont="1" applyFill="1" applyBorder="1" applyAlignment="1" applyProtection="1">
      <alignment horizontal="center" vertical="center" wrapText="1"/>
      <protection hidden="1"/>
    </xf>
    <xf numFmtId="1" fontId="7" fillId="5" borderId="1" xfId="2" applyNumberFormat="1" applyFont="1" applyFill="1" applyBorder="1" applyAlignment="1" applyProtection="1">
      <alignment horizontal="center" vertical="center" wrapText="1"/>
      <protection hidden="1"/>
    </xf>
    <xf numFmtId="9" fontId="7" fillId="5" borderId="2" xfId="2" applyNumberFormat="1" applyFont="1" applyFill="1" applyBorder="1" applyAlignment="1" applyProtection="1">
      <alignment horizontal="center" vertical="center" wrapText="1"/>
      <protection hidden="1"/>
    </xf>
    <xf numFmtId="9" fontId="7" fillId="5" borderId="5" xfId="2" applyNumberFormat="1" applyFont="1" applyFill="1" applyBorder="1" applyAlignment="1" applyProtection="1">
      <alignment horizontal="center" vertical="center" wrapText="1"/>
      <protection hidden="1"/>
    </xf>
    <xf numFmtId="0" fontId="7" fillId="5" borderId="2" xfId="2" applyFont="1" applyFill="1" applyBorder="1" applyAlignment="1" applyProtection="1">
      <alignment horizontal="center" vertical="center" wrapText="1"/>
      <protection hidden="1"/>
    </xf>
    <xf numFmtId="0" fontId="7" fillId="5" borderId="5" xfId="2" applyFont="1" applyFill="1" applyBorder="1" applyAlignment="1" applyProtection="1">
      <alignment horizontal="center" vertical="center" wrapText="1"/>
      <protection hidden="1"/>
    </xf>
  </cellXfs>
  <cellStyles count="4">
    <cellStyle name="Hyperlink" xfId="3" builtinId="8"/>
    <cellStyle name="Normal" xfId="0" builtinId="0"/>
    <cellStyle name="Normal 3" xfId="2" xr:uid="{00000000-0005-0000-0000-000002000000}"/>
    <cellStyle name="Percent" xfId="1" builtinId="5"/>
  </cellStyles>
  <dxfs count="0"/>
  <tableStyles count="0" defaultTableStyle="TableStyleMedium9" defaultPivotStyle="PivotStyleLight16"/>
  <colors>
    <mruColors>
      <color rgb="FFFEF2E8"/>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pn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editAs="oneCell">
    <xdr:from>
      <xdr:col>0</xdr:col>
      <xdr:colOff>170055</xdr:colOff>
      <xdr:row>317</xdr:row>
      <xdr:rowOff>183296</xdr:rowOff>
    </xdr:from>
    <xdr:to>
      <xdr:col>5</xdr:col>
      <xdr:colOff>227566</xdr:colOff>
      <xdr:row>324</xdr:row>
      <xdr:rowOff>1030941</xdr:rowOff>
    </xdr:to>
    <xdr:pic>
      <xdr:nvPicPr>
        <xdr:cNvPr id="20" name="Picture 19">
          <a:extLst>
            <a:ext uri="{FF2B5EF4-FFF2-40B4-BE49-F238E27FC236}">
              <a16:creationId xmlns:a16="http://schemas.microsoft.com/office/drawing/2014/main" id="{00000000-0008-0000-0000-00001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170055" y="105922002"/>
          <a:ext cx="5032923" cy="3525850"/>
        </a:xfrm>
        <a:prstGeom prst="rect">
          <a:avLst/>
        </a:prstGeom>
        <a:ln>
          <a:solidFill>
            <a:schemeClr val="tx1"/>
          </a:solidFill>
        </a:ln>
      </xdr:spPr>
    </xdr:pic>
    <xdr:clientData/>
  </xdr:twoCellAnchor>
  <xdr:twoCellAnchor editAs="oneCell">
    <xdr:from>
      <xdr:col>5</xdr:col>
      <xdr:colOff>351315</xdr:colOff>
      <xdr:row>317</xdr:row>
      <xdr:rowOff>169805</xdr:rowOff>
    </xdr:from>
    <xdr:to>
      <xdr:col>8</xdr:col>
      <xdr:colOff>1624853</xdr:colOff>
      <xdr:row>324</xdr:row>
      <xdr:rowOff>1020536</xdr:rowOff>
    </xdr:to>
    <xdr:pic>
      <xdr:nvPicPr>
        <xdr:cNvPr id="24" name="Picture 23">
          <a:extLst>
            <a:ext uri="{FF2B5EF4-FFF2-40B4-BE49-F238E27FC236}">
              <a16:creationId xmlns:a16="http://schemas.microsoft.com/office/drawing/2014/main" id="{00000000-0008-0000-0000-000018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5331529" y="108278555"/>
          <a:ext cx="4906645" cy="3558552"/>
        </a:xfrm>
        <a:prstGeom prst="rect">
          <a:avLst/>
        </a:prstGeom>
        <a:ln>
          <a:solidFill>
            <a:schemeClr val="tx1"/>
          </a:solidFill>
        </a:ln>
      </xdr:spPr>
    </xdr:pic>
    <xdr:clientData/>
  </xdr:twoCellAnchor>
  <xdr:twoCellAnchor editAs="oneCell">
    <xdr:from>
      <xdr:col>0</xdr:col>
      <xdr:colOff>1143000</xdr:colOff>
      <xdr:row>282</xdr:row>
      <xdr:rowOff>242455</xdr:rowOff>
    </xdr:from>
    <xdr:to>
      <xdr:col>8</xdr:col>
      <xdr:colOff>637612</xdr:colOff>
      <xdr:row>313</xdr:row>
      <xdr:rowOff>109500</xdr:rowOff>
    </xdr:to>
    <xdr:pic>
      <xdr:nvPicPr>
        <xdr:cNvPr id="29" name="Picture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3"/>
        <a:stretch>
          <a:fillRect/>
        </a:stretch>
      </xdr:blipFill>
      <xdr:spPr>
        <a:xfrm>
          <a:off x="1143000" y="93223773"/>
          <a:ext cx="8119067" cy="7920000"/>
        </a:xfrm>
        <a:prstGeom prst="rect">
          <a:avLst/>
        </a:prstGeom>
        <a:ln>
          <a:solidFill>
            <a:schemeClr val="tx1"/>
          </a:solidFill>
        </a:ln>
      </xdr:spPr>
    </xdr:pic>
    <xdr:clientData/>
  </xdr:twoCellAnchor>
  <xdr:oneCellAnchor>
    <xdr:from>
      <xdr:col>2</xdr:col>
      <xdr:colOff>1194954</xdr:colOff>
      <xdr:row>288</xdr:row>
      <xdr:rowOff>155863</xdr:rowOff>
    </xdr:from>
    <xdr:ext cx="392672" cy="593304"/>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3151909" y="94695818"/>
          <a:ext cx="392672" cy="59330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3200" b="1">
              <a:solidFill>
                <a:schemeClr val="tx1"/>
              </a:solidFill>
            </a:rPr>
            <a:t>1</a:t>
          </a:r>
        </a:p>
      </xdr:txBody>
    </xdr:sp>
    <xdr:clientData/>
  </xdr:oneCellAnchor>
  <xdr:oneCellAnchor>
    <xdr:from>
      <xdr:col>2</xdr:col>
      <xdr:colOff>827809</xdr:colOff>
      <xdr:row>292</xdr:row>
      <xdr:rowOff>13855</xdr:rowOff>
    </xdr:from>
    <xdr:ext cx="392672" cy="593304"/>
    <xdr:sp macro="" textlink="">
      <xdr:nvSpPr>
        <xdr:cNvPr id="30" name="TextBox 29">
          <a:extLst>
            <a:ext uri="{FF2B5EF4-FFF2-40B4-BE49-F238E27FC236}">
              <a16:creationId xmlns:a16="http://schemas.microsoft.com/office/drawing/2014/main" id="{00000000-0008-0000-0000-00001E000000}"/>
            </a:ext>
          </a:extLst>
        </xdr:cNvPr>
        <xdr:cNvSpPr txBox="1"/>
      </xdr:nvSpPr>
      <xdr:spPr>
        <a:xfrm>
          <a:off x="2784764" y="95592900"/>
          <a:ext cx="392672" cy="59330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3200" b="1">
              <a:solidFill>
                <a:schemeClr val="tx1"/>
              </a:solidFill>
            </a:rPr>
            <a:t>2</a:t>
          </a:r>
        </a:p>
      </xdr:txBody>
    </xdr:sp>
    <xdr:clientData/>
  </xdr:oneCellAnchor>
  <xdr:oneCellAnchor>
    <xdr:from>
      <xdr:col>2</xdr:col>
      <xdr:colOff>290944</xdr:colOff>
      <xdr:row>295</xdr:row>
      <xdr:rowOff>221672</xdr:rowOff>
    </xdr:from>
    <xdr:ext cx="392672" cy="593304"/>
    <xdr:sp macro="" textlink="">
      <xdr:nvSpPr>
        <xdr:cNvPr id="31" name="TextBox 30">
          <a:extLst>
            <a:ext uri="{FF2B5EF4-FFF2-40B4-BE49-F238E27FC236}">
              <a16:creationId xmlns:a16="http://schemas.microsoft.com/office/drawing/2014/main" id="{00000000-0008-0000-0000-00001F000000}"/>
            </a:ext>
          </a:extLst>
        </xdr:cNvPr>
        <xdr:cNvSpPr txBox="1"/>
      </xdr:nvSpPr>
      <xdr:spPr>
        <a:xfrm>
          <a:off x="2247899" y="96580036"/>
          <a:ext cx="392672" cy="59330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3200" b="1">
              <a:solidFill>
                <a:schemeClr val="tx1"/>
              </a:solidFill>
            </a:rPr>
            <a:t>3</a:t>
          </a:r>
        </a:p>
      </xdr:txBody>
    </xdr:sp>
    <xdr:clientData/>
  </xdr:oneCellAnchor>
  <xdr:oneCellAnchor>
    <xdr:from>
      <xdr:col>4</xdr:col>
      <xdr:colOff>329045</xdr:colOff>
      <xdr:row>306</xdr:row>
      <xdr:rowOff>86591</xdr:rowOff>
    </xdr:from>
    <xdr:ext cx="392672" cy="593304"/>
    <xdr:sp macro="" textlink="">
      <xdr:nvSpPr>
        <xdr:cNvPr id="32" name="TextBox 31">
          <a:extLst>
            <a:ext uri="{FF2B5EF4-FFF2-40B4-BE49-F238E27FC236}">
              <a16:creationId xmlns:a16="http://schemas.microsoft.com/office/drawing/2014/main" id="{00000000-0008-0000-0000-000020000000}"/>
            </a:ext>
          </a:extLst>
        </xdr:cNvPr>
        <xdr:cNvSpPr txBox="1"/>
      </xdr:nvSpPr>
      <xdr:spPr>
        <a:xfrm>
          <a:off x="3619500" y="99302455"/>
          <a:ext cx="392672" cy="59330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3200" b="1">
              <a:solidFill>
                <a:schemeClr val="tx1"/>
              </a:solidFill>
            </a:rPr>
            <a:t>4</a:t>
          </a:r>
        </a:p>
      </xdr:txBody>
    </xdr:sp>
    <xdr:clientData/>
  </xdr:oneCellAnchor>
  <xdr:oneCellAnchor>
    <xdr:from>
      <xdr:col>5</xdr:col>
      <xdr:colOff>1520537</xdr:colOff>
      <xdr:row>305</xdr:row>
      <xdr:rowOff>117763</xdr:rowOff>
    </xdr:from>
    <xdr:ext cx="392672" cy="593304"/>
    <xdr:sp macro="" textlink="">
      <xdr:nvSpPr>
        <xdr:cNvPr id="33" name="TextBox 32">
          <a:extLst>
            <a:ext uri="{FF2B5EF4-FFF2-40B4-BE49-F238E27FC236}">
              <a16:creationId xmlns:a16="http://schemas.microsoft.com/office/drawing/2014/main" id="{00000000-0008-0000-0000-000021000000}"/>
            </a:ext>
          </a:extLst>
        </xdr:cNvPr>
        <xdr:cNvSpPr txBox="1"/>
      </xdr:nvSpPr>
      <xdr:spPr>
        <a:xfrm>
          <a:off x="6508173" y="99073854"/>
          <a:ext cx="392672" cy="59330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3200" b="1">
              <a:solidFill>
                <a:schemeClr val="tx1"/>
              </a:solidFill>
            </a:rPr>
            <a:t>5</a:t>
          </a:r>
        </a:p>
      </xdr:txBody>
    </xdr:sp>
    <xdr:clientData/>
  </xdr:oneCellAnchor>
  <xdr:oneCellAnchor>
    <xdr:from>
      <xdr:col>5</xdr:col>
      <xdr:colOff>2001982</xdr:colOff>
      <xdr:row>301</xdr:row>
      <xdr:rowOff>218209</xdr:rowOff>
    </xdr:from>
    <xdr:ext cx="392672" cy="593304"/>
    <xdr:sp macro="" textlink="">
      <xdr:nvSpPr>
        <xdr:cNvPr id="34" name="TextBox 33">
          <a:extLst>
            <a:ext uri="{FF2B5EF4-FFF2-40B4-BE49-F238E27FC236}">
              <a16:creationId xmlns:a16="http://schemas.microsoft.com/office/drawing/2014/main" id="{00000000-0008-0000-0000-000022000000}"/>
            </a:ext>
          </a:extLst>
        </xdr:cNvPr>
        <xdr:cNvSpPr txBox="1"/>
      </xdr:nvSpPr>
      <xdr:spPr>
        <a:xfrm>
          <a:off x="6989618" y="98135209"/>
          <a:ext cx="392672" cy="59330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3200" b="1">
              <a:solidFill>
                <a:schemeClr val="tx1"/>
              </a:solidFill>
            </a:rPr>
            <a:t>6</a:t>
          </a:r>
        </a:p>
      </xdr:txBody>
    </xdr:sp>
    <xdr:clientData/>
  </xdr:oneCellAnchor>
  <xdr:oneCellAnchor>
    <xdr:from>
      <xdr:col>7</xdr:col>
      <xdr:colOff>214746</xdr:colOff>
      <xdr:row>298</xdr:row>
      <xdr:rowOff>145472</xdr:rowOff>
    </xdr:from>
    <xdr:ext cx="392672" cy="593304"/>
    <xdr:sp macro="" textlink="">
      <xdr:nvSpPr>
        <xdr:cNvPr id="35" name="TextBox 34">
          <a:extLst>
            <a:ext uri="{FF2B5EF4-FFF2-40B4-BE49-F238E27FC236}">
              <a16:creationId xmlns:a16="http://schemas.microsoft.com/office/drawing/2014/main" id="{00000000-0008-0000-0000-000023000000}"/>
            </a:ext>
          </a:extLst>
        </xdr:cNvPr>
        <xdr:cNvSpPr txBox="1"/>
      </xdr:nvSpPr>
      <xdr:spPr>
        <a:xfrm>
          <a:off x="7592291" y="97283154"/>
          <a:ext cx="392672" cy="59330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3200" b="1">
              <a:solidFill>
                <a:schemeClr val="tx1"/>
              </a:solidFill>
            </a:rPr>
            <a:t>7</a:t>
          </a:r>
        </a:p>
      </xdr:txBody>
    </xdr:sp>
    <xdr:clientData/>
  </xdr:oneCellAnchor>
  <xdr:twoCellAnchor editAs="oneCell">
    <xdr:from>
      <xdr:col>21</xdr:col>
      <xdr:colOff>66901</xdr:colOff>
      <xdr:row>261</xdr:row>
      <xdr:rowOff>178107</xdr:rowOff>
    </xdr:from>
    <xdr:to>
      <xdr:col>25</xdr:col>
      <xdr:colOff>122616</xdr:colOff>
      <xdr:row>274</xdr:row>
      <xdr:rowOff>202828</xdr:rowOff>
    </xdr:to>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a:ext>
          </a:extLst>
        </a:blip>
        <a:stretch>
          <a:fillRect/>
        </a:stretch>
      </xdr:blipFill>
      <xdr:spPr>
        <a:xfrm>
          <a:off x="19233442" y="93913072"/>
          <a:ext cx="2565833" cy="3520956"/>
        </a:xfrm>
        <a:prstGeom prst="rect">
          <a:avLst/>
        </a:prstGeom>
        <a:ln>
          <a:solidFill>
            <a:schemeClr val="tx1"/>
          </a:solidFill>
        </a:ln>
      </xdr:spPr>
    </xdr:pic>
    <xdr:clientData/>
  </xdr:twoCellAnchor>
  <xdr:twoCellAnchor editAs="oneCell">
    <xdr:from>
      <xdr:col>16</xdr:col>
      <xdr:colOff>442023</xdr:colOff>
      <xdr:row>261</xdr:row>
      <xdr:rowOff>181055</xdr:rowOff>
    </xdr:from>
    <xdr:to>
      <xdr:col>20</xdr:col>
      <xdr:colOff>589945</xdr:colOff>
      <xdr:row>274</xdr:row>
      <xdr:rowOff>205776</xdr:rowOff>
    </xdr:to>
    <xdr:pic>
      <xdr:nvPicPr>
        <xdr:cNvPr id="16" name="Picture 15" descr="https://vsjcllp.vsjadon.com/upload/insp-216726-847.jpg">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16470917" y="93916020"/>
          <a:ext cx="2658041" cy="352095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1078406</xdr:colOff>
      <xdr:row>261</xdr:row>
      <xdr:rowOff>170984</xdr:rowOff>
    </xdr:from>
    <xdr:to>
      <xdr:col>15</xdr:col>
      <xdr:colOff>473778</xdr:colOff>
      <xdr:row>274</xdr:row>
      <xdr:rowOff>195705</xdr:rowOff>
    </xdr:to>
    <xdr:pic>
      <xdr:nvPicPr>
        <xdr:cNvPr id="17" name="Picture 16" descr="https://vsjcllp.vsjadon.com/upload/insp-216726-849.jpg">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11746406" y="93905949"/>
          <a:ext cx="4599383" cy="352095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77765</xdr:colOff>
      <xdr:row>240</xdr:row>
      <xdr:rowOff>257254</xdr:rowOff>
    </xdr:from>
    <xdr:to>
      <xdr:col>16</xdr:col>
      <xdr:colOff>564296</xdr:colOff>
      <xdr:row>261</xdr:row>
      <xdr:rowOff>69933</xdr:rowOff>
    </xdr:to>
    <xdr:grpSp>
      <xdr:nvGrpSpPr>
        <xdr:cNvPr id="3" name="Group 2">
          <a:extLst>
            <a:ext uri="{FF2B5EF4-FFF2-40B4-BE49-F238E27FC236}">
              <a16:creationId xmlns:a16="http://schemas.microsoft.com/office/drawing/2014/main" id="{00000000-0008-0000-0000-000003000000}"/>
            </a:ext>
          </a:extLst>
        </xdr:cNvPr>
        <xdr:cNvGrpSpPr/>
      </xdr:nvGrpSpPr>
      <xdr:grpSpPr>
        <a:xfrm>
          <a:off x="12605941" y="88313078"/>
          <a:ext cx="3960355" cy="5225120"/>
          <a:chOff x="1081812" y="88351177"/>
          <a:chExt cx="3933780" cy="5252334"/>
        </a:xfrm>
      </xdr:grpSpPr>
      <xdr:pic>
        <xdr:nvPicPr>
          <xdr:cNvPr id="18" name="Picture 17" descr="https://vsjcllp.vsjadon.com/upload/insp-216726-874.jpg">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a:off x="1081812" y="88351177"/>
            <a:ext cx="3933780" cy="525233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3265714" y="89126785"/>
            <a:ext cx="1537607" cy="517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IN" sz="2000" b="1">
                <a:solidFill>
                  <a:srgbClr val="FF0000"/>
                </a:solidFill>
              </a:rPr>
              <a:t>Tower</a:t>
            </a:r>
            <a:r>
              <a:rPr lang="en-IN" sz="2000" b="1" baseline="0">
                <a:solidFill>
                  <a:srgbClr val="FF0000"/>
                </a:solidFill>
              </a:rPr>
              <a:t> 4</a:t>
            </a:r>
            <a:endParaRPr lang="en-IN" sz="2000" b="1">
              <a:solidFill>
                <a:srgbClr val="FF0000"/>
              </a:solidFill>
            </a:endParaRPr>
          </a:p>
        </xdr:txBody>
      </xdr:sp>
    </xdr:grpSp>
    <xdr:clientData/>
  </xdr:twoCellAnchor>
  <xdr:twoCellAnchor>
    <xdr:from>
      <xdr:col>17</xdr:col>
      <xdr:colOff>63358</xdr:colOff>
      <xdr:row>240</xdr:row>
      <xdr:rowOff>243647</xdr:rowOff>
    </xdr:from>
    <xdr:to>
      <xdr:col>23</xdr:col>
      <xdr:colOff>337137</xdr:colOff>
      <xdr:row>261</xdr:row>
      <xdr:rowOff>56326</xdr:rowOff>
    </xdr:to>
    <xdr:grpSp>
      <xdr:nvGrpSpPr>
        <xdr:cNvPr id="4" name="Group 3">
          <a:extLst>
            <a:ext uri="{FF2B5EF4-FFF2-40B4-BE49-F238E27FC236}">
              <a16:creationId xmlns:a16="http://schemas.microsoft.com/office/drawing/2014/main" id="{00000000-0008-0000-0000-000004000000}"/>
            </a:ext>
          </a:extLst>
        </xdr:cNvPr>
        <xdr:cNvGrpSpPr/>
      </xdr:nvGrpSpPr>
      <xdr:grpSpPr>
        <a:xfrm>
          <a:off x="16670476" y="88299471"/>
          <a:ext cx="3904485" cy="5225120"/>
          <a:chOff x="5142184" y="88337570"/>
          <a:chExt cx="3933780" cy="5252334"/>
        </a:xfrm>
      </xdr:grpSpPr>
      <xdr:pic>
        <xdr:nvPicPr>
          <xdr:cNvPr id="19" name="Picture 18" descr="https://vsjcllp.vsjadon.com/upload/insp-216726-883.jpg">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a:off x="5142184" y="88337570"/>
            <a:ext cx="3933780" cy="525233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sp macro="" textlink="">
        <xdr:nvSpPr>
          <xdr:cNvPr id="22" name="TextBox 21">
            <a:extLst>
              <a:ext uri="{FF2B5EF4-FFF2-40B4-BE49-F238E27FC236}">
                <a16:creationId xmlns:a16="http://schemas.microsoft.com/office/drawing/2014/main" id="{00000000-0008-0000-0000-000016000000}"/>
              </a:ext>
            </a:extLst>
          </xdr:cNvPr>
          <xdr:cNvSpPr txBox="1"/>
        </xdr:nvSpPr>
        <xdr:spPr>
          <a:xfrm>
            <a:off x="5373506" y="89671070"/>
            <a:ext cx="1537607" cy="517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IN" sz="2000" b="1">
                <a:solidFill>
                  <a:srgbClr val="FF0000"/>
                </a:solidFill>
              </a:rPr>
              <a:t>Tower</a:t>
            </a:r>
            <a:r>
              <a:rPr lang="en-IN" sz="2000" b="1" baseline="0">
                <a:solidFill>
                  <a:srgbClr val="FF0000"/>
                </a:solidFill>
              </a:rPr>
              <a:t> 5</a:t>
            </a:r>
            <a:endParaRPr lang="en-IN" sz="2000" b="1">
              <a:solidFill>
                <a:srgbClr val="FF0000"/>
              </a:solidFill>
            </a:endParaRPr>
          </a:p>
        </xdr:txBody>
      </xdr:sp>
    </xdr:grpSp>
    <xdr:clientData/>
  </xdr:twoCellAnchor>
  <xdr:twoCellAnchor>
    <xdr:from>
      <xdr:col>10</xdr:col>
      <xdr:colOff>172570</xdr:colOff>
      <xdr:row>240</xdr:row>
      <xdr:rowOff>244286</xdr:rowOff>
    </xdr:from>
    <xdr:to>
      <xdr:col>22</xdr:col>
      <xdr:colOff>423582</xdr:colOff>
      <xdr:row>273</xdr:row>
      <xdr:rowOff>112057</xdr:rowOff>
    </xdr:to>
    <xdr:grpSp>
      <xdr:nvGrpSpPr>
        <xdr:cNvPr id="6" name="Group 5">
          <a:extLst>
            <a:ext uri="{FF2B5EF4-FFF2-40B4-BE49-F238E27FC236}">
              <a16:creationId xmlns:a16="http://schemas.microsoft.com/office/drawing/2014/main" id="{7E14E54C-791E-70DD-59E0-6F1D4064EE8A}"/>
            </a:ext>
          </a:extLst>
        </xdr:cNvPr>
        <xdr:cNvGrpSpPr/>
      </xdr:nvGrpSpPr>
      <xdr:grpSpPr>
        <a:xfrm>
          <a:off x="11647394" y="88300110"/>
          <a:ext cx="8408894" cy="8373035"/>
          <a:chOff x="86498" y="132847"/>
          <a:chExt cx="6623219" cy="6650514"/>
        </a:xfrm>
      </xdr:grpSpPr>
      <xdr:pic>
        <xdr:nvPicPr>
          <xdr:cNvPr id="7" name="Picture 6">
            <a:extLst>
              <a:ext uri="{FF2B5EF4-FFF2-40B4-BE49-F238E27FC236}">
                <a16:creationId xmlns:a16="http://schemas.microsoft.com/office/drawing/2014/main" id="{917E7F6F-4BCC-91A2-DE83-6BA3D7FCDD23}"/>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86498" y="132847"/>
            <a:ext cx="3240000" cy="4326008"/>
          </a:xfrm>
          <a:prstGeom prst="rect">
            <a:avLst/>
          </a:prstGeom>
          <a:ln>
            <a:solidFill>
              <a:schemeClr val="tx1"/>
            </a:solidFill>
          </a:ln>
        </xdr:spPr>
      </xdr:pic>
      <xdr:pic>
        <xdr:nvPicPr>
          <xdr:cNvPr id="8" name="Picture 7">
            <a:extLst>
              <a:ext uri="{FF2B5EF4-FFF2-40B4-BE49-F238E27FC236}">
                <a16:creationId xmlns:a16="http://schemas.microsoft.com/office/drawing/2014/main" id="{A6DE76F4-7263-6C58-9E4A-B8D73C959072}"/>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3469717" y="132847"/>
            <a:ext cx="3240000" cy="4326008"/>
          </a:xfrm>
          <a:prstGeom prst="rect">
            <a:avLst/>
          </a:prstGeom>
          <a:ln>
            <a:solidFill>
              <a:schemeClr val="tx1"/>
            </a:solidFill>
          </a:ln>
        </xdr:spPr>
      </xdr:pic>
      <xdr:pic>
        <xdr:nvPicPr>
          <xdr:cNvPr id="9" name="Picture 8">
            <a:extLst>
              <a:ext uri="{FF2B5EF4-FFF2-40B4-BE49-F238E27FC236}">
                <a16:creationId xmlns:a16="http://schemas.microsoft.com/office/drawing/2014/main" id="{AF0873F1-6C8A-69D4-607B-CAFB25D34D72}"/>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211823" y="4623361"/>
            <a:ext cx="2876000" cy="2160000"/>
          </a:xfrm>
          <a:prstGeom prst="rect">
            <a:avLst/>
          </a:prstGeom>
          <a:ln>
            <a:solidFill>
              <a:schemeClr val="tx1"/>
            </a:solidFill>
          </a:ln>
        </xdr:spPr>
      </xdr:pic>
      <xdr:pic>
        <xdr:nvPicPr>
          <xdr:cNvPr id="10" name="Picture 9">
            <a:extLst>
              <a:ext uri="{FF2B5EF4-FFF2-40B4-BE49-F238E27FC236}">
                <a16:creationId xmlns:a16="http://schemas.microsoft.com/office/drawing/2014/main" id="{5B51C730-AA18-56A5-3E83-E6D492D858C3}"/>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4966641" y="4623361"/>
            <a:ext cx="1617750" cy="2160000"/>
          </a:xfrm>
          <a:prstGeom prst="rect">
            <a:avLst/>
          </a:prstGeom>
          <a:ln>
            <a:solidFill>
              <a:schemeClr val="tx1"/>
            </a:solidFill>
          </a:ln>
        </xdr:spPr>
      </xdr:pic>
      <xdr:pic>
        <xdr:nvPicPr>
          <xdr:cNvPr id="11" name="Picture 10">
            <a:extLst>
              <a:ext uri="{FF2B5EF4-FFF2-40B4-BE49-F238E27FC236}">
                <a16:creationId xmlns:a16="http://schemas.microsoft.com/office/drawing/2014/main" id="{CA7CCB24-0A11-B0D5-B556-85E92F1FED23}"/>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3218357" y="4623361"/>
            <a:ext cx="1617750" cy="2160000"/>
          </a:xfrm>
          <a:prstGeom prst="rect">
            <a:avLst/>
          </a:prstGeom>
          <a:ln>
            <a:solidFill>
              <a:schemeClr val="tx1"/>
            </a:solidFill>
          </a:ln>
        </xdr:spPr>
      </xdr:pic>
      <xdr:sp macro="" textlink="">
        <xdr:nvSpPr>
          <xdr:cNvPr id="12" name="TextBox 18">
            <a:extLst>
              <a:ext uri="{FF2B5EF4-FFF2-40B4-BE49-F238E27FC236}">
                <a16:creationId xmlns:a16="http://schemas.microsoft.com/office/drawing/2014/main" id="{664D08B2-FD87-F179-040F-83BCA7AD9F93}"/>
              </a:ext>
            </a:extLst>
          </xdr:cNvPr>
          <xdr:cNvSpPr txBox="1"/>
        </xdr:nvSpPr>
        <xdr:spPr>
          <a:xfrm>
            <a:off x="4008164" y="1020121"/>
            <a:ext cx="938334"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Tower 5</a:t>
            </a:r>
            <a:endParaRPr lang="en-IN" b="1"/>
          </a:p>
        </xdr:txBody>
      </xdr:sp>
      <xdr:sp macro="" textlink="">
        <xdr:nvSpPr>
          <xdr:cNvPr id="13" name="TextBox 19">
            <a:extLst>
              <a:ext uri="{FF2B5EF4-FFF2-40B4-BE49-F238E27FC236}">
                <a16:creationId xmlns:a16="http://schemas.microsoft.com/office/drawing/2014/main" id="{65D700C4-D8B8-6F96-964D-112776380484}"/>
              </a:ext>
            </a:extLst>
          </xdr:cNvPr>
          <xdr:cNvSpPr txBox="1"/>
        </xdr:nvSpPr>
        <xdr:spPr>
          <a:xfrm>
            <a:off x="768164" y="650789"/>
            <a:ext cx="938334"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Tower 4</a:t>
            </a:r>
            <a:endParaRPr lang="en-IN" b="1"/>
          </a:p>
        </xdr:txBody>
      </xdr:sp>
    </xdr:grpSp>
    <xdr:clientData/>
  </xdr:twoCellAnchor>
  <xdr:twoCellAnchor>
    <xdr:from>
      <xdr:col>0</xdr:col>
      <xdr:colOff>605118</xdr:colOff>
      <xdr:row>240</xdr:row>
      <xdr:rowOff>246529</xdr:rowOff>
    </xdr:from>
    <xdr:to>
      <xdr:col>8</xdr:col>
      <xdr:colOff>1288675</xdr:colOff>
      <xdr:row>276</xdr:row>
      <xdr:rowOff>11206</xdr:rowOff>
    </xdr:to>
    <xdr:grpSp>
      <xdr:nvGrpSpPr>
        <xdr:cNvPr id="36" name="Group 35">
          <a:extLst>
            <a:ext uri="{FF2B5EF4-FFF2-40B4-BE49-F238E27FC236}">
              <a16:creationId xmlns:a16="http://schemas.microsoft.com/office/drawing/2014/main" id="{EC686366-A84E-44E4-B951-3984CE941E60}"/>
            </a:ext>
          </a:extLst>
        </xdr:cNvPr>
        <xdr:cNvGrpSpPr/>
      </xdr:nvGrpSpPr>
      <xdr:grpSpPr>
        <a:xfrm>
          <a:off x="605118" y="88302353"/>
          <a:ext cx="9289675" cy="9043147"/>
          <a:chOff x="158553" y="397133"/>
          <a:chExt cx="6398930" cy="5986364"/>
        </a:xfrm>
      </xdr:grpSpPr>
      <xdr:grpSp>
        <xdr:nvGrpSpPr>
          <xdr:cNvPr id="37" name="Group 36">
            <a:extLst>
              <a:ext uri="{FF2B5EF4-FFF2-40B4-BE49-F238E27FC236}">
                <a16:creationId xmlns:a16="http://schemas.microsoft.com/office/drawing/2014/main" id="{4A5A9771-6A18-40EC-8155-B03ABACE3BBB}"/>
              </a:ext>
            </a:extLst>
          </xdr:cNvPr>
          <xdr:cNvGrpSpPr/>
        </xdr:nvGrpSpPr>
        <xdr:grpSpPr>
          <a:xfrm>
            <a:off x="158553" y="397133"/>
            <a:ext cx="6398930" cy="5986364"/>
            <a:chOff x="158553" y="397133"/>
            <a:chExt cx="6398930" cy="5986364"/>
          </a:xfrm>
        </xdr:grpSpPr>
        <xdr:pic>
          <xdr:nvPicPr>
            <xdr:cNvPr id="42" name="Picture 41">
              <a:extLst>
                <a:ext uri="{FF2B5EF4-FFF2-40B4-BE49-F238E27FC236}">
                  <a16:creationId xmlns:a16="http://schemas.microsoft.com/office/drawing/2014/main" id="{B1290F34-DABE-4DA0-AC58-3101414CF5D7}"/>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230269" y="397133"/>
              <a:ext cx="3026553" cy="3600000"/>
            </a:xfrm>
            <a:prstGeom prst="rect">
              <a:avLst/>
            </a:prstGeom>
            <a:ln>
              <a:solidFill>
                <a:schemeClr val="tx1"/>
              </a:solidFill>
            </a:ln>
          </xdr:spPr>
        </xdr:pic>
        <xdr:pic>
          <xdr:nvPicPr>
            <xdr:cNvPr id="43" name="Picture 42">
              <a:extLst>
                <a:ext uri="{FF2B5EF4-FFF2-40B4-BE49-F238E27FC236}">
                  <a16:creationId xmlns:a16="http://schemas.microsoft.com/office/drawing/2014/main" id="{1FAFAB15-150F-45E3-BCE4-599C89AF92E3}"/>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3464857" y="397133"/>
              <a:ext cx="3026553" cy="3600000"/>
            </a:xfrm>
            <a:prstGeom prst="rect">
              <a:avLst/>
            </a:prstGeom>
            <a:ln>
              <a:solidFill>
                <a:schemeClr val="tx1"/>
              </a:solidFill>
            </a:ln>
          </xdr:spPr>
        </xdr:pic>
        <xdr:pic>
          <xdr:nvPicPr>
            <xdr:cNvPr id="44" name="Picture 43">
              <a:extLst>
                <a:ext uri="{FF2B5EF4-FFF2-40B4-BE49-F238E27FC236}">
                  <a16:creationId xmlns:a16="http://schemas.microsoft.com/office/drawing/2014/main" id="{074AFFBE-DB76-4160-9F7D-A2402B250C4D}"/>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158553" y="4223497"/>
              <a:ext cx="2876000" cy="2160000"/>
            </a:xfrm>
            <a:prstGeom prst="rect">
              <a:avLst/>
            </a:prstGeom>
            <a:ln>
              <a:solidFill>
                <a:schemeClr val="tx1"/>
              </a:solidFill>
            </a:ln>
          </xdr:spPr>
        </xdr:pic>
        <xdr:pic>
          <xdr:nvPicPr>
            <xdr:cNvPr id="45" name="Picture 44">
              <a:extLst>
                <a:ext uri="{FF2B5EF4-FFF2-40B4-BE49-F238E27FC236}">
                  <a16:creationId xmlns:a16="http://schemas.microsoft.com/office/drawing/2014/main" id="{E475CFA3-A281-4950-B04D-645FF0D0529E}"/>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3178268" y="4223497"/>
              <a:ext cx="1617750" cy="2160000"/>
            </a:xfrm>
            <a:prstGeom prst="rect">
              <a:avLst/>
            </a:prstGeom>
            <a:ln>
              <a:solidFill>
                <a:schemeClr val="tx1"/>
              </a:solidFill>
            </a:ln>
          </xdr:spPr>
        </xdr:pic>
        <xdr:pic>
          <xdr:nvPicPr>
            <xdr:cNvPr id="46" name="Picture 45">
              <a:extLst>
                <a:ext uri="{FF2B5EF4-FFF2-40B4-BE49-F238E27FC236}">
                  <a16:creationId xmlns:a16="http://schemas.microsoft.com/office/drawing/2014/main" id="{0A7A7100-6FA3-4CCB-A614-9DC5E939EB69}"/>
                </a:ext>
              </a:extLst>
            </xdr:cNvPr>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4939733" y="4223497"/>
              <a:ext cx="1617750" cy="2160000"/>
            </a:xfrm>
            <a:prstGeom prst="rect">
              <a:avLst/>
            </a:prstGeom>
            <a:ln>
              <a:solidFill>
                <a:schemeClr val="tx1"/>
              </a:solidFill>
            </a:ln>
          </xdr:spPr>
        </xdr:pic>
      </xdr:grpSp>
      <xdr:sp macro="" textlink="">
        <xdr:nvSpPr>
          <xdr:cNvPr id="38" name="TextBox 12">
            <a:extLst>
              <a:ext uri="{FF2B5EF4-FFF2-40B4-BE49-F238E27FC236}">
                <a16:creationId xmlns:a16="http://schemas.microsoft.com/office/drawing/2014/main" id="{0882B4EF-8192-442A-AA32-E1661E9892F6}"/>
              </a:ext>
            </a:extLst>
          </xdr:cNvPr>
          <xdr:cNvSpPr txBox="1"/>
        </xdr:nvSpPr>
        <xdr:spPr>
          <a:xfrm>
            <a:off x="1075562" y="950259"/>
            <a:ext cx="1023998" cy="40011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solidFill>
                  <a:srgbClr val="FF0000"/>
                </a:solidFill>
              </a:rPr>
              <a:t>Tower 4</a:t>
            </a:r>
            <a:endParaRPr lang="en-IN" sz="2000" b="1">
              <a:solidFill>
                <a:srgbClr val="FF0000"/>
              </a:solidFill>
            </a:endParaRPr>
          </a:p>
        </xdr:txBody>
      </xdr:sp>
      <xdr:sp macro="" textlink="">
        <xdr:nvSpPr>
          <xdr:cNvPr id="39" name="TextBox 14">
            <a:extLst>
              <a:ext uri="{FF2B5EF4-FFF2-40B4-BE49-F238E27FC236}">
                <a16:creationId xmlns:a16="http://schemas.microsoft.com/office/drawing/2014/main" id="{82FB64B8-DD3E-4EC2-8B11-4456A8BAE4AC}"/>
              </a:ext>
            </a:extLst>
          </xdr:cNvPr>
          <xdr:cNvSpPr txBox="1"/>
        </xdr:nvSpPr>
        <xdr:spPr>
          <a:xfrm>
            <a:off x="3546860" y="637022"/>
            <a:ext cx="1023998" cy="40011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solidFill>
                  <a:srgbClr val="FF0000"/>
                </a:solidFill>
              </a:rPr>
              <a:t>Tower 5</a:t>
            </a:r>
            <a:endParaRPr lang="en-IN" sz="2000" b="1">
              <a:solidFill>
                <a:srgbClr val="FF0000"/>
              </a:solidFill>
            </a:endParaRPr>
          </a:p>
        </xdr:txBody>
      </xdr:sp>
      <xdr:cxnSp macro="">
        <xdr:nvCxnSpPr>
          <xdr:cNvPr id="40" name="Straight Arrow Connector 39">
            <a:extLst>
              <a:ext uri="{FF2B5EF4-FFF2-40B4-BE49-F238E27FC236}">
                <a16:creationId xmlns:a16="http://schemas.microsoft.com/office/drawing/2014/main" id="{C39196C1-0F16-4766-928E-AE10BA4DA809}"/>
              </a:ext>
            </a:extLst>
          </xdr:cNvPr>
          <xdr:cNvCxnSpPr/>
        </xdr:nvCxnSpPr>
        <xdr:spPr>
          <a:xfrm>
            <a:off x="4169451" y="969055"/>
            <a:ext cx="233082" cy="615931"/>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1" name="TextBox 17">
            <a:extLst>
              <a:ext uri="{FF2B5EF4-FFF2-40B4-BE49-F238E27FC236}">
                <a16:creationId xmlns:a16="http://schemas.microsoft.com/office/drawing/2014/main" id="{5498386E-719B-4FD1-8EDE-B8B3C44AB0BA}"/>
              </a:ext>
            </a:extLst>
          </xdr:cNvPr>
          <xdr:cNvSpPr txBox="1"/>
        </xdr:nvSpPr>
        <xdr:spPr>
          <a:xfrm>
            <a:off x="5308325" y="1954034"/>
            <a:ext cx="1023998" cy="40011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solidFill>
                  <a:srgbClr val="FF0000"/>
                </a:solidFill>
              </a:rPr>
              <a:t>Tower 6</a:t>
            </a:r>
            <a:endParaRPr lang="en-IN" sz="2000" b="1">
              <a:solidFill>
                <a:srgbClr val="FF0000"/>
              </a:solidFill>
            </a:endParaRPr>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A7kCtSnFsg7HVfhp8?coh=178572&amp;entry=tt" TargetMode="Externa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D341"/>
  <sheetViews>
    <sheetView tabSelected="1" view="pageBreakPreview" topLeftCell="A290" zoomScale="85" zoomScaleNormal="85" zoomScaleSheetLayoutView="85" zoomScalePageLayoutView="71" workbookViewId="0">
      <selection activeCell="J301" sqref="J301"/>
    </sheetView>
  </sheetViews>
  <sheetFormatPr defaultColWidth="9.140625" defaultRowHeight="17.100000000000001" customHeight="1" x14ac:dyDescent="0.25"/>
  <cols>
    <col min="1" max="1" width="26.42578125" style="9" customWidth="1"/>
    <col min="2" max="2" width="2.85546875" style="9" customWidth="1"/>
    <col min="3" max="3" width="18.42578125" style="9" customWidth="1"/>
    <col min="4" max="4" width="1.42578125" style="18" customWidth="1"/>
    <col min="5" max="5" width="25.42578125" style="9" customWidth="1"/>
    <col min="6" max="6" width="34.28515625" style="9" customWidth="1"/>
    <col min="7" max="7" width="1.42578125" style="9" customWidth="1"/>
    <col min="8" max="8" width="18.7109375" style="9" customWidth="1"/>
    <col min="9" max="9" width="26.42578125" style="9" customWidth="1"/>
    <col min="10" max="10" width="16.7109375" style="9" customWidth="1"/>
    <col min="11" max="11" width="15.7109375" style="9" bestFit="1" customWidth="1"/>
    <col min="12" max="12" width="9.140625" style="9"/>
    <col min="13" max="13" width="15.7109375" style="9" bestFit="1" customWidth="1"/>
    <col min="14" max="16384" width="9.140625" style="9"/>
  </cols>
  <sheetData>
    <row r="1" spans="1:13" ht="20.25" x14ac:dyDescent="0.25">
      <c r="A1" s="95" t="s">
        <v>40</v>
      </c>
      <c r="B1" s="96"/>
      <c r="C1" s="96"/>
      <c r="D1" s="96"/>
      <c r="E1" s="96"/>
      <c r="F1" s="96"/>
      <c r="G1" s="96"/>
      <c r="H1" s="96"/>
      <c r="I1" s="97"/>
      <c r="M1" s="62" t="s">
        <v>298</v>
      </c>
    </row>
    <row r="2" spans="1:13" ht="63.75" customHeight="1" x14ac:dyDescent="0.25">
      <c r="A2" s="106" t="s">
        <v>11</v>
      </c>
      <c r="B2" s="106"/>
      <c r="C2" s="106"/>
      <c r="D2" s="10" t="s">
        <v>4</v>
      </c>
      <c r="E2" s="107" t="s">
        <v>92</v>
      </c>
      <c r="F2" s="107"/>
      <c r="G2" s="81" t="s">
        <v>15</v>
      </c>
      <c r="H2" s="81"/>
      <c r="I2" s="32">
        <v>45840</v>
      </c>
      <c r="J2" s="46"/>
      <c r="K2" s="46">
        <f>M2+90</f>
        <v>45860</v>
      </c>
      <c r="M2" s="63">
        <v>45770</v>
      </c>
    </row>
    <row r="3" spans="1:13" ht="44.25" customHeight="1" x14ac:dyDescent="0.25">
      <c r="A3" s="83" t="s">
        <v>41</v>
      </c>
      <c r="B3" s="84"/>
      <c r="C3" s="85"/>
      <c r="D3" s="25" t="s">
        <v>4</v>
      </c>
      <c r="E3" s="108" t="s">
        <v>239</v>
      </c>
      <c r="F3" s="109"/>
      <c r="G3" s="81" t="s">
        <v>234</v>
      </c>
      <c r="H3" s="81"/>
      <c r="I3" s="32" t="s">
        <v>299</v>
      </c>
      <c r="J3" s="9">
        <f>I2-M2</f>
        <v>70</v>
      </c>
      <c r="K3" s="9" t="s">
        <v>297</v>
      </c>
    </row>
    <row r="4" spans="1:13" ht="43.5" customHeight="1" x14ac:dyDescent="0.25">
      <c r="A4" s="83" t="s">
        <v>37</v>
      </c>
      <c r="B4" s="84"/>
      <c r="C4" s="85"/>
      <c r="D4" s="22" t="s">
        <v>4</v>
      </c>
      <c r="E4" s="102" t="s">
        <v>301</v>
      </c>
      <c r="F4" s="103"/>
      <c r="G4" s="81" t="s">
        <v>34</v>
      </c>
      <c r="H4" s="81"/>
      <c r="I4" s="32" t="str">
        <f ca="1">TEXT(TODAY(),"DD/MM/YYYY")</f>
        <v>05/07/2025</v>
      </c>
      <c r="J4" s="9" t="s">
        <v>284</v>
      </c>
    </row>
    <row r="5" spans="1:13" ht="20.25" x14ac:dyDescent="0.25">
      <c r="A5" s="80" t="s">
        <v>43</v>
      </c>
      <c r="B5" s="80"/>
      <c r="C5" s="80"/>
      <c r="D5" s="80"/>
      <c r="E5" s="80"/>
      <c r="F5" s="80"/>
      <c r="G5" s="80"/>
      <c r="H5" s="80"/>
      <c r="I5" s="104"/>
    </row>
    <row r="6" spans="1:13" ht="44.25" customHeight="1" x14ac:dyDescent="0.25">
      <c r="A6" s="105" t="s">
        <v>30</v>
      </c>
      <c r="B6" s="105"/>
      <c r="C6" s="105"/>
      <c r="D6" s="8" t="s">
        <v>4</v>
      </c>
      <c r="E6" s="26" t="s">
        <v>135</v>
      </c>
      <c r="F6" s="25" t="s">
        <v>36</v>
      </c>
      <c r="G6" s="8" t="s">
        <v>4</v>
      </c>
      <c r="H6" s="82" t="s">
        <v>300</v>
      </c>
      <c r="I6" s="82"/>
    </row>
    <row r="7" spans="1:13" ht="24" customHeight="1" x14ac:dyDescent="0.25">
      <c r="A7" s="105" t="s">
        <v>45</v>
      </c>
      <c r="B7" s="105"/>
      <c r="C7" s="105"/>
      <c r="D7" s="8" t="s">
        <v>4</v>
      </c>
      <c r="E7" s="11" t="s">
        <v>179</v>
      </c>
      <c r="F7" s="25" t="s">
        <v>46</v>
      </c>
      <c r="G7" s="8" t="s">
        <v>4</v>
      </c>
      <c r="H7" s="102" t="s">
        <v>178</v>
      </c>
      <c r="I7" s="103"/>
    </row>
    <row r="8" spans="1:13" ht="45.75" customHeight="1" x14ac:dyDescent="0.25">
      <c r="A8" s="105" t="s">
        <v>47</v>
      </c>
      <c r="B8" s="105"/>
      <c r="C8" s="105"/>
      <c r="D8" s="8" t="s">
        <v>4</v>
      </c>
      <c r="E8" s="112" t="s">
        <v>180</v>
      </c>
      <c r="F8" s="112"/>
      <c r="G8" s="112"/>
      <c r="H8" s="112"/>
      <c r="I8" s="112"/>
    </row>
    <row r="9" spans="1:13" ht="249.75" customHeight="1" x14ac:dyDescent="0.25">
      <c r="A9" s="81" t="s">
        <v>42</v>
      </c>
      <c r="B9" s="25" t="s">
        <v>4</v>
      </c>
      <c r="C9" s="25" t="s">
        <v>44</v>
      </c>
      <c r="D9" s="8" t="s">
        <v>4</v>
      </c>
      <c r="E9" s="102" t="s">
        <v>194</v>
      </c>
      <c r="F9" s="113"/>
      <c r="G9" s="113"/>
      <c r="H9" s="113"/>
      <c r="I9" s="103"/>
    </row>
    <row r="10" spans="1:13" ht="49.5" customHeight="1" x14ac:dyDescent="0.25">
      <c r="A10" s="81"/>
      <c r="B10" s="25" t="s">
        <v>4</v>
      </c>
      <c r="C10" s="25" t="s">
        <v>14</v>
      </c>
      <c r="D10" s="8" t="s">
        <v>4</v>
      </c>
      <c r="E10" s="102" t="s">
        <v>195</v>
      </c>
      <c r="F10" s="113"/>
      <c r="G10" s="113"/>
      <c r="H10" s="113"/>
      <c r="I10" s="103"/>
    </row>
    <row r="11" spans="1:13" ht="40.5" x14ac:dyDescent="0.25">
      <c r="A11" s="81"/>
      <c r="B11" s="25" t="s">
        <v>4</v>
      </c>
      <c r="C11" s="25" t="s">
        <v>5</v>
      </c>
      <c r="D11" s="8" t="s">
        <v>4</v>
      </c>
      <c r="E11" s="102" t="s">
        <v>196</v>
      </c>
      <c r="F11" s="113"/>
      <c r="G11" s="113"/>
      <c r="H11" s="113"/>
      <c r="I11" s="103"/>
    </row>
    <row r="12" spans="1:13" ht="20.25" x14ac:dyDescent="0.25">
      <c r="A12" s="81" t="s">
        <v>35</v>
      </c>
      <c r="B12" s="81"/>
      <c r="C12" s="81"/>
      <c r="D12" s="8" t="s">
        <v>4</v>
      </c>
      <c r="E12" s="82" t="s">
        <v>213</v>
      </c>
      <c r="F12" s="82"/>
      <c r="G12" s="82"/>
      <c r="H12" s="82"/>
      <c r="I12" s="82"/>
    </row>
    <row r="13" spans="1:13" ht="20.25" x14ac:dyDescent="0.25">
      <c r="A13" s="80" t="s">
        <v>48</v>
      </c>
      <c r="B13" s="80"/>
      <c r="C13" s="80"/>
      <c r="D13" s="80"/>
      <c r="E13" s="80"/>
      <c r="F13" s="80"/>
      <c r="G13" s="80"/>
      <c r="H13" s="80"/>
      <c r="I13" s="80"/>
    </row>
    <row r="14" spans="1:13" ht="40.5" x14ac:dyDescent="0.25">
      <c r="A14" s="81" t="s">
        <v>29</v>
      </c>
      <c r="B14" s="81"/>
      <c r="C14" s="81"/>
      <c r="D14" s="8" t="s">
        <v>4</v>
      </c>
      <c r="E14" s="26" t="s">
        <v>93</v>
      </c>
      <c r="F14" s="19" t="s">
        <v>49</v>
      </c>
      <c r="G14" s="8" t="s">
        <v>4</v>
      </c>
      <c r="H14" s="110" t="s">
        <v>214</v>
      </c>
      <c r="I14" s="110"/>
    </row>
    <row r="15" spans="1:13" ht="105" customHeight="1" x14ac:dyDescent="0.25">
      <c r="A15" s="81" t="s">
        <v>50</v>
      </c>
      <c r="B15" s="81"/>
      <c r="C15" s="81"/>
      <c r="D15" s="8" t="s">
        <v>4</v>
      </c>
      <c r="E15" s="26" t="s">
        <v>240</v>
      </c>
      <c r="F15" s="25" t="s">
        <v>51</v>
      </c>
      <c r="G15" s="8" t="s">
        <v>4</v>
      </c>
      <c r="H15" s="111" t="s">
        <v>241</v>
      </c>
      <c r="I15" s="82"/>
      <c r="J15" s="46"/>
    </row>
    <row r="16" spans="1:13" ht="94.5" customHeight="1" x14ac:dyDescent="0.25">
      <c r="A16" s="83" t="s">
        <v>52</v>
      </c>
      <c r="B16" s="84"/>
      <c r="C16" s="85"/>
      <c r="D16" s="8" t="s">
        <v>4</v>
      </c>
      <c r="E16" s="32" t="s">
        <v>243</v>
      </c>
      <c r="F16" s="25" t="s">
        <v>53</v>
      </c>
      <c r="G16" s="8" t="s">
        <v>4</v>
      </c>
      <c r="H16" s="111" t="s">
        <v>242</v>
      </c>
      <c r="I16" s="82"/>
      <c r="J16" s="46"/>
    </row>
    <row r="17" spans="1:10" ht="85.5" customHeight="1" x14ac:dyDescent="0.25">
      <c r="A17" s="83" t="s">
        <v>54</v>
      </c>
      <c r="B17" s="84"/>
      <c r="C17" s="85"/>
      <c r="D17" s="8" t="s">
        <v>4</v>
      </c>
      <c r="E17" s="32" t="str">
        <f>H15</f>
        <v>Tower 4 = 31/12/2026
Tower 5 = 31/05/2029</v>
      </c>
      <c r="F17" s="25" t="s">
        <v>55</v>
      </c>
      <c r="G17" s="8" t="s">
        <v>4</v>
      </c>
      <c r="H17" s="102" t="s">
        <v>208</v>
      </c>
      <c r="I17" s="103"/>
    </row>
    <row r="18" spans="1:10" ht="40.5" customHeight="1" x14ac:dyDescent="0.25">
      <c r="A18" s="83" t="s">
        <v>56</v>
      </c>
      <c r="B18" s="84"/>
      <c r="C18" s="85"/>
      <c r="D18" s="8" t="s">
        <v>4</v>
      </c>
      <c r="E18" s="26" t="s">
        <v>94</v>
      </c>
      <c r="F18" s="25" t="s">
        <v>95</v>
      </c>
      <c r="G18" s="8" t="s">
        <v>4</v>
      </c>
      <c r="H18" s="82">
        <v>431675.64</v>
      </c>
      <c r="I18" s="82"/>
    </row>
    <row r="19" spans="1:10" ht="40.5" x14ac:dyDescent="0.25">
      <c r="A19" s="81" t="s">
        <v>97</v>
      </c>
      <c r="B19" s="81"/>
      <c r="C19" s="81"/>
      <c r="D19" s="8" t="s">
        <v>4</v>
      </c>
      <c r="E19" s="20">
        <v>333155</v>
      </c>
      <c r="F19" s="25" t="s">
        <v>96</v>
      </c>
      <c r="G19" s="8" t="s">
        <v>4</v>
      </c>
      <c r="H19" s="82">
        <v>174228.302</v>
      </c>
      <c r="I19" s="82"/>
    </row>
    <row r="20" spans="1:10" ht="40.5" x14ac:dyDescent="0.25">
      <c r="A20" s="81" t="s">
        <v>57</v>
      </c>
      <c r="B20" s="81"/>
      <c r="C20" s="81"/>
      <c r="D20" s="8" t="s">
        <v>4</v>
      </c>
      <c r="E20" s="20">
        <v>0.6</v>
      </c>
      <c r="F20" s="12" t="s">
        <v>58</v>
      </c>
      <c r="G20" s="8" t="s">
        <v>4</v>
      </c>
      <c r="H20" s="114">
        <v>591</v>
      </c>
      <c r="I20" s="115"/>
      <c r="J20" s="9" t="s">
        <v>267</v>
      </c>
    </row>
    <row r="21" spans="1:10" ht="40.5" x14ac:dyDescent="0.25">
      <c r="A21" s="81" t="s">
        <v>59</v>
      </c>
      <c r="B21" s="81"/>
      <c r="C21" s="81"/>
      <c r="D21" s="8" t="s">
        <v>4</v>
      </c>
      <c r="E21" s="20">
        <v>587</v>
      </c>
      <c r="F21" s="25" t="s">
        <v>60</v>
      </c>
      <c r="G21" s="8" t="s">
        <v>4</v>
      </c>
      <c r="H21" s="82" t="s">
        <v>148</v>
      </c>
      <c r="I21" s="82"/>
    </row>
    <row r="22" spans="1:10" ht="27.75" customHeight="1" x14ac:dyDescent="0.25">
      <c r="A22" s="83" t="s">
        <v>244</v>
      </c>
      <c r="B22" s="84"/>
      <c r="C22" s="85"/>
      <c r="D22" s="8" t="s">
        <v>4</v>
      </c>
      <c r="E22" s="102" t="s">
        <v>283</v>
      </c>
      <c r="F22" s="113"/>
      <c r="G22" s="113"/>
      <c r="H22" s="113"/>
      <c r="I22" s="103"/>
    </row>
    <row r="23" spans="1:10" ht="20.25" x14ac:dyDescent="0.25">
      <c r="A23" s="83" t="s">
        <v>245</v>
      </c>
      <c r="B23" s="84"/>
      <c r="C23" s="85"/>
      <c r="D23" s="8" t="s">
        <v>4</v>
      </c>
      <c r="E23" s="119" t="s">
        <v>246</v>
      </c>
      <c r="F23" s="120"/>
      <c r="G23" s="120"/>
      <c r="H23" s="120"/>
      <c r="I23" s="121"/>
    </row>
    <row r="24" spans="1:10" ht="95.25" customHeight="1" x14ac:dyDescent="0.25">
      <c r="A24" s="83" t="s">
        <v>27</v>
      </c>
      <c r="B24" s="84"/>
      <c r="C24" s="85"/>
      <c r="D24" s="8" t="s">
        <v>4</v>
      </c>
      <c r="E24" s="102" t="s">
        <v>247</v>
      </c>
      <c r="F24" s="113"/>
      <c r="G24" s="113"/>
      <c r="H24" s="113"/>
      <c r="I24" s="103"/>
    </row>
    <row r="25" spans="1:10" ht="20.25" customHeight="1" x14ac:dyDescent="0.25">
      <c r="A25" s="80" t="s">
        <v>22</v>
      </c>
      <c r="B25" s="80"/>
      <c r="C25" s="80"/>
      <c r="D25" s="80"/>
      <c r="E25" s="80"/>
      <c r="F25" s="80"/>
      <c r="G25" s="80"/>
      <c r="H25" s="80"/>
      <c r="I25" s="80"/>
    </row>
    <row r="26" spans="1:10" ht="21" customHeight="1" x14ac:dyDescent="0.25">
      <c r="A26" s="83" t="s">
        <v>28</v>
      </c>
      <c r="B26" s="84"/>
      <c r="C26" s="85"/>
      <c r="D26" s="19" t="s">
        <v>4</v>
      </c>
      <c r="E26" s="20" t="s">
        <v>99</v>
      </c>
      <c r="F26" s="25" t="s">
        <v>16</v>
      </c>
      <c r="G26" s="19" t="s">
        <v>4</v>
      </c>
      <c r="H26" s="102" t="s">
        <v>174</v>
      </c>
      <c r="I26" s="103"/>
    </row>
    <row r="27" spans="1:10" ht="21.75" customHeight="1" x14ac:dyDescent="0.25">
      <c r="A27" s="83" t="s">
        <v>17</v>
      </c>
      <c r="B27" s="84"/>
      <c r="C27" s="85"/>
      <c r="D27" s="19" t="s">
        <v>4</v>
      </c>
      <c r="E27" s="20" t="s">
        <v>100</v>
      </c>
      <c r="F27" s="25" t="s">
        <v>38</v>
      </c>
      <c r="G27" s="19" t="s">
        <v>4</v>
      </c>
      <c r="H27" s="102" t="s">
        <v>215</v>
      </c>
      <c r="I27" s="103"/>
    </row>
    <row r="28" spans="1:10" ht="42.75" customHeight="1" x14ac:dyDescent="0.25">
      <c r="A28" s="116" t="s">
        <v>25</v>
      </c>
      <c r="B28" s="117"/>
      <c r="C28" s="118"/>
      <c r="D28" s="19" t="s">
        <v>4</v>
      </c>
      <c r="E28" s="26" t="s">
        <v>101</v>
      </c>
      <c r="F28" s="25" t="s">
        <v>18</v>
      </c>
      <c r="G28" s="30" t="s">
        <v>4</v>
      </c>
      <c r="H28" s="102" t="s">
        <v>181</v>
      </c>
      <c r="I28" s="103"/>
    </row>
    <row r="29" spans="1:10" ht="60.75" x14ac:dyDescent="0.25">
      <c r="A29" s="83" t="s">
        <v>141</v>
      </c>
      <c r="B29" s="84"/>
      <c r="C29" s="85"/>
      <c r="D29" s="19" t="s">
        <v>4</v>
      </c>
      <c r="E29" s="26" t="s">
        <v>182</v>
      </c>
      <c r="F29" s="25" t="s">
        <v>142</v>
      </c>
      <c r="G29" s="19" t="s">
        <v>4</v>
      </c>
      <c r="H29" s="102" t="s">
        <v>175</v>
      </c>
      <c r="I29" s="103"/>
    </row>
    <row r="30" spans="1:10" ht="128.25" customHeight="1" x14ac:dyDescent="0.25">
      <c r="A30" s="83" t="s">
        <v>19</v>
      </c>
      <c r="B30" s="84"/>
      <c r="C30" s="85"/>
      <c r="D30" s="19" t="s">
        <v>4</v>
      </c>
      <c r="E30" s="26" t="s">
        <v>183</v>
      </c>
      <c r="F30" s="25" t="s">
        <v>140</v>
      </c>
      <c r="G30" s="19" t="s">
        <v>4</v>
      </c>
      <c r="H30" s="102" t="s">
        <v>184</v>
      </c>
      <c r="I30" s="103"/>
    </row>
    <row r="31" spans="1:10" ht="20.25" x14ac:dyDescent="0.25">
      <c r="A31" s="83" t="s">
        <v>170</v>
      </c>
      <c r="B31" s="84"/>
      <c r="C31" s="85"/>
      <c r="D31" s="8" t="s">
        <v>4</v>
      </c>
      <c r="E31" s="26" t="s">
        <v>171</v>
      </c>
      <c r="F31" s="25" t="s">
        <v>172</v>
      </c>
      <c r="G31" s="8" t="s">
        <v>4</v>
      </c>
      <c r="H31" s="102" t="s">
        <v>171</v>
      </c>
      <c r="I31" s="103"/>
    </row>
    <row r="32" spans="1:10" ht="20.25" x14ac:dyDescent="0.25">
      <c r="A32" s="83" t="s">
        <v>173</v>
      </c>
      <c r="B32" s="84"/>
      <c r="C32" s="85"/>
      <c r="D32" s="8" t="s">
        <v>4</v>
      </c>
      <c r="E32" s="102" t="s">
        <v>171</v>
      </c>
      <c r="F32" s="113"/>
      <c r="G32" s="113"/>
      <c r="H32" s="113"/>
      <c r="I32" s="103"/>
    </row>
    <row r="33" spans="1:9" ht="20.25" x14ac:dyDescent="0.25">
      <c r="A33" s="92" t="s">
        <v>39</v>
      </c>
      <c r="B33" s="93"/>
      <c r="C33" s="93"/>
      <c r="D33" s="93"/>
      <c r="E33" s="93"/>
      <c r="F33" s="93"/>
      <c r="G33" s="93"/>
      <c r="H33" s="93"/>
      <c r="I33" s="94"/>
    </row>
    <row r="34" spans="1:9" ht="40.5" x14ac:dyDescent="0.25">
      <c r="A34" s="83" t="s">
        <v>20</v>
      </c>
      <c r="B34" s="84"/>
      <c r="C34" s="85"/>
      <c r="D34" s="19" t="s">
        <v>4</v>
      </c>
      <c r="E34" s="26" t="s">
        <v>102</v>
      </c>
      <c r="F34" s="25" t="s">
        <v>21</v>
      </c>
      <c r="G34" s="19" t="s">
        <v>4</v>
      </c>
      <c r="H34" s="102" t="s">
        <v>103</v>
      </c>
      <c r="I34" s="103"/>
    </row>
    <row r="35" spans="1:9" ht="21" customHeight="1" x14ac:dyDescent="0.25">
      <c r="A35" s="83" t="s">
        <v>24</v>
      </c>
      <c r="B35" s="84"/>
      <c r="C35" s="85"/>
      <c r="D35" s="19" t="s">
        <v>4</v>
      </c>
      <c r="E35" s="26" t="s">
        <v>103</v>
      </c>
      <c r="F35" s="14" t="s">
        <v>33</v>
      </c>
      <c r="G35" s="19" t="s">
        <v>4</v>
      </c>
      <c r="H35" s="102" t="s">
        <v>103</v>
      </c>
      <c r="I35" s="103"/>
    </row>
    <row r="36" spans="1:9" ht="21" customHeight="1" x14ac:dyDescent="0.25">
      <c r="A36" s="83" t="s">
        <v>32</v>
      </c>
      <c r="B36" s="84"/>
      <c r="C36" s="85"/>
      <c r="D36" s="19" t="s">
        <v>4</v>
      </c>
      <c r="E36" s="11" t="s">
        <v>105</v>
      </c>
      <c r="F36" s="25" t="s">
        <v>23</v>
      </c>
      <c r="G36" s="19" t="s">
        <v>4</v>
      </c>
      <c r="H36" s="102" t="s">
        <v>104</v>
      </c>
      <c r="I36" s="103"/>
    </row>
    <row r="37" spans="1:9" ht="20.25" x14ac:dyDescent="0.25">
      <c r="A37" s="80" t="s">
        <v>0</v>
      </c>
      <c r="B37" s="80"/>
      <c r="C37" s="80"/>
      <c r="D37" s="80"/>
      <c r="E37" s="80"/>
      <c r="F37" s="104"/>
      <c r="G37" s="80"/>
      <c r="H37" s="80"/>
      <c r="I37" s="80"/>
    </row>
    <row r="38" spans="1:9" ht="20.25" x14ac:dyDescent="0.25">
      <c r="A38" s="122" t="s">
        <v>0</v>
      </c>
      <c r="B38" s="122"/>
      <c r="C38" s="122"/>
      <c r="D38" s="19" t="s">
        <v>4</v>
      </c>
      <c r="E38" s="21" t="s">
        <v>1</v>
      </c>
      <c r="F38" s="21" t="s">
        <v>6</v>
      </c>
      <c r="G38" s="122" t="s">
        <v>2</v>
      </c>
      <c r="H38" s="122"/>
      <c r="I38" s="21" t="s">
        <v>3</v>
      </c>
    </row>
    <row r="39" spans="1:9" ht="20.25" x14ac:dyDescent="0.25">
      <c r="A39" s="81" t="s">
        <v>7</v>
      </c>
      <c r="B39" s="81"/>
      <c r="C39" s="81"/>
      <c r="D39" s="19" t="s">
        <v>4</v>
      </c>
      <c r="E39" s="24" t="s">
        <v>210</v>
      </c>
      <c r="F39" s="24" t="s">
        <v>209</v>
      </c>
      <c r="G39" s="71" t="s">
        <v>211</v>
      </c>
      <c r="H39" s="73"/>
      <c r="I39" s="24" t="s">
        <v>212</v>
      </c>
    </row>
    <row r="40" spans="1:9" ht="22.5" customHeight="1" x14ac:dyDescent="0.25">
      <c r="A40" s="81" t="s">
        <v>8</v>
      </c>
      <c r="B40" s="81"/>
      <c r="C40" s="81"/>
      <c r="D40" s="19" t="s">
        <v>4</v>
      </c>
      <c r="E40" s="24" t="s">
        <v>106</v>
      </c>
      <c r="F40" s="24" t="s">
        <v>106</v>
      </c>
      <c r="G40" s="123" t="s">
        <v>209</v>
      </c>
      <c r="H40" s="123"/>
      <c r="I40" s="24" t="s">
        <v>106</v>
      </c>
    </row>
    <row r="41" spans="1:9" ht="22.5" customHeight="1" x14ac:dyDescent="0.25">
      <c r="A41" s="81" t="s">
        <v>12</v>
      </c>
      <c r="B41" s="81"/>
      <c r="C41" s="81"/>
      <c r="D41" s="19" t="s">
        <v>4</v>
      </c>
      <c r="E41" s="20" t="s">
        <v>101</v>
      </c>
      <c r="F41" s="25" t="s">
        <v>13</v>
      </c>
      <c r="G41" s="8" t="s">
        <v>4</v>
      </c>
      <c r="H41" s="82" t="s">
        <v>98</v>
      </c>
      <c r="I41" s="82"/>
    </row>
    <row r="42" spans="1:9" ht="20.25" x14ac:dyDescent="0.25">
      <c r="A42" s="80" t="s">
        <v>61</v>
      </c>
      <c r="B42" s="80"/>
      <c r="C42" s="80"/>
      <c r="D42" s="80"/>
      <c r="E42" s="80"/>
      <c r="F42" s="80"/>
      <c r="G42" s="80"/>
      <c r="H42" s="80"/>
      <c r="I42" s="80"/>
    </row>
    <row r="43" spans="1:9" ht="20.25" x14ac:dyDescent="0.25">
      <c r="A43" s="122" t="s">
        <v>62</v>
      </c>
      <c r="B43" s="122"/>
      <c r="C43" s="122"/>
      <c r="D43" s="124" t="s">
        <v>63</v>
      </c>
      <c r="E43" s="125"/>
      <c r="F43" s="122" t="s">
        <v>64</v>
      </c>
      <c r="G43" s="122"/>
      <c r="H43" s="122" t="s">
        <v>65</v>
      </c>
      <c r="I43" s="122"/>
    </row>
    <row r="44" spans="1:9" ht="42.75" customHeight="1" x14ac:dyDescent="0.25">
      <c r="A44" s="71" t="s">
        <v>207</v>
      </c>
      <c r="B44" s="72"/>
      <c r="C44" s="73"/>
      <c r="D44" s="71" t="s">
        <v>107</v>
      </c>
      <c r="E44" s="73"/>
      <c r="F44" s="71" t="s">
        <v>229</v>
      </c>
      <c r="G44" s="73"/>
      <c r="H44" s="71" t="s">
        <v>229</v>
      </c>
      <c r="I44" s="73"/>
    </row>
    <row r="45" spans="1:9" ht="42.75" customHeight="1" x14ac:dyDescent="0.25">
      <c r="A45" s="71" t="s">
        <v>269</v>
      </c>
      <c r="B45" s="72"/>
      <c r="C45" s="73"/>
      <c r="D45" s="71" t="s">
        <v>107</v>
      </c>
      <c r="E45" s="73"/>
      <c r="F45" s="71" t="s">
        <v>270</v>
      </c>
      <c r="G45" s="73"/>
      <c r="H45" s="71" t="s">
        <v>270</v>
      </c>
      <c r="I45" s="73"/>
    </row>
    <row r="46" spans="1:9" ht="20.25" x14ac:dyDescent="0.25">
      <c r="A46" s="80" t="s">
        <v>66</v>
      </c>
      <c r="B46" s="80"/>
      <c r="C46" s="80"/>
      <c r="D46" s="80"/>
      <c r="E46" s="80"/>
      <c r="F46" s="80"/>
      <c r="G46" s="80"/>
      <c r="H46" s="80"/>
      <c r="I46" s="80"/>
    </row>
    <row r="47" spans="1:9" ht="45.75" customHeight="1" x14ac:dyDescent="0.25">
      <c r="A47" s="81" t="s">
        <v>67</v>
      </c>
      <c r="B47" s="81"/>
      <c r="C47" s="81"/>
      <c r="D47" s="19" t="s">
        <v>4</v>
      </c>
      <c r="E47" s="26" t="s">
        <v>149</v>
      </c>
      <c r="F47" s="25" t="s">
        <v>68</v>
      </c>
      <c r="G47" s="19" t="s">
        <v>4</v>
      </c>
      <c r="H47" s="102" t="s">
        <v>185</v>
      </c>
      <c r="I47" s="103"/>
    </row>
    <row r="48" spans="1:9" ht="216" customHeight="1" x14ac:dyDescent="0.25">
      <c r="A48" s="81" t="s">
        <v>108</v>
      </c>
      <c r="B48" s="81"/>
      <c r="C48" s="81"/>
      <c r="D48" s="19" t="s">
        <v>4</v>
      </c>
      <c r="E48" s="26" t="s">
        <v>294</v>
      </c>
      <c r="F48" s="25" t="s">
        <v>69</v>
      </c>
      <c r="G48" s="19" t="s">
        <v>4</v>
      </c>
      <c r="H48" s="102" t="s">
        <v>185</v>
      </c>
      <c r="I48" s="103"/>
    </row>
    <row r="49" spans="1:13" ht="86.25" customHeight="1" x14ac:dyDescent="0.25">
      <c r="A49" s="81" t="s">
        <v>70</v>
      </c>
      <c r="B49" s="81"/>
      <c r="C49" s="81"/>
      <c r="D49" s="19" t="s">
        <v>4</v>
      </c>
      <c r="E49" s="26" t="s">
        <v>230</v>
      </c>
      <c r="F49" s="25" t="s">
        <v>71</v>
      </c>
      <c r="G49" s="19" t="s">
        <v>4</v>
      </c>
      <c r="H49" s="82" t="s">
        <v>231</v>
      </c>
      <c r="I49" s="82"/>
    </row>
    <row r="50" spans="1:13" ht="86.25" customHeight="1" x14ac:dyDescent="0.25">
      <c r="A50" s="81" t="s">
        <v>186</v>
      </c>
      <c r="B50" s="81"/>
      <c r="C50" s="81"/>
      <c r="D50" s="19" t="s">
        <v>4</v>
      </c>
      <c r="E50" s="26" t="s">
        <v>233</v>
      </c>
      <c r="F50" s="25" t="s">
        <v>72</v>
      </c>
      <c r="G50" s="19" t="s">
        <v>4</v>
      </c>
      <c r="H50" s="102" t="s">
        <v>232</v>
      </c>
      <c r="I50" s="103"/>
    </row>
    <row r="51" spans="1:13" ht="21" thickBot="1" x14ac:dyDescent="0.3">
      <c r="A51" s="80" t="s">
        <v>73</v>
      </c>
      <c r="B51" s="80"/>
      <c r="C51" s="80"/>
      <c r="D51" s="80"/>
      <c r="E51" s="80"/>
      <c r="F51" s="80"/>
      <c r="G51" s="80"/>
      <c r="H51" s="80"/>
      <c r="I51" s="80"/>
    </row>
    <row r="52" spans="1:13" ht="20.25" customHeight="1" x14ac:dyDescent="0.3">
      <c r="A52" s="154" t="s">
        <v>292</v>
      </c>
      <c r="B52" s="154"/>
      <c r="C52" s="154"/>
      <c r="D52" s="155" t="s">
        <v>4</v>
      </c>
      <c r="E52" s="60" t="s">
        <v>156</v>
      </c>
      <c r="F52" s="156" t="s">
        <v>157</v>
      </c>
      <c r="G52" s="156"/>
      <c r="H52" s="60" t="s">
        <v>158</v>
      </c>
      <c r="I52" s="60" t="s">
        <v>159</v>
      </c>
      <c r="J52" s="33" t="str">
        <f ca="1">(IF(F55&gt;99%,"All work completed. Please provide OC.",IF(F55&gt;89.8%,"Plinth, RCC, Brick, Plaster, Flooring, Wooden, Plumbing, Electrification, etc., work Completed. Finishing work is in process.",IF(F55&lt;94%,(IF(C55=0,"Work not yet Started.",IF(E55=25%,"Piling work in process",IF(E55=50%,"Excavation work in process",IF(E55=100%,"Excavation work Completed. ","0")))&amp;(IF(C56=0%,"",IF(C56=K57,"Footing work is process",IF(C56=K58,"Footing work Completed",IF(C56=K59,"1st Basement Completed",IF(C56=K60,"1st &amp; 2nd Basement Completed",IF(C56=K61,"1st to 3rd Basement Completed",IF(C56=K62,"1st to 4th Basement Completed",IF(C56=K63,"Plinth work is process",IF(C56=K64,"Plinth work completed","0")))))))))))&amp;(IF(C57=(F53+H53+I53),", RCC Slab",IF(C57&gt;0,", RCC upto "&amp;C57&amp;" Slab",""))&amp;(IF(C58=I53,", Brickwork",IF(C58&gt;0,", Brickwork upto "&amp;C58&amp;" Floor",""))&amp;(IF(C59=I53,", Internal Plaster",IF(C59&gt;0,", Internal Plaster upto "&amp;C59&amp;" Floor",""))&amp;(IF(C60=I53,", External Plaster",IF(C60&gt;0,", External Plaster upto "&amp;C60&amp;" Floor",""))&amp;(IF(C61=I53,", External Plumbing, Elevation and Waterproofing",IF(C61&gt;0,", External Plumbing, Elevation and Waterproofing upto "&amp;C61&amp;" Floor",""))&amp;(IF(C62=I53,", Flooring &amp; Fitting",IF(C62&gt;0,", Flooring &amp; Fitting upto "&amp;C62&amp;" Floor",""))&amp;(IF(C63=I53,", Wooden Work",IF(C63&gt;0,", Wooden Work upto "&amp;C63&amp;" Floor",""))&amp;(IF(C64=I53,", Electrical &amp; Sanitary fittings",IF(C64&gt;0,", Electrical &amp; Sanitary fittings upto "&amp;C64&amp;" Floor",""))&amp;(IF(C65&gt;0,", Finishing upto "&amp;C65&amp;" Floor","")&amp;(IF(C57&gt;0.5," Completed",""))))))))))))))))</f>
        <v>Excavation work Completed. Plinth work completed, RCC upto 31 Slab, Brickwork upto 29 Floor, Internal Plaster upto 23.2 Floor, External Plaster upto 23.2 Floor Completed</v>
      </c>
      <c r="K52" s="34"/>
    </row>
    <row r="53" spans="1:13" ht="20.25" x14ac:dyDescent="0.3">
      <c r="A53" s="154"/>
      <c r="B53" s="154"/>
      <c r="C53" s="154"/>
      <c r="D53" s="155"/>
      <c r="E53" s="60">
        <v>3</v>
      </c>
      <c r="F53" s="156">
        <v>1</v>
      </c>
      <c r="G53" s="156"/>
      <c r="H53" s="60">
        <v>0</v>
      </c>
      <c r="I53" s="60">
        <f ca="1">--TRIM(RIGHT(SUBSTITUTE(LEFT(A52,_xlfn.AGGREGATE(16,6,FIND({0,1,2,3,4,5,6,7,8,9},A52,ROW(INDIRECT("1:"&amp;LEN(A52)))),1))," ",REPT(" ",LEN(A52))),LEN(A52)))</f>
        <v>38</v>
      </c>
      <c r="J53" s="35" t="s">
        <v>163</v>
      </c>
      <c r="K53" s="34"/>
    </row>
    <row r="54" spans="1:13" ht="20.25" customHeight="1" x14ac:dyDescent="0.3">
      <c r="A54" s="157" t="s">
        <v>161</v>
      </c>
      <c r="B54" s="157"/>
      <c r="C54" s="157" t="s">
        <v>216</v>
      </c>
      <c r="D54" s="157"/>
      <c r="E54" s="61" t="s">
        <v>217</v>
      </c>
      <c r="F54" s="157" t="s">
        <v>162</v>
      </c>
      <c r="G54" s="157"/>
      <c r="H54" s="36" t="s">
        <v>160</v>
      </c>
      <c r="I54" s="36"/>
      <c r="J54" s="37" t="s">
        <v>218</v>
      </c>
      <c r="K54" s="38">
        <f ca="1">I53*25%</f>
        <v>9.5</v>
      </c>
    </row>
    <row r="55" spans="1:13" ht="20.25" customHeight="1" x14ac:dyDescent="0.3">
      <c r="A55" s="158" t="s">
        <v>219</v>
      </c>
      <c r="B55" s="158"/>
      <c r="C55" s="156">
        <f ca="1">K56</f>
        <v>38</v>
      </c>
      <c r="D55" s="156"/>
      <c r="E55" s="59">
        <f ca="1">((100/I53)*C55)/100</f>
        <v>1</v>
      </c>
      <c r="F55" s="158">
        <f ca="1">(((C55/I53*5)+(C56/I53*20)+(25/(F53+H53+I53)*C57)+(5/(I53)*C58)+(2.5/(I53)*C59)+(2.5/(I53)*C60)+(5/I53*C61)+(10/I53*C62)+(2.5/I53*C63)+(2.5/I53*C64)+(10/I53*C65)+(10/I53*C66))/100)</f>
        <v>0.51740215924426458</v>
      </c>
      <c r="G55" s="158"/>
      <c r="H55" s="158" t="str">
        <f ca="1">J52</f>
        <v>Excavation work Completed. Plinth work completed, RCC upto 31 Slab, Brickwork upto 29 Floor, Internal Plaster upto 23.2 Floor, External Plaster upto 23.2 Floor Completed</v>
      </c>
      <c r="I55" s="158"/>
      <c r="J55" s="37" t="s">
        <v>164</v>
      </c>
      <c r="K55" s="39">
        <f ca="1">I53*50%</f>
        <v>19</v>
      </c>
    </row>
    <row r="56" spans="1:13" ht="20.25" x14ac:dyDescent="0.3">
      <c r="A56" s="158" t="s">
        <v>132</v>
      </c>
      <c r="B56" s="158"/>
      <c r="C56" s="159">
        <v>38</v>
      </c>
      <c r="D56" s="156"/>
      <c r="E56" s="59">
        <f ca="1">((100/I53)*C56)/100</f>
        <v>1</v>
      </c>
      <c r="F56" s="158"/>
      <c r="G56" s="158"/>
      <c r="H56" s="158"/>
      <c r="I56" s="158"/>
      <c r="J56" s="37" t="s">
        <v>165</v>
      </c>
      <c r="K56" s="39">
        <f ca="1">I53</f>
        <v>38</v>
      </c>
    </row>
    <row r="57" spans="1:13" ht="21" customHeight="1" x14ac:dyDescent="0.35">
      <c r="A57" s="158" t="s">
        <v>235</v>
      </c>
      <c r="B57" s="158"/>
      <c r="C57" s="156">
        <v>31</v>
      </c>
      <c r="D57" s="156"/>
      <c r="E57" s="59">
        <f ca="1">((100/(F53+H53+I53))*C57)/100</f>
        <v>0.79487179487179493</v>
      </c>
      <c r="F57" s="158"/>
      <c r="G57" s="158"/>
      <c r="H57" s="158"/>
      <c r="I57" s="158"/>
      <c r="J57" s="37" t="s">
        <v>166</v>
      </c>
      <c r="K57" s="40">
        <f ca="1">(IF(E53&gt;1,(I53/(E53+2)),I53/4))</f>
        <v>7.6</v>
      </c>
    </row>
    <row r="58" spans="1:13" ht="21" customHeight="1" x14ac:dyDescent="0.35">
      <c r="A58" s="158" t="s">
        <v>220</v>
      </c>
      <c r="B58" s="158"/>
      <c r="C58" s="156">
        <f>C57-2</f>
        <v>29</v>
      </c>
      <c r="D58" s="156"/>
      <c r="E58" s="59">
        <f ca="1">((100/I53)*C58)/100</f>
        <v>0.76315789473684215</v>
      </c>
      <c r="F58" s="158"/>
      <c r="G58" s="158"/>
      <c r="H58" s="158"/>
      <c r="I58" s="158"/>
      <c r="J58" s="37" t="s">
        <v>167</v>
      </c>
      <c r="K58" s="40">
        <f ca="1">(IF(E53&gt;1,(I53/(E53+2)+K57),I53/4+K57))</f>
        <v>15.2</v>
      </c>
    </row>
    <row r="59" spans="1:13" ht="21" customHeight="1" x14ac:dyDescent="0.35">
      <c r="A59" s="160" t="s">
        <v>221</v>
      </c>
      <c r="B59" s="161"/>
      <c r="C59" s="159">
        <f>C58*0.8</f>
        <v>23.200000000000003</v>
      </c>
      <c r="D59" s="159"/>
      <c r="E59" s="59">
        <f ca="1">((100/I53)*C59)/100</f>
        <v>0.61052631578947381</v>
      </c>
      <c r="F59" s="158"/>
      <c r="G59" s="158"/>
      <c r="H59" s="158"/>
      <c r="I59" s="158"/>
      <c r="J59" s="37" t="s">
        <v>222</v>
      </c>
      <c r="K59" s="40">
        <f ca="1">(IF(E53&gt;1,(I53/(E53+2)+K58),0))</f>
        <v>22.799999999999997</v>
      </c>
    </row>
    <row r="60" spans="1:13" ht="21" customHeight="1" x14ac:dyDescent="0.35">
      <c r="A60" s="160" t="s">
        <v>287</v>
      </c>
      <c r="B60" s="161"/>
      <c r="C60" s="159">
        <f>C59</f>
        <v>23.200000000000003</v>
      </c>
      <c r="D60" s="159"/>
      <c r="E60" s="59">
        <f ca="1">((100/I53)*C60)/100</f>
        <v>0.61052631578947381</v>
      </c>
      <c r="F60" s="158"/>
      <c r="G60" s="158"/>
      <c r="H60" s="158"/>
      <c r="I60" s="158"/>
      <c r="J60" s="37" t="s">
        <v>223</v>
      </c>
      <c r="K60" s="40">
        <f ca="1">(IF(E53&gt;2,(I53/(E53+2)+K59),0))</f>
        <v>30.4</v>
      </c>
    </row>
    <row r="61" spans="1:13" ht="57.75" customHeight="1" x14ac:dyDescent="0.35">
      <c r="A61" s="160" t="s">
        <v>288</v>
      </c>
      <c r="B61" s="161"/>
      <c r="C61" s="162">
        <v>0</v>
      </c>
      <c r="D61" s="163"/>
      <c r="E61" s="59">
        <f ca="1">((100/(I53))*C61)/100</f>
        <v>0</v>
      </c>
      <c r="F61" s="158"/>
      <c r="G61" s="158"/>
      <c r="H61" s="158"/>
      <c r="I61" s="158"/>
      <c r="J61" s="37" t="s">
        <v>225</v>
      </c>
      <c r="K61" s="41">
        <f>(IF(E53&gt;3,(I53/(E53+2)+K60),0))</f>
        <v>0</v>
      </c>
    </row>
    <row r="62" spans="1:13" ht="21" x14ac:dyDescent="0.35">
      <c r="A62" s="158" t="s">
        <v>224</v>
      </c>
      <c r="B62" s="158"/>
      <c r="C62" s="156">
        <v>0</v>
      </c>
      <c r="D62" s="156"/>
      <c r="E62" s="59">
        <f ca="1">((100/(I53))*C62)/100</f>
        <v>0</v>
      </c>
      <c r="F62" s="158"/>
      <c r="G62" s="158"/>
      <c r="H62" s="158"/>
      <c r="I62" s="158"/>
      <c r="J62" s="37" t="s">
        <v>226</v>
      </c>
      <c r="K62" s="40">
        <f>(IF(E53&gt;4,(I53/(E53+2)+K61),0))</f>
        <v>0</v>
      </c>
    </row>
    <row r="63" spans="1:13" ht="21" customHeight="1" x14ac:dyDescent="0.35">
      <c r="A63" s="158" t="s">
        <v>289</v>
      </c>
      <c r="B63" s="158"/>
      <c r="C63" s="156">
        <v>0</v>
      </c>
      <c r="D63" s="156"/>
      <c r="E63" s="59">
        <f ca="1">((100/I53)*C63)/100</f>
        <v>0</v>
      </c>
      <c r="F63" s="158"/>
      <c r="G63" s="158"/>
      <c r="H63" s="158"/>
      <c r="I63" s="158"/>
      <c r="J63" s="37" t="s">
        <v>168</v>
      </c>
      <c r="K63" s="40">
        <f>(IF(E53=1,(I53/(E53+3)+K58),IF(E53=0,(I53/4+K58),IF(E53&gt;1,0))))</f>
        <v>0</v>
      </c>
    </row>
    <row r="64" spans="1:13" ht="41.25" customHeight="1" thickBot="1" x14ac:dyDescent="0.4">
      <c r="A64" s="158" t="s">
        <v>290</v>
      </c>
      <c r="B64" s="158"/>
      <c r="C64" s="156">
        <v>0</v>
      </c>
      <c r="D64" s="156"/>
      <c r="E64" s="59">
        <f ca="1">((100/I53)*C64)/100</f>
        <v>0</v>
      </c>
      <c r="F64" s="158"/>
      <c r="G64" s="158"/>
      <c r="H64" s="158"/>
      <c r="I64" s="158"/>
      <c r="J64" s="42" t="s">
        <v>169</v>
      </c>
      <c r="K64" s="43">
        <f ca="1">(IF(E53&gt;1.5,(I53/(E53+2)+K57+MAX(0,K58-K57)+MAX(0,K59-K58)+MAX(0,K60-K59)+MAX(0,K61-K60)+MAX(0,K62-K61)),IF(E53=1,(I53/(E53+3)+K63),IF(E53=0,I53/4+K63))))</f>
        <v>38</v>
      </c>
      <c r="M64" s="9" t="e">
        <f>(IF(D52&gt;1.5,(H52/(D52+2)+J57+MAX(0,J58-J57)+MAX(0,J59-J58)+MAX(0,J60-J59)+MAX(0,J61-J60)+MAX(0,J62-J61)),IF(D52=1,(H52/(D52+3)+J62),IF(D52=0,H52*0.3+J62))))</f>
        <v>#VALUE!</v>
      </c>
    </row>
    <row r="65" spans="1:13" ht="20.25" x14ac:dyDescent="0.25">
      <c r="A65" s="158" t="s">
        <v>227</v>
      </c>
      <c r="B65" s="158"/>
      <c r="C65" s="156">
        <v>0</v>
      </c>
      <c r="D65" s="156"/>
      <c r="E65" s="59">
        <f ca="1">((100/(I53))*C65)/100</f>
        <v>0</v>
      </c>
      <c r="F65" s="158"/>
      <c r="G65" s="158"/>
      <c r="H65" s="158"/>
      <c r="I65" s="158"/>
    </row>
    <row r="66" spans="1:13" ht="20.25" x14ac:dyDescent="0.25">
      <c r="A66" s="158" t="s">
        <v>228</v>
      </c>
      <c r="B66" s="158"/>
      <c r="C66" s="156">
        <v>0</v>
      </c>
      <c r="D66" s="156"/>
      <c r="E66" s="59">
        <f ca="1">((100/(I53))*C66)/100</f>
        <v>0</v>
      </c>
      <c r="F66" s="158"/>
      <c r="G66" s="158"/>
      <c r="H66" s="158"/>
      <c r="I66" s="158"/>
    </row>
    <row r="67" spans="1:13" ht="21" thickBot="1" x14ac:dyDescent="0.3">
      <c r="A67" s="80" t="s">
        <v>73</v>
      </c>
      <c r="B67" s="80"/>
      <c r="C67" s="80"/>
      <c r="D67" s="80"/>
      <c r="E67" s="80"/>
      <c r="F67" s="80"/>
      <c r="G67" s="80"/>
      <c r="H67" s="80"/>
      <c r="I67" s="80"/>
    </row>
    <row r="68" spans="1:13" ht="20.25" customHeight="1" x14ac:dyDescent="0.3">
      <c r="A68" s="154" t="s">
        <v>291</v>
      </c>
      <c r="B68" s="154"/>
      <c r="C68" s="154"/>
      <c r="D68" s="155" t="s">
        <v>4</v>
      </c>
      <c r="E68" s="60" t="s">
        <v>156</v>
      </c>
      <c r="F68" s="156" t="s">
        <v>157</v>
      </c>
      <c r="G68" s="156"/>
      <c r="H68" s="60" t="s">
        <v>158</v>
      </c>
      <c r="I68" s="60" t="s">
        <v>159</v>
      </c>
      <c r="J68" s="33" t="str">
        <f ca="1">(IF(F71&gt;99%,"All work completed. Please provide OC.",IF(F71&gt;89.8%,"Plinth, RCC, Brick, Plaster, Flooring, Wooden, Plumbing, Electrification, etc., work Completed. Finishing work is in process.",IF(F71&lt;94%,(IF(C71=0,"Work not yet Started.",IF(E71=25%,"Piling work in process",IF(E71=50%,"Excavation work in process",IF(E71=100%,"Excavation work Completed. ","0")))&amp;(IF(C72=0%,"",IF(C72=K73,"Footing work is process",IF(C72=K74,"Footing work Completed",IF(C72=K75,"1st Basement Completed",IF(C72=K76,"1st &amp; 2nd Basement Completed",IF(C72=K77,"1st to 3rd Basement Completed",IF(C72=K78,"1st to 4th Basement Completed",IF(C72=K79,"Plinth work is process",IF(C72=K80,"Plinth work completed","0")))))))))))&amp;(IF(C73=(F69+H69+I69),", RCC Slab",IF(C73&gt;0,", RCC upto "&amp;C73&amp;" Slab",""))&amp;(IF(C74=I69,", Brickwork",IF(C74&gt;0,", Brickwork upto "&amp;C74&amp;" Floor",""))&amp;(IF(C75=I69,", Internal Plaster",IF(C75&gt;0,", Internal Plaster upto "&amp;C75&amp;" Floor",""))&amp;(IF(C76=I69,", External Plaster",IF(C76&gt;0,", External Plaster upto "&amp;C76&amp;" Floor",""))&amp;(IF(C77=I69,", External Plumbing, Elevation and Waterproofing",IF(C77&gt;0,", External Plumbing, Elevation and Waterproofing upto "&amp;C77&amp;" Floor",""))&amp;(IF(C78=I69,", Flooring &amp; Fitting",IF(C78&gt;0,", Flooring &amp; Fitting upto "&amp;C78&amp;" Floor",""))&amp;(IF(C79=I69,", Wooden Work",IF(C79&gt;0,", Wooden Work upto "&amp;C79&amp;" Floor",""))&amp;(IF(C80=I69,", Electrical &amp; Sanitary fittings",IF(C80&gt;0,", Electrical &amp; Sanitary fittings upto "&amp;C80&amp;" Floor",""))&amp;(IF(C81&gt;0,", Finishing upto "&amp;C81&amp;" Floor","")&amp;(IF(C73&gt;0.5," Completed",""))))))))))))))))</f>
        <v>Excavation work Completed. Plinth work completed, RCC upto 10 Slab, Brickwork upto 9 Floor, Internal Plaster upto 7.2 Floor, External Plaster upto 7.2 Floor Completed</v>
      </c>
      <c r="K68" s="34"/>
    </row>
    <row r="69" spans="1:13" ht="20.25" x14ac:dyDescent="0.3">
      <c r="A69" s="154"/>
      <c r="B69" s="154"/>
      <c r="C69" s="154"/>
      <c r="D69" s="155"/>
      <c r="E69" s="60">
        <v>0</v>
      </c>
      <c r="F69" s="156">
        <v>1</v>
      </c>
      <c r="G69" s="156"/>
      <c r="H69" s="60">
        <v>0</v>
      </c>
      <c r="I69" s="60">
        <f ca="1">--TRIM(RIGHT(SUBSTITUTE(LEFT(A68,_xlfn.AGGREGATE(16,6,FIND({0,1,2,3,4,5,6,7,8,9},A68,ROW(INDIRECT("1:"&amp;LEN(A68)))),1))," ",REPT(" ",LEN(A68))),LEN(A68)))</f>
        <v>41</v>
      </c>
      <c r="J69" s="35" t="s">
        <v>163</v>
      </c>
      <c r="K69" s="34"/>
    </row>
    <row r="70" spans="1:13" ht="20.25" customHeight="1" x14ac:dyDescent="0.3">
      <c r="A70" s="157" t="s">
        <v>161</v>
      </c>
      <c r="B70" s="157"/>
      <c r="C70" s="157" t="s">
        <v>216</v>
      </c>
      <c r="D70" s="157"/>
      <c r="E70" s="61" t="s">
        <v>217</v>
      </c>
      <c r="F70" s="157" t="s">
        <v>162</v>
      </c>
      <c r="G70" s="157"/>
      <c r="H70" s="36" t="s">
        <v>160</v>
      </c>
      <c r="I70" s="36"/>
      <c r="J70" s="37" t="s">
        <v>218</v>
      </c>
      <c r="K70" s="38">
        <f ca="1">I69*25%</f>
        <v>10.25</v>
      </c>
    </row>
    <row r="71" spans="1:13" ht="20.25" customHeight="1" x14ac:dyDescent="0.3">
      <c r="A71" s="158" t="s">
        <v>219</v>
      </c>
      <c r="B71" s="158"/>
      <c r="C71" s="156">
        <v>41</v>
      </c>
      <c r="D71" s="156"/>
      <c r="E71" s="59">
        <f ca="1">((100/I69)*C71)/100</f>
        <v>1</v>
      </c>
      <c r="F71" s="158">
        <f ca="1">(((C71/I69*5)+(C72/I69*20)+(25/(F69+H69+I69)*C73)+(5/(I69)*C74)+(2.5/(I69)*C75)+(2.5/(I69)*C76)+(5/I69*C77)+(10/I69*C78)+(2.5/I69*C79)+(2.5/I69*C80)+(10/I69*C81)+(10/I69*C82))/100)</f>
        <v>0.32927990708478511</v>
      </c>
      <c r="G71" s="158"/>
      <c r="H71" s="158" t="str">
        <f ca="1">J68</f>
        <v>Excavation work Completed. Plinth work completed, RCC upto 10 Slab, Brickwork upto 9 Floor, Internal Plaster upto 7.2 Floor, External Plaster upto 7.2 Floor Completed</v>
      </c>
      <c r="I71" s="158"/>
      <c r="J71" s="37" t="s">
        <v>164</v>
      </c>
      <c r="K71" s="39">
        <f ca="1">I69*50%</f>
        <v>20.5</v>
      </c>
    </row>
    <row r="72" spans="1:13" ht="20.25" x14ac:dyDescent="0.3">
      <c r="A72" s="158" t="s">
        <v>132</v>
      </c>
      <c r="B72" s="158"/>
      <c r="C72" s="159">
        <v>41</v>
      </c>
      <c r="D72" s="156"/>
      <c r="E72" s="59">
        <f ca="1">((100/I69)*C72)/100</f>
        <v>1</v>
      </c>
      <c r="F72" s="158"/>
      <c r="G72" s="158"/>
      <c r="H72" s="158"/>
      <c r="I72" s="158"/>
      <c r="J72" s="37" t="s">
        <v>165</v>
      </c>
      <c r="K72" s="39">
        <f ca="1">I69</f>
        <v>41</v>
      </c>
    </row>
    <row r="73" spans="1:13" ht="21" customHeight="1" x14ac:dyDescent="0.35">
      <c r="A73" s="158" t="s">
        <v>235</v>
      </c>
      <c r="B73" s="158"/>
      <c r="C73" s="156">
        <v>10</v>
      </c>
      <c r="D73" s="156"/>
      <c r="E73" s="59">
        <f ca="1">((100/(F69+H69+I69))*C73)/100</f>
        <v>0.23809523809523811</v>
      </c>
      <c r="F73" s="158"/>
      <c r="G73" s="158"/>
      <c r="H73" s="158"/>
      <c r="I73" s="158"/>
      <c r="J73" s="37" t="s">
        <v>166</v>
      </c>
      <c r="K73" s="40">
        <f ca="1">(IF(E69&gt;1,(I69/(E69+2)),I69/4))</f>
        <v>10.25</v>
      </c>
    </row>
    <row r="74" spans="1:13" ht="21" customHeight="1" x14ac:dyDescent="0.35">
      <c r="A74" s="158" t="s">
        <v>220</v>
      </c>
      <c r="B74" s="158"/>
      <c r="C74" s="156">
        <f>C73-1</f>
        <v>9</v>
      </c>
      <c r="D74" s="156"/>
      <c r="E74" s="59">
        <f ca="1">((100/I69)*C74)/100</f>
        <v>0.21951219512195119</v>
      </c>
      <c r="F74" s="158"/>
      <c r="G74" s="158"/>
      <c r="H74" s="158"/>
      <c r="I74" s="158"/>
      <c r="J74" s="37" t="s">
        <v>167</v>
      </c>
      <c r="K74" s="40">
        <f ca="1">(IF(E69&gt;1,(I69/(E69+2)+K73),I69/4+K73))</f>
        <v>20.5</v>
      </c>
    </row>
    <row r="75" spans="1:13" ht="21" customHeight="1" x14ac:dyDescent="0.35">
      <c r="A75" s="160" t="s">
        <v>221</v>
      </c>
      <c r="B75" s="161"/>
      <c r="C75" s="159">
        <f>C74*0.8</f>
        <v>7.2</v>
      </c>
      <c r="D75" s="159"/>
      <c r="E75" s="59">
        <f ca="1">((100/I69)*C75)/100</f>
        <v>0.17560975609756099</v>
      </c>
      <c r="F75" s="158"/>
      <c r="G75" s="158"/>
      <c r="H75" s="158"/>
      <c r="I75" s="158"/>
      <c r="J75" s="37" t="s">
        <v>222</v>
      </c>
      <c r="K75" s="40">
        <f>(IF(E69&gt;1,(I69/(E69+2)+K74),0))</f>
        <v>0</v>
      </c>
    </row>
    <row r="76" spans="1:13" ht="21" customHeight="1" x14ac:dyDescent="0.35">
      <c r="A76" s="160" t="s">
        <v>287</v>
      </c>
      <c r="B76" s="161"/>
      <c r="C76" s="159">
        <f>C75</f>
        <v>7.2</v>
      </c>
      <c r="D76" s="159"/>
      <c r="E76" s="59">
        <f ca="1">((100/I69)*C76)/100</f>
        <v>0.17560975609756099</v>
      </c>
      <c r="F76" s="158"/>
      <c r="G76" s="158"/>
      <c r="H76" s="158"/>
      <c r="I76" s="158"/>
      <c r="J76" s="37" t="s">
        <v>223</v>
      </c>
      <c r="K76" s="40">
        <f>(IF(E69&gt;2,(I69/(E69+2)+K75),0))</f>
        <v>0</v>
      </c>
    </row>
    <row r="77" spans="1:13" ht="57.75" customHeight="1" x14ac:dyDescent="0.35">
      <c r="A77" s="160" t="s">
        <v>288</v>
      </c>
      <c r="B77" s="161"/>
      <c r="C77" s="156">
        <v>0</v>
      </c>
      <c r="D77" s="156"/>
      <c r="E77" s="59">
        <f ca="1">((100/(I69))*C77)/100</f>
        <v>0</v>
      </c>
      <c r="F77" s="158"/>
      <c r="G77" s="158"/>
      <c r="H77" s="158"/>
      <c r="I77" s="158"/>
      <c r="J77" s="37" t="s">
        <v>225</v>
      </c>
      <c r="K77" s="41">
        <f>(IF(E69&gt;3,(I69/(E69+2)+K76),0))</f>
        <v>0</v>
      </c>
    </row>
    <row r="78" spans="1:13" ht="21" x14ac:dyDescent="0.35">
      <c r="A78" s="158" t="s">
        <v>224</v>
      </c>
      <c r="B78" s="158"/>
      <c r="C78" s="156">
        <v>0</v>
      </c>
      <c r="D78" s="156"/>
      <c r="E78" s="59">
        <f ca="1">((100/(I69))*C78)/100</f>
        <v>0</v>
      </c>
      <c r="F78" s="158"/>
      <c r="G78" s="158"/>
      <c r="H78" s="158"/>
      <c r="I78" s="158"/>
      <c r="J78" s="37" t="s">
        <v>226</v>
      </c>
      <c r="K78" s="40">
        <f>(IF(E69&gt;4,(I69/(E69+2)+K77),0))</f>
        <v>0</v>
      </c>
    </row>
    <row r="79" spans="1:13" ht="21" customHeight="1" x14ac:dyDescent="0.35">
      <c r="A79" s="158" t="s">
        <v>289</v>
      </c>
      <c r="B79" s="158"/>
      <c r="C79" s="156">
        <v>0</v>
      </c>
      <c r="D79" s="156"/>
      <c r="E79" s="59">
        <f ca="1">((100/I69)*C79)/100</f>
        <v>0</v>
      </c>
      <c r="F79" s="158"/>
      <c r="G79" s="158"/>
      <c r="H79" s="158"/>
      <c r="I79" s="158"/>
      <c r="J79" s="37" t="s">
        <v>168</v>
      </c>
      <c r="K79" s="40">
        <f ca="1">(IF(E69=1,(I69/(E69+3)+K74),IF(E69=0,(I69/4+K74),IF(E69&gt;1,0))))</f>
        <v>30.75</v>
      </c>
    </row>
    <row r="80" spans="1:13" ht="41.25" customHeight="1" thickBot="1" x14ac:dyDescent="0.4">
      <c r="A80" s="158" t="s">
        <v>290</v>
      </c>
      <c r="B80" s="158"/>
      <c r="C80" s="156">
        <v>0</v>
      </c>
      <c r="D80" s="156"/>
      <c r="E80" s="59">
        <f ca="1">((100/I69)*C80)/100</f>
        <v>0</v>
      </c>
      <c r="F80" s="158"/>
      <c r="G80" s="158"/>
      <c r="H80" s="158"/>
      <c r="I80" s="158"/>
      <c r="J80" s="42" t="s">
        <v>169</v>
      </c>
      <c r="K80" s="43">
        <f ca="1">(IF(E69&gt;1.5,(I69/(E69+2)+K73+MAX(0,K74-K73)+MAX(0,K75-K74)+MAX(0,K76-K75)+MAX(0,K77-K76)+MAX(0,K78-K77)),IF(E69=1,(I69/(E69+3)+K79),IF(E69=0,I69/4+K79))))</f>
        <v>41</v>
      </c>
      <c r="M80" s="9" t="e">
        <f>(IF(D68&gt;1.5,(H68/(D68+2)+J73+MAX(0,J74-J73)+MAX(0,J75-J74)+MAX(0,J76-J75)+MAX(0,J77-J76)+MAX(0,J78-J77)),IF(D68=1,(H68/(D68+3)+J78),IF(D68=0,H68*0.3+J78))))</f>
        <v>#VALUE!</v>
      </c>
    </row>
    <row r="81" spans="1:151 16227:16384" ht="20.25" x14ac:dyDescent="0.25">
      <c r="A81" s="158" t="s">
        <v>227</v>
      </c>
      <c r="B81" s="158"/>
      <c r="C81" s="156">
        <v>0</v>
      </c>
      <c r="D81" s="156"/>
      <c r="E81" s="59">
        <f ca="1">((100/(I69))*C81)/100</f>
        <v>0</v>
      </c>
      <c r="F81" s="158"/>
      <c r="G81" s="158"/>
      <c r="H81" s="158"/>
      <c r="I81" s="158"/>
    </row>
    <row r="82" spans="1:151 16227:16384" ht="20.25" x14ac:dyDescent="0.25">
      <c r="A82" s="158" t="s">
        <v>228</v>
      </c>
      <c r="B82" s="158"/>
      <c r="C82" s="156">
        <v>0</v>
      </c>
      <c r="D82" s="156"/>
      <c r="E82" s="59">
        <f ca="1">((100/(I69))*C82)/100</f>
        <v>0</v>
      </c>
      <c r="F82" s="158"/>
      <c r="G82" s="158"/>
      <c r="H82" s="158"/>
      <c r="I82" s="158"/>
    </row>
    <row r="83" spans="1:151 16227:16384" ht="42" customHeight="1" x14ac:dyDescent="0.25">
      <c r="A83" s="64" t="s">
        <v>285</v>
      </c>
      <c r="B83" s="65"/>
      <c r="C83" s="65"/>
      <c r="D83" s="65"/>
      <c r="E83" s="65"/>
      <c r="F83" s="65"/>
      <c r="G83" s="66"/>
      <c r="H83" s="64">
        <f ca="1">AVERAGE(F71,F55)</f>
        <v>0.42334103316452487</v>
      </c>
      <c r="I83" s="66"/>
    </row>
    <row r="84" spans="1:151 16227:16384" ht="20.25" x14ac:dyDescent="0.25">
      <c r="A84" s="80" t="s">
        <v>143</v>
      </c>
      <c r="B84" s="80"/>
      <c r="C84" s="80"/>
      <c r="D84" s="80"/>
      <c r="E84" s="80"/>
      <c r="F84" s="80"/>
      <c r="G84" s="80"/>
      <c r="H84" s="80"/>
      <c r="I84" s="80"/>
    </row>
    <row r="85" spans="1:151 16227:16384" ht="44.25" customHeight="1" x14ac:dyDescent="0.25">
      <c r="A85" s="81" t="s">
        <v>76</v>
      </c>
      <c r="B85" s="81"/>
      <c r="C85" s="81"/>
      <c r="D85" s="29" t="s">
        <v>4</v>
      </c>
      <c r="E85" s="20" t="s">
        <v>150</v>
      </c>
      <c r="F85" s="25" t="s">
        <v>154</v>
      </c>
      <c r="G85" s="15" t="s">
        <v>4</v>
      </c>
      <c r="H85" s="82" t="s">
        <v>187</v>
      </c>
      <c r="I85" s="82"/>
      <c r="K85" s="62" t="s">
        <v>295</v>
      </c>
    </row>
    <row r="86" spans="1:151 16227:16384" ht="40.5" x14ac:dyDescent="0.25">
      <c r="A86" s="81" t="s">
        <v>192</v>
      </c>
      <c r="B86" s="81"/>
      <c r="C86" s="81"/>
      <c r="D86" s="19" t="s">
        <v>4</v>
      </c>
      <c r="E86" s="20" t="s">
        <v>296</v>
      </c>
      <c r="F86" s="25" t="s">
        <v>193</v>
      </c>
      <c r="G86" s="8" t="s">
        <v>4</v>
      </c>
      <c r="H86" s="82" t="s">
        <v>188</v>
      </c>
      <c r="I86" s="82"/>
      <c r="K86" s="44" t="s">
        <v>236</v>
      </c>
      <c r="L86" s="44" t="s">
        <v>238</v>
      </c>
      <c r="M86" s="45">
        <v>44928</v>
      </c>
      <c r="N86" s="44" t="s">
        <v>237</v>
      </c>
    </row>
    <row r="87" spans="1:151 16227:16384" ht="21.75" customHeight="1" x14ac:dyDescent="0.25">
      <c r="A87" s="91" t="s">
        <v>77</v>
      </c>
      <c r="B87" s="91"/>
      <c r="C87" s="91"/>
      <c r="D87" s="29" t="s">
        <v>4</v>
      </c>
      <c r="E87" s="20" t="s">
        <v>151</v>
      </c>
      <c r="F87" s="25" t="s">
        <v>78</v>
      </c>
      <c r="G87" s="8" t="s">
        <v>4</v>
      </c>
      <c r="H87" s="82" t="s">
        <v>155</v>
      </c>
      <c r="I87" s="82"/>
    </row>
    <row r="88" spans="1:151 16227:16384" ht="20.25" x14ac:dyDescent="0.25">
      <c r="A88" s="95" t="s">
        <v>144</v>
      </c>
      <c r="B88" s="96"/>
      <c r="C88" s="96"/>
      <c r="D88" s="96"/>
      <c r="E88" s="96"/>
      <c r="F88" s="96"/>
      <c r="G88" s="96"/>
      <c r="H88" s="96"/>
      <c r="I88" s="97"/>
    </row>
    <row r="89" spans="1:151 16227:16384" ht="20.25" x14ac:dyDescent="0.25">
      <c r="A89" s="83" t="s">
        <v>9</v>
      </c>
      <c r="B89" s="84"/>
      <c r="C89" s="84"/>
      <c r="D89" s="84"/>
      <c r="E89" s="84"/>
      <c r="F89" s="85"/>
      <c r="G89" s="19" t="s">
        <v>4</v>
      </c>
      <c r="H89" s="98">
        <v>410.63</v>
      </c>
      <c r="I89" s="99"/>
    </row>
    <row r="90" spans="1:151 16227:16384" ht="20.25" x14ac:dyDescent="0.25">
      <c r="A90" s="83" t="s">
        <v>152</v>
      </c>
      <c r="B90" s="84"/>
      <c r="C90" s="84"/>
      <c r="D90" s="84"/>
      <c r="E90" s="84"/>
      <c r="F90" s="85"/>
      <c r="G90" s="19" t="s">
        <v>4</v>
      </c>
      <c r="H90" s="86">
        <v>4580.08</v>
      </c>
      <c r="I90" s="86"/>
    </row>
    <row r="91" spans="1:151 16227:16384" ht="20.25" x14ac:dyDescent="0.25">
      <c r="A91" s="83" t="s">
        <v>145</v>
      </c>
      <c r="B91" s="84"/>
      <c r="C91" s="84"/>
      <c r="D91" s="84"/>
      <c r="E91" s="84"/>
      <c r="F91" s="85"/>
      <c r="G91" s="19" t="s">
        <v>4</v>
      </c>
      <c r="H91" s="86">
        <v>6400</v>
      </c>
      <c r="I91" s="86"/>
    </row>
    <row r="92" spans="1:151 16227:16384" ht="20.25" x14ac:dyDescent="0.25">
      <c r="A92" s="92" t="s">
        <v>82</v>
      </c>
      <c r="B92" s="93"/>
      <c r="C92" s="93"/>
      <c r="D92" s="93"/>
      <c r="E92" s="93"/>
      <c r="F92" s="93"/>
      <c r="G92" s="93"/>
      <c r="H92" s="93"/>
      <c r="I92" s="94"/>
    </row>
    <row r="93" spans="1:151 16227:16384" s="50" customFormat="1" ht="40.5" x14ac:dyDescent="0.25">
      <c r="A93" s="100" t="s">
        <v>257</v>
      </c>
      <c r="B93" s="101"/>
      <c r="C93" s="100" t="s">
        <v>258</v>
      </c>
      <c r="D93" s="101"/>
      <c r="E93" s="49" t="s">
        <v>259</v>
      </c>
      <c r="F93" s="100" t="s">
        <v>260</v>
      </c>
      <c r="G93" s="101"/>
      <c r="H93" s="49" t="s">
        <v>261</v>
      </c>
      <c r="I93" s="49" t="s">
        <v>262</v>
      </c>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9"/>
      <c r="DX93" s="9"/>
      <c r="DY93" s="9"/>
      <c r="DZ93" s="9"/>
      <c r="EA93" s="9"/>
      <c r="EB93" s="9"/>
      <c r="EC93" s="9"/>
      <c r="ED93" s="9"/>
      <c r="EE93" s="9"/>
      <c r="EF93" s="9"/>
      <c r="EG93" s="9"/>
      <c r="EH93" s="9"/>
      <c r="EI93" s="9"/>
      <c r="EJ93" s="9"/>
      <c r="EK93" s="9"/>
      <c r="EL93" s="9"/>
      <c r="EM93" s="9"/>
      <c r="EN93" s="9"/>
      <c r="EO93" s="9"/>
      <c r="EP93" s="9"/>
      <c r="EQ93" s="9"/>
      <c r="ER93" s="9"/>
      <c r="ES93" s="9"/>
      <c r="ET93" s="9"/>
      <c r="EU93" s="9"/>
      <c r="WZC93" s="9"/>
      <c r="WZD93" s="9"/>
      <c r="WZE93" s="9"/>
      <c r="WZF93" s="9"/>
      <c r="WZG93" s="9"/>
      <c r="WZH93" s="9"/>
      <c r="WZI93" s="9"/>
      <c r="WZJ93" s="9"/>
      <c r="WZK93" s="9"/>
      <c r="WZL93" s="9"/>
      <c r="WZM93" s="9"/>
      <c r="WZN93" s="9"/>
      <c r="WZO93" s="9"/>
      <c r="WZP93" s="9"/>
      <c r="WZQ93" s="9"/>
      <c r="WZR93" s="9"/>
      <c r="WZS93" s="9"/>
      <c r="WZT93" s="9"/>
      <c r="WZU93" s="9"/>
      <c r="WZV93" s="9"/>
      <c r="WZW93" s="9"/>
      <c r="WZX93" s="9"/>
      <c r="WZY93" s="9"/>
      <c r="WZZ93" s="9"/>
      <c r="XAA93" s="9"/>
      <c r="XAB93" s="9"/>
      <c r="XAC93" s="9"/>
      <c r="XAD93" s="9"/>
      <c r="XAE93" s="9"/>
      <c r="XAF93" s="9"/>
      <c r="XAG93" s="9"/>
      <c r="XAH93" s="9"/>
      <c r="XAI93" s="9"/>
      <c r="XAJ93" s="9"/>
      <c r="XAK93" s="9"/>
      <c r="XAL93" s="9"/>
      <c r="XAM93" s="9"/>
      <c r="XAN93" s="9"/>
      <c r="XAO93" s="9"/>
      <c r="XAP93" s="9"/>
      <c r="XAQ93" s="9"/>
      <c r="XAR93" s="9"/>
      <c r="XAS93" s="9"/>
      <c r="XAT93" s="9"/>
      <c r="XAU93" s="9"/>
      <c r="XAV93" s="9"/>
      <c r="XAW93" s="9"/>
      <c r="XAX93" s="9"/>
      <c r="XAY93" s="9"/>
      <c r="XAZ93" s="9"/>
      <c r="XBA93" s="9"/>
      <c r="XBB93" s="9"/>
      <c r="XBC93" s="9"/>
      <c r="XBD93" s="9"/>
      <c r="XBE93" s="9"/>
      <c r="XBF93" s="9"/>
      <c r="XBG93" s="9"/>
      <c r="XBH93" s="9"/>
      <c r="XBI93" s="9"/>
      <c r="XBJ93" s="9"/>
      <c r="XBK93" s="9"/>
      <c r="XBL93" s="9"/>
      <c r="XBM93" s="9"/>
      <c r="XBN93" s="9"/>
      <c r="XBO93" s="9"/>
      <c r="XBP93" s="9"/>
      <c r="XBQ93" s="9"/>
      <c r="XBR93" s="9"/>
      <c r="XBS93" s="9"/>
      <c r="XBT93" s="9"/>
      <c r="XBU93" s="9"/>
      <c r="XBV93" s="9"/>
      <c r="XBW93" s="9"/>
      <c r="XBX93" s="9"/>
      <c r="XBY93" s="9"/>
      <c r="XBZ93" s="9"/>
      <c r="XCA93" s="9"/>
      <c r="XCB93" s="9"/>
      <c r="XCC93" s="9"/>
      <c r="XCD93" s="9"/>
      <c r="XCE93" s="9"/>
      <c r="XCF93" s="9"/>
      <c r="XCG93" s="9"/>
      <c r="XCH93" s="9"/>
      <c r="XCI93" s="9"/>
      <c r="XCJ93" s="9"/>
      <c r="XCK93" s="9"/>
      <c r="XCL93" s="9"/>
      <c r="XCM93" s="9"/>
      <c r="XCN93" s="9"/>
      <c r="XCO93" s="9"/>
      <c r="XCP93" s="9"/>
      <c r="XCQ93" s="9"/>
      <c r="XCR93" s="9"/>
      <c r="XCS93" s="9"/>
      <c r="XCT93" s="9"/>
      <c r="XCU93" s="9"/>
      <c r="XCV93" s="9"/>
      <c r="XCW93" s="9"/>
      <c r="XCX93" s="9"/>
      <c r="XCY93" s="9"/>
      <c r="XCZ93" s="9"/>
      <c r="XDA93" s="9"/>
      <c r="XDB93" s="9"/>
      <c r="XDC93" s="9"/>
      <c r="XDD93" s="9"/>
      <c r="XDE93" s="9"/>
      <c r="XDF93" s="9"/>
      <c r="XDG93" s="9"/>
      <c r="XDH93" s="9"/>
      <c r="XDI93" s="9"/>
      <c r="XDJ93" s="9"/>
      <c r="XDK93" s="9"/>
      <c r="XDL93" s="9"/>
      <c r="XDM93" s="9"/>
      <c r="XDN93" s="9"/>
      <c r="XDO93" s="9"/>
      <c r="XDP93" s="9"/>
      <c r="XDQ93" s="9"/>
      <c r="XDR93" s="9"/>
      <c r="XDS93" s="9"/>
      <c r="XDT93" s="9"/>
      <c r="XDU93" s="9"/>
      <c r="XDV93" s="9"/>
      <c r="XDW93" s="9"/>
      <c r="XDX93" s="9"/>
      <c r="XDY93" s="9"/>
      <c r="XDZ93" s="9"/>
      <c r="XEA93" s="9"/>
      <c r="XEB93" s="9"/>
      <c r="XEC93" s="9"/>
      <c r="XED93" s="9"/>
      <c r="XEE93" s="9"/>
      <c r="XEF93" s="9"/>
      <c r="XEG93" s="9"/>
      <c r="XEH93" s="9"/>
      <c r="XEI93" s="9"/>
      <c r="XEJ93" s="9"/>
      <c r="XEK93" s="9"/>
      <c r="XEL93" s="9"/>
      <c r="XEM93" s="9"/>
      <c r="XEN93" s="9"/>
      <c r="XEO93" s="9"/>
      <c r="XEP93" s="9"/>
      <c r="XEQ93" s="9"/>
      <c r="XER93" s="9"/>
      <c r="XES93" s="9"/>
      <c r="XET93" s="9"/>
      <c r="XEU93" s="9"/>
      <c r="XEV93" s="9"/>
      <c r="XEW93" s="9"/>
      <c r="XEX93" s="9"/>
      <c r="XEY93" s="9"/>
      <c r="XEZ93" s="9"/>
      <c r="XFA93" s="9"/>
      <c r="XFB93" s="9"/>
      <c r="XFC93" s="9"/>
      <c r="XFD93" s="9"/>
    </row>
    <row r="94" spans="1:151 16227:16384" s="50" customFormat="1" ht="20.25" x14ac:dyDescent="0.25">
      <c r="A94" s="76" t="s">
        <v>266</v>
      </c>
      <c r="B94" s="78"/>
      <c r="C94" s="76" t="s">
        <v>107</v>
      </c>
      <c r="D94" s="78"/>
      <c r="E94" s="51" t="s">
        <v>263</v>
      </c>
      <c r="F94" s="76">
        <f>COUNT(F106)+COUNT(F108:G110)+COUNT(F112:G119)+COUNT(F121:G128)+COUNT(F130:G137)+COUNT(F139:G146)*19+COUNT(F148:G155)*14</f>
        <v>292</v>
      </c>
      <c r="G94" s="78"/>
      <c r="H94" s="51">
        <f>SUM(F106)+SUM(F108:G110)+SUM(F112:G119)+SUM(F121:G128)+SUM(F130:G137)+SUM(F139:G146)*19+SUM(F148:G155)*14</f>
        <v>252219.76387919992</v>
      </c>
      <c r="I94" s="51">
        <f>SUM(I106)+SUM(I108:I110)+SUM(I112:I119)+SUM(I121:I128)+SUM(I130:I137)+SUM(I139:I146)*19+SUM(I148:I155)*14</f>
        <v>403551.62220671994</v>
      </c>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c r="DI94" s="9"/>
      <c r="DJ94" s="9"/>
      <c r="DK94" s="9"/>
      <c r="DL94" s="9"/>
      <c r="DM94" s="9"/>
      <c r="DN94" s="9"/>
      <c r="DO94" s="9"/>
      <c r="DP94" s="9"/>
      <c r="DQ94" s="9"/>
      <c r="DR94" s="9"/>
      <c r="DS94" s="9"/>
      <c r="DT94" s="9"/>
      <c r="DU94" s="9"/>
      <c r="DV94" s="9"/>
      <c r="DW94" s="9"/>
      <c r="DX94" s="9"/>
      <c r="DY94" s="9"/>
      <c r="DZ94" s="9"/>
      <c r="EA94" s="9"/>
      <c r="EB94" s="9"/>
      <c r="EC94" s="9"/>
      <c r="ED94" s="9"/>
      <c r="EE94" s="9"/>
      <c r="EF94" s="9"/>
      <c r="EG94" s="9"/>
      <c r="EH94" s="9"/>
      <c r="EI94" s="9"/>
      <c r="EJ94" s="9"/>
      <c r="EK94" s="9"/>
      <c r="EL94" s="9"/>
      <c r="EM94" s="9"/>
      <c r="EN94" s="9"/>
      <c r="EO94" s="9"/>
      <c r="EP94" s="9"/>
      <c r="EQ94" s="9"/>
      <c r="ER94" s="9"/>
      <c r="ES94" s="9"/>
      <c r="ET94" s="9"/>
      <c r="EU94" s="9"/>
      <c r="WZC94" s="9"/>
      <c r="WZD94" s="9"/>
      <c r="WZE94" s="9"/>
      <c r="WZF94" s="9"/>
      <c r="WZG94" s="9"/>
      <c r="WZH94" s="9"/>
      <c r="WZI94" s="9"/>
      <c r="WZJ94" s="9"/>
      <c r="WZK94" s="9"/>
      <c r="WZL94" s="9"/>
      <c r="WZM94" s="9"/>
      <c r="WZN94" s="9"/>
      <c r="WZO94" s="9"/>
      <c r="WZP94" s="9"/>
      <c r="WZQ94" s="9"/>
      <c r="WZR94" s="9"/>
      <c r="WZS94" s="9"/>
      <c r="WZT94" s="9"/>
      <c r="WZU94" s="9"/>
      <c r="WZV94" s="9"/>
      <c r="WZW94" s="9"/>
      <c r="WZX94" s="9"/>
      <c r="WZY94" s="9"/>
      <c r="WZZ94" s="9"/>
      <c r="XAA94" s="9"/>
      <c r="XAB94" s="9"/>
      <c r="XAC94" s="9"/>
      <c r="XAD94" s="9"/>
      <c r="XAE94" s="9"/>
      <c r="XAF94" s="9"/>
      <c r="XAG94" s="9"/>
      <c r="XAH94" s="9"/>
      <c r="XAI94" s="9"/>
      <c r="XAJ94" s="9"/>
      <c r="XAK94" s="9"/>
      <c r="XAL94" s="9"/>
      <c r="XAM94" s="9"/>
      <c r="XAN94" s="9"/>
      <c r="XAO94" s="9"/>
      <c r="XAP94" s="9"/>
      <c r="XAQ94" s="9"/>
      <c r="XAR94" s="9"/>
      <c r="XAS94" s="9"/>
      <c r="XAT94" s="9"/>
      <c r="XAU94" s="9"/>
      <c r="XAV94" s="9"/>
      <c r="XAW94" s="9"/>
      <c r="XAX94" s="9"/>
      <c r="XAY94" s="9"/>
      <c r="XAZ94" s="9"/>
      <c r="XBA94" s="9"/>
      <c r="XBB94" s="9"/>
      <c r="XBC94" s="9"/>
      <c r="XBD94" s="9"/>
      <c r="XBE94" s="9"/>
      <c r="XBF94" s="9"/>
      <c r="XBG94" s="9"/>
      <c r="XBH94" s="9"/>
      <c r="XBI94" s="9"/>
      <c r="XBJ94" s="9"/>
      <c r="XBK94" s="9"/>
      <c r="XBL94" s="9"/>
      <c r="XBM94" s="9"/>
      <c r="XBN94" s="9"/>
      <c r="XBO94" s="9"/>
      <c r="XBP94" s="9"/>
      <c r="XBQ94" s="9"/>
      <c r="XBR94" s="9"/>
      <c r="XBS94" s="9"/>
      <c r="XBT94" s="9"/>
      <c r="XBU94" s="9"/>
      <c r="XBV94" s="9"/>
      <c r="XBW94" s="9"/>
      <c r="XBX94" s="9"/>
      <c r="XBY94" s="9"/>
      <c r="XBZ94" s="9"/>
      <c r="XCA94" s="9"/>
      <c r="XCB94" s="9"/>
      <c r="XCC94" s="9"/>
      <c r="XCD94" s="9"/>
      <c r="XCE94" s="9"/>
      <c r="XCF94" s="9"/>
      <c r="XCG94" s="9"/>
      <c r="XCH94" s="9"/>
      <c r="XCI94" s="9"/>
      <c r="XCJ94" s="9"/>
      <c r="XCK94" s="9"/>
      <c r="XCL94" s="9"/>
      <c r="XCM94" s="9"/>
      <c r="XCN94" s="9"/>
      <c r="XCO94" s="9"/>
      <c r="XCP94" s="9"/>
      <c r="XCQ94" s="9"/>
      <c r="XCR94" s="9"/>
      <c r="XCS94" s="9"/>
      <c r="XCT94" s="9"/>
      <c r="XCU94" s="9"/>
      <c r="XCV94" s="9"/>
      <c r="XCW94" s="9"/>
      <c r="XCX94" s="9"/>
      <c r="XCY94" s="9"/>
      <c r="XCZ94" s="9"/>
      <c r="XDA94" s="9"/>
      <c r="XDB94" s="9"/>
      <c r="XDC94" s="9"/>
      <c r="XDD94" s="9"/>
      <c r="XDE94" s="9"/>
      <c r="XDF94" s="9"/>
      <c r="XDG94" s="9"/>
      <c r="XDH94" s="9"/>
      <c r="XDI94" s="9"/>
      <c r="XDJ94" s="9"/>
      <c r="XDK94" s="9"/>
      <c r="XDL94" s="9"/>
      <c r="XDM94" s="9"/>
      <c r="XDN94" s="9"/>
      <c r="XDO94" s="9"/>
      <c r="XDP94" s="9"/>
      <c r="XDQ94" s="9"/>
      <c r="XDR94" s="9"/>
      <c r="XDS94" s="9"/>
      <c r="XDT94" s="9"/>
      <c r="XDU94" s="9"/>
      <c r="XDV94" s="9"/>
      <c r="XDW94" s="9"/>
      <c r="XDX94" s="9"/>
      <c r="XDY94" s="9"/>
      <c r="XDZ94" s="9"/>
      <c r="XEA94" s="9"/>
      <c r="XEB94" s="9"/>
      <c r="XEC94" s="9"/>
      <c r="XED94" s="9"/>
      <c r="XEE94" s="9"/>
      <c r="XEF94" s="9"/>
      <c r="XEG94" s="9"/>
      <c r="XEH94" s="9"/>
      <c r="XEI94" s="9"/>
      <c r="XEJ94" s="9"/>
      <c r="XEK94" s="9"/>
      <c r="XEL94" s="9"/>
      <c r="XEM94" s="9"/>
      <c r="XEN94" s="9"/>
      <c r="XEO94" s="9"/>
      <c r="XEP94" s="9"/>
      <c r="XEQ94" s="9"/>
      <c r="XER94" s="9"/>
      <c r="XES94" s="9"/>
      <c r="XET94" s="9"/>
      <c r="XEU94" s="9"/>
      <c r="XEV94" s="9"/>
      <c r="XEW94" s="9"/>
      <c r="XEX94" s="9"/>
      <c r="XEY94" s="9"/>
      <c r="XEZ94" s="9"/>
      <c r="XFA94" s="9"/>
      <c r="XFB94" s="9"/>
      <c r="XFC94" s="9"/>
      <c r="XFD94" s="9"/>
    </row>
    <row r="95" spans="1:151 16227:16384" s="50" customFormat="1" ht="20.25" x14ac:dyDescent="0.25">
      <c r="A95" s="76" t="s">
        <v>212</v>
      </c>
      <c r="B95" s="78"/>
      <c r="C95" s="76" t="s">
        <v>107</v>
      </c>
      <c r="D95" s="78"/>
      <c r="E95" s="51" t="s">
        <v>263</v>
      </c>
      <c r="F95" s="76">
        <f>COUNT(F159)+COUNT(F161:G164)+COUNT(F167:G170)+COUNT(F173:G176)+COUNT(F179:G182)+COUNT(F185:G190)+COUNT(F192:G197)+COUNT(F199:G206)+COUNT(F208:G215)+COUNT(F217:G224)*26+COUNT(F226:G227,F229:G233)*6</f>
        <v>295</v>
      </c>
      <c r="G95" s="78"/>
      <c r="H95" s="51">
        <f>SUM(F159)+SUM(F161:G164)+SUM(F167:G170)+SUM(F173:G176)+SUM(F179:G182)+SUM(F185:G190)+SUM(F192:G197)+SUM(F199:G206)+SUM(F208:G215)+SUM(F217:G224)*26+SUM(F226:G227,F229:G233)*6</f>
        <v>169115.47520399996</v>
      </c>
      <c r="I95" s="51">
        <f>SUM(I159)+SUM(I161:I164)+SUM(I167:I170)+SUM(I173:I176)+SUM(I179:I182)+SUM(I185:I190)+SUM(I192:I197)+SUM(I199:I206)+SUM(I208:I215)+SUM(I217:I224)*26+SUM(I226:I227,I229:I233)*6</f>
        <v>270584.76032639993</v>
      </c>
      <c r="J95" s="9"/>
      <c r="K95" s="9"/>
      <c r="L95" s="9"/>
      <c r="M95" s="9"/>
      <c r="N95" s="9">
        <f>7+27+6</f>
        <v>40</v>
      </c>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c r="CZ95" s="9"/>
      <c r="DA95" s="9"/>
      <c r="DB95" s="9"/>
      <c r="DC95" s="9"/>
      <c r="DD95" s="9"/>
      <c r="DE95" s="9"/>
      <c r="DF95" s="9"/>
      <c r="DG95" s="9"/>
      <c r="DH95" s="9"/>
      <c r="DI95" s="9"/>
      <c r="DJ95" s="9"/>
      <c r="DK95" s="9"/>
      <c r="DL95" s="9"/>
      <c r="DM95" s="9"/>
      <c r="DN95" s="9"/>
      <c r="DO95" s="9"/>
      <c r="DP95" s="9"/>
      <c r="DQ95" s="9"/>
      <c r="DR95" s="9"/>
      <c r="DS95" s="9"/>
      <c r="DT95" s="9"/>
      <c r="DU95" s="9"/>
      <c r="DV95" s="9"/>
      <c r="DW95" s="9"/>
      <c r="DX95" s="9"/>
      <c r="DY95" s="9"/>
      <c r="DZ95" s="9"/>
      <c r="EA95" s="9"/>
      <c r="EB95" s="9"/>
      <c r="EC95" s="9"/>
      <c r="ED95" s="9"/>
      <c r="EE95" s="9"/>
      <c r="EF95" s="9"/>
      <c r="EG95" s="9"/>
      <c r="EH95" s="9"/>
      <c r="EI95" s="9"/>
      <c r="EJ95" s="9"/>
      <c r="EK95" s="9"/>
      <c r="EL95" s="9"/>
      <c r="EM95" s="9"/>
      <c r="EN95" s="9"/>
      <c r="EO95" s="9"/>
      <c r="EP95" s="9"/>
      <c r="EQ95" s="9"/>
      <c r="ER95" s="9"/>
      <c r="ES95" s="9"/>
      <c r="ET95" s="9"/>
      <c r="EU95" s="9"/>
      <c r="WZC95" s="9"/>
      <c r="WZD95" s="9"/>
      <c r="WZE95" s="9"/>
      <c r="WZF95" s="9"/>
      <c r="WZG95" s="9"/>
      <c r="WZH95" s="9"/>
      <c r="WZI95" s="9"/>
      <c r="WZJ95" s="9"/>
      <c r="WZK95" s="9"/>
      <c r="WZL95" s="9"/>
      <c r="WZM95" s="9"/>
      <c r="WZN95" s="9"/>
      <c r="WZO95" s="9"/>
      <c r="WZP95" s="9"/>
      <c r="WZQ95" s="9"/>
      <c r="WZR95" s="9"/>
      <c r="WZS95" s="9"/>
      <c r="WZT95" s="9"/>
      <c r="WZU95" s="9"/>
      <c r="WZV95" s="9"/>
      <c r="WZW95" s="9"/>
      <c r="WZX95" s="9"/>
      <c r="WZY95" s="9"/>
      <c r="WZZ95" s="9"/>
      <c r="XAA95" s="9"/>
      <c r="XAB95" s="9"/>
      <c r="XAC95" s="9"/>
      <c r="XAD95" s="9"/>
      <c r="XAE95" s="9"/>
      <c r="XAF95" s="9"/>
      <c r="XAG95" s="9"/>
      <c r="XAH95" s="9"/>
      <c r="XAI95" s="9"/>
      <c r="XAJ95" s="9"/>
      <c r="XAK95" s="9"/>
      <c r="XAL95" s="9"/>
      <c r="XAM95" s="9"/>
      <c r="XAN95" s="9"/>
      <c r="XAO95" s="9"/>
      <c r="XAP95" s="9"/>
      <c r="XAQ95" s="9"/>
      <c r="XAR95" s="9"/>
      <c r="XAS95" s="9"/>
      <c r="XAT95" s="9"/>
      <c r="XAU95" s="9"/>
      <c r="XAV95" s="9"/>
      <c r="XAW95" s="9"/>
      <c r="XAX95" s="9"/>
      <c r="XAY95" s="9"/>
      <c r="XAZ95" s="9"/>
      <c r="XBA95" s="9"/>
      <c r="XBB95" s="9"/>
      <c r="XBC95" s="9"/>
      <c r="XBD95" s="9"/>
      <c r="XBE95" s="9"/>
      <c r="XBF95" s="9"/>
      <c r="XBG95" s="9"/>
      <c r="XBH95" s="9"/>
      <c r="XBI95" s="9"/>
      <c r="XBJ95" s="9"/>
      <c r="XBK95" s="9"/>
      <c r="XBL95" s="9"/>
      <c r="XBM95" s="9"/>
      <c r="XBN95" s="9"/>
      <c r="XBO95" s="9"/>
      <c r="XBP95" s="9"/>
      <c r="XBQ95" s="9"/>
      <c r="XBR95" s="9"/>
      <c r="XBS95" s="9"/>
      <c r="XBT95" s="9"/>
      <c r="XBU95" s="9"/>
      <c r="XBV95" s="9"/>
      <c r="XBW95" s="9"/>
      <c r="XBX95" s="9"/>
      <c r="XBY95" s="9"/>
      <c r="XBZ95" s="9"/>
      <c r="XCA95" s="9"/>
      <c r="XCB95" s="9"/>
      <c r="XCC95" s="9"/>
      <c r="XCD95" s="9"/>
      <c r="XCE95" s="9"/>
      <c r="XCF95" s="9"/>
      <c r="XCG95" s="9"/>
      <c r="XCH95" s="9"/>
      <c r="XCI95" s="9"/>
      <c r="XCJ95" s="9"/>
      <c r="XCK95" s="9"/>
      <c r="XCL95" s="9"/>
      <c r="XCM95" s="9"/>
      <c r="XCN95" s="9"/>
      <c r="XCO95" s="9"/>
      <c r="XCP95" s="9"/>
      <c r="XCQ95" s="9"/>
      <c r="XCR95" s="9"/>
      <c r="XCS95" s="9"/>
      <c r="XCT95" s="9"/>
      <c r="XCU95" s="9"/>
      <c r="XCV95" s="9"/>
      <c r="XCW95" s="9"/>
      <c r="XCX95" s="9"/>
      <c r="XCY95" s="9"/>
      <c r="XCZ95" s="9"/>
      <c r="XDA95" s="9"/>
      <c r="XDB95" s="9"/>
      <c r="XDC95" s="9"/>
      <c r="XDD95" s="9"/>
      <c r="XDE95" s="9"/>
      <c r="XDF95" s="9"/>
      <c r="XDG95" s="9"/>
      <c r="XDH95" s="9"/>
      <c r="XDI95" s="9"/>
      <c r="XDJ95" s="9"/>
      <c r="XDK95" s="9"/>
      <c r="XDL95" s="9"/>
      <c r="XDM95" s="9"/>
      <c r="XDN95" s="9"/>
      <c r="XDO95" s="9"/>
      <c r="XDP95" s="9"/>
      <c r="XDQ95" s="9"/>
      <c r="XDR95" s="9"/>
      <c r="XDS95" s="9"/>
      <c r="XDT95" s="9"/>
      <c r="XDU95" s="9"/>
      <c r="XDV95" s="9"/>
      <c r="XDW95" s="9"/>
      <c r="XDX95" s="9"/>
      <c r="XDY95" s="9"/>
      <c r="XDZ95" s="9"/>
      <c r="XEA95" s="9"/>
      <c r="XEB95" s="9"/>
      <c r="XEC95" s="9"/>
      <c r="XED95" s="9"/>
      <c r="XEE95" s="9"/>
      <c r="XEF95" s="9"/>
      <c r="XEG95" s="9"/>
      <c r="XEH95" s="9"/>
      <c r="XEI95" s="9"/>
      <c r="XEJ95" s="9"/>
      <c r="XEK95" s="9"/>
      <c r="XEL95" s="9"/>
      <c r="XEM95" s="9"/>
      <c r="XEN95" s="9"/>
      <c r="XEO95" s="9"/>
      <c r="XEP95" s="9"/>
      <c r="XEQ95" s="9"/>
      <c r="XER95" s="9"/>
      <c r="XES95" s="9"/>
      <c r="XET95" s="9"/>
      <c r="XEU95" s="9"/>
      <c r="XEV95" s="9"/>
      <c r="XEW95" s="9"/>
      <c r="XEX95" s="9"/>
      <c r="XEY95" s="9"/>
      <c r="XEZ95" s="9"/>
      <c r="XFA95" s="9"/>
      <c r="XFB95" s="9"/>
      <c r="XFC95" s="9"/>
      <c r="XFD95" s="9"/>
    </row>
    <row r="96" spans="1:151 16227:16384" s="50" customFormat="1" ht="20.25" x14ac:dyDescent="0.25">
      <c r="A96" s="100" t="s">
        <v>264</v>
      </c>
      <c r="B96" s="101"/>
      <c r="C96" s="100" t="s">
        <v>98</v>
      </c>
      <c r="D96" s="101"/>
      <c r="E96" s="49" t="s">
        <v>98</v>
      </c>
      <c r="F96" s="100">
        <f>SUM(F94:F95)</f>
        <v>587</v>
      </c>
      <c r="G96" s="101"/>
      <c r="H96" s="49">
        <f>SUM(H94:H95)</f>
        <v>421335.23908319988</v>
      </c>
      <c r="I96" s="49">
        <f>SUM(I94:I95)</f>
        <v>674136.38253311988</v>
      </c>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c r="CZ96" s="9"/>
      <c r="DA96" s="9"/>
      <c r="DB96" s="9"/>
      <c r="DC96" s="9"/>
      <c r="DD96" s="9"/>
      <c r="DE96" s="9"/>
      <c r="DF96" s="9"/>
      <c r="DG96" s="9"/>
      <c r="DH96" s="9"/>
      <c r="DI96" s="9"/>
      <c r="DJ96" s="9"/>
      <c r="DK96" s="9"/>
      <c r="DL96" s="9"/>
      <c r="DM96" s="9"/>
      <c r="DN96" s="9"/>
      <c r="DO96" s="9"/>
      <c r="DP96" s="9"/>
      <c r="DQ96" s="9"/>
      <c r="DR96" s="9"/>
      <c r="DS96" s="9"/>
      <c r="DT96" s="9"/>
      <c r="DU96" s="9"/>
      <c r="DV96" s="9"/>
      <c r="DW96" s="9"/>
      <c r="DX96" s="9"/>
      <c r="DY96" s="9"/>
      <c r="DZ96" s="9"/>
      <c r="EA96" s="9"/>
      <c r="EB96" s="9"/>
      <c r="EC96" s="9"/>
      <c r="ED96" s="9"/>
      <c r="EE96" s="9"/>
      <c r="EF96" s="9"/>
      <c r="EG96" s="9"/>
      <c r="EH96" s="9"/>
      <c r="EI96" s="9"/>
      <c r="EJ96" s="9"/>
      <c r="EK96" s="9"/>
      <c r="EL96" s="9"/>
      <c r="EM96" s="9"/>
      <c r="EN96" s="9"/>
      <c r="EO96" s="9"/>
      <c r="EP96" s="9"/>
      <c r="EQ96" s="9"/>
      <c r="ER96" s="9"/>
      <c r="ES96" s="9"/>
      <c r="ET96" s="9"/>
      <c r="EU96" s="9"/>
      <c r="WZC96" s="9"/>
      <c r="WZD96" s="9"/>
      <c r="WZE96" s="9"/>
      <c r="WZF96" s="9"/>
      <c r="WZG96" s="9"/>
      <c r="WZH96" s="9"/>
      <c r="WZI96" s="9"/>
      <c r="WZJ96" s="9"/>
      <c r="WZK96" s="9"/>
      <c r="WZL96" s="9"/>
      <c r="WZM96" s="9"/>
      <c r="WZN96" s="9"/>
      <c r="WZO96" s="9"/>
      <c r="WZP96" s="9"/>
      <c r="WZQ96" s="9"/>
      <c r="WZR96" s="9"/>
      <c r="WZS96" s="9"/>
      <c r="WZT96" s="9"/>
      <c r="WZU96" s="9"/>
      <c r="WZV96" s="9"/>
      <c r="WZW96" s="9"/>
      <c r="WZX96" s="9"/>
      <c r="WZY96" s="9"/>
      <c r="WZZ96" s="9"/>
      <c r="XAA96" s="9"/>
      <c r="XAB96" s="9"/>
      <c r="XAC96" s="9"/>
      <c r="XAD96" s="9"/>
      <c r="XAE96" s="9"/>
      <c r="XAF96" s="9"/>
      <c r="XAG96" s="9"/>
      <c r="XAH96" s="9"/>
      <c r="XAI96" s="9"/>
      <c r="XAJ96" s="9"/>
      <c r="XAK96" s="9"/>
      <c r="XAL96" s="9"/>
      <c r="XAM96" s="9"/>
      <c r="XAN96" s="9"/>
      <c r="XAO96" s="9"/>
      <c r="XAP96" s="9"/>
      <c r="XAQ96" s="9"/>
      <c r="XAR96" s="9"/>
      <c r="XAS96" s="9"/>
      <c r="XAT96" s="9"/>
      <c r="XAU96" s="9"/>
      <c r="XAV96" s="9"/>
      <c r="XAW96" s="9"/>
      <c r="XAX96" s="9"/>
      <c r="XAY96" s="9"/>
      <c r="XAZ96" s="9"/>
      <c r="XBA96" s="9"/>
      <c r="XBB96" s="9"/>
      <c r="XBC96" s="9"/>
      <c r="XBD96" s="9"/>
      <c r="XBE96" s="9"/>
      <c r="XBF96" s="9"/>
      <c r="XBG96" s="9"/>
      <c r="XBH96" s="9"/>
      <c r="XBI96" s="9"/>
      <c r="XBJ96" s="9"/>
      <c r="XBK96" s="9"/>
      <c r="XBL96" s="9"/>
      <c r="XBM96" s="9"/>
      <c r="XBN96" s="9"/>
      <c r="XBO96" s="9"/>
      <c r="XBP96" s="9"/>
      <c r="XBQ96" s="9"/>
      <c r="XBR96" s="9"/>
      <c r="XBS96" s="9"/>
      <c r="XBT96" s="9"/>
      <c r="XBU96" s="9"/>
      <c r="XBV96" s="9"/>
      <c r="XBW96" s="9"/>
      <c r="XBX96" s="9"/>
      <c r="XBY96" s="9"/>
      <c r="XBZ96" s="9"/>
      <c r="XCA96" s="9"/>
      <c r="XCB96" s="9"/>
      <c r="XCC96" s="9"/>
      <c r="XCD96" s="9"/>
      <c r="XCE96" s="9"/>
      <c r="XCF96" s="9"/>
      <c r="XCG96" s="9"/>
      <c r="XCH96" s="9"/>
      <c r="XCI96" s="9"/>
      <c r="XCJ96" s="9"/>
      <c r="XCK96" s="9"/>
      <c r="XCL96" s="9"/>
      <c r="XCM96" s="9"/>
      <c r="XCN96" s="9"/>
      <c r="XCO96" s="9"/>
      <c r="XCP96" s="9"/>
      <c r="XCQ96" s="9"/>
      <c r="XCR96" s="9"/>
      <c r="XCS96" s="9"/>
      <c r="XCT96" s="9"/>
      <c r="XCU96" s="9"/>
      <c r="XCV96" s="9"/>
      <c r="XCW96" s="9"/>
      <c r="XCX96" s="9"/>
      <c r="XCY96" s="9"/>
      <c r="XCZ96" s="9"/>
      <c r="XDA96" s="9"/>
      <c r="XDB96" s="9"/>
      <c r="XDC96" s="9"/>
      <c r="XDD96" s="9"/>
      <c r="XDE96" s="9"/>
      <c r="XDF96" s="9"/>
      <c r="XDG96" s="9"/>
      <c r="XDH96" s="9"/>
      <c r="XDI96" s="9"/>
      <c r="XDJ96" s="9"/>
      <c r="XDK96" s="9"/>
      <c r="XDL96" s="9"/>
      <c r="XDM96" s="9"/>
      <c r="XDN96" s="9"/>
      <c r="XDO96" s="9"/>
      <c r="XDP96" s="9"/>
      <c r="XDQ96" s="9"/>
      <c r="XDR96" s="9"/>
      <c r="XDS96" s="9"/>
      <c r="XDT96" s="9"/>
      <c r="XDU96" s="9"/>
      <c r="XDV96" s="9"/>
      <c r="XDW96" s="9"/>
      <c r="XDX96" s="9"/>
      <c r="XDY96" s="9"/>
      <c r="XDZ96" s="9"/>
      <c r="XEA96" s="9"/>
      <c r="XEB96" s="9"/>
      <c r="XEC96" s="9"/>
      <c r="XED96" s="9"/>
      <c r="XEE96" s="9"/>
      <c r="XEF96" s="9"/>
      <c r="XEG96" s="9"/>
      <c r="XEH96" s="9"/>
      <c r="XEI96" s="9"/>
      <c r="XEJ96" s="9"/>
      <c r="XEK96" s="9"/>
      <c r="XEL96" s="9"/>
      <c r="XEM96" s="9"/>
      <c r="XEN96" s="9"/>
      <c r="XEO96" s="9"/>
      <c r="XEP96" s="9"/>
      <c r="XEQ96" s="9"/>
      <c r="XER96" s="9"/>
      <c r="XES96" s="9"/>
      <c r="XET96" s="9"/>
      <c r="XEU96" s="9"/>
      <c r="XEV96" s="9"/>
      <c r="XEW96" s="9"/>
      <c r="XEX96" s="9"/>
      <c r="XEY96" s="9"/>
      <c r="XEZ96" s="9"/>
      <c r="XFA96" s="9"/>
      <c r="XFB96" s="9"/>
      <c r="XFC96" s="9"/>
      <c r="XFD96" s="9"/>
    </row>
    <row r="97" spans="1:16" ht="20.25" x14ac:dyDescent="0.25">
      <c r="A97" s="92" t="s">
        <v>265</v>
      </c>
      <c r="B97" s="93"/>
      <c r="C97" s="93"/>
      <c r="D97" s="93"/>
      <c r="E97" s="93"/>
      <c r="F97" s="93"/>
      <c r="G97" s="93"/>
      <c r="H97" s="93"/>
      <c r="I97" s="153"/>
      <c r="P97" s="9">
        <f>26+6+8</f>
        <v>40</v>
      </c>
    </row>
    <row r="98" spans="1:16" ht="69" customHeight="1" x14ac:dyDescent="0.25">
      <c r="A98" s="88" t="s">
        <v>146</v>
      </c>
      <c r="B98" s="88"/>
      <c r="C98" s="89" t="s">
        <v>281</v>
      </c>
      <c r="D98" s="90"/>
      <c r="E98" s="28" t="s">
        <v>136</v>
      </c>
      <c r="F98" s="89" t="s">
        <v>137</v>
      </c>
      <c r="G98" s="90"/>
      <c r="H98" s="28" t="s">
        <v>138</v>
      </c>
      <c r="I98" s="28" t="s">
        <v>177</v>
      </c>
    </row>
    <row r="99" spans="1:16" ht="21.75" customHeight="1" x14ac:dyDescent="0.25">
      <c r="A99" s="68" t="s">
        <v>189</v>
      </c>
      <c r="B99" s="69"/>
      <c r="C99" s="69"/>
      <c r="D99" s="69"/>
      <c r="E99" s="69"/>
      <c r="F99" s="69"/>
      <c r="G99" s="69"/>
      <c r="H99" s="69"/>
      <c r="I99" s="70"/>
    </row>
    <row r="100" spans="1:16" ht="21.75" customHeight="1" x14ac:dyDescent="0.25">
      <c r="A100" s="68" t="s">
        <v>197</v>
      </c>
      <c r="B100" s="69"/>
      <c r="C100" s="69"/>
      <c r="D100" s="69"/>
      <c r="E100" s="69"/>
      <c r="F100" s="69"/>
      <c r="G100" s="69"/>
      <c r="H100" s="69"/>
      <c r="I100" s="70"/>
    </row>
    <row r="101" spans="1:16" ht="20.25" x14ac:dyDescent="0.25">
      <c r="A101" s="87" t="s">
        <v>176</v>
      </c>
      <c r="B101" s="87"/>
      <c r="C101" s="87"/>
      <c r="D101" s="87"/>
      <c r="E101" s="87"/>
      <c r="F101" s="87"/>
      <c r="G101" s="87"/>
      <c r="H101" s="87"/>
      <c r="I101" s="87"/>
    </row>
    <row r="102" spans="1:16" ht="20.25" customHeight="1" x14ac:dyDescent="0.25">
      <c r="A102" s="87" t="s">
        <v>191</v>
      </c>
      <c r="B102" s="87"/>
      <c r="C102" s="87"/>
      <c r="D102" s="87"/>
      <c r="E102" s="87"/>
      <c r="F102" s="87"/>
      <c r="G102" s="87"/>
      <c r="H102" s="87"/>
      <c r="I102" s="87"/>
    </row>
    <row r="103" spans="1:16" ht="20.25" x14ac:dyDescent="0.25">
      <c r="A103" s="87" t="s">
        <v>190</v>
      </c>
      <c r="B103" s="87"/>
      <c r="C103" s="87"/>
      <c r="D103" s="87"/>
      <c r="E103" s="87"/>
      <c r="F103" s="87"/>
      <c r="G103" s="87"/>
      <c r="H103" s="87"/>
      <c r="I103" s="87"/>
    </row>
    <row r="104" spans="1:16" ht="20.25" x14ac:dyDescent="0.25">
      <c r="A104" s="87" t="s">
        <v>198</v>
      </c>
      <c r="B104" s="87"/>
      <c r="C104" s="87"/>
      <c r="D104" s="87"/>
      <c r="E104" s="87"/>
      <c r="F104" s="87"/>
      <c r="G104" s="87"/>
      <c r="H104" s="87"/>
      <c r="I104" s="87"/>
    </row>
    <row r="105" spans="1:16" ht="20.25" x14ac:dyDescent="0.25">
      <c r="A105" s="87" t="s">
        <v>200</v>
      </c>
      <c r="B105" s="87"/>
      <c r="C105" s="87"/>
      <c r="D105" s="87"/>
      <c r="E105" s="87"/>
      <c r="F105" s="87"/>
      <c r="G105" s="87"/>
      <c r="H105" s="87"/>
      <c r="I105" s="87"/>
    </row>
    <row r="106" spans="1:16" ht="20.25" x14ac:dyDescent="0.25">
      <c r="A106" s="147" t="str">
        <f>A105</f>
        <v>1st Floor + Parking Floor 4 + Amenities(Level 13.200 M)</v>
      </c>
      <c r="B106" s="148"/>
      <c r="C106" s="67">
        <v>1</v>
      </c>
      <c r="D106" s="67"/>
      <c r="E106" s="31" t="s">
        <v>199</v>
      </c>
      <c r="F106" s="67">
        <f>(3.15*7.12+0.645+3.47+1.07*2.61+3.05*2.01+2.9*3.45+3.2*3.35+3.215*3.47+1.52*2.44+2.34*1.52+1.52*2.32+(0.9*(1.52+2))+(1.2*(3.4+2.85))+(0.6*(2.9+3.47)+1.395*1.455+0.745*0.855))*10.764</f>
        <v>1025.7656057999998</v>
      </c>
      <c r="G106" s="67"/>
      <c r="H106" s="31">
        <v>0</v>
      </c>
      <c r="I106" s="31">
        <f>F106*1.6+H106</f>
        <v>1641.2249692799996</v>
      </c>
    </row>
    <row r="107" spans="1:16" ht="20.25" x14ac:dyDescent="0.25">
      <c r="A107" s="87" t="s">
        <v>201</v>
      </c>
      <c r="B107" s="87"/>
      <c r="C107" s="87"/>
      <c r="D107" s="87"/>
      <c r="E107" s="87"/>
      <c r="F107" s="87"/>
      <c r="G107" s="87"/>
      <c r="H107" s="87"/>
      <c r="I107" s="87"/>
    </row>
    <row r="108" spans="1:16" ht="20.25" x14ac:dyDescent="0.25">
      <c r="A108" s="147" t="str">
        <f>A107</f>
        <v>2nd Floor + Parking Floor 5 + Amenities(Level 16.35 M)</v>
      </c>
      <c r="B108" s="148"/>
      <c r="C108" s="67">
        <v>1</v>
      </c>
      <c r="D108" s="67"/>
      <c r="E108" s="31" t="s">
        <v>199</v>
      </c>
      <c r="F108" s="67">
        <f>(3.15*7.12+0.645+3.47+1.07*2.61+3.05*2.01+2.9*3.45+3.2*3.35+3.215*3.47+1.52*2.44+2.34*1.52+1.52*2.32+(0.9*(1.52+2))+(1.2*(3.4+2.85))+(0.6*(2.9+3.47)+1.395*1.455+0.745*0.855))*10.764</f>
        <v>1025.7656057999998</v>
      </c>
      <c r="G108" s="67"/>
      <c r="H108" s="31">
        <v>0</v>
      </c>
      <c r="I108" s="31">
        <f>F108*1.6+H108</f>
        <v>1641.2249692799996</v>
      </c>
    </row>
    <row r="109" spans="1:16" ht="20.25" customHeight="1" x14ac:dyDescent="0.25">
      <c r="A109" s="149"/>
      <c r="B109" s="150"/>
      <c r="C109" s="67">
        <v>2</v>
      </c>
      <c r="D109" s="67"/>
      <c r="E109" s="31" t="s">
        <v>153</v>
      </c>
      <c r="F109" s="67">
        <f>(3.05*5.79+0.71*3.74+1.8*1.5+2.14*2.59+2.85*3.05+3.05*3.425+2.14*1.37+2.09*1.37+0.9*2.2+(1.2*(2.65+2.65+1.8))+(0.6*2.85))*10.764</f>
        <v>707.20933139999988</v>
      </c>
      <c r="G109" s="67"/>
      <c r="H109" s="31">
        <v>0</v>
      </c>
      <c r="I109" s="31">
        <f>F109*1.6+H109</f>
        <v>1131.5349302399998</v>
      </c>
    </row>
    <row r="110" spans="1:16" ht="20.25" customHeight="1" x14ac:dyDescent="0.25">
      <c r="A110" s="151"/>
      <c r="B110" s="152"/>
      <c r="C110" s="67">
        <v>3</v>
      </c>
      <c r="D110" s="67"/>
      <c r="E110" s="31" t="s">
        <v>153</v>
      </c>
      <c r="F110" s="67">
        <f>(3.05*5.79+0.71*3.74+1.8*1.5+2.14*2.59+2.85*3.05+3.05*3.425+2.14*1.37+2.09*1.37+0.9*2.2+(1.2*(2.65+2.65+1.8))+(0.6*2.85))*10.764</f>
        <v>707.20933139999988</v>
      </c>
      <c r="G110" s="67"/>
      <c r="H110" s="31">
        <v>0</v>
      </c>
      <c r="I110" s="31">
        <f>F110*1.6+H110</f>
        <v>1131.5349302399998</v>
      </c>
    </row>
    <row r="111" spans="1:16" ht="20.25" x14ac:dyDescent="0.25">
      <c r="A111" s="87" t="s">
        <v>202</v>
      </c>
      <c r="B111" s="87"/>
      <c r="C111" s="87"/>
      <c r="D111" s="87"/>
      <c r="E111" s="87"/>
      <c r="F111" s="87"/>
      <c r="G111" s="87"/>
      <c r="H111" s="87"/>
      <c r="I111" s="87"/>
    </row>
    <row r="112" spans="1:16" ht="20.25" x14ac:dyDescent="0.25">
      <c r="A112" s="147" t="str">
        <f>A111</f>
        <v>3rd Floor + Parking Floor 6 (Level 19.675 M)</v>
      </c>
      <c r="B112" s="148"/>
      <c r="C112" s="67">
        <v>1</v>
      </c>
      <c r="D112" s="67"/>
      <c r="E112" s="31" t="s">
        <v>199</v>
      </c>
      <c r="F112" s="67">
        <f>(3.2*7.12+0.695+3.47+1.07*2.61+3.05*2.21+3.05*3.45+3.2*3.35+3.215*3.47+1.52*2.32+2.34*1.52+1.52*2.44+(0.9*(1.52+2))+(1.2*(3.6+2.85))+(0.6*(3.05+3.47)+1.395*1.555+0.745*0.855))*10.764</f>
        <v>1047.3258977999999</v>
      </c>
      <c r="G112" s="67"/>
      <c r="H112" s="31">
        <v>0</v>
      </c>
      <c r="I112" s="31">
        <f t="shared" ref="I112:I119" si="0">F112*1.6+H112</f>
        <v>1675.72143648</v>
      </c>
    </row>
    <row r="113" spans="1:15" ht="20.25" customHeight="1" x14ac:dyDescent="0.25">
      <c r="A113" s="149"/>
      <c r="B113" s="150"/>
      <c r="C113" s="67">
        <v>2</v>
      </c>
      <c r="D113" s="67"/>
      <c r="E113" s="31" t="s">
        <v>153</v>
      </c>
      <c r="F113" s="67">
        <f>(3.05*5.79+0.71*3.74+1.8*1.5+2.14*2.59+2.85*3.05+3.05*3.425+2.14*1.37+2.09*1.37+0.9*2.2+(1.2*(2.65+2.65+1.8))+(0.6*2.85))*10.764</f>
        <v>707.20933139999988</v>
      </c>
      <c r="G113" s="67"/>
      <c r="H113" s="31">
        <v>0</v>
      </c>
      <c r="I113" s="31">
        <f t="shared" si="0"/>
        <v>1131.5349302399998</v>
      </c>
    </row>
    <row r="114" spans="1:15" ht="20.25" customHeight="1" x14ac:dyDescent="0.25">
      <c r="A114" s="149"/>
      <c r="B114" s="150"/>
      <c r="C114" s="67">
        <v>3</v>
      </c>
      <c r="D114" s="67"/>
      <c r="E114" s="31" t="s">
        <v>153</v>
      </c>
      <c r="F114" s="67">
        <f>(3.05*5.79+0.71*3.74+1.8*1.5+2.14*2.59+2.85*3.05+3.05*3.425+2.14*1.37+2.09*1.37+0.9*2.2+(1.2*(2.65+2.65+1.8))+(0.6*2.85))*10.764</f>
        <v>707.20933139999988</v>
      </c>
      <c r="G114" s="67"/>
      <c r="H114" s="31">
        <v>0</v>
      </c>
      <c r="I114" s="31">
        <f t="shared" si="0"/>
        <v>1131.5349302399998</v>
      </c>
    </row>
    <row r="115" spans="1:15" ht="20.25" customHeight="1" x14ac:dyDescent="0.25">
      <c r="A115" s="149"/>
      <c r="B115" s="150"/>
      <c r="C115" s="67">
        <v>4</v>
      </c>
      <c r="D115" s="67"/>
      <c r="E115" s="31" t="s">
        <v>199</v>
      </c>
      <c r="F115" s="67">
        <f>(3.2*7.12+0.695+3.47+1.07*2.61+3.05*2.21+3.05*3.45+3.2*3.35+3.215*3.47+1.52*2.32+2.34*1.52+1.52*2.44+(0.9*(1.52+2))+(1.2*(3.6+2.85))+(0.6*(3.05+3.47)+1.395*1.555+0.745*0.855))*10.764</f>
        <v>1047.3258977999999</v>
      </c>
      <c r="G115" s="67"/>
      <c r="H115" s="31">
        <v>0</v>
      </c>
      <c r="I115" s="31">
        <f t="shared" si="0"/>
        <v>1675.72143648</v>
      </c>
    </row>
    <row r="116" spans="1:15" ht="20.25" customHeight="1" x14ac:dyDescent="0.25">
      <c r="A116" s="149"/>
      <c r="B116" s="150"/>
      <c r="C116" s="67">
        <v>5</v>
      </c>
      <c r="D116" s="67"/>
      <c r="E116" s="31" t="s">
        <v>199</v>
      </c>
      <c r="F116" s="67">
        <f>(3.2*7.12+0.695+3.47+1.07*2.61+3.05*2.21+3.05*3.45+3.2*3.35+3.215*3.47+1.52*2.32+2.34*1.52+1.52*2.44+(0.9*(1.52+2))+(1.2*(3.6+2.85))+(0.6*(3.05+3.47)+1.395*1.555+0.745*0.855))*10.764</f>
        <v>1047.3258977999999</v>
      </c>
      <c r="G116" s="67"/>
      <c r="H116" s="31">
        <v>0</v>
      </c>
      <c r="I116" s="31">
        <f t="shared" si="0"/>
        <v>1675.72143648</v>
      </c>
    </row>
    <row r="117" spans="1:15" ht="20.25" customHeight="1" x14ac:dyDescent="0.25">
      <c r="A117" s="149"/>
      <c r="B117" s="150"/>
      <c r="C117" s="67">
        <v>6</v>
      </c>
      <c r="D117" s="67"/>
      <c r="E117" s="31" t="s">
        <v>153</v>
      </c>
      <c r="F117" s="67">
        <f>(3.05*5.72+2.14*2.44+3.35*3.05+3.05*3.05+2.14*1.3+2.14*1.3+0.9*3.5+(1.15*3.05+1.52*1.15+0.65*0.62)+(0.6*(3.05+3.05+0.75)))*10.764</f>
        <v>653.05295639999997</v>
      </c>
      <c r="G117" s="67"/>
      <c r="H117" s="31">
        <v>0</v>
      </c>
      <c r="I117" s="31">
        <f t="shared" si="0"/>
        <v>1044.88473024</v>
      </c>
      <c r="K117" s="9">
        <f>36*8+4</f>
        <v>292</v>
      </c>
    </row>
    <row r="118" spans="1:15" ht="20.25" customHeight="1" x14ac:dyDescent="0.25">
      <c r="A118" s="149"/>
      <c r="B118" s="150"/>
      <c r="C118" s="67">
        <v>7</v>
      </c>
      <c r="D118" s="67"/>
      <c r="E118" s="31" t="s">
        <v>153</v>
      </c>
      <c r="F118" s="67">
        <f>(3.05*5.72+2.14*2.44+3.35*3.05+3.05*3.05+2.14*1.3+2.14*1.3+0.9*3.5+(1.15*3.05+1.52*1.15+0.65*0.62)+(0.6*(3.05+3.05+0.75)))*10.764</f>
        <v>653.05295639999997</v>
      </c>
      <c r="G118" s="67"/>
      <c r="H118" s="31">
        <v>0</v>
      </c>
      <c r="I118" s="31">
        <f t="shared" si="0"/>
        <v>1044.88473024</v>
      </c>
    </row>
    <row r="119" spans="1:15" ht="20.25" customHeight="1" x14ac:dyDescent="0.25">
      <c r="A119" s="151"/>
      <c r="B119" s="152"/>
      <c r="C119" s="67">
        <v>8</v>
      </c>
      <c r="D119" s="67"/>
      <c r="E119" s="31" t="s">
        <v>199</v>
      </c>
      <c r="F119" s="67">
        <f>(3.2*7.12+0.695+3.47+1.07*2.61+3.05*2.21+3.05*3.45+3.2*3.35+3.215*3.47+1.52*2.32+2.34*1.52+1.52*2.44+(0.9*(1.52+2))+(1.2*(3.6+2.85))+(0.6*(3.05+3.47)+1.395*1.555+0.745*0.855))*10.764</f>
        <v>1047.3258977999999</v>
      </c>
      <c r="G119" s="67"/>
      <c r="H119" s="31">
        <v>0</v>
      </c>
      <c r="I119" s="31">
        <f t="shared" si="0"/>
        <v>1675.72143648</v>
      </c>
      <c r="M119" s="9">
        <f>41-9-7</f>
        <v>25</v>
      </c>
      <c r="O119" s="9">
        <f>33*8-6+29</f>
        <v>287</v>
      </c>
    </row>
    <row r="120" spans="1:15" ht="20.25" x14ac:dyDescent="0.25">
      <c r="A120" s="87" t="s">
        <v>203</v>
      </c>
      <c r="B120" s="87"/>
      <c r="C120" s="87"/>
      <c r="D120" s="87"/>
      <c r="E120" s="87"/>
      <c r="F120" s="87"/>
      <c r="G120" s="87"/>
      <c r="H120" s="87"/>
      <c r="I120" s="87"/>
    </row>
    <row r="121" spans="1:15" ht="20.25" x14ac:dyDescent="0.25">
      <c r="A121" s="147" t="str">
        <f>A120</f>
        <v>4th Floor (Level 22.825 M)</v>
      </c>
      <c r="B121" s="148"/>
      <c r="C121" s="67">
        <v>1</v>
      </c>
      <c r="D121" s="67"/>
      <c r="E121" s="31" t="s">
        <v>199</v>
      </c>
      <c r="F121" s="67">
        <f>(3.2*7.12+0.695+3.47+1.07*2.61+3.05*2.21+3.05*3.45+3.2*3.35+3.215*3.47+1.52*2.32+2.34*1.52+1.52*2.44+(0.9*(1.52+2))+(1.2*(3.6+2.85))+(0.6*(3.05+3.47)+1.395*1.555+0.745*0.855))*10.764</f>
        <v>1047.3258977999999</v>
      </c>
      <c r="G121" s="67"/>
      <c r="H121" s="31">
        <v>0</v>
      </c>
      <c r="I121" s="31">
        <f t="shared" ref="I121:I128" si="1">F121*1.6+H121</f>
        <v>1675.72143648</v>
      </c>
    </row>
    <row r="122" spans="1:15" ht="20.25" customHeight="1" x14ac:dyDescent="0.25">
      <c r="A122" s="149"/>
      <c r="B122" s="150"/>
      <c r="C122" s="67">
        <v>2</v>
      </c>
      <c r="D122" s="67"/>
      <c r="E122" s="31" t="s">
        <v>153</v>
      </c>
      <c r="F122" s="67">
        <f>(3.05*5.79+0.71*3.74+1.8*1.5+2.14*2.59+2.85*3.05+3.05*3.425+2.14*1.37+2.09*1.37+0.9*2.2+(1.2*(2.65+2.65+1.8))+(0.6*2.85))*10.764</f>
        <v>707.20933139999988</v>
      </c>
      <c r="G122" s="67"/>
      <c r="H122" s="31">
        <v>0</v>
      </c>
      <c r="I122" s="31">
        <f t="shared" si="1"/>
        <v>1131.5349302399998</v>
      </c>
    </row>
    <row r="123" spans="1:15" ht="20.25" customHeight="1" x14ac:dyDescent="0.25">
      <c r="A123" s="149"/>
      <c r="B123" s="150"/>
      <c r="C123" s="67">
        <v>3</v>
      </c>
      <c r="D123" s="67"/>
      <c r="E123" s="31" t="s">
        <v>153</v>
      </c>
      <c r="F123" s="67">
        <f>(3.05*5.79+0.71*3.74+1.8*1.5+2.14*2.59+2.85*3.05+3.05*3.425+2.14*1.37+2.09*1.37+0.9*2.2+(1.2*(2.65+2.65+1.8))+(0.6*2.85))*10.764</f>
        <v>707.20933139999988</v>
      </c>
      <c r="G123" s="67"/>
      <c r="H123" s="31">
        <v>0</v>
      </c>
      <c r="I123" s="31">
        <f t="shared" si="1"/>
        <v>1131.5349302399998</v>
      </c>
    </row>
    <row r="124" spans="1:15" ht="20.25" customHeight="1" x14ac:dyDescent="0.25">
      <c r="A124" s="149"/>
      <c r="B124" s="150"/>
      <c r="C124" s="67">
        <v>4</v>
      </c>
      <c r="D124" s="67"/>
      <c r="E124" s="31" t="s">
        <v>199</v>
      </c>
      <c r="F124" s="67">
        <f>(3.2*7.12+0.695+3.47+1.07*2.61+3.05*2.21+3.05*3.45+3.2*3.35+3.215*3.47+1.52*2.32+2.34*1.52+1.52*2.44+(0.9*(1.52+2))+(1.2*(3.6+2.85))+(0.6*(3.05+3.47)+1.395*1.555+0.745*0.855))*10.764</f>
        <v>1047.3258977999999</v>
      </c>
      <c r="G124" s="67"/>
      <c r="H124" s="31">
        <v>0</v>
      </c>
      <c r="I124" s="31">
        <f t="shared" si="1"/>
        <v>1675.72143648</v>
      </c>
    </row>
    <row r="125" spans="1:15" ht="20.25" customHeight="1" x14ac:dyDescent="0.25">
      <c r="A125" s="149"/>
      <c r="B125" s="150"/>
      <c r="C125" s="67">
        <v>5</v>
      </c>
      <c r="D125" s="67"/>
      <c r="E125" s="31" t="s">
        <v>199</v>
      </c>
      <c r="F125" s="67">
        <f>(3.2*7.12+0.695+3.47+1.07*2.61+3.05*2.21+3.05*3.45+3.2*3.35+3.215*3.47+1.52*2.32+2.34*1.52+1.52*2.44+(0.9*(1.52+2))+(1.2*(3.6+2.85))+(0.6*(3.05+3.47)+1.395*1.555+0.745*0.855))*10.764</f>
        <v>1047.3258977999999</v>
      </c>
      <c r="G125" s="67"/>
      <c r="H125" s="31">
        <v>0</v>
      </c>
      <c r="I125" s="31">
        <f t="shared" si="1"/>
        <v>1675.72143648</v>
      </c>
    </row>
    <row r="126" spans="1:15" ht="20.25" customHeight="1" x14ac:dyDescent="0.25">
      <c r="A126" s="149"/>
      <c r="B126" s="150"/>
      <c r="C126" s="67">
        <v>6</v>
      </c>
      <c r="D126" s="67"/>
      <c r="E126" s="31" t="s">
        <v>153</v>
      </c>
      <c r="F126" s="67">
        <f>(3.05*5.72+2.14*2.44+3.35*3.05+3.05*3.05+2.14*1.3+2.14*1.3+0.9*3.5+(1.15*3.05+1.52*1.15+0.65*0.62)+(0.6*(3.05+3.05+0.75)))*10.764</f>
        <v>653.05295639999997</v>
      </c>
      <c r="G126" s="67"/>
      <c r="H126" s="31">
        <v>0</v>
      </c>
      <c r="I126" s="31">
        <f t="shared" si="1"/>
        <v>1044.88473024</v>
      </c>
    </row>
    <row r="127" spans="1:15" ht="20.25" customHeight="1" x14ac:dyDescent="0.25">
      <c r="A127" s="149"/>
      <c r="B127" s="150"/>
      <c r="C127" s="67">
        <v>7</v>
      </c>
      <c r="D127" s="67"/>
      <c r="E127" s="31" t="s">
        <v>153</v>
      </c>
      <c r="F127" s="67">
        <f>(3.05*5.72+2.14*2.44+3.35*3.05+3.05*3.05+2.14*1.3+2.14*1.3+0.9*3.5+(1.15*3.05+1.52*1.15+0.65*0.62)+(0.6*(3.05+3.05+0.75)))*10.764</f>
        <v>653.05295639999997</v>
      </c>
      <c r="G127" s="67"/>
      <c r="H127" s="31">
        <v>0</v>
      </c>
      <c r="I127" s="31">
        <f t="shared" si="1"/>
        <v>1044.88473024</v>
      </c>
    </row>
    <row r="128" spans="1:15" ht="20.25" customHeight="1" x14ac:dyDescent="0.25">
      <c r="A128" s="151"/>
      <c r="B128" s="152"/>
      <c r="C128" s="67">
        <v>8</v>
      </c>
      <c r="D128" s="67"/>
      <c r="E128" s="31" t="s">
        <v>199</v>
      </c>
      <c r="F128" s="67">
        <f>(3.2*7.12+0.695+3.47+1.07*2.61+3.05*2.21+3.05*3.45+3.2*3.35+3.215*3.47+1.52*2.32+2.34*1.52+1.52*2.44+(0.9*(1.52+2))+(1.2*(3.6+2.85))+(0.6*(3.05+3.47)+1.395*1.555+0.745*0.855))*10.764</f>
        <v>1047.3258977999999</v>
      </c>
      <c r="G128" s="67"/>
      <c r="H128" s="31">
        <v>0</v>
      </c>
      <c r="I128" s="31">
        <f t="shared" si="1"/>
        <v>1675.72143648</v>
      </c>
    </row>
    <row r="129" spans="1:9" ht="20.25" x14ac:dyDescent="0.25">
      <c r="A129" s="87" t="s">
        <v>204</v>
      </c>
      <c r="B129" s="87"/>
      <c r="C129" s="87"/>
      <c r="D129" s="87"/>
      <c r="E129" s="87"/>
      <c r="F129" s="87"/>
      <c r="G129" s="87"/>
      <c r="H129" s="87"/>
      <c r="I129" s="87"/>
    </row>
    <row r="130" spans="1:9" ht="20.25" x14ac:dyDescent="0.25">
      <c r="A130" s="147" t="str">
        <f>A129</f>
        <v>5th Floor (Level 25.775 M)</v>
      </c>
      <c r="B130" s="148"/>
      <c r="C130" s="67">
        <v>1</v>
      </c>
      <c r="D130" s="67"/>
      <c r="E130" s="31" t="s">
        <v>199</v>
      </c>
      <c r="F130" s="67">
        <f>(3.2*7.12+0.695+3.47+1.07*2.61+3.05*2.21+3.05*3.45+3.2*3.35+3.215*3.47+1.52*2.32+2.34*1.52+1.52*2.44+(0.9*(1.52+2))+(1.2*(3.6+2.85))+(0.6*(3.05+3.47)+1.395*1.555+0.745*0.855))*10.764</f>
        <v>1047.3258977999999</v>
      </c>
      <c r="G130" s="67"/>
      <c r="H130" s="31">
        <v>0</v>
      </c>
      <c r="I130" s="31">
        <f t="shared" ref="I130:I137" si="2">F130*1.6+H130</f>
        <v>1675.72143648</v>
      </c>
    </row>
    <row r="131" spans="1:9" ht="20.25" customHeight="1" x14ac:dyDescent="0.25">
      <c r="A131" s="149"/>
      <c r="B131" s="150"/>
      <c r="C131" s="67">
        <v>2</v>
      </c>
      <c r="D131" s="67"/>
      <c r="E131" s="31" t="s">
        <v>153</v>
      </c>
      <c r="F131" s="67">
        <f>(3.05*5.79+0.71*3.74+1.8*1.5+2.14*2.59+2.85*3.05+3.05*3.425+2.14*1.37+2.09*1.37+0.9*2.2+(1.2*(2.65+2.65+1.8))+(0.6*2.85))*10.764</f>
        <v>707.20933139999988</v>
      </c>
      <c r="G131" s="67"/>
      <c r="H131" s="31">
        <v>0</v>
      </c>
      <c r="I131" s="31">
        <f t="shared" si="2"/>
        <v>1131.5349302399998</v>
      </c>
    </row>
    <row r="132" spans="1:9" ht="20.25" customHeight="1" x14ac:dyDescent="0.25">
      <c r="A132" s="149"/>
      <c r="B132" s="150"/>
      <c r="C132" s="67">
        <v>3</v>
      </c>
      <c r="D132" s="67"/>
      <c r="E132" s="31" t="s">
        <v>153</v>
      </c>
      <c r="F132" s="67">
        <f>(3.05*5.79+0.71*3.74+1.8*1.5+2.14*2.59+2.85*3.05+3.05*3.425+2.14*1.37+2.09*1.37+0.9*2.2+(1.2*(2.65+2.65+1.8))+(0.6*2.85))*10.764</f>
        <v>707.20933139999988</v>
      </c>
      <c r="G132" s="67"/>
      <c r="H132" s="31">
        <v>0</v>
      </c>
      <c r="I132" s="31">
        <f t="shared" si="2"/>
        <v>1131.5349302399998</v>
      </c>
    </row>
    <row r="133" spans="1:9" ht="20.25" customHeight="1" x14ac:dyDescent="0.25">
      <c r="A133" s="149"/>
      <c r="B133" s="150"/>
      <c r="C133" s="67">
        <v>4</v>
      </c>
      <c r="D133" s="67"/>
      <c r="E133" s="31" t="s">
        <v>199</v>
      </c>
      <c r="F133" s="67">
        <f>(3.2*7.12+0.695+3.47+1.07*2.61+3.05*2.21+3.05*3.45+3.2*3.35+3.215*3.47+1.52*2.32+2.34*1.52+1.52*2.44+(0.9*(1.52+2))+(1.2*(3.6+2.85))+(0.6*(3.05+3.47)+1.395*1.555+0.745*0.855))*10.764</f>
        <v>1047.3258977999999</v>
      </c>
      <c r="G133" s="67"/>
      <c r="H133" s="31">
        <v>0</v>
      </c>
      <c r="I133" s="31">
        <f t="shared" si="2"/>
        <v>1675.72143648</v>
      </c>
    </row>
    <row r="134" spans="1:9" ht="20.25" customHeight="1" x14ac:dyDescent="0.25">
      <c r="A134" s="149"/>
      <c r="B134" s="150"/>
      <c r="C134" s="67">
        <v>5</v>
      </c>
      <c r="D134" s="67"/>
      <c r="E134" s="31" t="s">
        <v>199</v>
      </c>
      <c r="F134" s="67">
        <f>(3.2*7.12+0.695+3.47+1.07*2.61+3.05*2.21+3.05*3.45+3.2*3.35+3.215*3.47+1.52*2.32+2.34*1.52+1.52*2.44+(0.9*(1.52+2))+(1.2*(3.6+2.85))+(0.6*(3.05+3.47)+1.395*1.555+0.745*0.855))*10.764</f>
        <v>1047.3258977999999</v>
      </c>
      <c r="G134" s="67"/>
      <c r="H134" s="31">
        <v>0</v>
      </c>
      <c r="I134" s="31">
        <f t="shared" si="2"/>
        <v>1675.72143648</v>
      </c>
    </row>
    <row r="135" spans="1:9" ht="20.25" customHeight="1" x14ac:dyDescent="0.25">
      <c r="A135" s="149"/>
      <c r="B135" s="150"/>
      <c r="C135" s="67">
        <v>6</v>
      </c>
      <c r="D135" s="67"/>
      <c r="E135" s="31" t="s">
        <v>153</v>
      </c>
      <c r="F135" s="67">
        <f>(3.05*5.72+2.14*2.44+3.35*3.05+3.05*3.05+2.14*1.3+2.14*1.3+0.9*3.5+(1.15*3.05+1.52*1.15+0.65*0.62)+(0.6*(3.05+3.05+0.75)))*10.764</f>
        <v>653.05295639999997</v>
      </c>
      <c r="G135" s="67"/>
      <c r="H135" s="31">
        <v>0</v>
      </c>
      <c r="I135" s="31">
        <f t="shared" si="2"/>
        <v>1044.88473024</v>
      </c>
    </row>
    <row r="136" spans="1:9" ht="20.25" customHeight="1" x14ac:dyDescent="0.25">
      <c r="A136" s="149"/>
      <c r="B136" s="150"/>
      <c r="C136" s="67">
        <v>7</v>
      </c>
      <c r="D136" s="67"/>
      <c r="E136" s="31" t="s">
        <v>153</v>
      </c>
      <c r="F136" s="67">
        <f>(3.05*5.72+2.14*2.44+3.35*3.05+3.05*3.05+2.14*1.3+2.14*1.3+0.9*3.5+(1.15*3.05+1.52*1.15+0.65*0.62)+(0.6*(3.05+3.05+0.75)))*10.764</f>
        <v>653.05295639999997</v>
      </c>
      <c r="G136" s="67"/>
      <c r="H136" s="31">
        <v>0</v>
      </c>
      <c r="I136" s="31">
        <f t="shared" si="2"/>
        <v>1044.88473024</v>
      </c>
    </row>
    <row r="137" spans="1:9" ht="20.25" customHeight="1" x14ac:dyDescent="0.25">
      <c r="A137" s="151"/>
      <c r="B137" s="152"/>
      <c r="C137" s="67">
        <v>8</v>
      </c>
      <c r="D137" s="67"/>
      <c r="E137" s="31" t="s">
        <v>199</v>
      </c>
      <c r="F137" s="67">
        <f>(3.2*7.12+0.695+3.47+1.07*2.61+3.05*2.21+3.05*3.45+3.2*3.35+3.215*3.47+1.52*2.32+2.34*1.52+1.52*2.44+(0.9*(1.52+2))+(1.2*(3.6+2.85))+(0.6*(3.05+3.47)+1.395*1.555+0.745*0.855))*10.764</f>
        <v>1047.3258977999999</v>
      </c>
      <c r="G137" s="67"/>
      <c r="H137" s="31">
        <v>0</v>
      </c>
      <c r="I137" s="31">
        <f t="shared" si="2"/>
        <v>1675.72143648</v>
      </c>
    </row>
    <row r="138" spans="1:9" ht="29.25" customHeight="1" x14ac:dyDescent="0.25">
      <c r="A138" s="87" t="s">
        <v>205</v>
      </c>
      <c r="B138" s="87"/>
      <c r="C138" s="87"/>
      <c r="D138" s="87"/>
      <c r="E138" s="87"/>
      <c r="F138" s="87"/>
      <c r="G138" s="87"/>
      <c r="H138" s="87"/>
      <c r="I138" s="87"/>
    </row>
    <row r="139" spans="1:9" ht="20.25" x14ac:dyDescent="0.25">
      <c r="A139" s="147" t="str">
        <f>A138</f>
        <v xml:space="preserve"> 6th to 10th, 12th, 14th, 16th, 18th, 20th, 22nd, 24th, 26th, 28th, 30th, 32nd, 34th, 36th &amp; 38th Floor</v>
      </c>
      <c r="B139" s="148"/>
      <c r="C139" s="67">
        <v>1</v>
      </c>
      <c r="D139" s="67"/>
      <c r="E139" s="31" t="s">
        <v>199</v>
      </c>
      <c r="F139" s="67">
        <f>(3.2*7.12+0.695+3.47+1.07*2.61+3.05*2.21+3.05*3.45+3.2*3.35+3.215*3.47+1.52*2.32+2.34*1.52+1.52*2.44+(0.9*(1.52+2))+(1.2*(3.6+2.85))+(0.6*(3.05+3.47)+1.395*1.555+0.745*0.855))*10.764</f>
        <v>1047.3258977999999</v>
      </c>
      <c r="G139" s="67"/>
      <c r="H139" s="31">
        <v>0</v>
      </c>
      <c r="I139" s="31">
        <f t="shared" ref="I139:I146" si="3">F139*1.6+H139</f>
        <v>1675.72143648</v>
      </c>
    </row>
    <row r="140" spans="1:9" ht="20.25" customHeight="1" x14ac:dyDescent="0.25">
      <c r="A140" s="149"/>
      <c r="B140" s="150"/>
      <c r="C140" s="67">
        <v>2</v>
      </c>
      <c r="D140" s="67"/>
      <c r="E140" s="31" t="s">
        <v>153</v>
      </c>
      <c r="F140" s="67">
        <f>(3.05*5.79+0.71*3.74+1.8*1.5+2.14*2.59+2.85*3.05+3.05*3.425+2.14*1.37+2.09*1.37+0.9*2.2+(1.2*(2.65+2.65+1.8))+(0.6*2.85))*10.764</f>
        <v>707.20933139999988</v>
      </c>
      <c r="G140" s="67"/>
      <c r="H140" s="31">
        <v>0</v>
      </c>
      <c r="I140" s="31">
        <f t="shared" si="3"/>
        <v>1131.5349302399998</v>
      </c>
    </row>
    <row r="141" spans="1:9" ht="20.25" customHeight="1" x14ac:dyDescent="0.25">
      <c r="A141" s="149"/>
      <c r="B141" s="150"/>
      <c r="C141" s="67">
        <v>3</v>
      </c>
      <c r="D141" s="67"/>
      <c r="E141" s="31" t="s">
        <v>153</v>
      </c>
      <c r="F141" s="67">
        <f>(3.05*5.79+0.71*3.74+1.8*1.5+2.14*2.59+2.85*3.05+3.05*3.425+2.14*1.37+2.09*1.37+0.9*2.2+(1.2*(2.65+2.65+1.8))+(0.6*2.85))*10.764</f>
        <v>707.20933139999988</v>
      </c>
      <c r="G141" s="67"/>
      <c r="H141" s="31">
        <v>0</v>
      </c>
      <c r="I141" s="31">
        <f t="shared" si="3"/>
        <v>1131.5349302399998</v>
      </c>
    </row>
    <row r="142" spans="1:9" ht="20.25" customHeight="1" x14ac:dyDescent="0.25">
      <c r="A142" s="149"/>
      <c r="B142" s="150"/>
      <c r="C142" s="67">
        <v>4</v>
      </c>
      <c r="D142" s="67"/>
      <c r="E142" s="31" t="s">
        <v>199</v>
      </c>
      <c r="F142" s="67">
        <f>(3.2*7.12+0.695+3.47+1.07*2.61+3.05*2.21+3.05*3.45+3.2*3.35+3.215*3.47+1.52*2.32+2.34*1.52+1.52*2.44+(0.9*(1.52+2))+(1.2*(3.6+2.85))+(0.6*(3.05+3.47)+1.395*1.555+0.745*0.855))*10.764</f>
        <v>1047.3258977999999</v>
      </c>
      <c r="G142" s="67"/>
      <c r="H142" s="31">
        <v>0</v>
      </c>
      <c r="I142" s="31">
        <f t="shared" si="3"/>
        <v>1675.72143648</v>
      </c>
    </row>
    <row r="143" spans="1:9" ht="20.25" customHeight="1" x14ac:dyDescent="0.25">
      <c r="A143" s="149"/>
      <c r="B143" s="150"/>
      <c r="C143" s="67">
        <v>5</v>
      </c>
      <c r="D143" s="67"/>
      <c r="E143" s="31" t="s">
        <v>199</v>
      </c>
      <c r="F143" s="67">
        <f>(3.2*7.12+0.695+3.47+1.07*2.61+3.05*2.21+3.05*3.45+3.2*3.35+3.215*3.47+1.52*2.32+2.34*1.52+1.52*2.44+(0.9*(1.52+2))+(1.2*(3.6+2.85))+(0.6*(3.05+3.47)+1.395*1.555+0.745*0.855))*10.764</f>
        <v>1047.3258977999999</v>
      </c>
      <c r="G143" s="67"/>
      <c r="H143" s="31">
        <v>0</v>
      </c>
      <c r="I143" s="31">
        <f t="shared" si="3"/>
        <v>1675.72143648</v>
      </c>
    </row>
    <row r="144" spans="1:9" ht="20.25" customHeight="1" x14ac:dyDescent="0.25">
      <c r="A144" s="149"/>
      <c r="B144" s="150"/>
      <c r="C144" s="67">
        <v>6</v>
      </c>
      <c r="D144" s="67"/>
      <c r="E144" s="31" t="s">
        <v>153</v>
      </c>
      <c r="F144" s="67">
        <f>(3.05*5.72+2.14*2.44+3.35*3.05+3.05*3.05+2.14*1.3+2.14*1.3+0.9*3.5+(1.15*3.05+1.52*1.15+0.65*0.62)+(0.6*(3.05+3.05+0.75)))*10.764</f>
        <v>653.05295639999997</v>
      </c>
      <c r="G144" s="67"/>
      <c r="H144" s="31">
        <v>0</v>
      </c>
      <c r="I144" s="31">
        <f t="shared" si="3"/>
        <v>1044.88473024</v>
      </c>
    </row>
    <row r="145" spans="1:14" ht="20.25" customHeight="1" x14ac:dyDescent="0.25">
      <c r="A145" s="149"/>
      <c r="B145" s="150"/>
      <c r="C145" s="67">
        <v>7</v>
      </c>
      <c r="D145" s="67"/>
      <c r="E145" s="31" t="s">
        <v>153</v>
      </c>
      <c r="F145" s="67">
        <f>(3.05*5.72+2.14*2.44+3.35*3.05+3.05*3.05+2.14*1.3+2.14*1.3+0.9*3.5+(1.15*3.05+1.52*1.15+0.65*0.62)+(0.6*(3.05+3.05+0.75)))*10.764</f>
        <v>653.05295639999997</v>
      </c>
      <c r="G145" s="67"/>
      <c r="H145" s="31">
        <v>0</v>
      </c>
      <c r="I145" s="31">
        <f t="shared" si="3"/>
        <v>1044.88473024</v>
      </c>
    </row>
    <row r="146" spans="1:14" ht="20.25" customHeight="1" x14ac:dyDescent="0.25">
      <c r="A146" s="151"/>
      <c r="B146" s="152"/>
      <c r="C146" s="67">
        <v>8</v>
      </c>
      <c r="D146" s="67"/>
      <c r="E146" s="31" t="s">
        <v>199</v>
      </c>
      <c r="F146" s="67">
        <f>(3.2*7.12+0.695+3.47+1.07*2.61+3.05*2.21+3.05*3.45+3.2*3.35+3.215*3.47+1.52*2.32+2.34*1.52+1.52*2.44+(0.9*(1.52+2))+(1.2*(3.6+2.85))+(0.6*(3.05+3.47)+1.395*1.555+0.745*0.855))*10.764</f>
        <v>1047.3258977999999</v>
      </c>
      <c r="G146" s="67"/>
      <c r="H146" s="31">
        <v>0</v>
      </c>
      <c r="I146" s="31">
        <f t="shared" si="3"/>
        <v>1675.72143648</v>
      </c>
    </row>
    <row r="147" spans="1:14" ht="29.25" customHeight="1" x14ac:dyDescent="0.25">
      <c r="A147" s="87" t="s">
        <v>206</v>
      </c>
      <c r="B147" s="87"/>
      <c r="C147" s="87"/>
      <c r="D147" s="87"/>
      <c r="E147" s="87"/>
      <c r="F147" s="87"/>
      <c r="G147" s="87"/>
      <c r="H147" s="87"/>
      <c r="I147" s="87"/>
    </row>
    <row r="148" spans="1:14" ht="20.25" x14ac:dyDescent="0.25">
      <c r="A148" s="147" t="str">
        <f>A147</f>
        <v xml:space="preserve"> 11th, 13th, 15th, 17th, 19th, 21st, 23rd, 25th, 27th, 29th, 31st, 33rd, 35th &amp; 37th Floor ( Part Refuge Area)</v>
      </c>
      <c r="B148" s="148"/>
      <c r="C148" s="67">
        <v>1</v>
      </c>
      <c r="D148" s="67"/>
      <c r="E148" s="31" t="s">
        <v>199</v>
      </c>
      <c r="F148" s="67">
        <f>(3.2*7.12+0.695+3.47+1.07*2.61+3.05*2.21+3.05*3.45+3.2*3.35+3.215*3.47+1.52*2.32+2.34*1.52+1.52*2.44+(0.9*(1.52+2))+(1.2*(3.6+2.85))+(0.6*(3.05+3.47)+1.395*1.555+0.745*0.855))*10.764</f>
        <v>1047.3258977999999</v>
      </c>
      <c r="G148" s="67"/>
      <c r="H148" s="31">
        <v>0</v>
      </c>
      <c r="I148" s="31">
        <f t="shared" ref="I148:I155" si="4">F148*1.6+H148</f>
        <v>1675.72143648</v>
      </c>
    </row>
    <row r="149" spans="1:14" ht="20.25" customHeight="1" x14ac:dyDescent="0.25">
      <c r="A149" s="149"/>
      <c r="B149" s="150"/>
      <c r="C149" s="67">
        <v>2</v>
      </c>
      <c r="D149" s="67"/>
      <c r="E149" s="31" t="s">
        <v>153</v>
      </c>
      <c r="F149" s="67">
        <f>(3.05*5.79+0.71*3.74+1.8*1.5+2.14*2.59+2.85*3.05+3.05*3.425+2.14*1.37+2.09*1.37+0.9*2.2+(1.2*(2.65+2.65+1.8))+(0.6*2.85))*10.764</f>
        <v>707.20933139999988</v>
      </c>
      <c r="G149" s="67"/>
      <c r="H149" s="31">
        <v>0</v>
      </c>
      <c r="I149" s="31">
        <f t="shared" si="4"/>
        <v>1131.5349302399998</v>
      </c>
    </row>
    <row r="150" spans="1:14" ht="20.25" customHeight="1" x14ac:dyDescent="0.25">
      <c r="A150" s="149"/>
      <c r="B150" s="150"/>
      <c r="C150" s="67">
        <v>3</v>
      </c>
      <c r="D150" s="67"/>
      <c r="E150" s="31" t="s">
        <v>153</v>
      </c>
      <c r="F150" s="67">
        <f>(3.05*5.79+0.71*3.74+1.8*1.5+2.14*2.59+2.85*3.05+3.05*3.425+2.14*1.37+2.09*1.37+0.9*2.2+(1.2*(2.65+2.65+1.8))+(0.6*2.85))*10.764</f>
        <v>707.20933139999988</v>
      </c>
      <c r="G150" s="67"/>
      <c r="H150" s="31">
        <v>0</v>
      </c>
      <c r="I150" s="31">
        <f t="shared" si="4"/>
        <v>1131.5349302399998</v>
      </c>
    </row>
    <row r="151" spans="1:14" ht="20.25" customHeight="1" x14ac:dyDescent="0.25">
      <c r="A151" s="149"/>
      <c r="B151" s="150"/>
      <c r="C151" s="67">
        <v>4</v>
      </c>
      <c r="D151" s="67"/>
      <c r="E151" s="31" t="s">
        <v>199</v>
      </c>
      <c r="F151" s="67">
        <f>(3.2*7.12+0.695+3.47+1.07*2.61+3.05*2.21+3.05*3.45+3.2*3.35+3.215*3.47+1.52*2.32+2.34*1.52+1.52*2.44+(0.9*(1.52+2))+(1.2*(3.6+2.85))+(0.6*(3.05+3.47)+1.395*1.555+0.745*0.855))*10.764</f>
        <v>1047.3258977999999</v>
      </c>
      <c r="G151" s="67"/>
      <c r="H151" s="31">
        <v>0</v>
      </c>
      <c r="I151" s="31">
        <f t="shared" si="4"/>
        <v>1675.72143648</v>
      </c>
    </row>
    <row r="152" spans="1:14" ht="20.25" customHeight="1" x14ac:dyDescent="0.25">
      <c r="A152" s="149"/>
      <c r="B152" s="150"/>
      <c r="C152" s="67">
        <v>5</v>
      </c>
      <c r="D152" s="67"/>
      <c r="E152" s="31" t="s">
        <v>199</v>
      </c>
      <c r="F152" s="67">
        <f>(3.2*7.12+0.695+3.47+1.07*2.61+3.05*2.21+3.05*3.45+3.2*3.35+3.215*3.47+1.52*2.32+2.34*1.52+1.52*2.44+(0.9*(1.52+2))+(1.2*(3.6+2.85))+(0.6*(3.05+3.47)+1.395*1.555+0.745*0.855))*10.764</f>
        <v>1047.3258977999999</v>
      </c>
      <c r="G152" s="67"/>
      <c r="H152" s="31">
        <v>0</v>
      </c>
      <c r="I152" s="31">
        <f t="shared" si="4"/>
        <v>1675.72143648</v>
      </c>
    </row>
    <row r="153" spans="1:14" ht="20.25" customHeight="1" x14ac:dyDescent="0.25">
      <c r="A153" s="149"/>
      <c r="B153" s="150"/>
      <c r="C153" s="67">
        <v>6</v>
      </c>
      <c r="D153" s="67"/>
      <c r="E153" s="31" t="s">
        <v>153</v>
      </c>
      <c r="F153" s="67">
        <f>(3.05*5.72+2.14*2.44+3.35*3.05+3.05*3.05+2.14*1.3+2.14*1.3+0.9*3.5+(1.15*3.05+1.52*1.15+0.65*0.62)+(0.6*(3.05+3.05+0.75)))*10.764</f>
        <v>653.05295639999997</v>
      </c>
      <c r="G153" s="67"/>
      <c r="H153" s="31">
        <v>0</v>
      </c>
      <c r="I153" s="31">
        <f t="shared" si="4"/>
        <v>1044.88473024</v>
      </c>
    </row>
    <row r="154" spans="1:14" ht="20.25" customHeight="1" x14ac:dyDescent="0.25">
      <c r="A154" s="149"/>
      <c r="B154" s="150"/>
      <c r="C154" s="67">
        <v>7</v>
      </c>
      <c r="D154" s="67"/>
      <c r="E154" s="31" t="s">
        <v>153</v>
      </c>
      <c r="F154" s="67">
        <f>(3.05*5.72+2.14*2.44+3.35*3.05+3.05*3.05+2.14*1.3+2.14*1.3+0.9*3.5+(1.15*3.05+1.52*1.15+0.65*0.62)+(0.6*(3.05+3.05+0.75)))*10.764</f>
        <v>653.05295639999997</v>
      </c>
      <c r="G154" s="67"/>
      <c r="H154" s="31">
        <v>0</v>
      </c>
      <c r="I154" s="31">
        <f t="shared" si="4"/>
        <v>1044.88473024</v>
      </c>
    </row>
    <row r="155" spans="1:14" ht="20.25" customHeight="1" x14ac:dyDescent="0.25">
      <c r="A155" s="151"/>
      <c r="B155" s="152"/>
      <c r="C155" s="67">
        <v>8</v>
      </c>
      <c r="D155" s="67"/>
      <c r="E155" s="31" t="s">
        <v>199</v>
      </c>
      <c r="F155" s="67">
        <f>(3.2*7.12+0.695+3.47+1.07*2.61+3.05*2.21+3.05*3.45+3.2*3.35+3.215*3.47+1.52*2.32+2.34*1.52+1.52*2.44+(0.9*(1.52+2))+(1.2*(3.6+2.85))+(0.6*(3.05+3.47)+1.395*1.555+0.745*0.855))*10.764</f>
        <v>1047.3258977999999</v>
      </c>
      <c r="G155" s="67"/>
      <c r="H155" s="31">
        <v>0</v>
      </c>
      <c r="I155" s="31">
        <f t="shared" si="4"/>
        <v>1675.72143648</v>
      </c>
    </row>
    <row r="156" spans="1:14" ht="21.75" customHeight="1" x14ac:dyDescent="0.25">
      <c r="A156" s="68" t="s">
        <v>271</v>
      </c>
      <c r="B156" s="69"/>
      <c r="C156" s="69"/>
      <c r="D156" s="69"/>
      <c r="E156" s="69"/>
      <c r="F156" s="69"/>
      <c r="G156" s="69"/>
      <c r="H156" s="69"/>
      <c r="I156" s="70"/>
      <c r="J156" s="9" t="s">
        <v>273</v>
      </c>
    </row>
    <row r="157" spans="1:14" ht="46.5" customHeight="1" x14ac:dyDescent="0.25">
      <c r="A157" s="68" t="s">
        <v>274</v>
      </c>
      <c r="B157" s="69"/>
      <c r="C157" s="69"/>
      <c r="D157" s="69"/>
      <c r="E157" s="69"/>
      <c r="F157" s="69"/>
      <c r="G157" s="69"/>
      <c r="H157" s="69"/>
      <c r="I157" s="70"/>
      <c r="J157" s="9" t="s">
        <v>272</v>
      </c>
    </row>
    <row r="158" spans="1:14" ht="46.5" customHeight="1" x14ac:dyDescent="0.25">
      <c r="A158" s="68" t="s">
        <v>275</v>
      </c>
      <c r="B158" s="69"/>
      <c r="C158" s="69"/>
      <c r="D158" s="69"/>
      <c r="E158" s="69"/>
      <c r="F158" s="69"/>
      <c r="G158" s="69"/>
      <c r="H158" s="69"/>
      <c r="I158" s="70"/>
    </row>
    <row r="159" spans="1:14" ht="20.25" customHeight="1" x14ac:dyDescent="0.25">
      <c r="A159" s="67" t="s">
        <v>282</v>
      </c>
      <c r="B159" s="67"/>
      <c r="C159" s="67">
        <v>1</v>
      </c>
      <c r="D159" s="67"/>
      <c r="E159" s="31" t="s">
        <v>153</v>
      </c>
      <c r="F159" s="67">
        <f>(2.58*1.07+2.08*2.44+3*5.49+2.95*3.05+3*3.3+2*(1.2*2.18)+3.4*0.9+2.65*1.19+1.78*1.17+0.6*(2.95+3))*(10.764)</f>
        <v>649.08426959999997</v>
      </c>
      <c r="G159" s="67"/>
      <c r="H159" s="31">
        <v>0</v>
      </c>
      <c r="I159" s="31">
        <f>F159*1.6+H159</f>
        <v>1038.53483136</v>
      </c>
      <c r="M159" s="67">
        <f>10.764</f>
        <v>10.763999999999999</v>
      </c>
      <c r="N159" s="67"/>
    </row>
    <row r="160" spans="1:14" ht="46.5" customHeight="1" x14ac:dyDescent="0.25">
      <c r="A160" s="68" t="s">
        <v>277</v>
      </c>
      <c r="B160" s="69"/>
      <c r="C160" s="69"/>
      <c r="D160" s="69"/>
      <c r="E160" s="69"/>
      <c r="F160" s="69"/>
      <c r="G160" s="69"/>
      <c r="H160" s="69"/>
      <c r="I160" s="70"/>
    </row>
    <row r="161" spans="1:14" ht="20.25" customHeight="1" x14ac:dyDescent="0.25">
      <c r="A161" s="67" t="s">
        <v>282</v>
      </c>
      <c r="B161" s="67"/>
      <c r="C161" s="67">
        <v>1</v>
      </c>
      <c r="D161" s="67"/>
      <c r="E161" s="31" t="s">
        <v>153</v>
      </c>
      <c r="F161" s="67">
        <f>(2.58*1.07+2.08*2.44+3*5.49+2.95*3.05+3*3.3+2*(1.2*2.18)+3.4*0.9+2.65*1.19+1.78*1.17+0.6*(2.95+3))*(10.764)</f>
        <v>649.08426959999997</v>
      </c>
      <c r="G161" s="67"/>
      <c r="H161" s="31">
        <v>0</v>
      </c>
      <c r="I161" s="31">
        <f>F161*1.6+H161</f>
        <v>1038.53483136</v>
      </c>
    </row>
    <row r="162" spans="1:14" ht="20.25" customHeight="1" x14ac:dyDescent="0.25">
      <c r="A162" s="67">
        <v>5</v>
      </c>
      <c r="B162" s="67"/>
      <c r="C162" s="67">
        <v>2</v>
      </c>
      <c r="D162" s="67"/>
      <c r="E162" s="31" t="s">
        <v>248</v>
      </c>
      <c r="F162" s="67">
        <f>(3.025*4.61+2.03*2.44+2.95*3.05+2.08*1.17+2.03*1.17+2.5*1+1.865*1.17+0.6*(3.025+2.95))*(10.764)</f>
        <v>441.01937879999997</v>
      </c>
      <c r="G162" s="67"/>
      <c r="H162" s="31">
        <v>0</v>
      </c>
      <c r="I162" s="31">
        <f>F162*1.6+H162</f>
        <v>705.63100608000002</v>
      </c>
      <c r="N162" s="9">
        <f>1+4+4+4+4+6+6</f>
        <v>29</v>
      </c>
    </row>
    <row r="163" spans="1:14" ht="20.25" customHeight="1" x14ac:dyDescent="0.25">
      <c r="A163" s="67">
        <v>6</v>
      </c>
      <c r="B163" s="67"/>
      <c r="C163" s="67">
        <v>3</v>
      </c>
      <c r="D163" s="67"/>
      <c r="E163" s="31" t="s">
        <v>248</v>
      </c>
      <c r="F163" s="67">
        <f>(3.025*4.61+2.03*2.44+3*3.05+2.08*1.17+2.03*1.17+2.5*1+1.865*1.17+0.6*(3.025+3))*(10.764)</f>
        <v>442.98380879999991</v>
      </c>
      <c r="G163" s="67"/>
      <c r="H163" s="31">
        <v>0</v>
      </c>
      <c r="I163" s="31">
        <f>F163*1.6+H163</f>
        <v>708.77409407999994</v>
      </c>
    </row>
    <row r="164" spans="1:14" ht="20.25" customHeight="1" x14ac:dyDescent="0.25">
      <c r="A164" s="67">
        <v>7</v>
      </c>
      <c r="B164" s="67"/>
      <c r="C164" s="67">
        <v>4</v>
      </c>
      <c r="D164" s="67"/>
      <c r="E164" s="31" t="s">
        <v>153</v>
      </c>
      <c r="F164" s="67">
        <f>(1.3*1.3+5.84*3.025+0.99*3.05+2.54*2.055+3.38*3+2.24*1.295+3*3.05+1.37*2.29+2.29*1+1.19*(2.75+1.93+2.85)+0.57*3)*(10.764)</f>
        <v>709.17537599999991</v>
      </c>
      <c r="G164" s="67"/>
      <c r="H164" s="31">
        <v>0</v>
      </c>
      <c r="I164" s="31">
        <f>F164*1.6+H164</f>
        <v>1134.6806015999998</v>
      </c>
    </row>
    <row r="165" spans="1:14" ht="20.25" customHeight="1" x14ac:dyDescent="0.25">
      <c r="A165" s="67">
        <v>1</v>
      </c>
      <c r="B165" s="67"/>
      <c r="C165" s="67">
        <v>5</v>
      </c>
      <c r="D165" s="67"/>
      <c r="E165" s="74" t="s">
        <v>249</v>
      </c>
      <c r="F165" s="79"/>
      <c r="G165" s="79"/>
      <c r="H165" s="79"/>
      <c r="I165" s="75"/>
    </row>
    <row r="166" spans="1:14" ht="46.5" customHeight="1" x14ac:dyDescent="0.25">
      <c r="A166" s="68" t="s">
        <v>278</v>
      </c>
      <c r="B166" s="69"/>
      <c r="C166" s="69"/>
      <c r="D166" s="69"/>
      <c r="E166" s="69"/>
      <c r="F166" s="69"/>
      <c r="G166" s="69"/>
      <c r="H166" s="69"/>
      <c r="I166" s="70"/>
    </row>
    <row r="167" spans="1:14" ht="20.25" customHeight="1" x14ac:dyDescent="0.25">
      <c r="A167" s="67" t="s">
        <v>282</v>
      </c>
      <c r="B167" s="67"/>
      <c r="C167" s="67">
        <v>1</v>
      </c>
      <c r="D167" s="67"/>
      <c r="E167" s="31" t="s">
        <v>153</v>
      </c>
      <c r="F167" s="74">
        <f>(2.58*1.07+2.08*2.44+3*5.49+2.95*3.05+3*3.3+2*(1.2*2.18)+3.4*0.9+2.65*1.19+1.78*1.17+0.6*(2.95+3))*(10.764)</f>
        <v>649.08426959999997</v>
      </c>
      <c r="G167" s="75"/>
      <c r="H167" s="31">
        <v>0</v>
      </c>
      <c r="I167" s="31">
        <f>F167*1.6+H167</f>
        <v>1038.53483136</v>
      </c>
    </row>
    <row r="168" spans="1:14" ht="20.25" customHeight="1" x14ac:dyDescent="0.25">
      <c r="A168" s="67">
        <v>5</v>
      </c>
      <c r="B168" s="67"/>
      <c r="C168" s="67">
        <v>2</v>
      </c>
      <c r="D168" s="67"/>
      <c r="E168" s="31" t="s">
        <v>248</v>
      </c>
      <c r="F168" s="74">
        <f>(3.025*4.61+2.03*2.44+2.95*3.05+2.08*1.17+2.03*1.17+2.5*1+1.865*1.17+0.6*(3.025+2.95))*(10.764)</f>
        <v>441.01937879999997</v>
      </c>
      <c r="G168" s="75"/>
      <c r="H168" s="31">
        <v>0</v>
      </c>
      <c r="I168" s="31">
        <f>F168*1.6+H168</f>
        <v>705.63100608000002</v>
      </c>
    </row>
    <row r="169" spans="1:14" ht="20.25" customHeight="1" x14ac:dyDescent="0.25">
      <c r="A169" s="67">
        <v>6</v>
      </c>
      <c r="B169" s="67"/>
      <c r="C169" s="67">
        <v>3</v>
      </c>
      <c r="D169" s="67"/>
      <c r="E169" s="31" t="s">
        <v>248</v>
      </c>
      <c r="F169" s="74">
        <f>(3.025*4.61+2.03*2.44+3*3.05+2.08*1.17+2.03*1.17+2.5*1+1.865*1.17+0.6*(3.025+3))*(10.764)</f>
        <v>442.98380879999991</v>
      </c>
      <c r="G169" s="75"/>
      <c r="H169" s="31">
        <v>0</v>
      </c>
      <c r="I169" s="31">
        <f>F169*1.6+H169</f>
        <v>708.77409407999994</v>
      </c>
    </row>
    <row r="170" spans="1:14" ht="20.25" customHeight="1" x14ac:dyDescent="0.25">
      <c r="A170" s="67">
        <v>7</v>
      </c>
      <c r="B170" s="67"/>
      <c r="C170" s="67">
        <v>4</v>
      </c>
      <c r="D170" s="67"/>
      <c r="E170" s="31" t="s">
        <v>153</v>
      </c>
      <c r="F170" s="74">
        <f>(1.3*1.3+5.84*3.025+0.99*3.05+2.54*2.055+3.38*3+2.24*1.295+3*3.05+1.37*2.29+2.29*1+1.19*(2.75+1.93+2.85)+0.57*3)*(10.764)</f>
        <v>709.17537599999991</v>
      </c>
      <c r="G170" s="75"/>
      <c r="H170" s="31">
        <v>0</v>
      </c>
      <c r="I170" s="31">
        <f>F170*1.6+H170</f>
        <v>1134.6806015999998</v>
      </c>
    </row>
    <row r="171" spans="1:14" ht="20.25" customHeight="1" x14ac:dyDescent="0.25">
      <c r="A171" s="67">
        <v>1</v>
      </c>
      <c r="B171" s="67"/>
      <c r="C171" s="67">
        <v>5</v>
      </c>
      <c r="D171" s="67"/>
      <c r="E171" s="74" t="s">
        <v>249</v>
      </c>
      <c r="F171" s="79"/>
      <c r="G171" s="79"/>
      <c r="H171" s="79"/>
      <c r="I171" s="75"/>
    </row>
    <row r="172" spans="1:14" ht="46.5" customHeight="1" x14ac:dyDescent="0.25">
      <c r="A172" s="68" t="s">
        <v>279</v>
      </c>
      <c r="B172" s="69"/>
      <c r="C172" s="69"/>
      <c r="D172" s="69"/>
      <c r="E172" s="69"/>
      <c r="F172" s="69"/>
      <c r="G172" s="69"/>
      <c r="H172" s="69"/>
      <c r="I172" s="70"/>
    </row>
    <row r="173" spans="1:14" ht="20.25" customHeight="1" x14ac:dyDescent="0.25">
      <c r="A173" s="67">
        <v>4</v>
      </c>
      <c r="B173" s="67"/>
      <c r="C173" s="67">
        <v>1</v>
      </c>
      <c r="D173" s="67"/>
      <c r="E173" s="31" t="s">
        <v>153</v>
      </c>
      <c r="F173" s="74">
        <f>(2.58*1.07+2.08*2.44+3*5.49+2.95*3.05+3*3.3+2*(1.2*2.18)+3.4*0.9+2.65*1.19+1.78*1.17+0.6*(2.95+3))*(10.764)</f>
        <v>649.08426959999997</v>
      </c>
      <c r="G173" s="75"/>
      <c r="H173" s="31">
        <v>0</v>
      </c>
      <c r="I173" s="31">
        <f>F173*1.6+H173</f>
        <v>1038.53483136</v>
      </c>
    </row>
    <row r="174" spans="1:14" ht="20.25" customHeight="1" x14ac:dyDescent="0.25">
      <c r="A174" s="67">
        <v>5</v>
      </c>
      <c r="B174" s="67"/>
      <c r="C174" s="67">
        <v>2</v>
      </c>
      <c r="D174" s="67"/>
      <c r="E174" s="31" t="s">
        <v>248</v>
      </c>
      <c r="F174" s="74">
        <f>(3.025*4.61+2.03*2.44+2.95*3.05+2.08*1.17+2.03*1.17+2.5*1+1.865*1.17+0.6*(3.025+2.95))*(10.764)</f>
        <v>441.01937879999997</v>
      </c>
      <c r="G174" s="75"/>
      <c r="H174" s="31">
        <v>0</v>
      </c>
      <c r="I174" s="31">
        <f>F174*1.6+H174</f>
        <v>705.63100608000002</v>
      </c>
    </row>
    <row r="175" spans="1:14" ht="20.25" customHeight="1" x14ac:dyDescent="0.25">
      <c r="A175" s="67">
        <v>6</v>
      </c>
      <c r="B175" s="67"/>
      <c r="C175" s="67">
        <v>3</v>
      </c>
      <c r="D175" s="67"/>
      <c r="E175" s="31" t="s">
        <v>248</v>
      </c>
      <c r="F175" s="74">
        <f>(3.025*4.61+2.03*2.44+3*3.05+2.08*1.17+2.03*1.17+2.5*1+1.865*1.17+0.6*(3.025+3))*(10.764)</f>
        <v>442.98380879999991</v>
      </c>
      <c r="G175" s="75"/>
      <c r="H175" s="31">
        <v>0</v>
      </c>
      <c r="I175" s="31">
        <f>F175*1.6+H175</f>
        <v>708.77409407999994</v>
      </c>
    </row>
    <row r="176" spans="1:14" ht="20.25" customHeight="1" x14ac:dyDescent="0.25">
      <c r="A176" s="67">
        <v>7</v>
      </c>
      <c r="B176" s="67"/>
      <c r="C176" s="67">
        <v>4</v>
      </c>
      <c r="D176" s="67"/>
      <c r="E176" s="31" t="s">
        <v>153</v>
      </c>
      <c r="F176" s="74">
        <f>(1.3*1.3+5.84*3.025+0.99*3.05+2.54*2.055+3.38*3+2.24*1.295+3*3.05+1.37*2.29+2.29*1+1.19*(2.75+1.93+2.85)+0.57*3)*(10.764)</f>
        <v>709.17537599999991</v>
      </c>
      <c r="G176" s="75"/>
      <c r="H176" s="31">
        <v>0</v>
      </c>
      <c r="I176" s="31">
        <f>F176*1.6+H176</f>
        <v>1134.6806015999998</v>
      </c>
    </row>
    <row r="177" spans="1:9" ht="20.25" customHeight="1" x14ac:dyDescent="0.25">
      <c r="A177" s="67">
        <v>1</v>
      </c>
      <c r="B177" s="67"/>
      <c r="C177" s="67">
        <v>5</v>
      </c>
      <c r="D177" s="67"/>
      <c r="E177" s="74" t="s">
        <v>249</v>
      </c>
      <c r="F177" s="79"/>
      <c r="G177" s="79"/>
      <c r="H177" s="79"/>
      <c r="I177" s="75"/>
    </row>
    <row r="178" spans="1:9" ht="46.5" customHeight="1" x14ac:dyDescent="0.25">
      <c r="A178" s="68" t="s">
        <v>280</v>
      </c>
      <c r="B178" s="69"/>
      <c r="C178" s="69"/>
      <c r="D178" s="69"/>
      <c r="E178" s="69"/>
      <c r="F178" s="69"/>
      <c r="G178" s="69"/>
      <c r="H178" s="69"/>
      <c r="I178" s="70"/>
    </row>
    <row r="179" spans="1:9" ht="20.25" customHeight="1" x14ac:dyDescent="0.25">
      <c r="A179" s="67">
        <v>4</v>
      </c>
      <c r="B179" s="67"/>
      <c r="C179" s="67">
        <v>1</v>
      </c>
      <c r="D179" s="67"/>
      <c r="E179" s="31" t="s">
        <v>153</v>
      </c>
      <c r="F179" s="74">
        <f>(2.58*1.07+2.08*2.44+3*5.49+2.95*3.05+3*3.3+2*(1.2*2.18)+3.4*0.9+2.65*1.19+1.78*1.17+0.6*(2.95+3))*(10.764)</f>
        <v>649.08426959999997</v>
      </c>
      <c r="G179" s="75"/>
      <c r="H179" s="31">
        <v>0</v>
      </c>
      <c r="I179" s="31">
        <f>F179*1.6+H179</f>
        <v>1038.53483136</v>
      </c>
    </row>
    <row r="180" spans="1:9" ht="20.25" customHeight="1" x14ac:dyDescent="0.25">
      <c r="A180" s="67">
        <v>5</v>
      </c>
      <c r="B180" s="67"/>
      <c r="C180" s="67">
        <v>2</v>
      </c>
      <c r="D180" s="67"/>
      <c r="E180" s="31" t="s">
        <v>248</v>
      </c>
      <c r="F180" s="74">
        <f>(3.025*4.61+2.03*2.44+2.95*3.05+2.08*1.17+2.03*1.17+2.5*1+1.865*1.17+0.6*(3.025+2.95))*(10.764)</f>
        <v>441.01937879999997</v>
      </c>
      <c r="G180" s="75"/>
      <c r="H180" s="31">
        <v>0</v>
      </c>
      <c r="I180" s="31">
        <f>F180*1.6+H180</f>
        <v>705.63100608000002</v>
      </c>
    </row>
    <row r="181" spans="1:9" ht="20.25" customHeight="1" x14ac:dyDescent="0.25">
      <c r="A181" s="67">
        <v>6</v>
      </c>
      <c r="B181" s="67"/>
      <c r="C181" s="67">
        <v>3</v>
      </c>
      <c r="D181" s="67"/>
      <c r="E181" s="31" t="s">
        <v>248</v>
      </c>
      <c r="F181" s="74">
        <f>(3.025*4.61+2.03*2.44+3*3.05+2.08*1.17+2.03*1.17+2.5*1+1.865*1.17+0.6*(3.025+3))*(10.764)</f>
        <v>442.98380879999991</v>
      </c>
      <c r="G181" s="75"/>
      <c r="H181" s="31">
        <v>0</v>
      </c>
      <c r="I181" s="31">
        <f>F181*1.6+H181</f>
        <v>708.77409407999994</v>
      </c>
    </row>
    <row r="182" spans="1:9" ht="20.25" customHeight="1" x14ac:dyDescent="0.25">
      <c r="A182" s="67">
        <v>7</v>
      </c>
      <c r="B182" s="67"/>
      <c r="C182" s="67">
        <v>4</v>
      </c>
      <c r="D182" s="67"/>
      <c r="E182" s="31" t="s">
        <v>153</v>
      </c>
      <c r="F182" s="74">
        <f>(1.3*1.3+5.84*3.025+0.99*3.05+2.54*2.055+3.38*3+2.24*1.295+3*3.05+1.37*2.29+2.29*1+1.19*(2.75+1.93+2.85)+0.57*3)*(10.764)</f>
        <v>709.17537599999991</v>
      </c>
      <c r="G182" s="75"/>
      <c r="H182" s="31">
        <v>0</v>
      </c>
      <c r="I182" s="31">
        <f>F182*1.6+H182</f>
        <v>1134.6806015999998</v>
      </c>
    </row>
    <row r="183" spans="1:9" ht="20.25" customHeight="1" x14ac:dyDescent="0.25">
      <c r="A183" s="67">
        <v>1</v>
      </c>
      <c r="B183" s="67"/>
      <c r="C183" s="67">
        <v>5</v>
      </c>
      <c r="D183" s="67"/>
      <c r="E183" s="74" t="s">
        <v>250</v>
      </c>
      <c r="F183" s="79"/>
      <c r="G183" s="79"/>
      <c r="H183" s="79"/>
      <c r="I183" s="75"/>
    </row>
    <row r="184" spans="1:9" ht="46.5" customHeight="1" x14ac:dyDescent="0.25">
      <c r="A184" s="68" t="s">
        <v>276</v>
      </c>
      <c r="B184" s="69"/>
      <c r="C184" s="69"/>
      <c r="D184" s="69"/>
      <c r="E184" s="69"/>
      <c r="F184" s="69"/>
      <c r="G184" s="69"/>
      <c r="H184" s="69"/>
      <c r="I184" s="70"/>
    </row>
    <row r="185" spans="1:9" ht="20.25" customHeight="1" x14ac:dyDescent="0.25">
      <c r="A185" s="67">
        <v>3</v>
      </c>
      <c r="B185" s="67"/>
      <c r="C185" s="67">
        <v>1</v>
      </c>
      <c r="D185" s="67"/>
      <c r="E185" s="31" t="s">
        <v>153</v>
      </c>
      <c r="F185" s="74">
        <f>(2.53*1.07+2.13*2.44+3.05*5.49+3.05*3.05+3.05*3.35+2*(1.3*2.13)+3.5*0.9+2.65*1.19+1.78*1.17+0.6*(3.05+3.05))*(10.764)</f>
        <v>664.7082155999999</v>
      </c>
      <c r="G185" s="75"/>
      <c r="H185" s="31">
        <v>0</v>
      </c>
      <c r="I185" s="31">
        <f t="shared" ref="I185:I190" si="5">F185*1.6+H185</f>
        <v>1063.5331449599998</v>
      </c>
    </row>
    <row r="186" spans="1:9" ht="20.25" x14ac:dyDescent="0.25">
      <c r="A186" s="67">
        <v>4</v>
      </c>
      <c r="B186" s="67"/>
      <c r="C186" s="67">
        <v>2</v>
      </c>
      <c r="D186" s="67"/>
      <c r="E186" s="31" t="s">
        <v>153</v>
      </c>
      <c r="F186" s="74">
        <f>(2.53*1.07+2.13*2.44+3.05*5.49+3.05*3.05+3.05*3.35+2*(1.3*2.13)+3.5*0.9+2.65*1.19+1.78*1.17+0.6*(3.05+3.05))*(10.764)</f>
        <v>664.7082155999999</v>
      </c>
      <c r="G186" s="75"/>
      <c r="H186" s="31">
        <v>0</v>
      </c>
      <c r="I186" s="31">
        <f t="shared" si="5"/>
        <v>1063.5331449599998</v>
      </c>
    </row>
    <row r="187" spans="1:9" ht="20.25" customHeight="1" x14ac:dyDescent="0.25">
      <c r="A187" s="67">
        <v>5</v>
      </c>
      <c r="B187" s="67"/>
      <c r="C187" s="67">
        <v>3</v>
      </c>
      <c r="D187" s="67"/>
      <c r="E187" s="31" t="s">
        <v>248</v>
      </c>
      <c r="F187" s="74">
        <f>(3.05*4.66+2.13*2.44+3.05*3.05+2*(2.13*1.22)+2.5*1+1.865*1.17+0.6*(3.05+3.05))*(10.764)</f>
        <v>454.79998979999988</v>
      </c>
      <c r="G187" s="75"/>
      <c r="H187" s="31">
        <v>0</v>
      </c>
      <c r="I187" s="31">
        <f t="shared" si="5"/>
        <v>727.67998367999985</v>
      </c>
    </row>
    <row r="188" spans="1:9" ht="20.25" customHeight="1" x14ac:dyDescent="0.25">
      <c r="A188" s="67">
        <v>6</v>
      </c>
      <c r="B188" s="67"/>
      <c r="C188" s="67">
        <v>4</v>
      </c>
      <c r="D188" s="67"/>
      <c r="E188" s="31" t="s">
        <v>248</v>
      </c>
      <c r="F188" s="74">
        <f>(3.05*4.66+2.13*2.44+3.05*3.05+2*(2.13*1.22)+2.5*1+1.865*1.17+0.6*(3.05+3.05))*(10.764)</f>
        <v>454.79998979999988</v>
      </c>
      <c r="G188" s="75"/>
      <c r="H188" s="31">
        <v>0</v>
      </c>
      <c r="I188" s="31">
        <f t="shared" si="5"/>
        <v>727.67998367999985</v>
      </c>
    </row>
    <row r="189" spans="1:9" ht="20.25" customHeight="1" x14ac:dyDescent="0.25">
      <c r="A189" s="67">
        <v>7</v>
      </c>
      <c r="B189" s="67"/>
      <c r="C189" s="67">
        <v>5</v>
      </c>
      <c r="D189" s="67"/>
      <c r="E189" s="31" t="s">
        <v>153</v>
      </c>
      <c r="F189" s="74">
        <f>(1.3*1.3+5.84*3.05+0.99*3.05+2.59*2.13+3.43*3.05+2.29*1.37+3.05*3.05+1.37*2.29+2.29*1+1.19*(2.75+1.93+2.85)+0.57*3)*(10.764)</f>
        <v>721.59164999999985</v>
      </c>
      <c r="G189" s="75"/>
      <c r="H189" s="31">
        <v>0</v>
      </c>
      <c r="I189" s="31">
        <f t="shared" si="5"/>
        <v>1154.5466399999998</v>
      </c>
    </row>
    <row r="190" spans="1:9" ht="20.25" customHeight="1" x14ac:dyDescent="0.25">
      <c r="A190" s="67">
        <v>8</v>
      </c>
      <c r="B190" s="67"/>
      <c r="C190" s="67">
        <v>6</v>
      </c>
      <c r="D190" s="67"/>
      <c r="E190" s="31" t="s">
        <v>153</v>
      </c>
      <c r="F190" s="74">
        <f>(1.3*1.3+5.84*3.05+0.99*3.05+2.59*2.13+3.43*3.05+2.29*1.37+3.05*3.05+1.37*2.29+2.29*1+1.19*(2.75+1.93+2.85)+0.57*3)*(10.764)</f>
        <v>721.59164999999985</v>
      </c>
      <c r="G190" s="75"/>
      <c r="H190" s="31">
        <v>0</v>
      </c>
      <c r="I190" s="31">
        <f t="shared" si="5"/>
        <v>1154.5466399999998</v>
      </c>
    </row>
    <row r="191" spans="1:9" ht="20.25" x14ac:dyDescent="0.25">
      <c r="A191" s="68" t="s">
        <v>251</v>
      </c>
      <c r="B191" s="69"/>
      <c r="C191" s="69"/>
      <c r="D191" s="69"/>
      <c r="E191" s="69"/>
      <c r="F191" s="69"/>
      <c r="G191" s="69"/>
      <c r="H191" s="69"/>
      <c r="I191" s="70"/>
    </row>
    <row r="192" spans="1:9" ht="20.25" customHeight="1" x14ac:dyDescent="0.25">
      <c r="A192" s="67">
        <v>3</v>
      </c>
      <c r="B192" s="67"/>
      <c r="C192" s="67">
        <v>1</v>
      </c>
      <c r="D192" s="67"/>
      <c r="E192" s="31" t="s">
        <v>153</v>
      </c>
      <c r="F192" s="74">
        <f>(2.53*1.07+2.13*2.44+3.05*5.49+3.05*3.05+3.05*3.35+2*(1.3*2.13)+3.5*0.9+2.65*1.19+1.78*1.17+0.6*(3.05+3.05))*(10.764)</f>
        <v>664.7082155999999</v>
      </c>
      <c r="G192" s="75"/>
      <c r="H192" s="31">
        <v>0</v>
      </c>
      <c r="I192" s="31">
        <f t="shared" ref="I192:I197" si="6">F192*1.6+H192</f>
        <v>1063.5331449599998</v>
      </c>
    </row>
    <row r="193" spans="1:9" ht="20.25" x14ac:dyDescent="0.25">
      <c r="A193" s="67">
        <v>4</v>
      </c>
      <c r="B193" s="67"/>
      <c r="C193" s="67">
        <v>2</v>
      </c>
      <c r="D193" s="67"/>
      <c r="E193" s="31" t="s">
        <v>153</v>
      </c>
      <c r="F193" s="74">
        <f>(2.53*1.07+2.13*2.44+3.05*5.49+3.05*3.05+3.05*3.35+2*(1.3*2.13)+3.5*0.9+2.65*1.19+1.78*1.17+0.6*(3.05+3.05))*(10.764)</f>
        <v>664.7082155999999</v>
      </c>
      <c r="G193" s="75"/>
      <c r="H193" s="31">
        <v>0</v>
      </c>
      <c r="I193" s="31">
        <f t="shared" si="6"/>
        <v>1063.5331449599998</v>
      </c>
    </row>
    <row r="194" spans="1:9" ht="20.25" customHeight="1" x14ac:dyDescent="0.25">
      <c r="A194" s="67">
        <v>5</v>
      </c>
      <c r="B194" s="67"/>
      <c r="C194" s="67">
        <v>3</v>
      </c>
      <c r="D194" s="67"/>
      <c r="E194" s="31" t="s">
        <v>248</v>
      </c>
      <c r="F194" s="74">
        <f>(3.05*4.66+2.13*2.44+3.05*3.05+2*(2.13*1.22)+2.5*1+1.865*1.17+0.6*(3.05+3.05))*(10.764)</f>
        <v>454.79998979999988</v>
      </c>
      <c r="G194" s="75"/>
      <c r="H194" s="31">
        <v>0</v>
      </c>
      <c r="I194" s="31">
        <f t="shared" si="6"/>
        <v>727.67998367999985</v>
      </c>
    </row>
    <row r="195" spans="1:9" ht="20.25" customHeight="1" x14ac:dyDescent="0.25">
      <c r="A195" s="67">
        <v>6</v>
      </c>
      <c r="B195" s="67"/>
      <c r="C195" s="67">
        <v>4</v>
      </c>
      <c r="D195" s="67"/>
      <c r="E195" s="31" t="s">
        <v>248</v>
      </c>
      <c r="F195" s="74">
        <f>(3.05*4.66+2.13*2.44+3.05*3.05+2*(2.13*1.22)+2.5*1+1.865*1.17+0.6*(3.05+3.05))*(10.764)</f>
        <v>454.79998979999988</v>
      </c>
      <c r="G195" s="75"/>
      <c r="H195" s="31">
        <v>0</v>
      </c>
      <c r="I195" s="31">
        <f t="shared" si="6"/>
        <v>727.67998367999985</v>
      </c>
    </row>
    <row r="196" spans="1:9" ht="20.25" customHeight="1" x14ac:dyDescent="0.25">
      <c r="A196" s="67">
        <v>7</v>
      </c>
      <c r="B196" s="67"/>
      <c r="C196" s="67">
        <v>5</v>
      </c>
      <c r="D196" s="67"/>
      <c r="E196" s="31" t="s">
        <v>153</v>
      </c>
      <c r="F196" s="74">
        <f>(1.3*1.3+5.84*3.05+0.99*3.05+2.59*2.13+3.43*3.05+2.29*1.37+3.05*3.05+1.37*2.29+2.29*1+1.19*(2.75+1.93+2.85)+0.57*3)*(10.764)</f>
        <v>721.59164999999985</v>
      </c>
      <c r="G196" s="75"/>
      <c r="H196" s="31">
        <v>0</v>
      </c>
      <c r="I196" s="31">
        <f t="shared" si="6"/>
        <v>1154.5466399999998</v>
      </c>
    </row>
    <row r="197" spans="1:9" ht="20.25" customHeight="1" x14ac:dyDescent="0.25">
      <c r="A197" s="67">
        <v>8</v>
      </c>
      <c r="B197" s="67"/>
      <c r="C197" s="67">
        <v>6</v>
      </c>
      <c r="D197" s="67"/>
      <c r="E197" s="31" t="s">
        <v>153</v>
      </c>
      <c r="F197" s="74">
        <f>(1.3*1.3+5.84*3.05+0.99*3.05+2.59*2.13+3.43*3.05+2.29*1.37+3.05*3.05+1.37*2.29+2.29*1+1.19*(2.75+1.93+2.85)+0.57*3)*(10.764)</f>
        <v>721.59164999999985</v>
      </c>
      <c r="G197" s="75"/>
      <c r="H197" s="31">
        <v>0</v>
      </c>
      <c r="I197" s="31">
        <f t="shared" si="6"/>
        <v>1154.5466399999998</v>
      </c>
    </row>
    <row r="198" spans="1:9" ht="20.25" x14ac:dyDescent="0.25">
      <c r="A198" s="68" t="s">
        <v>252</v>
      </c>
      <c r="B198" s="69"/>
      <c r="C198" s="69"/>
      <c r="D198" s="69"/>
      <c r="E198" s="69"/>
      <c r="F198" s="69"/>
      <c r="G198" s="69"/>
      <c r="H198" s="69"/>
      <c r="I198" s="70"/>
    </row>
    <row r="199" spans="1:9" ht="20.25" customHeight="1" x14ac:dyDescent="0.25">
      <c r="A199" s="67">
        <v>1</v>
      </c>
      <c r="B199" s="67"/>
      <c r="C199" s="67">
        <v>1</v>
      </c>
      <c r="D199" s="67"/>
      <c r="E199" s="31" t="s">
        <v>248</v>
      </c>
      <c r="F199" s="74">
        <f>(3.05*4.66+2.13*2.44+3.05*3.05+2*(2.13*1.22)+2.5*1+1.865*1.17+0.6*(3.05+3.05))*(10.764)</f>
        <v>454.79998979999988</v>
      </c>
      <c r="G199" s="75"/>
      <c r="H199" s="31">
        <v>0</v>
      </c>
      <c r="I199" s="31">
        <f>F199*1.6+H199</f>
        <v>727.67998367999985</v>
      </c>
    </row>
    <row r="200" spans="1:9" ht="20.25" customHeight="1" x14ac:dyDescent="0.25">
      <c r="A200" s="67">
        <v>2</v>
      </c>
      <c r="B200" s="67"/>
      <c r="C200" s="67">
        <v>2</v>
      </c>
      <c r="D200" s="67"/>
      <c r="E200" s="31" t="s">
        <v>248</v>
      </c>
      <c r="F200" s="74">
        <f>(3.05*4.66+2.13*2.44+3.05*3.05+2*(2.13*1.22)+2.5*1+1.865*1.17+0.6*(3.05+3.05))*(10.764)</f>
        <v>454.79998979999988</v>
      </c>
      <c r="G200" s="75"/>
      <c r="H200" s="31">
        <v>0</v>
      </c>
      <c r="I200" s="31">
        <f>F200*1.6+H200</f>
        <v>727.67998367999985</v>
      </c>
    </row>
    <row r="201" spans="1:9" ht="20.25" customHeight="1" x14ac:dyDescent="0.25">
      <c r="A201" s="67">
        <v>3</v>
      </c>
      <c r="B201" s="67"/>
      <c r="C201" s="67">
        <v>3</v>
      </c>
      <c r="D201" s="67"/>
      <c r="E201" s="31" t="s">
        <v>153</v>
      </c>
      <c r="F201" s="74">
        <f>(2.53*1.07+2.13*2.44+3.05*5.49+3.05*3.05+3.05*3.35+2*(1.3*2.13)+3.5*0.9+2.65*1.19+1.78*1.17+0.6*(3.05+3.05))*(10.764)</f>
        <v>664.7082155999999</v>
      </c>
      <c r="G201" s="75"/>
      <c r="H201" s="31">
        <v>0</v>
      </c>
      <c r="I201" s="31">
        <f t="shared" ref="I201:I206" si="7">F201*1.6+H201</f>
        <v>1063.5331449599998</v>
      </c>
    </row>
    <row r="202" spans="1:9" ht="20.25" x14ac:dyDescent="0.25">
      <c r="A202" s="67">
        <v>4</v>
      </c>
      <c r="B202" s="67"/>
      <c r="C202" s="67">
        <v>4</v>
      </c>
      <c r="D202" s="67"/>
      <c r="E202" s="31" t="s">
        <v>153</v>
      </c>
      <c r="F202" s="74">
        <f>(2.53*1.07+2.13*2.44+3.05*5.49+3.05*3.05+3.05*3.35+2*(1.3*2.13)+3.5*0.9+2.65*1.19+1.78*1.17+0.6*(3.05+3.05))*(10.764)</f>
        <v>664.7082155999999</v>
      </c>
      <c r="G202" s="75"/>
      <c r="H202" s="31">
        <v>0</v>
      </c>
      <c r="I202" s="31">
        <f t="shared" si="7"/>
        <v>1063.5331449599998</v>
      </c>
    </row>
    <row r="203" spans="1:9" ht="20.25" customHeight="1" x14ac:dyDescent="0.25">
      <c r="A203" s="67">
        <v>5</v>
      </c>
      <c r="B203" s="67"/>
      <c r="C203" s="67">
        <v>5</v>
      </c>
      <c r="D203" s="67"/>
      <c r="E203" s="31" t="s">
        <v>248</v>
      </c>
      <c r="F203" s="74">
        <f>(3.05*4.66+2.13*2.44+3.05*3.05+2*(2.13*1.22)+2.5*1+1.865*1.17+0.6*(3.05+3.05))*(10.764)</f>
        <v>454.79998979999988</v>
      </c>
      <c r="G203" s="75"/>
      <c r="H203" s="31">
        <v>0</v>
      </c>
      <c r="I203" s="31">
        <f t="shared" si="7"/>
        <v>727.67998367999985</v>
      </c>
    </row>
    <row r="204" spans="1:9" ht="20.25" customHeight="1" x14ac:dyDescent="0.25">
      <c r="A204" s="67">
        <v>6</v>
      </c>
      <c r="B204" s="67"/>
      <c r="C204" s="67">
        <v>6</v>
      </c>
      <c r="D204" s="67"/>
      <c r="E204" s="31" t="s">
        <v>248</v>
      </c>
      <c r="F204" s="74">
        <f>(3.05*4.66+2.13*2.44+3.05*3.05+2*(2.13*1.22)+2.5*1+1.865*1.17+0.6*(3.05+3.05))*(10.764)</f>
        <v>454.79998979999988</v>
      </c>
      <c r="G204" s="75"/>
      <c r="H204" s="31">
        <v>0</v>
      </c>
      <c r="I204" s="31">
        <f t="shared" si="7"/>
        <v>727.67998367999985</v>
      </c>
    </row>
    <row r="205" spans="1:9" ht="20.25" customHeight="1" x14ac:dyDescent="0.25">
      <c r="A205" s="67">
        <v>7</v>
      </c>
      <c r="B205" s="67"/>
      <c r="C205" s="67">
        <v>7</v>
      </c>
      <c r="D205" s="67"/>
      <c r="E205" s="31" t="s">
        <v>153</v>
      </c>
      <c r="F205" s="74">
        <f>(1.3*1.3+5.84*3.05+0.99*3.05+2.59*2.13+3.43*3.05+2.29*1.37+3.05*3.05+1.37*2.29+2.29*1+1.19*(2.75+1.93+2.85)+0.57*3)*(10.764)</f>
        <v>721.59164999999985</v>
      </c>
      <c r="G205" s="75"/>
      <c r="H205" s="31">
        <v>0</v>
      </c>
      <c r="I205" s="31">
        <f t="shared" si="7"/>
        <v>1154.5466399999998</v>
      </c>
    </row>
    <row r="206" spans="1:9" ht="20.25" customHeight="1" x14ac:dyDescent="0.25">
      <c r="A206" s="67">
        <v>8</v>
      </c>
      <c r="B206" s="67"/>
      <c r="C206" s="67">
        <v>8</v>
      </c>
      <c r="D206" s="67"/>
      <c r="E206" s="31" t="s">
        <v>153</v>
      </c>
      <c r="F206" s="74">
        <f>(1.3*1.3+5.84*3.05+0.99*3.05+2.59*2.13+3.43*3.05+2.29*1.37+3.05*3.05+1.37*2.29+2.29*1+1.19*(2.75+1.93+2.85)+0.57*3)*(10.764)</f>
        <v>721.59164999999985</v>
      </c>
      <c r="G206" s="75"/>
      <c r="H206" s="31">
        <v>0</v>
      </c>
      <c r="I206" s="31">
        <f t="shared" si="7"/>
        <v>1154.5466399999998</v>
      </c>
    </row>
    <row r="207" spans="1:9" ht="20.25" x14ac:dyDescent="0.25">
      <c r="A207" s="68" t="s">
        <v>253</v>
      </c>
      <c r="B207" s="69"/>
      <c r="C207" s="69"/>
      <c r="D207" s="69"/>
      <c r="E207" s="69"/>
      <c r="F207" s="69"/>
      <c r="G207" s="69"/>
      <c r="H207" s="69"/>
      <c r="I207" s="70"/>
    </row>
    <row r="208" spans="1:9" ht="20.25" customHeight="1" x14ac:dyDescent="0.25">
      <c r="A208" s="67">
        <v>1</v>
      </c>
      <c r="B208" s="67"/>
      <c r="C208" s="74">
        <v>1</v>
      </c>
      <c r="D208" s="75"/>
      <c r="E208" s="31" t="s">
        <v>248</v>
      </c>
      <c r="F208" s="74">
        <f>(3.05*4.66+2.13*2.44+3.05*3.05+2*(2.13*1.22)+2.5*1+1.865*1.17+0.6*(3.05+3.05))*(10.764)</f>
        <v>454.79998979999988</v>
      </c>
      <c r="G208" s="75"/>
      <c r="H208" s="31">
        <v>0</v>
      </c>
      <c r="I208" s="31">
        <f t="shared" ref="I208:I215" si="8">F208*1.6+H208</f>
        <v>727.67998367999985</v>
      </c>
    </row>
    <row r="209" spans="1:9" ht="20.25" customHeight="1" x14ac:dyDescent="0.25">
      <c r="A209" s="67">
        <v>2</v>
      </c>
      <c r="B209" s="67"/>
      <c r="C209" s="74">
        <v>2</v>
      </c>
      <c r="D209" s="75"/>
      <c r="E209" s="31" t="s">
        <v>248</v>
      </c>
      <c r="F209" s="74">
        <f>(3.05*4.66+2.13*2.44+3.05*3.05+2*(2.13*1.22)+2.5*1+1.865*1.17+0.6*(3.05+3.05))*(10.764)</f>
        <v>454.79998979999988</v>
      </c>
      <c r="G209" s="75"/>
      <c r="H209" s="31">
        <v>0</v>
      </c>
      <c r="I209" s="31">
        <f t="shared" si="8"/>
        <v>727.67998367999985</v>
      </c>
    </row>
    <row r="210" spans="1:9" ht="20.25" customHeight="1" x14ac:dyDescent="0.25">
      <c r="A210" s="67">
        <v>3</v>
      </c>
      <c r="B210" s="67"/>
      <c r="C210" s="74">
        <v>3</v>
      </c>
      <c r="D210" s="75"/>
      <c r="E210" s="31" t="s">
        <v>153</v>
      </c>
      <c r="F210" s="74">
        <f>(2.53*1.07+2.13*2.44+3.05*5.49+3.05*3.05+3.05*3.35+2*(1.3*2.13)+3.5*0.9+2.65*1.19+1.78*1.17+0.6*(3.05+3.05))*(10.764)</f>
        <v>664.7082155999999</v>
      </c>
      <c r="G210" s="75"/>
      <c r="H210" s="31">
        <v>0</v>
      </c>
      <c r="I210" s="31">
        <f t="shared" si="8"/>
        <v>1063.5331449599998</v>
      </c>
    </row>
    <row r="211" spans="1:9" ht="20.25" x14ac:dyDescent="0.25">
      <c r="A211" s="67">
        <v>4</v>
      </c>
      <c r="B211" s="67"/>
      <c r="C211" s="74">
        <v>4</v>
      </c>
      <c r="D211" s="75"/>
      <c r="E211" s="31" t="s">
        <v>153</v>
      </c>
      <c r="F211" s="74">
        <f>(2.53*1.07+2.13*2.44+3.05*5.49+3.05*3.05+3.05*3.35+2*(1.3*2.13)+3.5*0.9+2.65*1.19+1.78*1.17+0.6*(3.05+3.05))*(10.764)</f>
        <v>664.7082155999999</v>
      </c>
      <c r="G211" s="75"/>
      <c r="H211" s="31">
        <v>0</v>
      </c>
      <c r="I211" s="31">
        <f t="shared" si="8"/>
        <v>1063.5331449599998</v>
      </c>
    </row>
    <row r="212" spans="1:9" ht="20.25" customHeight="1" x14ac:dyDescent="0.25">
      <c r="A212" s="67">
        <v>5</v>
      </c>
      <c r="B212" s="67"/>
      <c r="C212" s="74">
        <v>5</v>
      </c>
      <c r="D212" s="75"/>
      <c r="E212" s="31" t="s">
        <v>248</v>
      </c>
      <c r="F212" s="74">
        <f>(3.05*4.66+2.13*2.44+3.05*3.05+2*(2.13*1.22)+2.5*1+1.865*1.17+0.6*(3.05+3.05))*(10.764)</f>
        <v>454.79998979999988</v>
      </c>
      <c r="G212" s="75"/>
      <c r="H212" s="31">
        <v>0</v>
      </c>
      <c r="I212" s="31">
        <f t="shared" si="8"/>
        <v>727.67998367999985</v>
      </c>
    </row>
    <row r="213" spans="1:9" ht="20.25" customHeight="1" x14ac:dyDescent="0.25">
      <c r="A213" s="67">
        <v>6</v>
      </c>
      <c r="B213" s="67"/>
      <c r="C213" s="74">
        <v>6</v>
      </c>
      <c r="D213" s="75"/>
      <c r="E213" s="31" t="s">
        <v>248</v>
      </c>
      <c r="F213" s="74">
        <f>(3.05*4.66+2.13*2.44+3.05*3.05+2*(2.13*1.22)+2.5*1+1.865*1.17+0.6*(3.05+3.05))*(10.764)</f>
        <v>454.79998979999988</v>
      </c>
      <c r="G213" s="75"/>
      <c r="H213" s="31">
        <v>0</v>
      </c>
      <c r="I213" s="31">
        <f t="shared" si="8"/>
        <v>727.67998367999985</v>
      </c>
    </row>
    <row r="214" spans="1:9" ht="20.25" customHeight="1" x14ac:dyDescent="0.25">
      <c r="A214" s="67">
        <v>7</v>
      </c>
      <c r="B214" s="67"/>
      <c r="C214" s="74">
        <v>7</v>
      </c>
      <c r="D214" s="75"/>
      <c r="E214" s="31" t="s">
        <v>153</v>
      </c>
      <c r="F214" s="74">
        <f>(1.3*1.3+5.84*3.05+0.99*3.05+2.59*2.13+3.43*3.05+2.29*1.37+3.05*3.05+1.37*2.29+2.29*1+1.19*(2.75+1.93+2.85)+0.57*3)*(10.764)</f>
        <v>721.59164999999985</v>
      </c>
      <c r="G214" s="75"/>
      <c r="H214" s="31">
        <v>0</v>
      </c>
      <c r="I214" s="31">
        <f t="shared" si="8"/>
        <v>1154.5466399999998</v>
      </c>
    </row>
    <row r="215" spans="1:9" ht="20.25" customHeight="1" x14ac:dyDescent="0.25">
      <c r="A215" s="67">
        <v>8</v>
      </c>
      <c r="B215" s="67"/>
      <c r="C215" s="74">
        <v>8</v>
      </c>
      <c r="D215" s="75"/>
      <c r="E215" s="31" t="s">
        <v>153</v>
      </c>
      <c r="F215" s="74">
        <f>(1.3*1.3+5.84*3.05+0.99*3.05+2.59*2.13+3.43*3.05+2.29*1.37+3.05*3.05+1.37*2.29+2.29*1+1.19*(2.75+1.93+2.85)+0.57*3)*(10.764)</f>
        <v>721.59164999999985</v>
      </c>
      <c r="G215" s="75"/>
      <c r="H215" s="31">
        <v>0</v>
      </c>
      <c r="I215" s="31">
        <f t="shared" si="8"/>
        <v>1154.5466399999998</v>
      </c>
    </row>
    <row r="216" spans="1:9" ht="20.25" x14ac:dyDescent="0.25">
      <c r="A216" s="68" t="s">
        <v>254</v>
      </c>
      <c r="B216" s="69"/>
      <c r="C216" s="69"/>
      <c r="D216" s="69"/>
      <c r="E216" s="69"/>
      <c r="F216" s="69"/>
      <c r="G216" s="69"/>
      <c r="H216" s="69"/>
      <c r="I216" s="70"/>
    </row>
    <row r="217" spans="1:9" ht="20.25" customHeight="1" x14ac:dyDescent="0.25">
      <c r="A217" s="67">
        <v>1</v>
      </c>
      <c r="B217" s="67"/>
      <c r="C217" s="74">
        <v>1</v>
      </c>
      <c r="D217" s="75"/>
      <c r="E217" s="31" t="s">
        <v>248</v>
      </c>
      <c r="F217" s="74">
        <f>(3.05*4.66+2.13*2.44+3.05*3.05+2*(2.13*1.22)+2.5*1+1.865*1.17+0.6*(3.05+3.05))*(10.764)</f>
        <v>454.79998979999988</v>
      </c>
      <c r="G217" s="75"/>
      <c r="H217" s="31">
        <v>0</v>
      </c>
      <c r="I217" s="31">
        <f t="shared" ref="I217:I224" si="9">F217*1.6+H217</f>
        <v>727.67998367999985</v>
      </c>
    </row>
    <row r="218" spans="1:9" ht="20.25" customHeight="1" x14ac:dyDescent="0.25">
      <c r="A218" s="67">
        <v>2</v>
      </c>
      <c r="B218" s="67"/>
      <c r="C218" s="74">
        <v>2</v>
      </c>
      <c r="D218" s="75"/>
      <c r="E218" s="31" t="s">
        <v>248</v>
      </c>
      <c r="F218" s="74">
        <f>(3.05*4.66+2.13*2.44+3.05*3.05+2*(2.13*1.22)+2.5*1+1.865*1.17+0.6*(3.05+3.05))*(10.764)</f>
        <v>454.79998979999988</v>
      </c>
      <c r="G218" s="75"/>
      <c r="H218" s="31">
        <v>0</v>
      </c>
      <c r="I218" s="31">
        <f t="shared" si="9"/>
        <v>727.67998367999985</v>
      </c>
    </row>
    <row r="219" spans="1:9" ht="20.25" customHeight="1" x14ac:dyDescent="0.25">
      <c r="A219" s="67">
        <v>3</v>
      </c>
      <c r="B219" s="67"/>
      <c r="C219" s="74">
        <v>3</v>
      </c>
      <c r="D219" s="75"/>
      <c r="E219" s="31" t="s">
        <v>153</v>
      </c>
      <c r="F219" s="74">
        <f>(2.53*1.07+2.13*2.44+3.05*5.49+3.05*3.05+3.05*3.35+2*(1.3*2.13)+3.5*0.9+2.65*1.19+1.78*1.17+0.6*(3.05+3.05))*(10.764)</f>
        <v>664.7082155999999</v>
      </c>
      <c r="G219" s="75"/>
      <c r="H219" s="31">
        <v>0</v>
      </c>
      <c r="I219" s="31">
        <f t="shared" si="9"/>
        <v>1063.5331449599998</v>
      </c>
    </row>
    <row r="220" spans="1:9" ht="20.25" x14ac:dyDescent="0.25">
      <c r="A220" s="67">
        <v>4</v>
      </c>
      <c r="B220" s="67"/>
      <c r="C220" s="74">
        <v>4</v>
      </c>
      <c r="D220" s="75"/>
      <c r="E220" s="31" t="s">
        <v>153</v>
      </c>
      <c r="F220" s="74">
        <f>(2.53*1.07+2.13*2.44+3.05*5.49+3.05*3.05+3.05*3.35+2*(1.3*2.13)+3.5*0.9+2.65*1.19+1.78*1.17+0.6*(3.05+3.05))*(10.764)</f>
        <v>664.7082155999999</v>
      </c>
      <c r="G220" s="75"/>
      <c r="H220" s="31">
        <v>0</v>
      </c>
      <c r="I220" s="31">
        <f t="shared" si="9"/>
        <v>1063.5331449599998</v>
      </c>
    </row>
    <row r="221" spans="1:9" ht="20.25" customHeight="1" x14ac:dyDescent="0.25">
      <c r="A221" s="67">
        <v>5</v>
      </c>
      <c r="B221" s="67"/>
      <c r="C221" s="74">
        <v>5</v>
      </c>
      <c r="D221" s="75"/>
      <c r="E221" s="31" t="s">
        <v>248</v>
      </c>
      <c r="F221" s="74">
        <f>(3.05*4.66+2.13*2.44+3.05*3.05+2*(2.13*1.22)+2.5*1+1.865*1.17+0.6*(3.05+3.05))*(10.764)</f>
        <v>454.79998979999988</v>
      </c>
      <c r="G221" s="75"/>
      <c r="H221" s="31">
        <v>0</v>
      </c>
      <c r="I221" s="31">
        <f t="shared" si="9"/>
        <v>727.67998367999985</v>
      </c>
    </row>
    <row r="222" spans="1:9" ht="20.25" customHeight="1" x14ac:dyDescent="0.25">
      <c r="A222" s="67">
        <v>6</v>
      </c>
      <c r="B222" s="67"/>
      <c r="C222" s="74">
        <v>6</v>
      </c>
      <c r="D222" s="75"/>
      <c r="E222" s="31" t="s">
        <v>248</v>
      </c>
      <c r="F222" s="74">
        <f>(3.05*4.66+2.13*2.44+3.05*3.05+2*(2.13*1.22)+2.5*1+1.865*1.17+0.6*(3.05+3.05))*(10.764)</f>
        <v>454.79998979999988</v>
      </c>
      <c r="G222" s="75"/>
      <c r="H222" s="31">
        <v>0</v>
      </c>
      <c r="I222" s="31">
        <f t="shared" si="9"/>
        <v>727.67998367999985</v>
      </c>
    </row>
    <row r="223" spans="1:9" ht="20.25" customHeight="1" x14ac:dyDescent="0.25">
      <c r="A223" s="67">
        <v>7</v>
      </c>
      <c r="B223" s="67"/>
      <c r="C223" s="74">
        <v>7</v>
      </c>
      <c r="D223" s="75"/>
      <c r="E223" s="31" t="s">
        <v>153</v>
      </c>
      <c r="F223" s="74">
        <f>(1.3*1.3+5.84*3.05+0.99*3.05+2.59*2.13+3.43*3.05+2.29*1.37+3.05*3.05+1.37*2.29+2.29*1+1.19*(2.75+1.93+2.85)+0.57*3)*(10.764)</f>
        <v>721.59164999999985</v>
      </c>
      <c r="G223" s="75"/>
      <c r="H223" s="31">
        <v>0</v>
      </c>
      <c r="I223" s="31">
        <f t="shared" si="9"/>
        <v>1154.5466399999998</v>
      </c>
    </row>
    <row r="224" spans="1:9" ht="20.25" customHeight="1" x14ac:dyDescent="0.25">
      <c r="A224" s="67">
        <v>8</v>
      </c>
      <c r="B224" s="67"/>
      <c r="C224" s="74">
        <v>8</v>
      </c>
      <c r="D224" s="75"/>
      <c r="E224" s="31" t="s">
        <v>153</v>
      </c>
      <c r="F224" s="74">
        <f>(1.3*1.3+5.84*3.05+0.99*3.05+2.59*2.13+3.43*3.05+2.29*1.37+3.05*3.05+1.37*2.29+2.29*1+1.19*(2.75+1.93+2.85)+0.57*3)*(10.764)</f>
        <v>721.59164999999985</v>
      </c>
      <c r="G224" s="75"/>
      <c r="H224" s="31">
        <v>0</v>
      </c>
      <c r="I224" s="31">
        <f t="shared" si="9"/>
        <v>1154.5466399999998</v>
      </c>
    </row>
    <row r="225" spans="1:9" ht="20.25" x14ac:dyDescent="0.25">
      <c r="A225" s="68" t="s">
        <v>255</v>
      </c>
      <c r="B225" s="69"/>
      <c r="C225" s="69"/>
      <c r="D225" s="69"/>
      <c r="E225" s="69"/>
      <c r="F225" s="69"/>
      <c r="G225" s="69"/>
      <c r="H225" s="69"/>
      <c r="I225" s="70"/>
    </row>
    <row r="226" spans="1:9" ht="20.25" customHeight="1" x14ac:dyDescent="0.25">
      <c r="A226" s="67">
        <v>1</v>
      </c>
      <c r="B226" s="67"/>
      <c r="C226" s="74">
        <v>1</v>
      </c>
      <c r="D226" s="75"/>
      <c r="E226" s="31" t="s">
        <v>248</v>
      </c>
      <c r="F226" s="74">
        <f>(3.05*4.66+2.13*2.44+3.05*3.05+2*(2.13*1.22)+2.5*1+1.865*1.17+0.6*(3.05+3.05))*(10.764)</f>
        <v>454.79998979999988</v>
      </c>
      <c r="G226" s="75"/>
      <c r="H226" s="31">
        <v>0</v>
      </c>
      <c r="I226" s="31">
        <f t="shared" ref="I226:I233" si="10">F226*1.6+H226</f>
        <v>727.67998367999985</v>
      </c>
    </row>
    <row r="227" spans="1:9" ht="20.25" customHeight="1" x14ac:dyDescent="0.25">
      <c r="A227" s="67">
        <v>2</v>
      </c>
      <c r="B227" s="67"/>
      <c r="C227" s="74">
        <v>2</v>
      </c>
      <c r="D227" s="75"/>
      <c r="E227" s="31" t="s">
        <v>248</v>
      </c>
      <c r="F227" s="74">
        <f>(3.05*4.66+2.13*2.44+3.05*3.05+2*(2.13*1.22)+2.5*1+1.865*1.17+0.6*(3.05+3.05))*(10.764)</f>
        <v>454.79998979999988</v>
      </c>
      <c r="G227" s="75"/>
      <c r="H227" s="31">
        <v>0</v>
      </c>
      <c r="I227" s="31">
        <f t="shared" si="10"/>
        <v>727.67998367999985</v>
      </c>
    </row>
    <row r="228" spans="1:9" ht="20.25" customHeight="1" x14ac:dyDescent="0.25">
      <c r="A228" s="67">
        <v>3</v>
      </c>
      <c r="B228" s="67"/>
      <c r="C228" s="76" t="s">
        <v>256</v>
      </c>
      <c r="D228" s="77"/>
      <c r="E228" s="77"/>
      <c r="F228" s="77"/>
      <c r="G228" s="77"/>
      <c r="H228" s="77"/>
      <c r="I228" s="78"/>
    </row>
    <row r="229" spans="1:9" ht="20.25" x14ac:dyDescent="0.25">
      <c r="A229" s="67">
        <v>4</v>
      </c>
      <c r="B229" s="67"/>
      <c r="C229" s="74">
        <v>3</v>
      </c>
      <c r="D229" s="75"/>
      <c r="E229" s="31" t="s">
        <v>153</v>
      </c>
      <c r="F229" s="74">
        <f>(2.53*1.07+2.13*2.44+3.05*5.49+3.05*3.05+3.05*3.35+2*(1.3*2.13)+3.5*0.9+2.65*1.19+1.78*1.17+0.6*(3.05+3.05))*(10.764)</f>
        <v>664.7082155999999</v>
      </c>
      <c r="G229" s="75"/>
      <c r="H229" s="31">
        <v>0</v>
      </c>
      <c r="I229" s="31">
        <f t="shared" si="10"/>
        <v>1063.5331449599998</v>
      </c>
    </row>
    <row r="230" spans="1:9" ht="20.25" customHeight="1" x14ac:dyDescent="0.25">
      <c r="A230" s="67">
        <v>5</v>
      </c>
      <c r="B230" s="67"/>
      <c r="C230" s="74">
        <v>4</v>
      </c>
      <c r="D230" s="75"/>
      <c r="E230" s="31" t="s">
        <v>248</v>
      </c>
      <c r="F230" s="74">
        <f>(3.05*4.66+2.13*2.44+3.05*3.05+2*(2.13*1.22)+2.5*1+1.865*1.17+0.6*(3.05+3.05))*(10.764)</f>
        <v>454.79998979999988</v>
      </c>
      <c r="G230" s="75"/>
      <c r="H230" s="31">
        <v>0</v>
      </c>
      <c r="I230" s="31">
        <f t="shared" si="10"/>
        <v>727.67998367999985</v>
      </c>
    </row>
    <row r="231" spans="1:9" ht="20.25" customHeight="1" x14ac:dyDescent="0.25">
      <c r="A231" s="67">
        <v>6</v>
      </c>
      <c r="B231" s="67"/>
      <c r="C231" s="74">
        <v>5</v>
      </c>
      <c r="D231" s="75"/>
      <c r="E231" s="31" t="s">
        <v>248</v>
      </c>
      <c r="F231" s="74">
        <f>(3.05*4.66+2.13*2.44+3.05*3.05+2*(2.13*1.22)+2.5*1+1.865*1.17+0.6*(3.05+3.05))*(10.764)</f>
        <v>454.79998979999988</v>
      </c>
      <c r="G231" s="75"/>
      <c r="H231" s="31">
        <v>0</v>
      </c>
      <c r="I231" s="31">
        <f t="shared" si="10"/>
        <v>727.67998367999985</v>
      </c>
    </row>
    <row r="232" spans="1:9" ht="20.25" customHeight="1" x14ac:dyDescent="0.25">
      <c r="A232" s="67">
        <v>7</v>
      </c>
      <c r="B232" s="67"/>
      <c r="C232" s="74">
        <v>6</v>
      </c>
      <c r="D232" s="75"/>
      <c r="E232" s="31" t="s">
        <v>153</v>
      </c>
      <c r="F232" s="74">
        <f>(1.3*1.3+5.84*3.05+0.99*3.05+2.59*2.13+3.43*3.05+2.29*1.37+3.05*3.05+1.37*2.29+2.29*1+1.19*(2.75+1.93+2.85)+0.57*3)*(10.764)</f>
        <v>721.59164999999985</v>
      </c>
      <c r="G232" s="75"/>
      <c r="H232" s="31">
        <v>0</v>
      </c>
      <c r="I232" s="31">
        <f t="shared" si="10"/>
        <v>1154.5466399999998</v>
      </c>
    </row>
    <row r="233" spans="1:9" ht="20.25" customHeight="1" x14ac:dyDescent="0.25">
      <c r="A233" s="67">
        <v>8</v>
      </c>
      <c r="B233" s="67"/>
      <c r="C233" s="74">
        <v>7</v>
      </c>
      <c r="D233" s="75"/>
      <c r="E233" s="31" t="s">
        <v>153</v>
      </c>
      <c r="F233" s="74">
        <f>(1.3*1.3+5.84*3.05+0.99*3.05+2.59*2.13+3.43*3.05+2.29*1.37+3.05*3.05+1.37*2.29+2.29*1+1.19*(2.75+1.93+2.85)+0.57*3)*(10.764)</f>
        <v>721.59164999999985</v>
      </c>
      <c r="G233" s="75"/>
      <c r="H233" s="31">
        <v>0</v>
      </c>
      <c r="I233" s="31">
        <f t="shared" si="10"/>
        <v>1154.5466399999998</v>
      </c>
    </row>
    <row r="234" spans="1:9" ht="24" customHeight="1" x14ac:dyDescent="0.25">
      <c r="A234" s="68"/>
      <c r="B234" s="69"/>
      <c r="C234" s="69"/>
      <c r="D234" s="69"/>
      <c r="E234" s="69"/>
      <c r="F234" s="69"/>
      <c r="G234" s="69"/>
      <c r="H234" s="69"/>
      <c r="I234" s="70"/>
    </row>
    <row r="235" spans="1:9" ht="20.25" x14ac:dyDescent="0.25">
      <c r="A235" s="80" t="s">
        <v>74</v>
      </c>
      <c r="B235" s="80"/>
      <c r="C235" s="80"/>
      <c r="D235" s="80"/>
      <c r="E235" s="80"/>
      <c r="F235" s="80"/>
      <c r="G235" s="80"/>
      <c r="H235" s="80"/>
      <c r="I235" s="80"/>
    </row>
    <row r="236" spans="1:9" ht="171" customHeight="1" x14ac:dyDescent="0.25">
      <c r="A236" s="23" t="s">
        <v>79</v>
      </c>
      <c r="B236" s="27" t="s">
        <v>4</v>
      </c>
      <c r="C236" s="82" t="s">
        <v>286</v>
      </c>
      <c r="D236" s="82"/>
      <c r="E236" s="82"/>
      <c r="F236" s="82"/>
      <c r="G236" s="82"/>
      <c r="H236" s="82"/>
      <c r="I236" s="82"/>
    </row>
    <row r="237" spans="1:9" ht="20.25" x14ac:dyDescent="0.25">
      <c r="A237" s="80" t="s">
        <v>80</v>
      </c>
      <c r="B237" s="80"/>
      <c r="C237" s="80"/>
      <c r="D237" s="80"/>
      <c r="E237" s="80"/>
      <c r="F237" s="80"/>
      <c r="G237" s="80"/>
      <c r="H237" s="80"/>
      <c r="I237" s="80"/>
    </row>
    <row r="238" spans="1:9" ht="27" customHeight="1" x14ac:dyDescent="0.25">
      <c r="A238" s="81" t="s">
        <v>75</v>
      </c>
      <c r="B238" s="81"/>
      <c r="C238" s="81"/>
      <c r="D238" s="8" t="s">
        <v>4</v>
      </c>
      <c r="E238" s="102" t="str">
        <f>E3</f>
        <v>The Highlands at Godrej City, Panvel  (Tower 4 &amp; 5)</v>
      </c>
      <c r="F238" s="113"/>
      <c r="G238" s="113"/>
      <c r="H238" s="113"/>
      <c r="I238" s="103"/>
    </row>
    <row r="239" spans="1:9" ht="20.25" x14ac:dyDescent="0.25">
      <c r="A239" s="140" t="s">
        <v>139</v>
      </c>
      <c r="B239" s="140"/>
      <c r="C239" s="140"/>
      <c r="D239" s="13" t="s">
        <v>4</v>
      </c>
      <c r="E239" s="141" t="str">
        <f>E11</f>
        <v>The Highlands at Godrej City situated at Village- Talegaon, Taluka- Khalapur, Dist- Raigad - 410221</v>
      </c>
      <c r="F239" s="142"/>
      <c r="G239" s="142"/>
      <c r="H239" s="142"/>
      <c r="I239" s="143"/>
    </row>
    <row r="240" spans="1:9" ht="20.25" x14ac:dyDescent="0.25">
      <c r="A240" s="140" t="s">
        <v>147</v>
      </c>
      <c r="B240" s="140"/>
      <c r="C240" s="140"/>
      <c r="D240" s="13" t="s">
        <v>4</v>
      </c>
      <c r="E240" s="144" t="str">
        <f>I3</f>
        <v>04/07/2025 at 10:51AM</v>
      </c>
      <c r="F240" s="145"/>
      <c r="G240" s="145"/>
      <c r="H240" s="145"/>
      <c r="I240" s="146"/>
    </row>
    <row r="241" spans="1:9" ht="20.25" x14ac:dyDescent="0.25">
      <c r="A241" s="52"/>
      <c r="B241" s="53"/>
      <c r="C241" s="53"/>
      <c r="D241" s="53"/>
      <c r="E241" s="53"/>
      <c r="F241" s="53"/>
      <c r="G241" s="53"/>
      <c r="H241" s="53"/>
      <c r="I241" s="47"/>
    </row>
    <row r="242" spans="1:9" ht="20.25" x14ac:dyDescent="0.25">
      <c r="A242" s="54"/>
      <c r="B242" s="55"/>
      <c r="C242" s="55"/>
      <c r="D242" s="55"/>
      <c r="E242" s="55"/>
      <c r="F242" s="55"/>
      <c r="G242" s="55"/>
      <c r="H242" s="55"/>
      <c r="I242" s="48"/>
    </row>
    <row r="243" spans="1:9" ht="20.25" x14ac:dyDescent="0.25">
      <c r="A243" s="54"/>
      <c r="B243" s="55"/>
      <c r="C243" s="55"/>
      <c r="D243" s="55"/>
      <c r="E243" s="55"/>
      <c r="F243" s="55"/>
      <c r="G243" s="55"/>
      <c r="H243" s="55"/>
      <c r="I243" s="48"/>
    </row>
    <row r="244" spans="1:9" ht="20.25" x14ac:dyDescent="0.25">
      <c r="A244" s="54"/>
      <c r="B244" s="55"/>
      <c r="C244" s="55"/>
      <c r="D244" s="55"/>
      <c r="E244" s="55"/>
      <c r="F244" s="55"/>
      <c r="G244" s="55"/>
      <c r="H244" s="55"/>
      <c r="I244" s="48"/>
    </row>
    <row r="245" spans="1:9" ht="20.25" x14ac:dyDescent="0.25">
      <c r="A245" s="54"/>
      <c r="B245" s="55"/>
      <c r="C245" s="55"/>
      <c r="D245" s="55"/>
      <c r="E245" s="55"/>
      <c r="F245" s="55"/>
      <c r="G245" s="55"/>
      <c r="H245" s="55"/>
      <c r="I245" s="48"/>
    </row>
    <row r="246" spans="1:9" ht="20.25" x14ac:dyDescent="0.25">
      <c r="A246" s="54"/>
      <c r="B246" s="55"/>
      <c r="C246" s="55"/>
      <c r="D246" s="55"/>
      <c r="E246" s="55"/>
      <c r="F246" s="55"/>
      <c r="G246" s="55"/>
      <c r="H246" s="55"/>
      <c r="I246" s="48"/>
    </row>
    <row r="247" spans="1:9" ht="20.25" x14ac:dyDescent="0.25">
      <c r="A247" s="54"/>
      <c r="B247" s="55"/>
      <c r="C247" s="55"/>
      <c r="D247" s="55"/>
      <c r="E247" s="55"/>
      <c r="F247" s="55"/>
      <c r="G247" s="55"/>
      <c r="H247" s="55"/>
      <c r="I247" s="48"/>
    </row>
    <row r="248" spans="1:9" ht="20.25" x14ac:dyDescent="0.25">
      <c r="A248" s="54"/>
      <c r="B248" s="55"/>
      <c r="C248" s="55"/>
      <c r="D248" s="55"/>
      <c r="E248" s="55"/>
      <c r="F248" s="55"/>
      <c r="G248" s="55"/>
      <c r="H248" s="55"/>
      <c r="I248" s="48"/>
    </row>
    <row r="249" spans="1:9" ht="20.25" x14ac:dyDescent="0.25">
      <c r="A249" s="54"/>
      <c r="B249" s="55"/>
      <c r="C249" s="55"/>
      <c r="D249" s="55"/>
      <c r="E249" s="55"/>
      <c r="F249" s="55"/>
      <c r="G249" s="55"/>
      <c r="H249" s="55"/>
      <c r="I249" s="48"/>
    </row>
    <row r="250" spans="1:9" ht="20.25" x14ac:dyDescent="0.25">
      <c r="A250" s="54"/>
      <c r="B250" s="55"/>
      <c r="C250" s="55"/>
      <c r="D250" s="55"/>
      <c r="E250" s="55"/>
      <c r="F250" s="55"/>
      <c r="G250" s="55"/>
      <c r="H250" s="55"/>
      <c r="I250" s="48"/>
    </row>
    <row r="251" spans="1:9" ht="20.25" x14ac:dyDescent="0.25">
      <c r="A251" s="54"/>
      <c r="B251" s="55"/>
      <c r="C251" s="55"/>
      <c r="D251" s="55"/>
      <c r="E251" s="55"/>
      <c r="F251" s="55"/>
      <c r="G251" s="55"/>
      <c r="H251" s="55"/>
      <c r="I251" s="48"/>
    </row>
    <row r="252" spans="1:9" ht="20.25" x14ac:dyDescent="0.25">
      <c r="A252" s="54"/>
      <c r="B252" s="55"/>
      <c r="C252" s="55"/>
      <c r="D252" s="55"/>
      <c r="E252" s="55"/>
      <c r="F252" s="55"/>
      <c r="G252" s="55"/>
      <c r="H252" s="55"/>
      <c r="I252" s="48"/>
    </row>
    <row r="253" spans="1:9" ht="20.25" x14ac:dyDescent="0.25">
      <c r="A253" s="54"/>
      <c r="B253" s="55"/>
      <c r="C253" s="55"/>
      <c r="D253" s="55"/>
      <c r="E253" s="55"/>
      <c r="F253" s="55"/>
      <c r="G253" s="55"/>
      <c r="H253" s="55"/>
      <c r="I253" s="48"/>
    </row>
    <row r="254" spans="1:9" ht="20.25" x14ac:dyDescent="0.25">
      <c r="A254" s="54"/>
      <c r="B254" s="55"/>
      <c r="C254" s="55"/>
      <c r="D254" s="55"/>
      <c r="E254" s="55"/>
      <c r="F254" s="55"/>
      <c r="G254" s="55"/>
      <c r="H254" s="55"/>
      <c r="I254" s="48"/>
    </row>
    <row r="255" spans="1:9" ht="20.25" x14ac:dyDescent="0.25">
      <c r="A255" s="54"/>
      <c r="B255" s="55"/>
      <c r="C255" s="55"/>
      <c r="D255" s="55"/>
      <c r="E255" s="55"/>
      <c r="F255" s="55"/>
      <c r="G255" s="55"/>
      <c r="H255" s="55"/>
      <c r="I255" s="48"/>
    </row>
    <row r="256" spans="1:9" ht="20.25" x14ac:dyDescent="0.25">
      <c r="A256" s="54"/>
      <c r="B256" s="55"/>
      <c r="C256" s="55"/>
      <c r="D256" s="55"/>
      <c r="E256" s="55"/>
      <c r="F256" s="55"/>
      <c r="G256" s="55"/>
      <c r="H256" s="55"/>
      <c r="I256" s="48"/>
    </row>
    <row r="257" spans="1:9" ht="20.25" x14ac:dyDescent="0.25">
      <c r="A257" s="54"/>
      <c r="B257" s="55"/>
      <c r="C257" s="55"/>
      <c r="D257" s="55"/>
      <c r="E257" s="55"/>
      <c r="F257" s="55"/>
      <c r="G257" s="55"/>
      <c r="H257" s="55"/>
      <c r="I257" s="48"/>
    </row>
    <row r="258" spans="1:9" ht="20.25" x14ac:dyDescent="0.25">
      <c r="A258" s="54"/>
      <c r="B258" s="55"/>
      <c r="C258" s="55"/>
      <c r="D258" s="55"/>
      <c r="E258" s="55"/>
      <c r="F258" s="55"/>
      <c r="G258" s="55"/>
      <c r="H258" s="55"/>
      <c r="I258" s="48"/>
    </row>
    <row r="259" spans="1:9" ht="20.25" x14ac:dyDescent="0.25">
      <c r="A259" s="54"/>
      <c r="B259" s="55"/>
      <c r="C259" s="55"/>
      <c r="D259" s="55"/>
      <c r="E259" s="55"/>
      <c r="F259" s="55"/>
      <c r="G259" s="55"/>
      <c r="H259" s="55"/>
      <c r="I259" s="48"/>
    </row>
    <row r="260" spans="1:9" ht="20.25" x14ac:dyDescent="0.25">
      <c r="A260" s="54"/>
      <c r="B260" s="55"/>
      <c r="C260" s="55"/>
      <c r="D260" s="55"/>
      <c r="E260" s="55"/>
      <c r="F260" s="55"/>
      <c r="G260" s="55"/>
      <c r="H260" s="55"/>
      <c r="I260" s="48"/>
    </row>
    <row r="261" spans="1:9" ht="20.25" x14ac:dyDescent="0.25">
      <c r="A261" s="54"/>
      <c r="B261" s="55"/>
      <c r="C261" s="55"/>
      <c r="D261" s="55"/>
      <c r="E261" s="55"/>
      <c r="F261" s="55"/>
      <c r="G261" s="55"/>
      <c r="H261" s="55"/>
      <c r="I261" s="48"/>
    </row>
    <row r="262" spans="1:9" ht="20.25" x14ac:dyDescent="0.25">
      <c r="A262" s="54"/>
      <c r="B262" s="55"/>
      <c r="C262" s="55"/>
      <c r="D262" s="55"/>
      <c r="E262" s="55"/>
      <c r="F262" s="55"/>
      <c r="G262" s="55"/>
      <c r="H262" s="55"/>
      <c r="I262" s="48"/>
    </row>
    <row r="263" spans="1:9" ht="20.25" x14ac:dyDescent="0.25">
      <c r="A263" s="54"/>
      <c r="B263" s="55"/>
      <c r="C263" s="55"/>
      <c r="D263" s="55"/>
      <c r="E263" s="55"/>
      <c r="F263" s="55"/>
      <c r="G263" s="55"/>
      <c r="H263" s="55"/>
      <c r="I263" s="48"/>
    </row>
    <row r="264" spans="1:9" ht="20.25" x14ac:dyDescent="0.25">
      <c r="A264" s="54"/>
      <c r="B264" s="55"/>
      <c r="C264" s="55"/>
      <c r="D264" s="55"/>
      <c r="E264" s="55"/>
      <c r="F264" s="55"/>
      <c r="G264" s="55"/>
      <c r="H264" s="55"/>
      <c r="I264" s="48"/>
    </row>
    <row r="265" spans="1:9" ht="20.25" x14ac:dyDescent="0.25">
      <c r="A265" s="54"/>
      <c r="B265" s="55"/>
      <c r="C265" s="55"/>
      <c r="D265" s="55"/>
      <c r="E265" s="55"/>
      <c r="F265" s="55"/>
      <c r="G265" s="55"/>
      <c r="H265" s="55"/>
      <c r="I265" s="48"/>
    </row>
    <row r="266" spans="1:9" ht="20.25" x14ac:dyDescent="0.25">
      <c r="A266" s="54"/>
      <c r="B266" s="55"/>
      <c r="C266" s="55"/>
      <c r="D266" s="55"/>
      <c r="E266" s="55"/>
      <c r="F266" s="55"/>
      <c r="G266" s="55"/>
      <c r="H266" s="55"/>
      <c r="I266" s="48"/>
    </row>
    <row r="267" spans="1:9" ht="20.25" x14ac:dyDescent="0.25">
      <c r="A267" s="54"/>
      <c r="B267" s="55"/>
      <c r="C267" s="55"/>
      <c r="D267" s="55"/>
      <c r="E267" s="55"/>
      <c r="F267" s="55"/>
      <c r="G267" s="55"/>
      <c r="H267" s="55"/>
      <c r="I267" s="48"/>
    </row>
    <row r="268" spans="1:9" ht="20.25" x14ac:dyDescent="0.25">
      <c r="A268" s="54"/>
      <c r="B268" s="55"/>
      <c r="C268" s="55"/>
      <c r="D268" s="55"/>
      <c r="E268" s="55"/>
      <c r="F268" s="55"/>
      <c r="G268" s="55"/>
      <c r="H268" s="55"/>
      <c r="I268" s="48"/>
    </row>
    <row r="269" spans="1:9" ht="20.25" x14ac:dyDescent="0.25">
      <c r="A269" s="54"/>
      <c r="B269" s="55"/>
      <c r="C269" s="55"/>
      <c r="D269" s="55"/>
      <c r="E269" s="55"/>
      <c r="F269" s="55"/>
      <c r="G269" s="55"/>
      <c r="H269" s="55"/>
      <c r="I269" s="48"/>
    </row>
    <row r="270" spans="1:9" ht="20.25" x14ac:dyDescent="0.25">
      <c r="A270" s="54"/>
      <c r="B270" s="55"/>
      <c r="C270" s="55"/>
      <c r="D270" s="55"/>
      <c r="E270" s="55"/>
      <c r="F270" s="55"/>
      <c r="G270" s="55"/>
      <c r="H270" s="55"/>
      <c r="I270" s="48"/>
    </row>
    <row r="271" spans="1:9" ht="20.25" x14ac:dyDescent="0.25">
      <c r="A271" s="54"/>
      <c r="B271" s="55"/>
      <c r="C271" s="55"/>
      <c r="D271" s="55"/>
      <c r="E271" s="55"/>
      <c r="F271" s="55"/>
      <c r="G271" s="55"/>
      <c r="H271" s="55"/>
      <c r="I271" s="48"/>
    </row>
    <row r="272" spans="1:9" ht="20.25" x14ac:dyDescent="0.25">
      <c r="A272" s="54"/>
      <c r="B272" s="55"/>
      <c r="C272" s="55"/>
      <c r="D272" s="55"/>
      <c r="E272" s="55"/>
      <c r="F272" s="55"/>
      <c r="G272" s="55"/>
      <c r="H272" s="55"/>
      <c r="I272" s="48"/>
    </row>
    <row r="273" spans="1:9" ht="20.25" x14ac:dyDescent="0.25">
      <c r="A273" s="54"/>
      <c r="B273" s="55"/>
      <c r="C273" s="55"/>
      <c r="D273" s="55"/>
      <c r="E273" s="55"/>
      <c r="F273" s="55"/>
      <c r="G273" s="55"/>
      <c r="H273" s="55"/>
      <c r="I273" s="48"/>
    </row>
    <row r="274" spans="1:9" ht="20.25" x14ac:dyDescent="0.25">
      <c r="A274" s="54"/>
      <c r="B274" s="55"/>
      <c r="C274" s="55"/>
      <c r="D274" s="55"/>
      <c r="E274" s="55"/>
      <c r="F274" s="55"/>
      <c r="G274" s="55"/>
      <c r="H274" s="55"/>
      <c r="I274" s="48"/>
    </row>
    <row r="275" spans="1:9" ht="20.25" x14ac:dyDescent="0.25">
      <c r="A275" s="54"/>
      <c r="B275" s="55"/>
      <c r="C275" s="55"/>
      <c r="D275" s="55"/>
      <c r="E275" s="55"/>
      <c r="F275" s="55"/>
      <c r="G275" s="55"/>
      <c r="H275" s="55"/>
      <c r="I275" s="48"/>
    </row>
    <row r="276" spans="1:9" ht="20.25" x14ac:dyDescent="0.25">
      <c r="A276" s="54"/>
      <c r="B276" s="55"/>
      <c r="C276" s="55"/>
      <c r="D276" s="55"/>
      <c r="E276" s="55"/>
      <c r="F276" s="55"/>
      <c r="G276" s="55"/>
      <c r="H276" s="55"/>
      <c r="I276" s="48"/>
    </row>
    <row r="277" spans="1:9" ht="20.25" x14ac:dyDescent="0.25">
      <c r="A277" s="54"/>
      <c r="B277" s="55"/>
      <c r="C277" s="55"/>
      <c r="D277" s="55"/>
      <c r="E277" s="55"/>
      <c r="F277" s="55"/>
      <c r="G277" s="55"/>
      <c r="H277" s="55"/>
      <c r="I277" s="48"/>
    </row>
    <row r="278" spans="1:9" ht="20.25" x14ac:dyDescent="0.25">
      <c r="A278" s="54"/>
      <c r="B278" s="55"/>
      <c r="C278" s="55"/>
      <c r="D278" s="55"/>
      <c r="E278" s="55"/>
      <c r="F278" s="55"/>
      <c r="G278" s="55"/>
      <c r="H278" s="55"/>
      <c r="I278" s="48"/>
    </row>
    <row r="279" spans="1:9" ht="20.25" x14ac:dyDescent="0.25">
      <c r="A279" s="54"/>
      <c r="B279" s="55"/>
      <c r="C279" s="55"/>
      <c r="D279" s="55"/>
      <c r="E279" s="55"/>
      <c r="F279" s="55"/>
      <c r="G279" s="55"/>
      <c r="H279" s="55"/>
      <c r="I279" s="48"/>
    </row>
    <row r="280" spans="1:9" ht="20.25" x14ac:dyDescent="0.25">
      <c r="A280" s="56"/>
      <c r="B280" s="57"/>
      <c r="C280" s="57"/>
      <c r="D280" s="57"/>
      <c r="E280" s="57"/>
      <c r="F280" s="57"/>
      <c r="G280" s="57"/>
      <c r="H280" s="57"/>
      <c r="I280" s="58"/>
    </row>
    <row r="281" spans="1:9" ht="20.25" x14ac:dyDescent="0.25">
      <c r="A281" s="95" t="s">
        <v>268</v>
      </c>
      <c r="B281" s="96"/>
      <c r="C281" s="96"/>
      <c r="D281" s="96"/>
      <c r="E281" s="96"/>
      <c r="F281" s="96"/>
      <c r="G281" s="96"/>
      <c r="H281" s="96"/>
      <c r="I281" s="97"/>
    </row>
    <row r="282" spans="1:9" ht="20.25" x14ac:dyDescent="0.25">
      <c r="A282" s="52"/>
      <c r="B282" s="53"/>
      <c r="C282" s="53"/>
      <c r="D282" s="53"/>
      <c r="E282" s="53"/>
      <c r="F282" s="53"/>
      <c r="G282" s="53"/>
      <c r="H282" s="53"/>
      <c r="I282" s="47"/>
    </row>
    <row r="283" spans="1:9" ht="20.25" x14ac:dyDescent="0.25">
      <c r="A283" s="54"/>
      <c r="B283" s="55"/>
      <c r="C283" s="55"/>
      <c r="D283" s="55"/>
      <c r="E283" s="55"/>
      <c r="F283" s="55"/>
      <c r="G283" s="55"/>
      <c r="H283" s="55"/>
      <c r="I283" s="48"/>
    </row>
    <row r="284" spans="1:9" ht="20.25" x14ac:dyDescent="0.25">
      <c r="A284" s="54"/>
      <c r="B284" s="55"/>
      <c r="C284" s="55"/>
      <c r="D284" s="55"/>
      <c r="E284" s="55"/>
      <c r="F284" s="55"/>
      <c r="G284" s="55"/>
      <c r="H284" s="55"/>
      <c r="I284" s="48"/>
    </row>
    <row r="285" spans="1:9" ht="20.25" x14ac:dyDescent="0.25">
      <c r="A285" s="54"/>
      <c r="B285" s="55"/>
      <c r="C285" s="55"/>
      <c r="D285" s="55"/>
      <c r="E285" s="55"/>
      <c r="F285" s="55"/>
      <c r="G285" s="55"/>
      <c r="H285" s="55"/>
      <c r="I285" s="48"/>
    </row>
    <row r="286" spans="1:9" ht="20.25" x14ac:dyDescent="0.25">
      <c r="A286" s="54"/>
      <c r="B286" s="55"/>
      <c r="C286" s="55"/>
      <c r="D286" s="55"/>
      <c r="E286" s="55"/>
      <c r="F286" s="55"/>
      <c r="G286" s="55"/>
      <c r="H286" s="55"/>
      <c r="I286" s="48"/>
    </row>
    <row r="287" spans="1:9" ht="20.25" x14ac:dyDescent="0.25">
      <c r="A287" s="54"/>
      <c r="B287" s="55"/>
      <c r="C287" s="55"/>
      <c r="D287" s="55"/>
      <c r="E287" s="55"/>
      <c r="F287" s="55"/>
      <c r="G287" s="55"/>
      <c r="H287" s="55"/>
      <c r="I287" s="48"/>
    </row>
    <row r="288" spans="1:9" ht="20.25" x14ac:dyDescent="0.25">
      <c r="A288" s="54"/>
      <c r="B288" s="55"/>
      <c r="C288" s="55"/>
      <c r="D288" s="55"/>
      <c r="E288" s="55"/>
      <c r="F288" s="55"/>
      <c r="G288" s="55"/>
      <c r="H288" s="55"/>
      <c r="I288" s="48"/>
    </row>
    <row r="289" spans="1:9" ht="20.25" x14ac:dyDescent="0.25">
      <c r="A289" s="54"/>
      <c r="B289" s="55"/>
      <c r="C289" s="55"/>
      <c r="D289" s="55"/>
      <c r="E289" s="55"/>
      <c r="F289" s="55"/>
      <c r="G289" s="55"/>
      <c r="H289" s="55"/>
      <c r="I289" s="48"/>
    </row>
    <row r="290" spans="1:9" ht="20.25" x14ac:dyDescent="0.25">
      <c r="A290" s="54"/>
      <c r="B290" s="55"/>
      <c r="C290" s="55"/>
      <c r="D290" s="55"/>
      <c r="E290" s="55"/>
      <c r="F290" s="55"/>
      <c r="G290" s="55"/>
      <c r="H290" s="55"/>
      <c r="I290" s="48"/>
    </row>
    <row r="291" spans="1:9" ht="20.25" x14ac:dyDescent="0.25">
      <c r="A291" s="54"/>
      <c r="B291" s="55"/>
      <c r="C291" s="55"/>
      <c r="D291" s="55"/>
      <c r="E291" s="55"/>
      <c r="F291" s="55"/>
      <c r="G291" s="55"/>
      <c r="H291" s="55"/>
      <c r="I291" s="48"/>
    </row>
    <row r="292" spans="1:9" ht="20.25" x14ac:dyDescent="0.25">
      <c r="A292" s="54"/>
      <c r="B292" s="55"/>
      <c r="C292" s="55"/>
      <c r="D292" s="55"/>
      <c r="E292" s="55"/>
      <c r="F292" s="55"/>
      <c r="G292" s="55"/>
      <c r="H292" s="55"/>
      <c r="I292" s="48"/>
    </row>
    <row r="293" spans="1:9" ht="20.25" x14ac:dyDescent="0.25">
      <c r="A293" s="54"/>
      <c r="B293" s="55"/>
      <c r="C293" s="55"/>
      <c r="D293" s="55"/>
      <c r="E293" s="55"/>
      <c r="F293" s="55"/>
      <c r="G293" s="55"/>
      <c r="H293" s="55"/>
      <c r="I293" s="48"/>
    </row>
    <row r="294" spans="1:9" ht="20.25" x14ac:dyDescent="0.25">
      <c r="A294" s="54"/>
      <c r="B294" s="55"/>
      <c r="C294" s="55"/>
      <c r="D294" s="55"/>
      <c r="E294" s="55"/>
      <c r="F294" s="55"/>
      <c r="G294" s="55"/>
      <c r="H294" s="55"/>
      <c r="I294" s="48"/>
    </row>
    <row r="295" spans="1:9" ht="20.25" x14ac:dyDescent="0.25">
      <c r="A295" s="54"/>
      <c r="B295" s="55"/>
      <c r="C295" s="55"/>
      <c r="D295" s="55"/>
      <c r="E295" s="55"/>
      <c r="F295" s="55"/>
      <c r="G295" s="55"/>
      <c r="H295" s="55"/>
      <c r="I295" s="48"/>
    </row>
    <row r="296" spans="1:9" ht="20.25" x14ac:dyDescent="0.25">
      <c r="A296" s="54"/>
      <c r="B296" s="55"/>
      <c r="C296" s="55"/>
      <c r="D296" s="55"/>
      <c r="E296" s="55"/>
      <c r="F296" s="55"/>
      <c r="G296" s="55"/>
      <c r="H296" s="55"/>
      <c r="I296" s="48"/>
    </row>
    <row r="297" spans="1:9" ht="20.25" x14ac:dyDescent="0.25">
      <c r="A297" s="54"/>
      <c r="B297" s="55"/>
      <c r="C297" s="55"/>
      <c r="D297" s="55"/>
      <c r="E297" s="55"/>
      <c r="F297" s="55"/>
      <c r="G297" s="55"/>
      <c r="H297" s="55"/>
      <c r="I297" s="48"/>
    </row>
    <row r="298" spans="1:9" ht="20.25" x14ac:dyDescent="0.25">
      <c r="A298" s="54"/>
      <c r="B298" s="55"/>
      <c r="C298" s="55"/>
      <c r="D298" s="55"/>
      <c r="E298" s="55"/>
      <c r="F298" s="55"/>
      <c r="G298" s="55"/>
      <c r="H298" s="55"/>
      <c r="I298" s="48"/>
    </row>
    <row r="299" spans="1:9" ht="20.25" x14ac:dyDescent="0.25">
      <c r="A299" s="54"/>
      <c r="B299" s="55"/>
      <c r="C299" s="55"/>
      <c r="D299" s="55"/>
      <c r="E299" s="55"/>
      <c r="F299" s="55"/>
      <c r="G299" s="55"/>
      <c r="H299" s="55"/>
      <c r="I299" s="48"/>
    </row>
    <row r="300" spans="1:9" ht="20.25" x14ac:dyDescent="0.25">
      <c r="A300" s="54"/>
      <c r="B300" s="55"/>
      <c r="C300" s="55"/>
      <c r="D300" s="55"/>
      <c r="E300" s="55"/>
      <c r="F300" s="55"/>
      <c r="G300" s="55"/>
      <c r="H300" s="55"/>
      <c r="I300" s="48"/>
    </row>
    <row r="301" spans="1:9" ht="20.25" x14ac:dyDescent="0.25">
      <c r="A301" s="54"/>
      <c r="B301" s="55"/>
      <c r="C301" s="55"/>
      <c r="D301" s="55"/>
      <c r="E301" s="55"/>
      <c r="F301" s="55"/>
      <c r="G301" s="55"/>
      <c r="H301" s="55"/>
      <c r="I301" s="48"/>
    </row>
    <row r="302" spans="1:9" ht="20.25" x14ac:dyDescent="0.25">
      <c r="A302" s="54"/>
      <c r="B302" s="55"/>
      <c r="C302" s="55"/>
      <c r="D302" s="55"/>
      <c r="E302" s="55"/>
      <c r="F302" s="55"/>
      <c r="G302" s="55"/>
      <c r="H302" s="55"/>
      <c r="I302" s="48"/>
    </row>
    <row r="303" spans="1:9" ht="20.25" x14ac:dyDescent="0.25">
      <c r="A303" s="54"/>
      <c r="B303" s="55"/>
      <c r="C303" s="55"/>
      <c r="D303" s="55"/>
      <c r="E303" s="55"/>
      <c r="F303" s="55"/>
      <c r="G303" s="55"/>
      <c r="H303" s="55"/>
      <c r="I303" s="48"/>
    </row>
    <row r="304" spans="1:9" ht="20.25" x14ac:dyDescent="0.25">
      <c r="A304" s="54"/>
      <c r="B304" s="55"/>
      <c r="C304" s="55"/>
      <c r="D304" s="55"/>
      <c r="E304" s="55"/>
      <c r="F304" s="55"/>
      <c r="G304" s="55"/>
      <c r="H304" s="55"/>
      <c r="I304" s="48"/>
    </row>
    <row r="305" spans="1:9" ht="20.25" x14ac:dyDescent="0.25">
      <c r="A305" s="54"/>
      <c r="B305" s="55"/>
      <c r="C305" s="55"/>
      <c r="D305" s="55"/>
      <c r="E305" s="55"/>
      <c r="F305" s="55"/>
      <c r="G305" s="55"/>
      <c r="H305" s="55"/>
      <c r="I305" s="48"/>
    </row>
    <row r="306" spans="1:9" ht="20.25" x14ac:dyDescent="0.25">
      <c r="A306" s="54"/>
      <c r="B306" s="55"/>
      <c r="C306" s="55"/>
      <c r="D306" s="55"/>
      <c r="E306" s="55"/>
      <c r="F306" s="55"/>
      <c r="G306" s="55"/>
      <c r="H306" s="55"/>
      <c r="I306" s="48"/>
    </row>
    <row r="307" spans="1:9" ht="20.25" x14ac:dyDescent="0.25">
      <c r="A307" s="54"/>
      <c r="B307" s="55"/>
      <c r="C307" s="55"/>
      <c r="D307" s="55"/>
      <c r="E307" s="55"/>
      <c r="F307" s="55"/>
      <c r="G307" s="55"/>
      <c r="H307" s="55"/>
      <c r="I307" s="48"/>
    </row>
    <row r="308" spans="1:9" ht="20.25" x14ac:dyDescent="0.25">
      <c r="A308" s="54"/>
      <c r="B308" s="55"/>
      <c r="C308" s="55"/>
      <c r="D308" s="55"/>
      <c r="E308" s="55"/>
      <c r="F308" s="55"/>
      <c r="G308" s="55"/>
      <c r="H308" s="55"/>
      <c r="I308" s="48"/>
    </row>
    <row r="309" spans="1:9" ht="20.25" x14ac:dyDescent="0.25">
      <c r="A309" s="54"/>
      <c r="B309" s="55"/>
      <c r="C309" s="55"/>
      <c r="D309" s="55"/>
      <c r="E309" s="55"/>
      <c r="F309" s="55"/>
      <c r="G309" s="55"/>
      <c r="H309" s="55"/>
      <c r="I309" s="48"/>
    </row>
    <row r="310" spans="1:9" ht="20.25" x14ac:dyDescent="0.25">
      <c r="A310" s="54"/>
      <c r="B310" s="55"/>
      <c r="C310" s="55"/>
      <c r="D310" s="55"/>
      <c r="E310" s="55"/>
      <c r="F310" s="55"/>
      <c r="G310" s="55"/>
      <c r="H310" s="55"/>
      <c r="I310" s="48"/>
    </row>
    <row r="311" spans="1:9" ht="20.25" x14ac:dyDescent="0.25">
      <c r="A311" s="54"/>
      <c r="B311" s="55"/>
      <c r="C311" s="55"/>
      <c r="D311" s="55"/>
      <c r="E311" s="55"/>
      <c r="F311" s="55"/>
      <c r="G311" s="55"/>
      <c r="H311" s="55"/>
      <c r="I311" s="48"/>
    </row>
    <row r="312" spans="1:9" ht="20.25" x14ac:dyDescent="0.25">
      <c r="A312" s="54"/>
      <c r="B312" s="55"/>
      <c r="C312" s="55"/>
      <c r="D312" s="55"/>
      <c r="E312" s="55"/>
      <c r="F312" s="55"/>
      <c r="G312" s="55"/>
      <c r="H312" s="55"/>
      <c r="I312" s="48"/>
    </row>
    <row r="313" spans="1:9" ht="20.25" x14ac:dyDescent="0.25">
      <c r="A313" s="54"/>
      <c r="B313" s="55"/>
      <c r="C313" s="55"/>
      <c r="D313" s="55"/>
      <c r="E313" s="55"/>
      <c r="F313" s="55"/>
      <c r="G313" s="55"/>
      <c r="H313" s="55"/>
      <c r="I313" s="48"/>
    </row>
    <row r="314" spans="1:9" ht="20.25" x14ac:dyDescent="0.25">
      <c r="A314" s="54"/>
      <c r="B314" s="55"/>
      <c r="C314" s="55"/>
      <c r="D314" s="55"/>
      <c r="E314" s="55"/>
      <c r="F314" s="55"/>
      <c r="G314" s="55"/>
      <c r="H314" s="55"/>
      <c r="I314" s="48"/>
    </row>
    <row r="315" spans="1:9" ht="20.25" x14ac:dyDescent="0.25">
      <c r="A315" s="54"/>
      <c r="B315" s="55"/>
      <c r="C315" s="55"/>
      <c r="D315" s="55"/>
      <c r="E315" s="55"/>
      <c r="F315" s="55"/>
      <c r="G315" s="55"/>
      <c r="H315" s="55"/>
      <c r="I315" s="48"/>
    </row>
    <row r="316" spans="1:9" ht="20.25" x14ac:dyDescent="0.25">
      <c r="A316" s="56"/>
      <c r="B316" s="57"/>
      <c r="C316" s="57"/>
      <c r="D316" s="57"/>
      <c r="E316" s="57"/>
      <c r="F316" s="57"/>
      <c r="G316" s="57"/>
      <c r="H316" s="57"/>
      <c r="I316" s="58"/>
    </row>
    <row r="317" spans="1:9" ht="20.25" x14ac:dyDescent="0.25">
      <c r="A317" s="80" t="s">
        <v>81</v>
      </c>
      <c r="B317" s="80"/>
      <c r="C317" s="80"/>
      <c r="D317" s="80"/>
      <c r="E317" s="80"/>
      <c r="F317" s="80"/>
      <c r="G317" s="80"/>
      <c r="H317" s="80"/>
      <c r="I317" s="80"/>
    </row>
    <row r="318" spans="1:9" ht="21" thickBot="1" x14ac:dyDescent="0.3">
      <c r="A318" s="134"/>
      <c r="B318" s="135"/>
      <c r="C318" s="135"/>
      <c r="D318" s="135"/>
      <c r="E318" s="135"/>
      <c r="F318" s="135"/>
      <c r="G318" s="135"/>
      <c r="H318" s="135"/>
      <c r="I318" s="136"/>
    </row>
    <row r="319" spans="1:9" ht="21" thickBot="1" x14ac:dyDescent="0.3">
      <c r="A319" s="137"/>
      <c r="B319" s="138"/>
      <c r="C319" s="138"/>
      <c r="D319" s="138"/>
      <c r="E319" s="138"/>
      <c r="F319" s="138"/>
      <c r="G319" s="138"/>
      <c r="H319" s="138"/>
      <c r="I319" s="139"/>
    </row>
    <row r="320" spans="1:9" ht="21" thickBot="1" x14ac:dyDescent="0.3">
      <c r="A320" s="137"/>
      <c r="B320" s="138"/>
      <c r="C320" s="138"/>
      <c r="D320" s="138"/>
      <c r="E320" s="138"/>
      <c r="F320" s="138"/>
      <c r="G320" s="138"/>
      <c r="H320" s="138"/>
      <c r="I320" s="139"/>
    </row>
    <row r="321" spans="1:9" ht="23.25" customHeight="1" thickBot="1" x14ac:dyDescent="0.3">
      <c r="A321" s="137"/>
      <c r="B321" s="138"/>
      <c r="C321" s="138"/>
      <c r="D321" s="138"/>
      <c r="E321" s="138"/>
      <c r="F321" s="138"/>
      <c r="G321" s="138"/>
      <c r="H321" s="138"/>
      <c r="I321" s="139"/>
    </row>
    <row r="322" spans="1:9" ht="41.25" customHeight="1" thickBot="1" x14ac:dyDescent="0.3">
      <c r="A322" s="137"/>
      <c r="B322" s="138"/>
      <c r="C322" s="138"/>
      <c r="D322" s="138"/>
      <c r="E322" s="138"/>
      <c r="F322" s="138"/>
      <c r="G322" s="138"/>
      <c r="H322" s="138"/>
      <c r="I322" s="139"/>
    </row>
    <row r="323" spans="1:9" ht="41.25" customHeight="1" thickBot="1" x14ac:dyDescent="0.3">
      <c r="A323" s="137"/>
      <c r="B323" s="138"/>
      <c r="C323" s="138"/>
      <c r="D323" s="138"/>
      <c r="E323" s="138"/>
      <c r="F323" s="138"/>
      <c r="G323" s="138"/>
      <c r="H323" s="138"/>
      <c r="I323" s="139"/>
    </row>
    <row r="324" spans="1:9" ht="41.25" customHeight="1" thickBot="1" x14ac:dyDescent="0.3">
      <c r="A324" s="137"/>
      <c r="B324" s="138"/>
      <c r="C324" s="138"/>
      <c r="D324" s="138"/>
      <c r="E324" s="138"/>
      <c r="F324" s="138"/>
      <c r="G324" s="138"/>
      <c r="H324" s="138"/>
      <c r="I324" s="139"/>
    </row>
    <row r="325" spans="1:9" ht="134.25" customHeight="1" thickBot="1" x14ac:dyDescent="0.3">
      <c r="A325" s="137"/>
      <c r="B325" s="138"/>
      <c r="C325" s="138"/>
      <c r="D325" s="138"/>
      <c r="E325" s="138"/>
      <c r="F325" s="138"/>
      <c r="G325" s="138"/>
      <c r="H325" s="138"/>
      <c r="I325" s="139"/>
    </row>
    <row r="326" spans="1:9" ht="41.25" customHeight="1" x14ac:dyDescent="0.25">
      <c r="A326" s="80" t="s">
        <v>26</v>
      </c>
      <c r="B326" s="80"/>
      <c r="C326" s="80"/>
      <c r="D326" s="80"/>
      <c r="E326" s="80"/>
      <c r="F326" s="80"/>
      <c r="G326" s="80"/>
      <c r="H326" s="80"/>
      <c r="I326" s="80"/>
    </row>
    <row r="327" spans="1:9" ht="20.25" x14ac:dyDescent="0.25">
      <c r="A327" s="126" t="s">
        <v>83</v>
      </c>
      <c r="B327" s="127"/>
      <c r="C327" s="127"/>
      <c r="D327" s="127"/>
      <c r="E327" s="127"/>
      <c r="F327" s="127"/>
      <c r="G327" s="127"/>
      <c r="H327" s="127"/>
      <c r="I327" s="128"/>
    </row>
    <row r="328" spans="1:9" ht="20.25" x14ac:dyDescent="0.25">
      <c r="A328" s="126" t="s">
        <v>84</v>
      </c>
      <c r="B328" s="127"/>
      <c r="C328" s="127"/>
      <c r="D328" s="127"/>
      <c r="E328" s="127"/>
      <c r="F328" s="127"/>
      <c r="G328" s="127"/>
      <c r="H328" s="127"/>
      <c r="I328" s="128"/>
    </row>
    <row r="329" spans="1:9" ht="20.25" x14ac:dyDescent="0.25">
      <c r="A329" s="126" t="s">
        <v>85</v>
      </c>
      <c r="B329" s="127"/>
      <c r="C329" s="127"/>
      <c r="D329" s="127"/>
      <c r="E329" s="127"/>
      <c r="F329" s="127"/>
      <c r="G329" s="127"/>
      <c r="H329" s="127"/>
      <c r="I329" s="128"/>
    </row>
    <row r="330" spans="1:9" ht="24.75" customHeight="1" x14ac:dyDescent="0.25">
      <c r="A330" s="126" t="s">
        <v>86</v>
      </c>
      <c r="B330" s="127"/>
      <c r="C330" s="127"/>
      <c r="D330" s="127"/>
      <c r="E330" s="127"/>
      <c r="F330" s="127"/>
      <c r="G330" s="127"/>
      <c r="H330" s="127"/>
      <c r="I330" s="128"/>
    </row>
    <row r="331" spans="1:9" ht="20.25" x14ac:dyDescent="0.25">
      <c r="A331" s="126" t="s">
        <v>87</v>
      </c>
      <c r="B331" s="127"/>
      <c r="C331" s="127"/>
      <c r="D331" s="127"/>
      <c r="E331" s="127"/>
      <c r="F331" s="127"/>
      <c r="G331" s="127"/>
      <c r="H331" s="127"/>
      <c r="I331" s="128"/>
    </row>
    <row r="332" spans="1:9" ht="20.25" x14ac:dyDescent="0.25">
      <c r="A332" s="126" t="s">
        <v>88</v>
      </c>
      <c r="B332" s="127"/>
      <c r="C332" s="127"/>
      <c r="D332" s="127"/>
      <c r="E332" s="127"/>
      <c r="F332" s="127"/>
      <c r="G332" s="127"/>
      <c r="H332" s="127"/>
      <c r="I332" s="128"/>
    </row>
    <row r="333" spans="1:9" ht="45.75" customHeight="1" x14ac:dyDescent="0.25">
      <c r="A333" s="126" t="s">
        <v>89</v>
      </c>
      <c r="B333" s="127"/>
      <c r="C333" s="127"/>
      <c r="D333" s="127"/>
      <c r="E333" s="127"/>
      <c r="F333" s="127"/>
      <c r="G333" s="127"/>
      <c r="H333" s="127"/>
      <c r="I333" s="128"/>
    </row>
    <row r="334" spans="1:9" ht="42" customHeight="1" x14ac:dyDescent="0.25">
      <c r="A334" s="126" t="s">
        <v>90</v>
      </c>
      <c r="B334" s="127"/>
      <c r="C334" s="127"/>
      <c r="D334" s="127"/>
      <c r="E334" s="127"/>
      <c r="F334" s="127"/>
      <c r="G334" s="127"/>
      <c r="H334" s="127"/>
      <c r="I334" s="128"/>
    </row>
    <row r="335" spans="1:9" ht="20.25" x14ac:dyDescent="0.25">
      <c r="A335" s="129" t="s">
        <v>91</v>
      </c>
      <c r="B335" s="130"/>
      <c r="C335" s="130"/>
      <c r="D335" s="130"/>
      <c r="E335" s="130"/>
      <c r="F335" s="130"/>
      <c r="G335" s="130"/>
      <c r="H335" s="130"/>
      <c r="I335" s="131"/>
    </row>
    <row r="336" spans="1:9" ht="57" customHeight="1" x14ac:dyDescent="0.25">
      <c r="A336" s="132" t="s">
        <v>31</v>
      </c>
      <c r="B336" s="132"/>
      <c r="C336" s="132"/>
      <c r="D336" s="8" t="s">
        <v>4</v>
      </c>
      <c r="E336" s="16" t="s">
        <v>293</v>
      </c>
      <c r="F336" s="17" t="s">
        <v>10</v>
      </c>
      <c r="G336" s="8" t="s">
        <v>4</v>
      </c>
      <c r="H336" s="133"/>
      <c r="I336" s="133"/>
    </row>
    <row r="337" ht="65.25" customHeight="1" x14ac:dyDescent="0.25"/>
    <row r="338" ht="44.25" customHeight="1" x14ac:dyDescent="0.25"/>
    <row r="339" ht="20.25" x14ac:dyDescent="0.25"/>
    <row r="340" ht="68.25" customHeight="1" x14ac:dyDescent="0.25"/>
    <row r="341" ht="72.75" customHeight="1" x14ac:dyDescent="0.25"/>
  </sheetData>
  <mergeCells count="541">
    <mergeCell ref="A78:B78"/>
    <mergeCell ref="C78:D78"/>
    <mergeCell ref="A79:B79"/>
    <mergeCell ref="C79:D79"/>
    <mergeCell ref="A80:B80"/>
    <mergeCell ref="C80:D80"/>
    <mergeCell ref="A81:B81"/>
    <mergeCell ref="C81:D81"/>
    <mergeCell ref="A82:B82"/>
    <mergeCell ref="C82:D82"/>
    <mergeCell ref="A67:I67"/>
    <mergeCell ref="A68:C69"/>
    <mergeCell ref="D68:D69"/>
    <mergeCell ref="F68:G68"/>
    <mergeCell ref="F69:G69"/>
    <mergeCell ref="A70:B70"/>
    <mergeCell ref="C70:D70"/>
    <mergeCell ref="F70:G70"/>
    <mergeCell ref="A71:B71"/>
    <mergeCell ref="C71:D71"/>
    <mergeCell ref="F71:G82"/>
    <mergeCell ref="H71:I82"/>
    <mergeCell ref="A72:B72"/>
    <mergeCell ref="C72:D72"/>
    <mergeCell ref="A73:B73"/>
    <mergeCell ref="C73:D73"/>
    <mergeCell ref="A74:B74"/>
    <mergeCell ref="C74:D74"/>
    <mergeCell ref="A75:B75"/>
    <mergeCell ref="C75:D75"/>
    <mergeCell ref="A76:B76"/>
    <mergeCell ref="C76:D76"/>
    <mergeCell ref="A77:B77"/>
    <mergeCell ref="C77:D77"/>
    <mergeCell ref="A62:B62"/>
    <mergeCell ref="C62:D62"/>
    <mergeCell ref="A63:B63"/>
    <mergeCell ref="C63:D63"/>
    <mergeCell ref="A64:B64"/>
    <mergeCell ref="C64:D64"/>
    <mergeCell ref="A65:B65"/>
    <mergeCell ref="C65:D65"/>
    <mergeCell ref="A66:B66"/>
    <mergeCell ref="C66:D66"/>
    <mergeCell ref="A51:I51"/>
    <mergeCell ref="A52:C53"/>
    <mergeCell ref="D52:D53"/>
    <mergeCell ref="F52:G52"/>
    <mergeCell ref="F53:G53"/>
    <mergeCell ref="A54:B54"/>
    <mergeCell ref="C54:D54"/>
    <mergeCell ref="F54:G54"/>
    <mergeCell ref="A55:B55"/>
    <mergeCell ref="C55:D55"/>
    <mergeCell ref="F55:G66"/>
    <mergeCell ref="H55:I66"/>
    <mergeCell ref="A56:B56"/>
    <mergeCell ref="C56:D56"/>
    <mergeCell ref="A57:B57"/>
    <mergeCell ref="C57:D57"/>
    <mergeCell ref="A58:B58"/>
    <mergeCell ref="C58:D58"/>
    <mergeCell ref="A59:B59"/>
    <mergeCell ref="C59:D59"/>
    <mergeCell ref="A60:B60"/>
    <mergeCell ref="C60:D60"/>
    <mergeCell ref="A61:B61"/>
    <mergeCell ref="C61:D61"/>
    <mergeCell ref="A97:I97"/>
    <mergeCell ref="A95:B95"/>
    <mergeCell ref="C95:D95"/>
    <mergeCell ref="F95:G95"/>
    <mergeCell ref="A147:I147"/>
    <mergeCell ref="A148:B155"/>
    <mergeCell ref="C148:D148"/>
    <mergeCell ref="F148:G148"/>
    <mergeCell ref="C149:D149"/>
    <mergeCell ref="F149:G149"/>
    <mergeCell ref="C150:D150"/>
    <mergeCell ref="F150:G150"/>
    <mergeCell ref="C151:D151"/>
    <mergeCell ref="F151:G151"/>
    <mergeCell ref="C152:D152"/>
    <mergeCell ref="F152:G152"/>
    <mergeCell ref="C153:D153"/>
    <mergeCell ref="F153:G153"/>
    <mergeCell ref="C154:D154"/>
    <mergeCell ref="F154:G154"/>
    <mergeCell ref="C155:D155"/>
    <mergeCell ref="F155:G155"/>
    <mergeCell ref="A138:I138"/>
    <mergeCell ref="A139:B146"/>
    <mergeCell ref="C144:D144"/>
    <mergeCell ref="F144:G144"/>
    <mergeCell ref="C145:D145"/>
    <mergeCell ref="F145:G145"/>
    <mergeCell ref="C146:D146"/>
    <mergeCell ref="F146:G146"/>
    <mergeCell ref="C135:D135"/>
    <mergeCell ref="F135:G135"/>
    <mergeCell ref="C136:D136"/>
    <mergeCell ref="F136:G136"/>
    <mergeCell ref="C137:D137"/>
    <mergeCell ref="F137:G137"/>
    <mergeCell ref="C139:D139"/>
    <mergeCell ref="F139:G139"/>
    <mergeCell ref="C140:D140"/>
    <mergeCell ref="F140:G140"/>
    <mergeCell ref="C141:D141"/>
    <mergeCell ref="F141:G141"/>
    <mergeCell ref="C142:D142"/>
    <mergeCell ref="F142:G142"/>
    <mergeCell ref="C143:D143"/>
    <mergeCell ref="F143:G143"/>
    <mergeCell ref="A130:B137"/>
    <mergeCell ref="C132:D132"/>
    <mergeCell ref="F132:G132"/>
    <mergeCell ref="C133:D133"/>
    <mergeCell ref="F133:G133"/>
    <mergeCell ref="C134:D134"/>
    <mergeCell ref="F134:G134"/>
    <mergeCell ref="A129:I129"/>
    <mergeCell ref="C130:D130"/>
    <mergeCell ref="F130:G130"/>
    <mergeCell ref="C131:D131"/>
    <mergeCell ref="F131:G131"/>
    <mergeCell ref="C125:D125"/>
    <mergeCell ref="F125:G125"/>
    <mergeCell ref="C126:D126"/>
    <mergeCell ref="F126:G126"/>
    <mergeCell ref="C127:D127"/>
    <mergeCell ref="F127:G127"/>
    <mergeCell ref="C122:D122"/>
    <mergeCell ref="F122:G122"/>
    <mergeCell ref="C123:D123"/>
    <mergeCell ref="F123:G123"/>
    <mergeCell ref="C124:D124"/>
    <mergeCell ref="F124:G124"/>
    <mergeCell ref="A111:I111"/>
    <mergeCell ref="C112:D112"/>
    <mergeCell ref="F112:G112"/>
    <mergeCell ref="C113:D113"/>
    <mergeCell ref="F113:G113"/>
    <mergeCell ref="C114:D114"/>
    <mergeCell ref="F114:G114"/>
    <mergeCell ref="C128:D128"/>
    <mergeCell ref="F128:G128"/>
    <mergeCell ref="C118:D118"/>
    <mergeCell ref="F118:G118"/>
    <mergeCell ref="C119:D119"/>
    <mergeCell ref="F119:G119"/>
    <mergeCell ref="A120:I120"/>
    <mergeCell ref="C121:D121"/>
    <mergeCell ref="F121:G121"/>
    <mergeCell ref="A112:B119"/>
    <mergeCell ref="C115:D115"/>
    <mergeCell ref="F115:G115"/>
    <mergeCell ref="C116:D116"/>
    <mergeCell ref="F116:G116"/>
    <mergeCell ref="C117:D117"/>
    <mergeCell ref="F117:G117"/>
    <mergeCell ref="A121:B128"/>
    <mergeCell ref="A108:B110"/>
    <mergeCell ref="A106:B106"/>
    <mergeCell ref="C106:D106"/>
    <mergeCell ref="F106:G106"/>
    <mergeCell ref="A102:I102"/>
    <mergeCell ref="A103:I103"/>
    <mergeCell ref="A104:I104"/>
    <mergeCell ref="A105:I105"/>
    <mergeCell ref="A107:I107"/>
    <mergeCell ref="C108:D108"/>
    <mergeCell ref="C109:D109"/>
    <mergeCell ref="F109:G109"/>
    <mergeCell ref="C110:D110"/>
    <mergeCell ref="F110:G110"/>
    <mergeCell ref="F108:G108"/>
    <mergeCell ref="A317:I317"/>
    <mergeCell ref="A318:I325"/>
    <mergeCell ref="A235:I235"/>
    <mergeCell ref="C236:I236"/>
    <mergeCell ref="A237:I237"/>
    <mergeCell ref="A238:C238"/>
    <mergeCell ref="E238:I238"/>
    <mergeCell ref="A239:C239"/>
    <mergeCell ref="E239:I239"/>
    <mergeCell ref="A240:C240"/>
    <mergeCell ref="E240:I240"/>
    <mergeCell ref="A281:I281"/>
    <mergeCell ref="A334:I334"/>
    <mergeCell ref="A335:I335"/>
    <mergeCell ref="A336:C336"/>
    <mergeCell ref="H336:I336"/>
    <mergeCell ref="A326:I326"/>
    <mergeCell ref="A327:I327"/>
    <mergeCell ref="A328:I328"/>
    <mergeCell ref="A329:I329"/>
    <mergeCell ref="A330:I330"/>
    <mergeCell ref="A331:I331"/>
    <mergeCell ref="A332:I332"/>
    <mergeCell ref="A333:I333"/>
    <mergeCell ref="A50:C50"/>
    <mergeCell ref="H50:I50"/>
    <mergeCell ref="A46:I46"/>
    <mergeCell ref="A47:C47"/>
    <mergeCell ref="H47:I47"/>
    <mergeCell ref="A48:C48"/>
    <mergeCell ref="H48:I48"/>
    <mergeCell ref="A49:C49"/>
    <mergeCell ref="H49:I49"/>
    <mergeCell ref="A44:C44"/>
    <mergeCell ref="D44:E44"/>
    <mergeCell ref="F44:G44"/>
    <mergeCell ref="H44:I44"/>
    <mergeCell ref="A40:C40"/>
    <mergeCell ref="G40:H40"/>
    <mergeCell ref="A41:C41"/>
    <mergeCell ref="H41:I41"/>
    <mergeCell ref="A42:I42"/>
    <mergeCell ref="A43:C43"/>
    <mergeCell ref="D43:E43"/>
    <mergeCell ref="F43:G43"/>
    <mergeCell ref="H43:I43"/>
    <mergeCell ref="A36:C36"/>
    <mergeCell ref="H36:I36"/>
    <mergeCell ref="A37:I37"/>
    <mergeCell ref="A38:C38"/>
    <mergeCell ref="G38:H38"/>
    <mergeCell ref="A39:C39"/>
    <mergeCell ref="G39:H39"/>
    <mergeCell ref="A30:C30"/>
    <mergeCell ref="H30:I30"/>
    <mergeCell ref="A33:I33"/>
    <mergeCell ref="A34:C34"/>
    <mergeCell ref="H34:I34"/>
    <mergeCell ref="A35:C35"/>
    <mergeCell ref="H35:I35"/>
    <mergeCell ref="A31:C31"/>
    <mergeCell ref="H31:I31"/>
    <mergeCell ref="A32:C32"/>
    <mergeCell ref="E32:I32"/>
    <mergeCell ref="A27:C27"/>
    <mergeCell ref="H27:I27"/>
    <mergeCell ref="A28:C28"/>
    <mergeCell ref="H28:I28"/>
    <mergeCell ref="A29:C29"/>
    <mergeCell ref="H29:I29"/>
    <mergeCell ref="A22:C22"/>
    <mergeCell ref="A24:C24"/>
    <mergeCell ref="E24:I24"/>
    <mergeCell ref="A25:I25"/>
    <mergeCell ref="A26:C26"/>
    <mergeCell ref="H26:I26"/>
    <mergeCell ref="E22:I22"/>
    <mergeCell ref="A23:C23"/>
    <mergeCell ref="E23:I23"/>
    <mergeCell ref="A19:C19"/>
    <mergeCell ref="H19:I19"/>
    <mergeCell ref="A20:C20"/>
    <mergeCell ref="H20:I20"/>
    <mergeCell ref="A21:C21"/>
    <mergeCell ref="H21:I21"/>
    <mergeCell ref="A16:C16"/>
    <mergeCell ref="H16:I16"/>
    <mergeCell ref="A17:C17"/>
    <mergeCell ref="H17:I17"/>
    <mergeCell ref="A18:C18"/>
    <mergeCell ref="H18:I18"/>
    <mergeCell ref="A12:C12"/>
    <mergeCell ref="E12:I12"/>
    <mergeCell ref="A13:I13"/>
    <mergeCell ref="A14:C14"/>
    <mergeCell ref="H14:I14"/>
    <mergeCell ref="A15:C15"/>
    <mergeCell ref="H15:I15"/>
    <mergeCell ref="A7:C7"/>
    <mergeCell ref="H7:I7"/>
    <mergeCell ref="A8:C8"/>
    <mergeCell ref="E8:I8"/>
    <mergeCell ref="A9:A11"/>
    <mergeCell ref="E9:I9"/>
    <mergeCell ref="E10:I10"/>
    <mergeCell ref="E11:I11"/>
    <mergeCell ref="A4:C4"/>
    <mergeCell ref="E4:F4"/>
    <mergeCell ref="G4:H4"/>
    <mergeCell ref="A5:I5"/>
    <mergeCell ref="A6:C6"/>
    <mergeCell ref="H6:I6"/>
    <mergeCell ref="A1:I1"/>
    <mergeCell ref="A2:C2"/>
    <mergeCell ref="E2:F2"/>
    <mergeCell ref="G2:H2"/>
    <mergeCell ref="A3:C3"/>
    <mergeCell ref="E3:F3"/>
    <mergeCell ref="G3:H3"/>
    <mergeCell ref="H91:I91"/>
    <mergeCell ref="A100:I100"/>
    <mergeCell ref="A101:I101"/>
    <mergeCell ref="A98:B98"/>
    <mergeCell ref="C98:D98"/>
    <mergeCell ref="F98:G98"/>
    <mergeCell ref="A87:C87"/>
    <mergeCell ref="H87:I87"/>
    <mergeCell ref="A92:I92"/>
    <mergeCell ref="A88:I88"/>
    <mergeCell ref="A89:F89"/>
    <mergeCell ref="H89:I89"/>
    <mergeCell ref="A90:F90"/>
    <mergeCell ref="H90:I90"/>
    <mergeCell ref="A99:I99"/>
    <mergeCell ref="A93:B93"/>
    <mergeCell ref="C93:D93"/>
    <mergeCell ref="F93:G93"/>
    <mergeCell ref="A94:B94"/>
    <mergeCell ref="C94:D94"/>
    <mergeCell ref="F94:G94"/>
    <mergeCell ref="A96:B96"/>
    <mergeCell ref="C96:D96"/>
    <mergeCell ref="F96:G96"/>
    <mergeCell ref="A234:I234"/>
    <mergeCell ref="A84:I84"/>
    <mergeCell ref="A157:I157"/>
    <mergeCell ref="A158:I158"/>
    <mergeCell ref="C159:D159"/>
    <mergeCell ref="F159:G159"/>
    <mergeCell ref="A159:B159"/>
    <mergeCell ref="A160:I160"/>
    <mergeCell ref="A156:I156"/>
    <mergeCell ref="A85:C85"/>
    <mergeCell ref="H85:I85"/>
    <mergeCell ref="A86:C86"/>
    <mergeCell ref="H86:I86"/>
    <mergeCell ref="A91:F91"/>
    <mergeCell ref="C161:D161"/>
    <mergeCell ref="F161:G161"/>
    <mergeCell ref="C162:D162"/>
    <mergeCell ref="F162:G162"/>
    <mergeCell ref="C163:D163"/>
    <mergeCell ref="F163:G163"/>
    <mergeCell ref="C164:D164"/>
    <mergeCell ref="F164:G164"/>
    <mergeCell ref="C165:D165"/>
    <mergeCell ref="E165:I165"/>
    <mergeCell ref="A173:B173"/>
    <mergeCell ref="A174:B174"/>
    <mergeCell ref="A175:B175"/>
    <mergeCell ref="A176:B176"/>
    <mergeCell ref="A177:B177"/>
    <mergeCell ref="C167:D167"/>
    <mergeCell ref="F167:G167"/>
    <mergeCell ref="C168:D168"/>
    <mergeCell ref="F168:G168"/>
    <mergeCell ref="C169:D169"/>
    <mergeCell ref="F169:G169"/>
    <mergeCell ref="C170:D170"/>
    <mergeCell ref="F170:G170"/>
    <mergeCell ref="C171:D171"/>
    <mergeCell ref="E171:I171"/>
    <mergeCell ref="A172:I172"/>
    <mergeCell ref="C173:D173"/>
    <mergeCell ref="F173:G173"/>
    <mergeCell ref="C174:D174"/>
    <mergeCell ref="F174:G174"/>
    <mergeCell ref="C175:D175"/>
    <mergeCell ref="F175:G175"/>
    <mergeCell ref="C176:D176"/>
    <mergeCell ref="F176:G176"/>
    <mergeCell ref="A187:B187"/>
    <mergeCell ref="A188:B188"/>
    <mergeCell ref="A189:B189"/>
    <mergeCell ref="A190:B190"/>
    <mergeCell ref="A178:I178"/>
    <mergeCell ref="C179:D179"/>
    <mergeCell ref="F179:G179"/>
    <mergeCell ref="C180:D180"/>
    <mergeCell ref="F180:G180"/>
    <mergeCell ref="C181:D181"/>
    <mergeCell ref="F181:G181"/>
    <mergeCell ref="C182:D182"/>
    <mergeCell ref="F182:G182"/>
    <mergeCell ref="C183:D183"/>
    <mergeCell ref="E183:I183"/>
    <mergeCell ref="A179:B179"/>
    <mergeCell ref="A180:B180"/>
    <mergeCell ref="A181:B181"/>
    <mergeCell ref="A182:B182"/>
    <mergeCell ref="A183:B183"/>
    <mergeCell ref="C177:D177"/>
    <mergeCell ref="E177:I177"/>
    <mergeCell ref="C220:D220"/>
    <mergeCell ref="F197:G197"/>
    <mergeCell ref="A198:I198"/>
    <mergeCell ref="C201:D201"/>
    <mergeCell ref="F201:G201"/>
    <mergeCell ref="C202:D202"/>
    <mergeCell ref="F202:G202"/>
    <mergeCell ref="C203:D203"/>
    <mergeCell ref="F203:G203"/>
    <mergeCell ref="C204:D204"/>
    <mergeCell ref="F204:G204"/>
    <mergeCell ref="A202:B202"/>
    <mergeCell ref="A203:B203"/>
    <mergeCell ref="A204:B204"/>
    <mergeCell ref="C205:D205"/>
    <mergeCell ref="F205:G205"/>
    <mergeCell ref="C206:D206"/>
    <mergeCell ref="F206:G206"/>
    <mergeCell ref="C199:D199"/>
    <mergeCell ref="F199:G199"/>
    <mergeCell ref="C200:D200"/>
    <mergeCell ref="F200:G200"/>
    <mergeCell ref="A205:B205"/>
    <mergeCell ref="A206:B206"/>
    <mergeCell ref="C229:D229"/>
    <mergeCell ref="F229:G229"/>
    <mergeCell ref="C230:D230"/>
    <mergeCell ref="F230:G230"/>
    <mergeCell ref="C231:D231"/>
    <mergeCell ref="F231:G231"/>
    <mergeCell ref="C232:D232"/>
    <mergeCell ref="F232:G232"/>
    <mergeCell ref="F210:G210"/>
    <mergeCell ref="C211:D211"/>
    <mergeCell ref="F220:G220"/>
    <mergeCell ref="C215:D215"/>
    <mergeCell ref="F215:G215"/>
    <mergeCell ref="C219:D219"/>
    <mergeCell ref="F219:G219"/>
    <mergeCell ref="A212:B212"/>
    <mergeCell ref="A213:B213"/>
    <mergeCell ref="A214:B214"/>
    <mergeCell ref="A215:B215"/>
    <mergeCell ref="A217:B217"/>
    <mergeCell ref="A229:B229"/>
    <mergeCell ref="A230:B230"/>
    <mergeCell ref="C233:D233"/>
    <mergeCell ref="F233:G233"/>
    <mergeCell ref="C221:D221"/>
    <mergeCell ref="F221:G221"/>
    <mergeCell ref="C222:D222"/>
    <mergeCell ref="F222:G222"/>
    <mergeCell ref="C223:D223"/>
    <mergeCell ref="F223:G223"/>
    <mergeCell ref="M159:N159"/>
    <mergeCell ref="C228:I228"/>
    <mergeCell ref="A225:I225"/>
    <mergeCell ref="C226:D226"/>
    <mergeCell ref="F226:G226"/>
    <mergeCell ref="C227:D227"/>
    <mergeCell ref="F227:G227"/>
    <mergeCell ref="A161:B161"/>
    <mergeCell ref="C224:D224"/>
    <mergeCell ref="F224:G224"/>
    <mergeCell ref="A207:I207"/>
    <mergeCell ref="C208:D208"/>
    <mergeCell ref="F208:G208"/>
    <mergeCell ref="C209:D209"/>
    <mergeCell ref="F209:G209"/>
    <mergeCell ref="C210:D210"/>
    <mergeCell ref="A191:I191"/>
    <mergeCell ref="C192:D192"/>
    <mergeCell ref="F192:G192"/>
    <mergeCell ref="C193:D193"/>
    <mergeCell ref="F193:G193"/>
    <mergeCell ref="C194:D194"/>
    <mergeCell ref="F194:G194"/>
    <mergeCell ref="C195:D195"/>
    <mergeCell ref="F195:G195"/>
    <mergeCell ref="A192:B192"/>
    <mergeCell ref="A193:B193"/>
    <mergeCell ref="A194:B194"/>
    <mergeCell ref="A195:B195"/>
    <mergeCell ref="C196:D196"/>
    <mergeCell ref="F196:G196"/>
    <mergeCell ref="C197:D197"/>
    <mergeCell ref="F211:G211"/>
    <mergeCell ref="C212:D212"/>
    <mergeCell ref="F212:G212"/>
    <mergeCell ref="C213:D213"/>
    <mergeCell ref="F213:G213"/>
    <mergeCell ref="C214:D214"/>
    <mergeCell ref="F214:G214"/>
    <mergeCell ref="A45:C45"/>
    <mergeCell ref="D45:E45"/>
    <mergeCell ref="F45:G45"/>
    <mergeCell ref="H45:I45"/>
    <mergeCell ref="A216:I216"/>
    <mergeCell ref="C217:D217"/>
    <mergeCell ref="F217:G217"/>
    <mergeCell ref="C218:D218"/>
    <mergeCell ref="F218:G218"/>
    <mergeCell ref="A184:I184"/>
    <mergeCell ref="C185:D185"/>
    <mergeCell ref="F185:G185"/>
    <mergeCell ref="C187:D187"/>
    <mergeCell ref="F187:G187"/>
    <mergeCell ref="C188:D188"/>
    <mergeCell ref="F188:G188"/>
    <mergeCell ref="C189:D189"/>
    <mergeCell ref="F189:G189"/>
    <mergeCell ref="C190:D190"/>
    <mergeCell ref="F190:G190"/>
    <mergeCell ref="C186:D186"/>
    <mergeCell ref="F186:G186"/>
    <mergeCell ref="A185:B185"/>
    <mergeCell ref="A186:B186"/>
    <mergeCell ref="A162:B162"/>
    <mergeCell ref="A163:B163"/>
    <mergeCell ref="A164:B164"/>
    <mergeCell ref="A165:B165"/>
    <mergeCell ref="A167:B167"/>
    <mergeCell ref="A168:B168"/>
    <mergeCell ref="A169:B169"/>
    <mergeCell ref="A170:B170"/>
    <mergeCell ref="A171:B171"/>
    <mergeCell ref="A166:I166"/>
    <mergeCell ref="A83:G83"/>
    <mergeCell ref="H83:I83"/>
    <mergeCell ref="A231:B231"/>
    <mergeCell ref="A232:B232"/>
    <mergeCell ref="A233:B233"/>
    <mergeCell ref="A218:B218"/>
    <mergeCell ref="A219:B219"/>
    <mergeCell ref="A220:B220"/>
    <mergeCell ref="A221:B221"/>
    <mergeCell ref="A222:B222"/>
    <mergeCell ref="A223:B223"/>
    <mergeCell ref="A224:B224"/>
    <mergeCell ref="A226:B226"/>
    <mergeCell ref="A227:B227"/>
    <mergeCell ref="A228:B228"/>
    <mergeCell ref="A196:B196"/>
    <mergeCell ref="A197:B197"/>
    <mergeCell ref="A199:B199"/>
    <mergeCell ref="A200:B200"/>
    <mergeCell ref="A201:B201"/>
    <mergeCell ref="A208:B208"/>
    <mergeCell ref="A209:B209"/>
    <mergeCell ref="A210:B210"/>
    <mergeCell ref="A211:B211"/>
  </mergeCells>
  <hyperlinks>
    <hyperlink ref="E23" r:id="rId1" xr:uid="{00000000-0004-0000-0000-000000000000}"/>
  </hyperlinks>
  <printOptions horizontalCentered="1"/>
  <pageMargins left="0.19685039370078741" right="0.19685039370078741" top="0.78740157480314965" bottom="0.78740157480314965" header="0.19685039370078741" footer="0.19685039370078741"/>
  <pageSetup paperSize="9" scale="64" fitToHeight="0" orientation="portrait" r:id="rId2"/>
  <headerFooter>
    <oddHeader>&amp;C&amp;24&amp;G</oddHeader>
    <oddFooter>&amp;L&amp;"Times New Roman,Bold"&amp;16Ref No: &amp;F&amp;R&amp;"Times New Roman,Bold"&amp;16&amp;P</oddFooter>
  </headerFooter>
  <rowBreaks count="4" manualBreakCount="4">
    <brk id="66" max="16383" man="1"/>
    <brk id="236" max="8" man="1"/>
    <brk id="280" max="16383" man="1"/>
    <brk id="316"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O21"/>
  <sheetViews>
    <sheetView topLeftCell="A13" workbookViewId="0">
      <selection sqref="A1:XFD1048576"/>
    </sheetView>
  </sheetViews>
  <sheetFormatPr defaultRowHeight="15" x14ac:dyDescent="0.25"/>
  <cols>
    <col min="2" max="2" width="11.7109375" customWidth="1"/>
    <col min="258" max="258" width="11.7109375" customWidth="1"/>
    <col min="514" max="514" width="11.7109375" customWidth="1"/>
    <col min="770" max="770" width="11.7109375" customWidth="1"/>
    <col min="1026" max="1026" width="11.7109375" customWidth="1"/>
    <col min="1282" max="1282" width="11.7109375" customWidth="1"/>
    <col min="1538" max="1538" width="11.7109375" customWidth="1"/>
    <col min="1794" max="1794" width="11.7109375" customWidth="1"/>
    <col min="2050" max="2050" width="11.7109375" customWidth="1"/>
    <col min="2306" max="2306" width="11.7109375" customWidth="1"/>
    <col min="2562" max="2562" width="11.7109375" customWidth="1"/>
    <col min="2818" max="2818" width="11.7109375" customWidth="1"/>
    <col min="3074" max="3074" width="11.7109375" customWidth="1"/>
    <col min="3330" max="3330" width="11.7109375" customWidth="1"/>
    <col min="3586" max="3586" width="11.7109375" customWidth="1"/>
    <col min="3842" max="3842" width="11.7109375" customWidth="1"/>
    <col min="4098" max="4098" width="11.7109375" customWidth="1"/>
    <col min="4354" max="4354" width="11.7109375" customWidth="1"/>
    <col min="4610" max="4610" width="11.7109375" customWidth="1"/>
    <col min="4866" max="4866" width="11.7109375" customWidth="1"/>
    <col min="5122" max="5122" width="11.7109375" customWidth="1"/>
    <col min="5378" max="5378" width="11.7109375" customWidth="1"/>
    <col min="5634" max="5634" width="11.7109375" customWidth="1"/>
    <col min="5890" max="5890" width="11.7109375" customWidth="1"/>
    <col min="6146" max="6146" width="11.7109375" customWidth="1"/>
    <col min="6402" max="6402" width="11.7109375" customWidth="1"/>
    <col min="6658" max="6658" width="11.7109375" customWidth="1"/>
    <col min="6914" max="6914" width="11.7109375" customWidth="1"/>
    <col min="7170" max="7170" width="11.7109375" customWidth="1"/>
    <col min="7426" max="7426" width="11.7109375" customWidth="1"/>
    <col min="7682" max="7682" width="11.7109375" customWidth="1"/>
    <col min="7938" max="7938" width="11.7109375" customWidth="1"/>
    <col min="8194" max="8194" width="11.7109375" customWidth="1"/>
    <col min="8450" max="8450" width="11.7109375" customWidth="1"/>
    <col min="8706" max="8706" width="11.7109375" customWidth="1"/>
    <col min="8962" max="8962" width="11.7109375" customWidth="1"/>
    <col min="9218" max="9218" width="11.7109375" customWidth="1"/>
    <col min="9474" max="9474" width="11.7109375" customWidth="1"/>
    <col min="9730" max="9730" width="11.7109375" customWidth="1"/>
    <col min="9986" max="9986" width="11.7109375" customWidth="1"/>
    <col min="10242" max="10242" width="11.7109375" customWidth="1"/>
    <col min="10498" max="10498" width="11.7109375" customWidth="1"/>
    <col min="10754" max="10754" width="11.7109375" customWidth="1"/>
    <col min="11010" max="11010" width="11.7109375" customWidth="1"/>
    <col min="11266" max="11266" width="11.7109375" customWidth="1"/>
    <col min="11522" max="11522" width="11.7109375" customWidth="1"/>
    <col min="11778" max="11778" width="11.7109375" customWidth="1"/>
    <col min="12034" max="12034" width="11.7109375" customWidth="1"/>
    <col min="12290" max="12290" width="11.7109375" customWidth="1"/>
    <col min="12546" max="12546" width="11.7109375" customWidth="1"/>
    <col min="12802" max="12802" width="11.7109375" customWidth="1"/>
    <col min="13058" max="13058" width="11.7109375" customWidth="1"/>
    <col min="13314" max="13314" width="11.7109375" customWidth="1"/>
    <col min="13570" max="13570" width="11.7109375" customWidth="1"/>
    <col min="13826" max="13826" width="11.7109375" customWidth="1"/>
    <col min="14082" max="14082" width="11.7109375" customWidth="1"/>
    <col min="14338" max="14338" width="11.7109375" customWidth="1"/>
    <col min="14594" max="14594" width="11.7109375" customWidth="1"/>
    <col min="14850" max="14850" width="11.7109375" customWidth="1"/>
    <col min="15106" max="15106" width="11.7109375" customWidth="1"/>
    <col min="15362" max="15362" width="11.7109375" customWidth="1"/>
    <col min="15618" max="15618" width="11.7109375" customWidth="1"/>
    <col min="15874" max="15874" width="11.7109375" customWidth="1"/>
    <col min="16130" max="16130" width="11.7109375" customWidth="1"/>
  </cols>
  <sheetData>
    <row r="2" spans="1:15" x14ac:dyDescent="0.25">
      <c r="A2" t="s">
        <v>109</v>
      </c>
      <c r="B2" s="1" t="s">
        <v>110</v>
      </c>
      <c r="C2" s="1">
        <v>26</v>
      </c>
    </row>
    <row r="3" spans="1:15" x14ac:dyDescent="0.25">
      <c r="B3" t="s">
        <v>111</v>
      </c>
      <c r="C3" t="s">
        <v>112</v>
      </c>
    </row>
    <row r="4" spans="1:15" x14ac:dyDescent="0.25">
      <c r="A4" t="s">
        <v>113</v>
      </c>
      <c r="B4" s="2">
        <v>10</v>
      </c>
      <c r="C4" s="2">
        <v>10</v>
      </c>
      <c r="E4">
        <f>(100/B4)*C4</f>
        <v>100</v>
      </c>
    </row>
    <row r="5" spans="1:15" x14ac:dyDescent="0.25">
      <c r="A5" t="s">
        <v>114</v>
      </c>
      <c r="B5" t="s">
        <v>115</v>
      </c>
      <c r="C5" t="s">
        <v>116</v>
      </c>
      <c r="E5">
        <f>(100/B6)*C6</f>
        <v>96.296296296296291</v>
      </c>
      <c r="I5" s="2" t="s">
        <v>117</v>
      </c>
      <c r="J5" s="2" t="s">
        <v>118</v>
      </c>
      <c r="K5" s="2" t="s">
        <v>119</v>
      </c>
      <c r="L5" s="2" t="s">
        <v>120</v>
      </c>
      <c r="M5" s="2" t="s">
        <v>121</v>
      </c>
      <c r="N5" s="2" t="s">
        <v>122</v>
      </c>
      <c r="O5" s="2" t="s">
        <v>123</v>
      </c>
    </row>
    <row r="6" spans="1:15" x14ac:dyDescent="0.25">
      <c r="B6" s="2">
        <f>C2+1</f>
        <v>27</v>
      </c>
      <c r="C6" s="2">
        <v>26</v>
      </c>
      <c r="E6">
        <f>(100/B8)*C8</f>
        <v>0</v>
      </c>
      <c r="F6" s="3" t="s">
        <v>124</v>
      </c>
      <c r="I6" s="3">
        <f>C4</f>
        <v>10</v>
      </c>
      <c r="J6" s="3">
        <f>40/B6*C6</f>
        <v>38.518518518518519</v>
      </c>
      <c r="K6" s="3">
        <f>15/B8*C8</f>
        <v>0</v>
      </c>
      <c r="L6" s="3">
        <f>10/B10*C10</f>
        <v>0</v>
      </c>
      <c r="M6" s="3">
        <f>10/B12*C12</f>
        <v>0</v>
      </c>
      <c r="N6" s="3">
        <f>5/B14*C14</f>
        <v>0</v>
      </c>
      <c r="O6" s="3">
        <f>5/B16*C16</f>
        <v>0</v>
      </c>
    </row>
    <row r="7" spans="1:15" x14ac:dyDescent="0.25">
      <c r="A7" t="s">
        <v>125</v>
      </c>
      <c r="B7" t="s">
        <v>126</v>
      </c>
      <c r="C7" t="s">
        <v>127</v>
      </c>
      <c r="E7">
        <f>(100/B10)*C10</f>
        <v>0</v>
      </c>
      <c r="F7" s="2" t="s">
        <v>128</v>
      </c>
      <c r="G7" s="2"/>
      <c r="H7" s="2"/>
      <c r="I7" s="2">
        <f>I6+20</f>
        <v>30</v>
      </c>
      <c r="J7" s="2">
        <f>30/B6*C6</f>
        <v>28.888888888888889</v>
      </c>
      <c r="K7" s="2">
        <f>15/B8*C8</f>
        <v>0</v>
      </c>
      <c r="L7" s="2">
        <f>10/B10*C10</f>
        <v>0</v>
      </c>
      <c r="M7" s="2">
        <f>5/B12*C12</f>
        <v>0</v>
      </c>
      <c r="N7" s="2">
        <f>5/B14*C14</f>
        <v>0</v>
      </c>
      <c r="O7" s="2">
        <f>5/B16*C16</f>
        <v>0</v>
      </c>
    </row>
    <row r="8" spans="1:15" x14ac:dyDescent="0.25">
      <c r="B8" s="2">
        <f>C2</f>
        <v>26</v>
      </c>
      <c r="C8" s="2">
        <v>0</v>
      </c>
      <c r="E8">
        <f>(100/B12)*C12</f>
        <v>0</v>
      </c>
    </row>
    <row r="9" spans="1:15" x14ac:dyDescent="0.25">
      <c r="A9" t="s">
        <v>129</v>
      </c>
      <c r="B9" t="s">
        <v>126</v>
      </c>
      <c r="C9" t="s">
        <v>127</v>
      </c>
      <c r="E9">
        <f>(100/B14)*C14</f>
        <v>0</v>
      </c>
    </row>
    <row r="10" spans="1:15" x14ac:dyDescent="0.25">
      <c r="B10" s="2">
        <f>C2</f>
        <v>26</v>
      </c>
      <c r="C10" s="2">
        <v>0</v>
      </c>
      <c r="E10">
        <f>(100/B16)*C16</f>
        <v>0</v>
      </c>
    </row>
    <row r="11" spans="1:15" x14ac:dyDescent="0.25">
      <c r="A11" t="s">
        <v>121</v>
      </c>
      <c r="B11" t="s">
        <v>126</v>
      </c>
      <c r="C11" t="s">
        <v>127</v>
      </c>
    </row>
    <row r="12" spans="1:15" x14ac:dyDescent="0.25">
      <c r="B12" s="2">
        <f>C2</f>
        <v>26</v>
      </c>
      <c r="C12" s="2">
        <v>0</v>
      </c>
      <c r="F12" s="2"/>
      <c r="G12" s="2" t="s">
        <v>124</v>
      </c>
      <c r="H12" s="2" t="s">
        <v>130</v>
      </c>
      <c r="L12" t="s">
        <v>131</v>
      </c>
    </row>
    <row r="13" spans="1:15" ht="30" x14ac:dyDescent="0.25">
      <c r="A13" s="4" t="s">
        <v>122</v>
      </c>
      <c r="B13" t="s">
        <v>126</v>
      </c>
      <c r="C13" t="s">
        <v>127</v>
      </c>
      <c r="F13" s="2" t="s">
        <v>132</v>
      </c>
      <c r="G13" s="2">
        <f>I6</f>
        <v>10</v>
      </c>
      <c r="H13" s="2">
        <f>I7</f>
        <v>30</v>
      </c>
      <c r="L13" t="s">
        <v>131</v>
      </c>
    </row>
    <row r="14" spans="1:15" x14ac:dyDescent="0.25">
      <c r="B14" s="2">
        <f>C2</f>
        <v>26</v>
      </c>
      <c r="C14" s="2">
        <v>0</v>
      </c>
      <c r="F14" s="2" t="s">
        <v>133</v>
      </c>
      <c r="G14" s="2">
        <f>J6</f>
        <v>38.518518518518519</v>
      </c>
      <c r="H14" s="2">
        <f>J7</f>
        <v>28.888888888888889</v>
      </c>
    </row>
    <row r="15" spans="1:15" x14ac:dyDescent="0.25">
      <c r="A15" t="s">
        <v>123</v>
      </c>
      <c r="B15" t="s">
        <v>126</v>
      </c>
      <c r="C15" t="s">
        <v>127</v>
      </c>
      <c r="F15" s="2" t="s">
        <v>119</v>
      </c>
      <c r="G15" s="2">
        <f>K6</f>
        <v>0</v>
      </c>
      <c r="H15" s="2">
        <f>K7</f>
        <v>0</v>
      </c>
    </row>
    <row r="16" spans="1:15" x14ac:dyDescent="0.25">
      <c r="B16" s="2">
        <f>C2</f>
        <v>26</v>
      </c>
      <c r="C16" s="2">
        <v>0</v>
      </c>
      <c r="F16" s="2" t="s">
        <v>120</v>
      </c>
      <c r="G16" s="2">
        <f>L6</f>
        <v>0</v>
      </c>
      <c r="H16" s="2">
        <f>L7</f>
        <v>0</v>
      </c>
    </row>
    <row r="17" spans="5:8" x14ac:dyDescent="0.25">
      <c r="F17" s="2" t="s">
        <v>121</v>
      </c>
      <c r="G17" s="2">
        <f>M6</f>
        <v>0</v>
      </c>
      <c r="H17" s="2">
        <f>M7</f>
        <v>0</v>
      </c>
    </row>
    <row r="18" spans="5:8" ht="30" x14ac:dyDescent="0.25">
      <c r="F18" s="5" t="s">
        <v>122</v>
      </c>
      <c r="G18" s="2">
        <f>N6</f>
        <v>0</v>
      </c>
      <c r="H18" s="2">
        <f>N7</f>
        <v>0</v>
      </c>
    </row>
    <row r="19" spans="5:8" x14ac:dyDescent="0.25">
      <c r="F19" s="2" t="s">
        <v>123</v>
      </c>
      <c r="G19" s="2">
        <f>O6</f>
        <v>0</v>
      </c>
      <c r="H19" s="2">
        <f>O7</f>
        <v>0</v>
      </c>
    </row>
    <row r="20" spans="5:8" x14ac:dyDescent="0.25">
      <c r="F20" s="2" t="s">
        <v>134</v>
      </c>
      <c r="G20" s="7">
        <f>(G13+G14+G15+G16+G17+G18+G19)/100</f>
        <v>0.48518518518518516</v>
      </c>
      <c r="H20" s="7">
        <f>(H13+H14+H15+H16+H17+H18+H19)/100</f>
        <v>0.58888888888888891</v>
      </c>
    </row>
    <row r="21" spans="5:8" x14ac:dyDescent="0.25">
      <c r="E21" s="6"/>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O21"/>
  <sheetViews>
    <sheetView workbookViewId="0">
      <selection activeCell="G20" sqref="G20:H20"/>
    </sheetView>
  </sheetViews>
  <sheetFormatPr defaultRowHeight="15" x14ac:dyDescent="0.25"/>
  <cols>
    <col min="2" max="2" width="11.7109375" customWidth="1"/>
    <col min="258" max="258" width="11.7109375" customWidth="1"/>
    <col min="514" max="514" width="11.7109375" customWidth="1"/>
    <col min="770" max="770" width="11.7109375" customWidth="1"/>
    <col min="1026" max="1026" width="11.7109375" customWidth="1"/>
    <col min="1282" max="1282" width="11.7109375" customWidth="1"/>
    <col min="1538" max="1538" width="11.7109375" customWidth="1"/>
    <col min="1794" max="1794" width="11.7109375" customWidth="1"/>
    <col min="2050" max="2050" width="11.7109375" customWidth="1"/>
    <col min="2306" max="2306" width="11.7109375" customWidth="1"/>
    <col min="2562" max="2562" width="11.7109375" customWidth="1"/>
    <col min="2818" max="2818" width="11.7109375" customWidth="1"/>
    <col min="3074" max="3074" width="11.7109375" customWidth="1"/>
    <col min="3330" max="3330" width="11.7109375" customWidth="1"/>
    <col min="3586" max="3586" width="11.7109375" customWidth="1"/>
    <col min="3842" max="3842" width="11.7109375" customWidth="1"/>
    <col min="4098" max="4098" width="11.7109375" customWidth="1"/>
    <col min="4354" max="4354" width="11.7109375" customWidth="1"/>
    <col min="4610" max="4610" width="11.7109375" customWidth="1"/>
    <col min="4866" max="4866" width="11.7109375" customWidth="1"/>
    <col min="5122" max="5122" width="11.7109375" customWidth="1"/>
    <col min="5378" max="5378" width="11.7109375" customWidth="1"/>
    <col min="5634" max="5634" width="11.7109375" customWidth="1"/>
    <col min="5890" max="5890" width="11.7109375" customWidth="1"/>
    <col min="6146" max="6146" width="11.7109375" customWidth="1"/>
    <col min="6402" max="6402" width="11.7109375" customWidth="1"/>
    <col min="6658" max="6658" width="11.7109375" customWidth="1"/>
    <col min="6914" max="6914" width="11.7109375" customWidth="1"/>
    <col min="7170" max="7170" width="11.7109375" customWidth="1"/>
    <col min="7426" max="7426" width="11.7109375" customWidth="1"/>
    <col min="7682" max="7682" width="11.7109375" customWidth="1"/>
    <col min="7938" max="7938" width="11.7109375" customWidth="1"/>
    <col min="8194" max="8194" width="11.7109375" customWidth="1"/>
    <col min="8450" max="8450" width="11.7109375" customWidth="1"/>
    <col min="8706" max="8706" width="11.7109375" customWidth="1"/>
    <col min="8962" max="8962" width="11.7109375" customWidth="1"/>
    <col min="9218" max="9218" width="11.7109375" customWidth="1"/>
    <col min="9474" max="9474" width="11.7109375" customWidth="1"/>
    <col min="9730" max="9730" width="11.7109375" customWidth="1"/>
    <col min="9986" max="9986" width="11.7109375" customWidth="1"/>
    <col min="10242" max="10242" width="11.7109375" customWidth="1"/>
    <col min="10498" max="10498" width="11.7109375" customWidth="1"/>
    <col min="10754" max="10754" width="11.7109375" customWidth="1"/>
    <col min="11010" max="11010" width="11.7109375" customWidth="1"/>
    <col min="11266" max="11266" width="11.7109375" customWidth="1"/>
    <col min="11522" max="11522" width="11.7109375" customWidth="1"/>
    <col min="11778" max="11778" width="11.7109375" customWidth="1"/>
    <col min="12034" max="12034" width="11.7109375" customWidth="1"/>
    <col min="12290" max="12290" width="11.7109375" customWidth="1"/>
    <col min="12546" max="12546" width="11.7109375" customWidth="1"/>
    <col min="12802" max="12802" width="11.7109375" customWidth="1"/>
    <col min="13058" max="13058" width="11.7109375" customWidth="1"/>
    <col min="13314" max="13314" width="11.7109375" customWidth="1"/>
    <col min="13570" max="13570" width="11.7109375" customWidth="1"/>
    <col min="13826" max="13826" width="11.7109375" customWidth="1"/>
    <col min="14082" max="14082" width="11.7109375" customWidth="1"/>
    <col min="14338" max="14338" width="11.7109375" customWidth="1"/>
    <col min="14594" max="14594" width="11.7109375" customWidth="1"/>
    <col min="14850" max="14850" width="11.7109375" customWidth="1"/>
    <col min="15106" max="15106" width="11.7109375" customWidth="1"/>
    <col min="15362" max="15362" width="11.7109375" customWidth="1"/>
    <col min="15618" max="15618" width="11.7109375" customWidth="1"/>
    <col min="15874" max="15874" width="11.7109375" customWidth="1"/>
    <col min="16130" max="16130" width="11.7109375" customWidth="1"/>
  </cols>
  <sheetData>
    <row r="2" spans="1:15" x14ac:dyDescent="0.25">
      <c r="A2" t="s">
        <v>109</v>
      </c>
      <c r="B2" s="1" t="s">
        <v>110</v>
      </c>
      <c r="C2" s="1">
        <v>27</v>
      </c>
    </row>
    <row r="3" spans="1:15" x14ac:dyDescent="0.25">
      <c r="B3" t="s">
        <v>111</v>
      </c>
      <c r="C3" t="s">
        <v>112</v>
      </c>
    </row>
    <row r="4" spans="1:15" x14ac:dyDescent="0.25">
      <c r="A4" t="s">
        <v>113</v>
      </c>
      <c r="B4" s="2">
        <v>10</v>
      </c>
      <c r="C4" s="2">
        <v>10</v>
      </c>
      <c r="E4">
        <f>(100/B4)*C4</f>
        <v>100</v>
      </c>
    </row>
    <row r="5" spans="1:15" x14ac:dyDescent="0.25">
      <c r="A5" t="s">
        <v>114</v>
      </c>
      <c r="B5" t="s">
        <v>115</v>
      </c>
      <c r="C5" t="s">
        <v>116</v>
      </c>
      <c r="E5">
        <f>(100/B6)*C6</f>
        <v>85.714285714285722</v>
      </c>
      <c r="I5" s="2" t="s">
        <v>117</v>
      </c>
      <c r="J5" s="2" t="s">
        <v>118</v>
      </c>
      <c r="K5" s="2" t="s">
        <v>119</v>
      </c>
      <c r="L5" s="2" t="s">
        <v>120</v>
      </c>
      <c r="M5" s="2" t="s">
        <v>121</v>
      </c>
      <c r="N5" s="2" t="s">
        <v>122</v>
      </c>
      <c r="O5" s="2" t="s">
        <v>123</v>
      </c>
    </row>
    <row r="6" spans="1:15" x14ac:dyDescent="0.25">
      <c r="B6" s="2">
        <f>C2+1</f>
        <v>28</v>
      </c>
      <c r="C6" s="2">
        <v>24</v>
      </c>
      <c r="E6">
        <f>(100/B8)*C8</f>
        <v>0</v>
      </c>
      <c r="F6" s="3" t="s">
        <v>124</v>
      </c>
      <c r="I6" s="3">
        <f>C4</f>
        <v>10</v>
      </c>
      <c r="J6" s="3">
        <f>40/B6*C6</f>
        <v>34.285714285714285</v>
      </c>
      <c r="K6" s="3">
        <f>15/B8*C8</f>
        <v>0</v>
      </c>
      <c r="L6" s="3">
        <f>10/B10*C10</f>
        <v>0</v>
      </c>
      <c r="M6" s="3">
        <f>10/B12*C12</f>
        <v>0</v>
      </c>
      <c r="N6" s="3">
        <f>5/B14*C14</f>
        <v>0</v>
      </c>
      <c r="O6" s="3">
        <f>5/B16*C16</f>
        <v>0</v>
      </c>
    </row>
    <row r="7" spans="1:15" x14ac:dyDescent="0.25">
      <c r="A7" t="s">
        <v>125</v>
      </c>
      <c r="B7" t="s">
        <v>126</v>
      </c>
      <c r="C7" t="s">
        <v>127</v>
      </c>
      <c r="E7">
        <f>(100/B10)*C10</f>
        <v>0</v>
      </c>
      <c r="F7" s="2" t="s">
        <v>128</v>
      </c>
      <c r="G7" s="2"/>
      <c r="H7" s="2"/>
      <c r="I7" s="2">
        <f>I6+20</f>
        <v>30</v>
      </c>
      <c r="J7" s="2">
        <f>30/B6*C6</f>
        <v>25.714285714285715</v>
      </c>
      <c r="K7" s="2">
        <f>15/B8*C8</f>
        <v>0</v>
      </c>
      <c r="L7" s="2">
        <f>10/B10*C10</f>
        <v>0</v>
      </c>
      <c r="M7" s="2">
        <f>5/B12*C12</f>
        <v>0</v>
      </c>
      <c r="N7" s="2">
        <f>5/B14*C14</f>
        <v>0</v>
      </c>
      <c r="O7" s="2">
        <f>5/B16*C16</f>
        <v>0</v>
      </c>
    </row>
    <row r="8" spans="1:15" x14ac:dyDescent="0.25">
      <c r="B8" s="2">
        <f>C2</f>
        <v>27</v>
      </c>
      <c r="C8" s="2">
        <v>0</v>
      </c>
      <c r="E8">
        <f>(100/B12)*C12</f>
        <v>0</v>
      </c>
    </row>
    <row r="9" spans="1:15" x14ac:dyDescent="0.25">
      <c r="A9" t="s">
        <v>129</v>
      </c>
      <c r="B9" t="s">
        <v>126</v>
      </c>
      <c r="C9" t="s">
        <v>127</v>
      </c>
      <c r="E9">
        <f>(100/B14)*C14</f>
        <v>0</v>
      </c>
    </row>
    <row r="10" spans="1:15" x14ac:dyDescent="0.25">
      <c r="B10" s="2">
        <f>C2</f>
        <v>27</v>
      </c>
      <c r="C10" s="2">
        <v>0</v>
      </c>
      <c r="E10">
        <f>(100/B16)*C16</f>
        <v>0</v>
      </c>
    </row>
    <row r="11" spans="1:15" x14ac:dyDescent="0.25">
      <c r="A11" t="s">
        <v>121</v>
      </c>
      <c r="B11" t="s">
        <v>126</v>
      </c>
      <c r="C11" t="s">
        <v>127</v>
      </c>
    </row>
    <row r="12" spans="1:15" x14ac:dyDescent="0.25">
      <c r="B12" s="2">
        <f>C2</f>
        <v>27</v>
      </c>
      <c r="C12" s="2">
        <v>0</v>
      </c>
      <c r="F12" s="2"/>
      <c r="G12" s="2" t="s">
        <v>124</v>
      </c>
      <c r="H12" s="2" t="s">
        <v>130</v>
      </c>
      <c r="L12" t="s">
        <v>131</v>
      </c>
    </row>
    <row r="13" spans="1:15" ht="30" x14ac:dyDescent="0.25">
      <c r="A13" s="4" t="s">
        <v>122</v>
      </c>
      <c r="B13" t="s">
        <v>126</v>
      </c>
      <c r="C13" t="s">
        <v>127</v>
      </c>
      <c r="F13" s="2" t="s">
        <v>132</v>
      </c>
      <c r="G13" s="2">
        <f>I6</f>
        <v>10</v>
      </c>
      <c r="H13" s="2">
        <f>I7</f>
        <v>30</v>
      </c>
      <c r="L13" t="s">
        <v>131</v>
      </c>
    </row>
    <row r="14" spans="1:15" x14ac:dyDescent="0.25">
      <c r="B14" s="2">
        <f>C2</f>
        <v>27</v>
      </c>
      <c r="C14" s="2">
        <v>0</v>
      </c>
      <c r="F14" s="2" t="s">
        <v>133</v>
      </c>
      <c r="G14" s="2">
        <f>J6</f>
        <v>34.285714285714285</v>
      </c>
      <c r="H14" s="2">
        <f>J7</f>
        <v>25.714285714285715</v>
      </c>
    </row>
    <row r="15" spans="1:15" x14ac:dyDescent="0.25">
      <c r="A15" t="s">
        <v>123</v>
      </c>
      <c r="B15" t="s">
        <v>126</v>
      </c>
      <c r="C15" t="s">
        <v>127</v>
      </c>
      <c r="F15" s="2" t="s">
        <v>119</v>
      </c>
      <c r="G15" s="2">
        <f>K6</f>
        <v>0</v>
      </c>
      <c r="H15" s="2">
        <f>K7</f>
        <v>0</v>
      </c>
    </row>
    <row r="16" spans="1:15" x14ac:dyDescent="0.25">
      <c r="B16" s="2">
        <f>C2</f>
        <v>27</v>
      </c>
      <c r="C16" s="2">
        <v>0</v>
      </c>
      <c r="F16" s="2" t="s">
        <v>120</v>
      </c>
      <c r="G16" s="2">
        <f>L6</f>
        <v>0</v>
      </c>
      <c r="H16" s="2">
        <f>L7</f>
        <v>0</v>
      </c>
    </row>
    <row r="17" spans="5:8" x14ac:dyDescent="0.25">
      <c r="F17" s="2" t="s">
        <v>121</v>
      </c>
      <c r="G17" s="2">
        <f>M6</f>
        <v>0</v>
      </c>
      <c r="H17" s="2">
        <f>M7</f>
        <v>0</v>
      </c>
    </row>
    <row r="18" spans="5:8" ht="30" x14ac:dyDescent="0.25">
      <c r="F18" s="5" t="s">
        <v>122</v>
      </c>
      <c r="G18" s="2">
        <f>N6</f>
        <v>0</v>
      </c>
      <c r="H18" s="2">
        <f>N7</f>
        <v>0</v>
      </c>
    </row>
    <row r="19" spans="5:8" x14ac:dyDescent="0.25">
      <c r="F19" s="2" t="s">
        <v>123</v>
      </c>
      <c r="G19" s="2">
        <f>O6</f>
        <v>0</v>
      </c>
      <c r="H19" s="2">
        <f>O7</f>
        <v>0</v>
      </c>
    </row>
    <row r="20" spans="5:8" x14ac:dyDescent="0.25">
      <c r="F20" s="2" t="s">
        <v>134</v>
      </c>
      <c r="G20" s="7">
        <f>(G13+G14+G15+G16+G17+G18+G19)/100</f>
        <v>0.44285714285714284</v>
      </c>
      <c r="H20" s="7">
        <f>(H13+H14+H15+H16+H17+H18+H19)/100</f>
        <v>0.55714285714285716</v>
      </c>
    </row>
    <row r="21" spans="5:8" x14ac:dyDescent="0.25">
      <c r="E21" s="6"/>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report</vt:lpstr>
      <vt:lpstr>T1</vt:lpstr>
      <vt:lpstr>T2</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VSJC</cp:lastModifiedBy>
  <cp:lastPrinted>2025-07-05T07:18:05Z</cp:lastPrinted>
  <dcterms:created xsi:type="dcterms:W3CDTF">2010-11-23T11:42:48Z</dcterms:created>
  <dcterms:modified xsi:type="dcterms:W3CDTF">2025-07-05T07:20:05Z</dcterms:modified>
</cp:coreProperties>
</file>