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bookViews>
  <sheets>
    <sheet name="report" sheetId="7" r:id="rId1"/>
    <sheet name="T1" sheetId="4" r:id="rId2"/>
    <sheet name="T2" sheetId="5" r:id="rId3"/>
  </sheets>
  <definedNames>
    <definedName name="_xlnm.Print_Area" localSheetId="0">report!$A$1:$I$356</definedName>
  </definedNames>
  <calcPr calcId="152511"/>
</workbook>
</file>

<file path=xl/calcChain.xml><?xml version="1.0" encoding="utf-8"?>
<calcChain xmlns="http://schemas.openxmlformats.org/spreadsheetml/2006/main">
  <c r="L2" i="7" l="1"/>
  <c r="J2" i="7" l="1"/>
  <c r="E17" i="7" l="1"/>
  <c r="C90" i="7" l="1"/>
  <c r="C92" i="7" s="1"/>
  <c r="C75" i="7"/>
  <c r="C76" i="7" s="1"/>
  <c r="M96" i="7"/>
  <c r="M80" i="7"/>
  <c r="K78" i="7"/>
  <c r="K77" i="7"/>
  <c r="K76" i="7"/>
  <c r="C59" i="7"/>
  <c r="C60" i="7" s="1"/>
  <c r="M64" i="7"/>
  <c r="K62" i="7"/>
  <c r="K61" i="7"/>
  <c r="K60" i="7"/>
  <c r="K59" i="7"/>
  <c r="I85" i="7"/>
  <c r="I69" i="7"/>
  <c r="I53" i="7"/>
  <c r="E98" i="7" l="1"/>
  <c r="E96" i="7"/>
  <c r="E94" i="7"/>
  <c r="E92" i="7"/>
  <c r="K89" i="7"/>
  <c r="K90" i="7" s="1"/>
  <c r="K95" i="7" s="1"/>
  <c r="K87" i="7"/>
  <c r="E97" i="7"/>
  <c r="E89" i="7"/>
  <c r="K86" i="7"/>
  <c r="E95" i="7"/>
  <c r="E93" i="7"/>
  <c r="E90" i="7"/>
  <c r="K88" i="7"/>
  <c r="E91" i="7"/>
  <c r="E82" i="7"/>
  <c r="E80" i="7"/>
  <c r="E78" i="7"/>
  <c r="E76" i="7"/>
  <c r="K73" i="7"/>
  <c r="K74" i="7" s="1"/>
  <c r="K79" i="7" s="1"/>
  <c r="K71" i="7"/>
  <c r="E75" i="7"/>
  <c r="E81" i="7"/>
  <c r="E73" i="7"/>
  <c r="K70" i="7"/>
  <c r="E79" i="7"/>
  <c r="E77" i="7"/>
  <c r="E74" i="7"/>
  <c r="K72" i="7"/>
  <c r="E72" i="7"/>
  <c r="E66" i="7"/>
  <c r="E64" i="7"/>
  <c r="E62" i="7"/>
  <c r="E60" i="7"/>
  <c r="E58" i="7"/>
  <c r="E56" i="7"/>
  <c r="E65" i="7"/>
  <c r="K57" i="7"/>
  <c r="K58" i="7" s="1"/>
  <c r="K63" i="7" s="1"/>
  <c r="K64" i="7" s="1"/>
  <c r="K55" i="7"/>
  <c r="E63" i="7"/>
  <c r="E61" i="7"/>
  <c r="E59" i="7"/>
  <c r="E57" i="7"/>
  <c r="K54" i="7"/>
  <c r="K56" i="7"/>
  <c r="K91" i="7" l="1"/>
  <c r="K92" i="7" s="1"/>
  <c r="K93" i="7" s="1"/>
  <c r="K94" i="7" s="1"/>
  <c r="C87" i="7"/>
  <c r="C71" i="7"/>
  <c r="F71" i="7" s="1"/>
  <c r="K75" i="7"/>
  <c r="K80" i="7" s="1"/>
  <c r="C55" i="7"/>
  <c r="F55" i="7" s="1"/>
  <c r="K96" i="7" l="1"/>
  <c r="C88" i="7" s="1"/>
  <c r="E88" i="7" s="1"/>
  <c r="E87" i="7"/>
  <c r="E71" i="7"/>
  <c r="J68" i="7" s="1"/>
  <c r="H71" i="7" s="1"/>
  <c r="E55" i="7"/>
  <c r="J52" i="7" s="1"/>
  <c r="H55" i="7" s="1"/>
  <c r="F87" i="7" l="1"/>
  <c r="I99" i="7" s="1"/>
  <c r="I4" i="7"/>
  <c r="J84" i="7" l="1"/>
  <c r="H87" i="7" s="1"/>
  <c r="F305" i="7"/>
  <c r="E311" i="7" l="1"/>
  <c r="F199" i="7"/>
  <c r="F198" i="7"/>
  <c r="F197" i="7"/>
  <c r="F196" i="7"/>
  <c r="F194" i="7"/>
  <c r="F191" i="7"/>
  <c r="I191" i="7" s="1"/>
  <c r="F193" i="7"/>
  <c r="F131" i="7"/>
  <c r="F130" i="7"/>
  <c r="F127" i="7"/>
  <c r="F126" i="7"/>
  <c r="F129" i="7"/>
  <c r="F128" i="7"/>
  <c r="F125" i="7"/>
  <c r="F124" i="7"/>
  <c r="F122" i="7"/>
  <c r="F119" i="7"/>
  <c r="F118" i="7"/>
  <c r="F117" i="7"/>
  <c r="F121" i="7"/>
  <c r="F120" i="7"/>
  <c r="F115" i="7"/>
  <c r="I115" i="7" s="1"/>
  <c r="F114" i="7"/>
  <c r="I114" i="7" s="1"/>
  <c r="F136" i="7"/>
  <c r="F135" i="7"/>
  <c r="F140" i="7"/>
  <c r="F139" i="7"/>
  <c r="F145" i="7"/>
  <c r="F144" i="7"/>
  <c r="F149" i="7"/>
  <c r="F148" i="7"/>
  <c r="F154" i="7"/>
  <c r="F153" i="7"/>
  <c r="F158" i="7"/>
  <c r="F157" i="7"/>
  <c r="F172" i="7"/>
  <c r="F171" i="7"/>
  <c r="F176" i="7"/>
  <c r="F175" i="7"/>
  <c r="F163" i="7"/>
  <c r="F162" i="7"/>
  <c r="F166" i="7"/>
  <c r="F181" i="7"/>
  <c r="F180" i="7"/>
  <c r="F184" i="7"/>
  <c r="F203" i="7"/>
  <c r="F202" i="7"/>
  <c r="F207" i="7"/>
  <c r="F206" i="7"/>
  <c r="F211" i="7"/>
  <c r="F210" i="7"/>
  <c r="F215" i="7"/>
  <c r="F214" i="7"/>
  <c r="F220" i="7"/>
  <c r="F219" i="7"/>
  <c r="F224" i="7"/>
  <c r="F223" i="7"/>
  <c r="F229" i="7"/>
  <c r="F228" i="7"/>
  <c r="F232" i="7"/>
  <c r="F238" i="7"/>
  <c r="F237" i="7"/>
  <c r="F242" i="7"/>
  <c r="F241" i="7"/>
  <c r="F247" i="7"/>
  <c r="F246" i="7"/>
  <c r="F250" i="7"/>
  <c r="F297" i="7"/>
  <c r="F296" i="7"/>
  <c r="F288" i="7"/>
  <c r="F287" i="7"/>
  <c r="F279" i="7"/>
  <c r="I279" i="7" s="1"/>
  <c r="F278" i="7"/>
  <c r="I278" i="7" s="1"/>
  <c r="F134" i="7"/>
  <c r="F133" i="7"/>
  <c r="F138" i="7"/>
  <c r="F137" i="7"/>
  <c r="F143" i="7"/>
  <c r="F142" i="7"/>
  <c r="F147" i="7"/>
  <c r="F146" i="7"/>
  <c r="F152" i="7"/>
  <c r="F151" i="7"/>
  <c r="F156" i="7"/>
  <c r="F155" i="7"/>
  <c r="F161" i="7"/>
  <c r="F160" i="7"/>
  <c r="F165" i="7"/>
  <c r="F164" i="7"/>
  <c r="F170" i="7"/>
  <c r="F169" i="7"/>
  <c r="F174" i="7"/>
  <c r="F173" i="7"/>
  <c r="F179" i="7"/>
  <c r="F178" i="7"/>
  <c r="F183" i="7"/>
  <c r="F182" i="7"/>
  <c r="F201" i="7"/>
  <c r="F205" i="7"/>
  <c r="F204" i="7"/>
  <c r="F209" i="7"/>
  <c r="F213" i="7"/>
  <c r="F212" i="7"/>
  <c r="F218" i="7"/>
  <c r="F217" i="7"/>
  <c r="F222" i="7"/>
  <c r="F221" i="7"/>
  <c r="F227" i="7"/>
  <c r="F226" i="7"/>
  <c r="F231" i="7"/>
  <c r="F230" i="7"/>
  <c r="F236" i="7"/>
  <c r="F235" i="7"/>
  <c r="F240" i="7"/>
  <c r="F239" i="7"/>
  <c r="F245" i="7"/>
  <c r="F244" i="7"/>
  <c r="F249" i="7"/>
  <c r="F248" i="7"/>
  <c r="F304" i="7"/>
  <c r="F303" i="7"/>
  <c r="F300" i="7"/>
  <c r="F299" i="7"/>
  <c r="F295" i="7"/>
  <c r="F294" i="7"/>
  <c r="F291" i="7"/>
  <c r="F290" i="7"/>
  <c r="F286" i="7"/>
  <c r="F285" i="7"/>
  <c r="F282" i="7"/>
  <c r="F281" i="7"/>
  <c r="F273" i="7"/>
  <c r="I273" i="7" s="1"/>
  <c r="F272" i="7"/>
  <c r="F277" i="7"/>
  <c r="I277" i="7" s="1"/>
  <c r="F276" i="7"/>
  <c r="I276" i="7" s="1"/>
  <c r="F263" i="7"/>
  <c r="F262" i="7"/>
  <c r="F268" i="7"/>
  <c r="F269" i="7"/>
  <c r="F267" i="7"/>
  <c r="F270" i="7"/>
  <c r="K306" i="7" l="1"/>
  <c r="K297" i="7"/>
  <c r="K250" i="7"/>
  <c r="K242" i="7"/>
  <c r="K184" i="7"/>
  <c r="K176" i="7"/>
  <c r="I305" i="7"/>
  <c r="I304" i="7"/>
  <c r="I303" i="7"/>
  <c r="F302" i="7"/>
  <c r="I302" i="7" s="1"/>
  <c r="F301" i="7"/>
  <c r="I301" i="7" s="1"/>
  <c r="I300" i="7"/>
  <c r="I299" i="7"/>
  <c r="I297" i="7"/>
  <c r="I296" i="7"/>
  <c r="I295" i="7"/>
  <c r="F293" i="7"/>
  <c r="I293" i="7" s="1"/>
  <c r="F292" i="7"/>
  <c r="I292" i="7" s="1"/>
  <c r="I291" i="7"/>
  <c r="I290" i="7"/>
  <c r="I288" i="7"/>
  <c r="I287" i="7"/>
  <c r="I285" i="7"/>
  <c r="F284" i="7"/>
  <c r="I284" i="7" s="1"/>
  <c r="F283" i="7"/>
  <c r="I283" i="7" s="1"/>
  <c r="I282" i="7"/>
  <c r="I281" i="7"/>
  <c r="F275" i="7"/>
  <c r="I275" i="7" s="1"/>
  <c r="F274" i="7"/>
  <c r="I274" i="7" s="1"/>
  <c r="I272" i="7"/>
  <c r="I269" i="7"/>
  <c r="I268" i="7"/>
  <c r="I267" i="7"/>
  <c r="F266" i="7"/>
  <c r="I266" i="7" s="1"/>
  <c r="F265" i="7"/>
  <c r="I265" i="7" s="1"/>
  <c r="I263" i="7"/>
  <c r="I262" i="7"/>
  <c r="F261" i="7"/>
  <c r="I261" i="7" s="1"/>
  <c r="F260" i="7"/>
  <c r="I260" i="7" s="1"/>
  <c r="I249" i="7"/>
  <c r="I248" i="7"/>
  <c r="I246" i="7"/>
  <c r="I245" i="7"/>
  <c r="I244" i="7"/>
  <c r="I242" i="7"/>
  <c r="I241" i="7"/>
  <c r="I238" i="7"/>
  <c r="I237" i="7"/>
  <c r="I236" i="7"/>
  <c r="I235" i="7"/>
  <c r="I232" i="7"/>
  <c r="I231" i="7"/>
  <c r="I228" i="7"/>
  <c r="I227" i="7"/>
  <c r="I224" i="7"/>
  <c r="I223" i="7"/>
  <c r="I222" i="7"/>
  <c r="I221" i="7"/>
  <c r="I220" i="7"/>
  <c r="I219" i="7"/>
  <c r="I218" i="7"/>
  <c r="I217" i="7"/>
  <c r="I214" i="7"/>
  <c r="I215" i="7"/>
  <c r="I213" i="7"/>
  <c r="I212" i="7"/>
  <c r="I210" i="7"/>
  <c r="I209" i="7"/>
  <c r="I205" i="7"/>
  <c r="I201" i="7"/>
  <c r="I198" i="7"/>
  <c r="I197" i="7"/>
  <c r="I131" i="7"/>
  <c r="I130" i="7"/>
  <c r="I127" i="7"/>
  <c r="I126" i="7"/>
  <c r="I122" i="7"/>
  <c r="I120" i="7"/>
  <c r="I119" i="7"/>
  <c r="I194" i="7"/>
  <c r="I193" i="7"/>
  <c r="I184" i="7"/>
  <c r="I183" i="7"/>
  <c r="I182" i="7"/>
  <c r="I180" i="7"/>
  <c r="I181" i="7"/>
  <c r="I179" i="7"/>
  <c r="I178" i="7"/>
  <c r="I175" i="7"/>
  <c r="I173" i="7"/>
  <c r="I172" i="7"/>
  <c r="I174" i="7"/>
  <c r="I170" i="7"/>
  <c r="I169" i="7"/>
  <c r="I162" i="7"/>
  <c r="I166" i="7"/>
  <c r="I165" i="7"/>
  <c r="I164" i="7"/>
  <c r="I163" i="7"/>
  <c r="I160" i="7"/>
  <c r="I157" i="7"/>
  <c r="I156" i="7"/>
  <c r="I155" i="7"/>
  <c r="I153" i="7"/>
  <c r="I154" i="7"/>
  <c r="I152" i="7"/>
  <c r="I151" i="7"/>
  <c r="I142" i="7"/>
  <c r="I147" i="7"/>
  <c r="I149" i="7"/>
  <c r="I146" i="7"/>
  <c r="I135" i="7"/>
  <c r="I143" i="7"/>
  <c r="I145" i="7"/>
  <c r="I144" i="7"/>
  <c r="I207" i="7"/>
  <c r="I206" i="7"/>
  <c r="I204" i="7"/>
  <c r="I203" i="7"/>
  <c r="I202" i="7"/>
  <c r="I140" i="7"/>
  <c r="I139" i="7"/>
  <c r="I138" i="7"/>
  <c r="I137" i="7"/>
  <c r="I136" i="7"/>
  <c r="I134" i="7"/>
  <c r="A299" i="7"/>
  <c r="A290" i="7"/>
  <c r="A281" i="7"/>
  <c r="A272" i="7"/>
  <c r="A265" i="7"/>
  <c r="A260" i="7"/>
  <c r="A244" i="7"/>
  <c r="A235" i="7"/>
  <c r="A226" i="7"/>
  <c r="A217" i="7"/>
  <c r="A209" i="7"/>
  <c r="A201" i="7"/>
  <c r="F306" i="7"/>
  <c r="I306" i="7" s="1"/>
  <c r="F251" i="7"/>
  <c r="I251" i="7" s="1"/>
  <c r="I250" i="7"/>
  <c r="I247" i="7"/>
  <c r="A178" i="7"/>
  <c r="I294" i="7"/>
  <c r="I240" i="7"/>
  <c r="I239" i="7"/>
  <c r="I176" i="7"/>
  <c r="I171" i="7"/>
  <c r="A169" i="7"/>
  <c r="I286" i="7"/>
  <c r="F233" i="7"/>
  <c r="I233" i="7" s="1"/>
  <c r="I230" i="7"/>
  <c r="I229" i="7"/>
  <c r="I226" i="7"/>
  <c r="I161" i="7"/>
  <c r="A160" i="7"/>
  <c r="I158" i="7"/>
  <c r="A151" i="7"/>
  <c r="I270" i="7"/>
  <c r="I211" i="7"/>
  <c r="I148" i="7"/>
  <c r="A142" i="7"/>
  <c r="I133" i="7"/>
  <c r="A133" i="7"/>
  <c r="I199" i="7"/>
  <c r="I196" i="7"/>
  <c r="A196" i="7"/>
  <c r="I129" i="7"/>
  <c r="I128" i="7"/>
  <c r="I125" i="7"/>
  <c r="I124" i="7"/>
  <c r="A124" i="7"/>
  <c r="A117" i="7"/>
  <c r="I121" i="7"/>
  <c r="I118" i="7"/>
  <c r="I117" i="7"/>
  <c r="K307" i="7" l="1"/>
  <c r="E312" i="7" l="1"/>
  <c r="E310" i="7" l="1"/>
  <c r="B16" i="5" l="1"/>
  <c r="B14" i="5"/>
  <c r="E9" i="5" s="1"/>
  <c r="B12" i="5"/>
  <c r="E8" i="5" s="1"/>
  <c r="E10" i="5"/>
  <c r="B10" i="5"/>
  <c r="E7" i="5" s="1"/>
  <c r="B8" i="5"/>
  <c r="K7" i="5" s="1"/>
  <c r="H15" i="5" s="1"/>
  <c r="O7" i="5"/>
  <c r="H19" i="5" s="1"/>
  <c r="N7" i="5"/>
  <c r="H18" i="5" s="1"/>
  <c r="O6" i="5"/>
  <c r="G19" i="5" s="1"/>
  <c r="I6" i="5"/>
  <c r="I7" i="5" s="1"/>
  <c r="H13" i="5" s="1"/>
  <c r="E6" i="5"/>
  <c r="B6" i="5"/>
  <c r="J6" i="5" s="1"/>
  <c r="G14" i="5" s="1"/>
  <c r="E4" i="5"/>
  <c r="B16" i="4"/>
  <c r="E10" i="4" s="1"/>
  <c r="B14" i="4"/>
  <c r="E9" i="4" s="1"/>
  <c r="B12" i="4"/>
  <c r="E8" i="4" s="1"/>
  <c r="B10" i="4"/>
  <c r="L7" i="4" s="1"/>
  <c r="H16" i="4" s="1"/>
  <c r="B8" i="4"/>
  <c r="K7" i="4" s="1"/>
  <c r="H15" i="4" s="1"/>
  <c r="I6" i="4"/>
  <c r="G13" i="4" s="1"/>
  <c r="B6" i="4"/>
  <c r="J7" i="4" s="1"/>
  <c r="H14" i="4" s="1"/>
  <c r="E4" i="4"/>
  <c r="N7" i="4" l="1"/>
  <c r="H18" i="4" s="1"/>
  <c r="E5" i="5"/>
  <c r="K6" i="4"/>
  <c r="G15" i="4" s="1"/>
  <c r="J7" i="5"/>
  <c r="H14" i="5" s="1"/>
  <c r="O6" i="4"/>
  <c r="G19" i="4" s="1"/>
  <c r="G13" i="5"/>
  <c r="E6" i="4"/>
  <c r="M7" i="5"/>
  <c r="H17" i="5" s="1"/>
  <c r="M6" i="5"/>
  <c r="G17" i="5" s="1"/>
  <c r="L7" i="5"/>
  <c r="H16" i="5" s="1"/>
  <c r="M7" i="4"/>
  <c r="H17" i="4" s="1"/>
  <c r="N6" i="5"/>
  <c r="G18" i="5" s="1"/>
  <c r="M6" i="4"/>
  <c r="G17" i="4" s="1"/>
  <c r="L6" i="5"/>
  <c r="G16" i="5" s="1"/>
  <c r="O7" i="4"/>
  <c r="H19" i="4" s="1"/>
  <c r="N6" i="4"/>
  <c r="G18" i="4" s="1"/>
  <c r="I7" i="4"/>
  <c r="H13" i="4" s="1"/>
  <c r="E5" i="4"/>
  <c r="J6" i="4"/>
  <c r="G14" i="4" s="1"/>
  <c r="L6" i="4"/>
  <c r="G16" i="4" s="1"/>
  <c r="E7" i="4"/>
  <c r="K6" i="5"/>
  <c r="G15" i="5" s="1"/>
  <c r="H20" i="5" l="1"/>
  <c r="G20" i="5"/>
  <c r="G20" i="4"/>
  <c r="H20" i="4"/>
</calcChain>
</file>

<file path=xl/sharedStrings.xml><?xml version="1.0" encoding="utf-8"?>
<sst xmlns="http://schemas.openxmlformats.org/spreadsheetml/2006/main" count="680" uniqueCount="284">
  <si>
    <t>Boundaries</t>
  </si>
  <si>
    <t>North</t>
  </si>
  <si>
    <t>East</t>
  </si>
  <si>
    <t>West</t>
  </si>
  <si>
    <t>:</t>
  </si>
  <si>
    <t>As per Actual at site</t>
  </si>
  <si>
    <t>South</t>
  </si>
  <si>
    <t>As per Documents</t>
  </si>
  <si>
    <t>As per Site / Actual</t>
  </si>
  <si>
    <t>Government Guideline/ Circle rate for Land (Rs per sqft)</t>
  </si>
  <si>
    <t>Authorized Signatory Name &amp; Signature</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</si>
  <si>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</si>
  <si>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</si>
  <si>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</si>
  <si>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</si>
  <si>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</si>
  <si>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</si>
  <si>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</si>
  <si>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</si>
  <si>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</si>
  <si>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</si>
  <si>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</si>
  <si>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</si>
  <si>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</si>
  <si>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</si>
  <si>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</si>
  <si>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</si>
  <si>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</si>
  <si>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</si>
  <si>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</si>
  <si>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</si>
  <si>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</si>
  <si>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Branch Name/ID</t>
  </si>
  <si>
    <t>Name of Engineer Visited the property</t>
  </si>
  <si>
    <t>Degree of Risk Associated</t>
  </si>
  <si>
    <t>Property Falls in CR Zone</t>
  </si>
  <si>
    <t>Date of Report Release</t>
  </si>
  <si>
    <t>Documents Provided by GHF</t>
  </si>
  <si>
    <t>Request from GHF Employee</t>
  </si>
  <si>
    <t>Name of the person met at site &amp; Contact No.</t>
  </si>
  <si>
    <t>Width of the Road in ft.</t>
  </si>
  <si>
    <t>NDMA Guidelines</t>
  </si>
  <si>
    <t>APF Report Format</t>
  </si>
  <si>
    <t>Project Name</t>
  </si>
  <si>
    <t>Project Address</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</si>
  <si>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</si>
  <si>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</si>
  <si>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</si>
  <si>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</si>
  <si>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</si>
  <si>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</si>
  <si>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</si>
  <si>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</si>
  <si>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</si>
  <si>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</si>
  <si>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</si>
  <si>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</si>
  <si>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</si>
  <si>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</si>
  <si>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Free/ Fungible FSI</t>
  </si>
  <si>
    <t>Total Number of Units Planned</t>
  </si>
  <si>
    <t>Total Number of Units Approved</t>
  </si>
  <si>
    <t>If Mixed, No. of Commercial Units</t>
  </si>
  <si>
    <t>Project Structure</t>
  </si>
  <si>
    <t>Building/Tower Name/No.</t>
  </si>
  <si>
    <t>Type (Sale/Rehab)</t>
  </si>
  <si>
    <t>No. of Floors Planned</t>
  </si>
  <si>
    <t>No. of Floors Approved</t>
  </si>
  <si>
    <t>Building Permission &amp; Other Approvals</t>
  </si>
  <si>
    <t>Construction as per Approved/ Sanctioned Plans</t>
  </si>
  <si>
    <t>LOI/IOD Details</t>
  </si>
  <si>
    <t>Approved Plan Details</t>
  </si>
  <si>
    <t>Environmental Clearance Details</t>
  </si>
  <si>
    <t>Airport Authority Clearance Details</t>
  </si>
  <si>
    <t>Other NOC Details</t>
  </si>
  <si>
    <t>Construction Status</t>
  </si>
  <si>
    <t xml:space="preserve">Project Specific Remarks &amp; Observation </t>
  </si>
  <si>
    <t>Name of the Project</t>
  </si>
  <si>
    <t>Measurement Unit of Area (Sq. Ft./Sq. Mt.)</t>
  </si>
  <si>
    <t>Car Parking Charges</t>
  </si>
  <si>
    <t>Other Charges</t>
  </si>
  <si>
    <t>Remarks / Observations</t>
  </si>
  <si>
    <t>Site &amp; Building/Tower Photographs</t>
  </si>
  <si>
    <t>Location Cum Root Map (Satelite View)</t>
  </si>
  <si>
    <t>Unit Details, Nomenclature and Area Details</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</si>
  <si>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</si>
  <si>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</si>
  <si>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</si>
  <si>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</si>
  <si>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</si>
  <si>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</si>
  <si>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</si>
  <si>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</si>
  <si>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</si>
  <si>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V.S.JADON &amp; CO VALUERS  LLP</t>
  </si>
  <si>
    <t>Freehold</t>
  </si>
  <si>
    <t>Residential</t>
  </si>
  <si>
    <t>Plot Area (In Sq.Mt)</t>
  </si>
  <si>
    <t>Proposed Built up Area (In Sq.Mt)</t>
  </si>
  <si>
    <t>Permissible Built up Area (In Sq.Mt)</t>
  </si>
  <si>
    <t>-</t>
  </si>
  <si>
    <t>Entrance, Drop-off points, Central Breezeway, Open Party, Lawn, Zen Garden, Jogging Track, Pet Zone, Amphitheatre, Senior Citizen's Area, Reflexology pathway, Outdoor Activity Lawn, Chlorine-free infinity Pool, Chlorine-free Kid's Pool, Kids Play Area, Barbeque corner, Seating Promenade, Clubhouse, Cafe, Gym, Basketball Court, Futsal Court, Cricket pitch, Sunken Seating with Planters, Canopy covered Walkway, Spa, Reading Room, Yoga/Aerobics Room, Indoor games, Billiards Room.</t>
  </si>
  <si>
    <t>Developing</t>
  </si>
  <si>
    <t>Bitumen</t>
  </si>
  <si>
    <t>Yes</t>
  </si>
  <si>
    <t>III</t>
  </si>
  <si>
    <t>No</t>
  </si>
  <si>
    <t>None</t>
  </si>
  <si>
    <t>Low</t>
  </si>
  <si>
    <t>Open Plot</t>
  </si>
  <si>
    <t>Sale</t>
  </si>
  <si>
    <t>CC Details</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</si>
  <si>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</si>
  <si>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</si>
  <si>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</si>
  <si>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</si>
  <si>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</si>
  <si>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</si>
  <si>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</si>
  <si>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</si>
  <si>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</si>
  <si>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</si>
  <si>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</si>
  <si>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</si>
  <si>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</si>
  <si>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</si>
  <si>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</si>
  <si>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</si>
  <si>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</si>
  <si>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</si>
  <si>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</si>
  <si>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</si>
  <si>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</si>
  <si>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</si>
  <si>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</si>
  <si>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</si>
  <si>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</si>
  <si>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</si>
  <si>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Godrej One, Vikhroli East, Mumbai</t>
  </si>
  <si>
    <t>Flat/Shop No.</t>
  </si>
  <si>
    <t>Description</t>
  </si>
  <si>
    <t>Gross Carpet area</t>
  </si>
  <si>
    <t>Attached Terrace area</t>
  </si>
  <si>
    <t>1st Floor</t>
  </si>
  <si>
    <t>Project Site Address</t>
  </si>
  <si>
    <t>Distance from nearest Railway/Metro/Airport (Km)</t>
  </si>
  <si>
    <t>Distance from the nearest School (Km)</t>
  </si>
  <si>
    <t>Distance from Hospital (Km)</t>
  </si>
  <si>
    <t>Market Value</t>
  </si>
  <si>
    <t>Guideline Values &amp; Distress Value</t>
  </si>
  <si>
    <t>Distress Value (Rs. Per sqft)</t>
  </si>
  <si>
    <t>Building/Tower &amp; Floor</t>
  </si>
  <si>
    <t>Site Visit Date &amp; Time</t>
  </si>
  <si>
    <t xml:space="preserve"> -</t>
  </si>
  <si>
    <t>Under Construction</t>
  </si>
  <si>
    <t>Sq. Ft</t>
  </si>
  <si>
    <t>500000/-</t>
  </si>
  <si>
    <t>Government Guideline/ Circle rate for Flat Built up(Rs per sqft)</t>
  </si>
  <si>
    <t>2BHK</t>
  </si>
  <si>
    <t>1BHK</t>
  </si>
  <si>
    <t>Refuge Area</t>
  </si>
  <si>
    <t>Type of Saleable Area (CA/BUA/SBA/PlotArea)</t>
  </si>
  <si>
    <t>As applicable and documented.</t>
  </si>
  <si>
    <t>Basement</t>
  </si>
  <si>
    <t>Ground</t>
  </si>
  <si>
    <t>Podium</t>
  </si>
  <si>
    <t>Floors</t>
  </si>
  <si>
    <t xml:space="preserve">Stage of construction: </t>
  </si>
  <si>
    <t>Type of Work</t>
  </si>
  <si>
    <t>Progress %</t>
  </si>
  <si>
    <t>All work Completed. OC Received.</t>
  </si>
  <si>
    <t>Excavation in process</t>
  </si>
  <si>
    <t>Excavation Completed</t>
  </si>
  <si>
    <t>Footing in Process</t>
  </si>
  <si>
    <t>Footing Completed</t>
  </si>
  <si>
    <t>Plinth in process</t>
  </si>
  <si>
    <t>Plinth completed</t>
  </si>
  <si>
    <t xml:space="preserve">Water Supply </t>
  </si>
  <si>
    <t>Being Provisioned</t>
  </si>
  <si>
    <t>Electricity Supply</t>
  </si>
  <si>
    <t>Drainage Connection</t>
  </si>
  <si>
    <t>P52000026790</t>
  </si>
  <si>
    <t>Axis Bank</t>
  </si>
  <si>
    <t>Middle class</t>
  </si>
  <si>
    <t>About 5 km form Mangal Murti Clinic Dr Raut.</t>
  </si>
  <si>
    <t>Tower No.1</t>
  </si>
  <si>
    <t>Tower No.2</t>
  </si>
  <si>
    <t>Tower No.3</t>
  </si>
  <si>
    <t>2nd Floor Floor (Level 13.2 M)</t>
  </si>
  <si>
    <t>3rd Floor (Level 16.35 M)</t>
  </si>
  <si>
    <t xml:space="preserve">3rd Floor + Parking Floor 5th (Level 16.35 M) </t>
  </si>
  <si>
    <t>4th Floor (Level 19.675 M)</t>
  </si>
  <si>
    <t>1st Floor (Level 19.675M SFL &amp; 19.875 FFl)</t>
  </si>
  <si>
    <t>5th Floor (Level 22.825 M)</t>
  </si>
  <si>
    <t>2nd Floor (Level 22.825M)</t>
  </si>
  <si>
    <t>6th Floor (Level 25.775 M)</t>
  </si>
  <si>
    <t>3rd Floor (Level 25.775M)</t>
  </si>
  <si>
    <t>4th Floor (Level 28.725M)</t>
  </si>
  <si>
    <t>Basement 0 + Parking Floor 0 (Level 0.6 M)</t>
  </si>
  <si>
    <t>Ground Floor (Level 6.9 M)</t>
  </si>
  <si>
    <t>Ground Floor (+B2) +Parking Floor 2 (Level 6.9 M)</t>
  </si>
  <si>
    <t>Saleable area
(60% Loading)</t>
  </si>
  <si>
    <t>Tower No.1 (Type C)</t>
  </si>
  <si>
    <t>Tower No.2 (Type C)</t>
  </si>
  <si>
    <t>Tower No.3 (Type A)</t>
  </si>
  <si>
    <t xml:space="preserve">Caroa Properties LLP
</t>
  </si>
  <si>
    <t>Godrej Group</t>
  </si>
  <si>
    <t>Office at Godrej One, 5th floor, Pirojshanagar, Eastern Express Highway, Vikhroli (East), Mumbai 400 079</t>
  </si>
  <si>
    <t>Sept 2020.</t>
  </si>
  <si>
    <t>Survey No 5-2</t>
  </si>
  <si>
    <t>Survey no 4-3 and 4-6</t>
  </si>
  <si>
    <t>Survey no 5-1</t>
  </si>
  <si>
    <t>MSRDC</t>
  </si>
  <si>
    <t>About 6.6KM from Rasayani Bus Depot</t>
  </si>
  <si>
    <t>About 3.7 KM from St. Wilfred's School, Panvel</t>
  </si>
  <si>
    <t>1. Approx. 2KM from
Village Market.
2. Approx. 10KM
from Panvel Main
Market.</t>
  </si>
  <si>
    <t>5.4KM from Somatne Railway
Station
10.5KM from Panvel Railway
Station</t>
  </si>
  <si>
    <t>MSRDC/SPA/ITP-3/CC/2020/502
Dated: 06/10/2020.</t>
  </si>
  <si>
    <t>JVK No.B/20/JMIN/970/2019-20.
Date : 03/12/2019.</t>
  </si>
  <si>
    <t>Approved Layout &amp; Floor Plans, CC, RERA certificate</t>
  </si>
  <si>
    <t>NOC for Height Clearance
NAVI/WEST/B/022820/450961
Dated : 12/03/2020.
Valid upto : 10/03/2028.</t>
  </si>
  <si>
    <t>Tree NOC details</t>
  </si>
  <si>
    <t>CA</t>
  </si>
  <si>
    <t>60/- from 2nd Floor</t>
  </si>
  <si>
    <t>RZ-5</t>
  </si>
  <si>
    <t>8th, 9th, 10th, 11th, 13th, 14th, 15th, 16th, 18th, 19th, 20th, 21st, 23rd, 24th, 25th, 26th, 28th, 29th, 30th, 31st, 33th, 34th, 35th, 36th, 38th &amp; 39th Floor</t>
  </si>
  <si>
    <t>5th, 6th, 7th, 8th, 10th, 11th, 12th, 13th, 15th, 16th, 17th, 18th, 20th, 21st, 22nd, 23rd, 25th, 26th, 27th, 28th, 30th, 31st, 32nd, 33rd, 35th &amp; 36th Floor</t>
  </si>
  <si>
    <t>1st Floor (Level 10.05 M) for Residential &amp; Meter Room</t>
  </si>
  <si>
    <t>1st Floor (Level 10.05 M)</t>
  </si>
  <si>
    <t>1st Floor (+B3) +Parking Floor 3 (Level 10.5 M) for Parking &amp; Residential</t>
  </si>
  <si>
    <t>Basement 3 + Parking Floor 3 (Level 10.05 M)</t>
  </si>
  <si>
    <t>Basement 2 + Parking Floor 2 (Level 6.9 M)</t>
  </si>
  <si>
    <t>Basement 4 + Parking Floor 4 (Level 13.2 M)</t>
  </si>
  <si>
    <t>Ground Floor + Parking Floor 5 (Level 16.35 M)</t>
  </si>
  <si>
    <t>Basement 1 + Parking Floor 1 (Level 3.75 M)</t>
  </si>
  <si>
    <t>2nd Floor Floor (Level 13.2 M) for Residential &amp; Meter Room, Double Height Lobby</t>
  </si>
  <si>
    <t>Fire NOC
Dated : 29/08/2020. (By MFS)</t>
  </si>
  <si>
    <t>SEIAA-EC-0000002285
Date : 25/06/2020.</t>
  </si>
  <si>
    <t>Rate Per Sq. Ft. (on Carpet area)</t>
  </si>
  <si>
    <t>Floor Rise Details Per Sq. Ft. (on Carpet area)</t>
  </si>
  <si>
    <t>Nov 2020.</t>
  </si>
  <si>
    <t>Integrated Township Project (ITP) on land bearing S.No.38/0, 74/0, 36/1, 73/0, 30/1, 75/0, 42/4, 42/1, 42/3, 32/2, 39/0, 43/0, 44/4, 70/1, 70/2, 72/0, 76/1, 76/2, 68/0, 81/2A, 81/2B, 40/0, 47/2, 50/12, 50/13, 69/0, 41/1, 41/2, 44/3, 47/1, 71/0, 36/2, 37/1, 37/2, 78/0 of village -Khanavale, Taluka-Panvel, Dist -Raigad, And
S.No.6/1, 6/5, 7/1, 6/6, 7/2, 7/3A, 7/4, 5/2B, 9/2, 4/1, 4/2, 4/3, 4/4, 4/5, 4/6, 7/3B, 7/B/1, 7/B/2, 7B/3, 7B/4, 7B/5, 7B/6, 7B/7, 7C/1, 7C/2, 7C/3, 7C/4, 7C/5, 7C/6, 7C/7, 7C/8, 8/3A/1, 8/3A/2, 8/3A/3, 8/3A/4, 8/3A/5, 8/3A/6, 8/3A/7, 8/3A/8, 8/3A/9, 8/3A/10, 8/D/1, 8/D/2, 8/D/3, 8/D/4, 8/D/5, 8/D/6, 8/D/7, 8/D/8, 8/B/1, 8/B/2, 8/B/3, 8/B/4, 8/B/5, 8/D/6, 8/D/7, 8/D/8, 8/B/1, 8/B/2, 8/B/3, 8/B/4, 8/B/5, 8/B/6, 8/C/1, 8/C/2, 8/1A/1, 8/1A/2, 8/1A/3, 8/1A/4, 8/1A/5, 8/1A/6, 9/B/1, 9/B/2, 9/B/3, 9/B/4, 9/B/5, 9/B/6, 9/B/7, 9/B/8, 9/D/1, 9/D/2, 9/D/3, 9/D/4, 9/D/5, 9/D/6, 9/D/7, 9/D/8, 9/C/1, 9/C/2, 9/C/3, 9/C/4, 9/C/5, 9/C/5, 9/C/6, 9/C/7, 9/C/8, 9/C/9, 7/C/9, 7/C/10 of village Talegaon, Taluka-Khalapur, Dist-Raigad - 410221</t>
  </si>
  <si>
    <t>S. Nos.4/1,4/2,4/3pt,4/4pt,4/5pt,4/6,5pt,6/6pt at Village- Talegaon, Taluka- Khalapur, Dist- Raigad - 410221</t>
  </si>
  <si>
    <t>The Highlands at Godrej City situated at Village- Talegaon, Taluka- Khalapur, Dist- Raigad - 410221</t>
  </si>
  <si>
    <t>Date of Site Visit</t>
  </si>
  <si>
    <t>Slab/Floor</t>
  </si>
  <si>
    <t>Complition %</t>
  </si>
  <si>
    <t>Piling Work in process</t>
  </si>
  <si>
    <t>Basement 1</t>
  </si>
  <si>
    <t>Basement 2</t>
  </si>
  <si>
    <t>Basement 3</t>
  </si>
  <si>
    <t>Basement 4</t>
  </si>
  <si>
    <t>Tower No.1 (Type C) = G + 1st to 39th Floor</t>
  </si>
  <si>
    <t>Excavation</t>
  </si>
  <si>
    <t>RCC (Including podiums)</t>
  </si>
  <si>
    <t>Brickwork</t>
  </si>
  <si>
    <t>Internal Plaster</t>
  </si>
  <si>
    <t>Flooring &amp; Fitting</t>
  </si>
  <si>
    <t>Building Common Amenities</t>
  </si>
  <si>
    <t>Possession</t>
  </si>
  <si>
    <t>Tower No.2 (Type C) = B0 + P1 (BS) + G + 1st to 39th Floor</t>
  </si>
  <si>
    <t>G + 1st to 39th Floor</t>
  </si>
  <si>
    <t>B0 + P1 + G + 1st to 39th Floor</t>
  </si>
  <si>
    <t>B0 + P1 to P4 + G + 1st to 36th Floor</t>
  </si>
  <si>
    <t>Mr.Shantanu - 7262030139</t>
  </si>
  <si>
    <t>Overall Project Completion %</t>
  </si>
  <si>
    <t>External Plaster</t>
  </si>
  <si>
    <t>External Plumbing, Elevation and Waterproofing</t>
  </si>
  <si>
    <t>Wooden Work</t>
  </si>
  <si>
    <t>Electrical &amp; Sanitary fittings</t>
  </si>
  <si>
    <t>The Highlands at Godrej City, Panvel 
Tower 1, 2 &amp; 3</t>
  </si>
  <si>
    <t xml:space="preserve">Rate matched with Tower 6 on 08/01/2025 by gaurav </t>
  </si>
  <si>
    <t>12th, 17th, 22nd, 27th, 32nd &amp; 37th Floor (Part Refuge Area)</t>
  </si>
  <si>
    <t>7th Floor (Level 28.725 M) (Part Refuge Area)</t>
  </si>
  <si>
    <t>9th, 14th, 19th, 24th, 29th &amp; 34th Floor (Part Refuge Area)</t>
  </si>
  <si>
    <t>Mr. Nitesh Patil</t>
  </si>
  <si>
    <t>12000/- to 13700/-</t>
  </si>
  <si>
    <t>B0 + P1 to P4 + G + 1st to 39th Floor</t>
  </si>
  <si>
    <t>Tower No.3 (Type A) = B0 + P1 to P4 (BS)+ G + 1st to 39th Floor</t>
  </si>
  <si>
    <t>NA</t>
  </si>
  <si>
    <t>1. Construction work is in process at the time of Visit. (Internal visit was not allowed).
2. We considered Saleable area as per our calculation.
3. We considered Carpet area as per Approved Plan.
4. We considered Gross carpet area = Net carpet
5. We considered Flat rate as per Market Inquires.
6. Car parking is subjected to authentic documentation.
7. Tower 3 - We have considered construction percent as per proposed no. of floor( B0+ P1 to P4 + Gr.+ 1st to 39th Floor) because construction work goes beyond approved no. of floor(B1+P1 to P4+ Gr.+ 1st to 36th Floor). Please provide revised CC &amp; approved plans.
7. RZ-5 plot consist of 7 towers but on RERA site only 3 towers are registered.</t>
  </si>
  <si>
    <t>04/07/2025 at 10:51AM</t>
  </si>
  <si>
    <t>Mr. Suraj Khare</t>
  </si>
  <si>
    <t>old initiation date &lt; 90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</si>
</sst>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font>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b/>
      <sz val="16"/>
      <name val="Times New Roman"/>
      <family val="1"/>
    </font>
    <font>
      <sz val="16"/>
      <color theme="1"/>
      <name val="Times New Roman"/>
      <family val="1"/>
    </font>
    <font>
      <sz val="16"/>
      <name val="Times New Roman"/>
      <family val="1"/>
    </font>
    <font>
      <b/>
      <sz val="16"/>
      <color indexed="8"/>
      <name val="Times New Roman"/>
      <family val="1"/>
    </font>
    <font>
      <sz val="16"/>
      <color indexed="8"/>
      <name val="Times New Roman"/>
      <family val="1"/>
    </font>
    <font>
      <sz val="11"/>
      <color rgb="FF000000"/>
      <name val="Times New Roman"/>
      <family val="1"/>
    </font>
    <font>
      <sz val="16"/>
      <color rgb="FF000000"/>
      <name val="Times New Roman"/>
      <family val="1"/>
    </font>
    <font>
      <sz val="16"/>
      <color theme="1"/>
      <name val="Calibri"/>
      <family val="2"/>
      <scheme val="minor"/>
    </font>
    <font>
      <b/>
      <sz val="18"/>
      <color theme="1"/>
      <name val="Times New Roman"/>
      <family val="1"/>
    </font>
    <font>
      <b/>
      <sz val="18"/>
      <name val="Times New Roman"/>
      <family val="1"/>
    </font>
    <font>
      <sz val="16"/>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0" fontId="1" fillId="0" borderId="0"/>
  </cellStyleXfs>
  <cellXfs count="153">
    <xf numFmtId="0" fontId="0" fillId="0" borderId="0" xfId="0"/>
    <xf numFmtId="0" fontId="4" fillId="2" borderId="1" xfId="0" applyFont="1" applyFill="1" applyBorder="1"/>
    <xf numFmtId="0" fontId="0" fillId="0" borderId="1" xfId="0" applyBorder="1"/>
    <xf numFmtId="0" fontId="0" fillId="0" borderId="7" xfId="0" applyBorder="1"/>
    <xf numFmtId="0" fontId="0" fillId="0" borderId="0" xfId="0" applyAlignment="1">
      <alignment wrapText="1"/>
    </xf>
    <xf numFmtId="0" fontId="0" fillId="0" borderId="1" xfId="0" applyBorder="1" applyAlignment="1">
      <alignment wrapText="1"/>
    </xf>
    <xf numFmtId="0" fontId="3" fillId="0" borderId="0" xfId="0" applyFont="1"/>
    <xf numFmtId="9" fontId="0" fillId="0" borderId="1" xfId="1" applyFont="1" applyBorder="1"/>
    <xf numFmtId="0" fontId="7" fillId="0" borderId="1" xfId="0" applyFont="1" applyBorder="1" applyAlignment="1">
      <alignment horizontal="center" vertical="top" wrapText="1"/>
    </xf>
    <xf numFmtId="0" fontId="6" fillId="0" borderId="0" xfId="0" applyFont="1" applyAlignment="1">
      <alignment vertical="top"/>
    </xf>
    <xf numFmtId="0" fontId="7" fillId="0" borderId="11" xfId="0" applyFont="1" applyBorder="1" applyAlignment="1">
      <alignment vertical="top" wrapText="1"/>
    </xf>
    <xf numFmtId="0" fontId="7" fillId="5" borderId="2" xfId="0" applyFont="1" applyFill="1" applyBorder="1" applyAlignment="1">
      <alignment vertical="top" wrapText="1"/>
    </xf>
    <xf numFmtId="14" fontId="7" fillId="5" borderId="1" xfId="0" applyNumberFormat="1" applyFont="1" applyFill="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center" vertical="top" wrapText="1"/>
    </xf>
    <xf numFmtId="0" fontId="7" fillId="0" borderId="7" xfId="0" applyFont="1" applyBorder="1" applyAlignment="1">
      <alignment vertical="top" wrapText="1"/>
    </xf>
    <xf numFmtId="0" fontId="7" fillId="0" borderId="1" xfId="0" applyFont="1" applyBorder="1" applyAlignment="1">
      <alignment vertical="top"/>
    </xf>
    <xf numFmtId="0" fontId="5" fillId="0" borderId="1" xfId="0" applyFont="1" applyBorder="1" applyAlignment="1">
      <alignment vertical="top" wrapText="1"/>
    </xf>
    <xf numFmtId="0" fontId="6" fillId="0" borderId="0" xfId="0" applyFont="1" applyAlignment="1">
      <alignment horizontal="center" vertical="top"/>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5" fillId="0" borderId="1" xfId="0" applyFont="1" applyBorder="1" applyAlignment="1">
      <alignment horizontal="center" vertical="top" wrapText="1"/>
    </xf>
    <xf numFmtId="0" fontId="7" fillId="0" borderId="9" xfId="0" applyFont="1" applyBorder="1" applyAlignment="1">
      <alignment vertical="top" wrapText="1"/>
    </xf>
    <xf numFmtId="0" fontId="5"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7" fillId="0" borderId="1" xfId="0" applyFont="1" applyBorder="1" applyAlignment="1">
      <alignment vertical="top" wrapText="1"/>
    </xf>
    <xf numFmtId="0" fontId="7" fillId="5" borderId="1" xfId="0" applyFont="1" applyFill="1" applyBorder="1" applyAlignment="1">
      <alignment vertical="top" wrapText="1"/>
    </xf>
    <xf numFmtId="0" fontId="7" fillId="0" borderId="1" xfId="0" applyFont="1" applyBorder="1" applyAlignment="1">
      <alignment horizontal="center" vertical="top"/>
    </xf>
    <xf numFmtId="1" fontId="8" fillId="0" borderId="1" xfId="2" applyNumberFormat="1" applyFont="1" applyBorder="1" applyAlignment="1">
      <alignment horizontal="center" vertical="top" wrapText="1"/>
    </xf>
    <xf numFmtId="0" fontId="7" fillId="0" borderId="1" xfId="0" applyFont="1" applyBorder="1" applyAlignment="1">
      <alignment horizontal="left" vertical="top"/>
    </xf>
    <xf numFmtId="0" fontId="7" fillId="0" borderId="7" xfId="0" applyFont="1" applyBorder="1" applyAlignment="1">
      <alignment horizontal="left" vertical="top" wrapText="1"/>
    </xf>
    <xf numFmtId="0" fontId="10" fillId="0" borderId="0" xfId="0" applyFont="1" applyProtection="1">
      <protection hidden="1"/>
    </xf>
    <xf numFmtId="9" fontId="10" fillId="0" borderId="0" xfId="0" applyNumberFormat="1" applyFont="1" applyProtection="1">
      <protection hidden="1"/>
    </xf>
    <xf numFmtId="1" fontId="9" fillId="5" borderId="1" xfId="2" applyNumberFormat="1" applyFont="1" applyFill="1" applyBorder="1" applyAlignment="1">
      <alignment horizontal="center" vertical="center" wrapText="1"/>
    </xf>
    <xf numFmtId="0" fontId="5" fillId="4" borderId="1" xfId="0" applyFont="1" applyFill="1" applyBorder="1" applyAlignment="1">
      <alignment vertical="top" wrapText="1"/>
    </xf>
    <xf numFmtId="0" fontId="6" fillId="0" borderId="19" xfId="2" applyFont="1" applyBorder="1" applyProtection="1">
      <protection hidden="1"/>
    </xf>
    <xf numFmtId="0" fontId="6" fillId="0" borderId="20" xfId="2" applyFont="1" applyBorder="1" applyProtection="1">
      <protection hidden="1"/>
    </xf>
    <xf numFmtId="0" fontId="6" fillId="0" borderId="0" xfId="2" applyFont="1" applyProtection="1">
      <protection hidden="1"/>
    </xf>
    <xf numFmtId="0" fontId="7" fillId="3" borderId="1" xfId="0" applyFont="1" applyFill="1" applyBorder="1" applyAlignment="1">
      <alignment vertical="top"/>
    </xf>
    <xf numFmtId="0" fontId="11" fillId="0" borderId="0" xfId="0" applyFont="1" applyProtection="1">
      <protection hidden="1"/>
    </xf>
    <xf numFmtId="0" fontId="6" fillId="0" borderId="20" xfId="2" applyFont="1" applyBorder="1"/>
    <xf numFmtId="0" fontId="11" fillId="0" borderId="20" xfId="0" applyFont="1" applyBorder="1" applyProtection="1">
      <protection hidden="1"/>
    </xf>
    <xf numFmtId="1" fontId="12" fillId="0" borderId="20" xfId="0" applyNumberFormat="1" applyFont="1" applyBorder="1"/>
    <xf numFmtId="1" fontId="12" fillId="0" borderId="20" xfId="0" applyNumberFormat="1" applyFont="1" applyBorder="1" applyAlignment="1">
      <alignment horizontal="right"/>
    </xf>
    <xf numFmtId="0" fontId="11" fillId="0" borderId="23" xfId="0" applyFont="1" applyBorder="1" applyProtection="1">
      <protection hidden="1"/>
    </xf>
    <xf numFmtId="1" fontId="12" fillId="0" borderId="24" xfId="0" applyNumberFormat="1" applyFont="1" applyBorder="1"/>
    <xf numFmtId="14" fontId="7" fillId="5" borderId="1" xfId="0" applyNumberFormat="1" applyFont="1" applyFill="1" applyBorder="1" applyAlignment="1">
      <alignment horizontal="left" vertical="top" wrapText="1"/>
    </xf>
    <xf numFmtId="0" fontId="7" fillId="5" borderId="8" xfId="0" applyFont="1" applyFill="1" applyBorder="1" applyAlignment="1">
      <alignment vertical="top" wrapText="1"/>
    </xf>
    <xf numFmtId="0" fontId="7" fillId="5" borderId="4" xfId="0" applyFont="1" applyFill="1" applyBorder="1" applyAlignment="1">
      <alignment vertical="top" wrapText="1"/>
    </xf>
    <xf numFmtId="0" fontId="7" fillId="5" borderId="12" xfId="0" applyFont="1" applyFill="1" applyBorder="1" applyAlignment="1">
      <alignment vertical="top" wrapText="1"/>
    </xf>
    <xf numFmtId="0" fontId="7" fillId="5" borderId="13" xfId="0" applyFont="1" applyFill="1" applyBorder="1" applyAlignment="1">
      <alignment vertical="top" wrapText="1"/>
    </xf>
    <xf numFmtId="0" fontId="7" fillId="5" borderId="0" xfId="0" applyFont="1" applyFill="1" applyAlignment="1">
      <alignment vertical="top" wrapText="1"/>
    </xf>
    <xf numFmtId="0" fontId="7" fillId="5" borderId="14" xfId="0" applyFont="1" applyFill="1" applyBorder="1" applyAlignment="1">
      <alignment vertical="top" wrapText="1"/>
    </xf>
    <xf numFmtId="9" fontId="14" fillId="5" borderId="1" xfId="2" applyNumberFormat="1" applyFont="1" applyFill="1" applyBorder="1" applyAlignment="1" applyProtection="1">
      <alignment horizontal="center" vertical="center" wrapText="1"/>
      <protection hidden="1"/>
    </xf>
    <xf numFmtId="9" fontId="7" fillId="5" borderId="1" xfId="2" applyNumberFormat="1" applyFont="1" applyFill="1" applyBorder="1" applyAlignment="1" applyProtection="1">
      <alignment horizontal="center" vertical="center" wrapText="1"/>
      <protection hidden="1"/>
    </xf>
    <xf numFmtId="0" fontId="7" fillId="5" borderId="1" xfId="2" applyFont="1" applyFill="1" applyBorder="1" applyAlignment="1" applyProtection="1">
      <alignment horizontal="center" vertical="center" wrapText="1"/>
      <protection hidden="1"/>
    </xf>
    <xf numFmtId="0" fontId="7" fillId="3" borderId="1" xfId="0" applyFont="1" applyFill="1" applyBorder="1" applyAlignment="1">
      <alignment horizontal="center" vertical="top"/>
    </xf>
    <xf numFmtId="0" fontId="15" fillId="0" borderId="0" xfId="0" applyFont="1" applyAlignment="1">
      <alignment vertical="top"/>
    </xf>
    <xf numFmtId="14" fontId="7" fillId="5" borderId="1" xfId="0" applyNumberFormat="1" applyFont="1" applyFill="1" applyBorder="1" applyAlignment="1">
      <alignment horizontal="left" vertical="top" wrapText="1"/>
    </xf>
    <xf numFmtId="14" fontId="6" fillId="0" borderId="0" xfId="0" applyNumberFormat="1" applyFont="1" applyAlignment="1">
      <alignment vertical="top"/>
    </xf>
    <xf numFmtId="9" fontId="7" fillId="5" borderId="1" xfId="2" applyNumberFormat="1" applyFont="1" applyFill="1" applyBorder="1" applyAlignment="1" applyProtection="1">
      <alignment horizontal="center" vertical="center" wrapText="1"/>
      <protection hidden="1"/>
    </xf>
    <xf numFmtId="0" fontId="7" fillId="5" borderId="1" xfId="2" applyFont="1" applyFill="1" applyBorder="1" applyAlignment="1" applyProtection="1">
      <alignment horizontal="center" vertical="center" wrapText="1"/>
      <protection hidden="1"/>
    </xf>
    <xf numFmtId="0" fontId="5" fillId="3" borderId="1" xfId="0" applyFont="1" applyFill="1" applyBorder="1" applyAlignment="1">
      <alignment horizontal="center" vertical="top"/>
    </xf>
    <xf numFmtId="0" fontId="5" fillId="5" borderId="1" xfId="2" applyNumberFormat="1" applyFont="1" applyFill="1" applyBorder="1" applyAlignment="1" applyProtection="1">
      <alignment horizontal="left" vertical="top" wrapText="1"/>
      <protection hidden="1"/>
    </xf>
    <xf numFmtId="9" fontId="5" fillId="5" borderId="1" xfId="2" applyNumberFormat="1" applyFont="1" applyFill="1" applyBorder="1" applyAlignment="1" applyProtection="1">
      <alignment horizontal="center" vertical="center" wrapText="1"/>
      <protection hidden="1"/>
    </xf>
    <xf numFmtId="0" fontId="7" fillId="3" borderId="1" xfId="0" applyFont="1" applyFill="1" applyBorder="1" applyAlignment="1">
      <alignment horizontal="center" vertical="top"/>
    </xf>
    <xf numFmtId="1" fontId="7" fillId="5" borderId="1" xfId="2" applyNumberFormat="1" applyFont="1" applyFill="1" applyBorder="1" applyAlignment="1" applyProtection="1">
      <alignment horizontal="center" vertical="center" wrapText="1"/>
      <protection hidden="1"/>
    </xf>
    <xf numFmtId="9" fontId="7" fillId="5" borderId="2" xfId="2" applyNumberFormat="1" applyFont="1" applyFill="1" applyBorder="1" applyAlignment="1" applyProtection="1">
      <alignment horizontal="center" vertical="center" wrapText="1"/>
      <protection hidden="1"/>
    </xf>
    <xf numFmtId="9" fontId="7" fillId="5" borderId="5" xfId="2" applyNumberFormat="1" applyFont="1" applyFill="1" applyBorder="1" applyAlignment="1" applyProtection="1">
      <alignment horizontal="center" vertical="center" wrapText="1"/>
      <protection hidden="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5" xfId="0" applyFont="1" applyFill="1" applyBorder="1" applyAlignment="1">
      <alignment horizontal="center" vertical="top" wrapText="1"/>
    </xf>
    <xf numFmtId="1" fontId="9" fillId="5" borderId="1" xfId="2" applyNumberFormat="1" applyFont="1" applyFill="1" applyBorder="1" applyAlignment="1">
      <alignment horizontal="center" vertical="center" wrapText="1"/>
    </xf>
    <xf numFmtId="1" fontId="9" fillId="5" borderId="2" xfId="2" applyNumberFormat="1" applyFont="1" applyFill="1" applyBorder="1" applyAlignment="1">
      <alignment horizontal="center" vertical="center" wrapText="1"/>
    </xf>
    <xf numFmtId="1" fontId="9" fillId="5" borderId="3" xfId="2" applyNumberFormat="1" applyFont="1" applyFill="1" applyBorder="1" applyAlignment="1">
      <alignment horizontal="center" vertical="center" wrapText="1"/>
    </xf>
    <xf numFmtId="1" fontId="9" fillId="5" borderId="5" xfId="2" applyNumberFormat="1" applyFont="1" applyFill="1" applyBorder="1" applyAlignment="1">
      <alignment horizontal="center" vertical="center" wrapText="1"/>
    </xf>
    <xf numFmtId="1" fontId="8" fillId="5" borderId="1" xfId="2" applyNumberFormat="1" applyFont="1" applyFill="1" applyBorder="1" applyAlignment="1">
      <alignment horizontal="center" vertical="center" wrapText="1"/>
    </xf>
    <xf numFmtId="1" fontId="9" fillId="5" borderId="8" xfId="2" applyNumberFormat="1" applyFont="1" applyFill="1" applyBorder="1" applyAlignment="1">
      <alignment horizontal="center" vertical="center" wrapText="1"/>
    </xf>
    <xf numFmtId="1" fontId="9" fillId="5" borderId="12" xfId="2" applyNumberFormat="1" applyFont="1" applyFill="1" applyBorder="1" applyAlignment="1">
      <alignment horizontal="center" vertical="center" wrapText="1"/>
    </xf>
    <xf numFmtId="1" fontId="9" fillId="5" borderId="13" xfId="2" applyNumberFormat="1" applyFont="1" applyFill="1" applyBorder="1" applyAlignment="1">
      <alignment horizontal="center" vertical="center" wrapText="1"/>
    </xf>
    <xf numFmtId="1" fontId="9" fillId="5" borderId="14" xfId="2" applyNumberFormat="1" applyFont="1" applyFill="1" applyBorder="1" applyAlignment="1">
      <alignment horizontal="center" vertical="center" wrapText="1"/>
    </xf>
    <xf numFmtId="1" fontId="9" fillId="5" borderId="17" xfId="2" applyNumberFormat="1" applyFont="1" applyFill="1" applyBorder="1" applyAlignment="1">
      <alignment horizontal="center" vertical="center" wrapText="1"/>
    </xf>
    <xf numFmtId="1" fontId="9" fillId="5" borderId="18" xfId="2" applyNumberFormat="1" applyFont="1" applyFill="1" applyBorder="1" applyAlignment="1">
      <alignment horizontal="center" vertical="center" wrapText="1"/>
    </xf>
    <xf numFmtId="1" fontId="8" fillId="0" borderId="1" xfId="2" applyNumberFormat="1" applyFont="1" applyBorder="1" applyAlignment="1">
      <alignment horizontal="center" vertical="top" wrapText="1"/>
    </xf>
    <xf numFmtId="1" fontId="8" fillId="0" borderId="2" xfId="2" applyNumberFormat="1" applyFont="1" applyBorder="1" applyAlignment="1">
      <alignment horizontal="center" vertical="top" wrapText="1"/>
    </xf>
    <xf numFmtId="1" fontId="8" fillId="0" borderId="5" xfId="2" applyNumberFormat="1" applyFont="1" applyBorder="1" applyAlignment="1">
      <alignment horizontal="center" vertical="top"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5" xfId="0" applyFont="1" applyFill="1" applyBorder="1" applyAlignment="1">
      <alignment horizontal="center"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2" fontId="7" fillId="5" borderId="2" xfId="0" applyNumberFormat="1" applyFont="1" applyFill="1" applyBorder="1" applyAlignment="1">
      <alignment horizontal="left" vertical="top" wrapText="1"/>
    </xf>
    <xf numFmtId="2" fontId="7" fillId="5" borderId="5" xfId="0" applyNumberFormat="1" applyFont="1" applyFill="1" applyBorder="1" applyAlignment="1">
      <alignment horizontal="left" vertical="top" wrapText="1"/>
    </xf>
    <xf numFmtId="2" fontId="7" fillId="5" borderId="1" xfId="0" applyNumberFormat="1" applyFont="1" applyFill="1" applyBorder="1" applyAlignment="1">
      <alignment horizontal="left" vertical="top" wrapText="1"/>
    </xf>
    <xf numFmtId="0" fontId="7" fillId="0" borderId="7" xfId="0" applyFont="1" applyBorder="1" applyAlignment="1">
      <alignment horizontal="left" vertical="top" wrapText="1"/>
    </xf>
    <xf numFmtId="14" fontId="7" fillId="5" borderId="8" xfId="0" applyNumberFormat="1" applyFont="1" applyFill="1" applyBorder="1" applyAlignment="1">
      <alignment horizontal="left" vertical="top"/>
    </xf>
    <xf numFmtId="14" fontId="7" fillId="5" borderId="4" xfId="0" applyNumberFormat="1" applyFont="1" applyFill="1" applyBorder="1" applyAlignment="1">
      <alignment horizontal="left" vertical="top"/>
    </xf>
    <xf numFmtId="14" fontId="7" fillId="5" borderId="12" xfId="0" applyNumberFormat="1" applyFont="1" applyFill="1" applyBorder="1" applyAlignment="1">
      <alignment horizontal="left" vertical="top"/>
    </xf>
    <xf numFmtId="0" fontId="7" fillId="4" borderId="22" xfId="0" applyFont="1" applyFill="1" applyBorder="1" applyAlignment="1">
      <alignment horizontal="center" vertical="top" wrapText="1"/>
    </xf>
    <xf numFmtId="0" fontId="7" fillId="4" borderId="25" xfId="0" applyFont="1" applyFill="1" applyBorder="1" applyAlignment="1">
      <alignment horizontal="center" vertical="top" wrapText="1"/>
    </xf>
    <xf numFmtId="0" fontId="7" fillId="4" borderId="21"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6" xfId="0" applyFont="1" applyFill="1" applyBorder="1" applyAlignment="1">
      <alignment horizontal="center" vertical="top" wrapText="1"/>
    </xf>
    <xf numFmtId="0" fontId="7" fillId="4" borderId="16" xfId="0" applyFont="1" applyFill="1" applyBorder="1" applyAlignment="1">
      <alignment horizontal="center" vertical="top" wrapText="1"/>
    </xf>
    <xf numFmtId="0" fontId="7" fillId="5"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5" borderId="2" xfId="0" applyFont="1" applyFill="1" applyBorder="1" applyAlignment="1">
      <alignment horizontal="left" vertical="top"/>
    </xf>
    <xf numFmtId="0" fontId="7" fillId="5" borderId="3" xfId="0" applyFont="1" applyFill="1" applyBorder="1" applyAlignment="1">
      <alignment horizontal="left" vertical="top"/>
    </xf>
    <xf numFmtId="0" fontId="7" fillId="5" borderId="5" xfId="0" applyFont="1" applyFill="1" applyBorder="1" applyAlignment="1">
      <alignment horizontal="left" vertical="top"/>
    </xf>
    <xf numFmtId="0" fontId="7" fillId="5" borderId="8"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17" xfId="0" applyFont="1" applyBorder="1" applyAlignment="1">
      <alignment horizontal="left" vertical="top" wrapText="1"/>
    </xf>
    <xf numFmtId="0" fontId="7" fillId="0" borderId="10" xfId="0" applyFont="1" applyBorder="1" applyAlignment="1">
      <alignment horizontal="left" vertical="top" wrapText="1"/>
    </xf>
    <xf numFmtId="0" fontId="7" fillId="0" borderId="18" xfId="0" applyFont="1" applyBorder="1" applyAlignment="1">
      <alignment horizontal="left" vertical="top" wrapText="1"/>
    </xf>
    <xf numFmtId="0" fontId="5" fillId="0" borderId="1" xfId="0" applyFont="1" applyBorder="1" applyAlignment="1">
      <alignment horizontal="left" vertical="top" wrapText="1"/>
    </xf>
    <xf numFmtId="0" fontId="7" fillId="4" borderId="1" xfId="0" applyFont="1" applyFill="1" applyBorder="1" applyAlignment="1">
      <alignment horizontal="center" vertical="top" wrapText="1"/>
    </xf>
    <xf numFmtId="1" fontId="8" fillId="5" borderId="2" xfId="2" applyNumberFormat="1" applyFont="1" applyFill="1" applyBorder="1" applyAlignment="1">
      <alignment horizontal="center" vertical="center" wrapText="1"/>
    </xf>
    <xf numFmtId="1" fontId="8" fillId="5" borderId="3" xfId="2" applyNumberFormat="1" applyFont="1" applyFill="1" applyBorder="1" applyAlignment="1">
      <alignment horizontal="center" vertical="center" wrapText="1"/>
    </xf>
    <xf numFmtId="1" fontId="8" fillId="5" borderId="5" xfId="2"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7" fillId="0" borderId="1" xfId="0" applyFont="1" applyBorder="1" applyAlignment="1">
      <alignment horizontal="left" vertical="top"/>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5" xfId="0" applyFont="1" applyFill="1" applyBorder="1" applyAlignment="1">
      <alignment horizontal="center" vertical="top" wrapText="1"/>
    </xf>
    <xf numFmtId="0" fontId="7" fillId="5" borderId="2"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2"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3" borderId="9" xfId="0" applyFont="1" applyFill="1" applyBorder="1" applyAlignment="1">
      <alignment horizontal="center" vertical="top"/>
    </xf>
    <xf numFmtId="0" fontId="7" fillId="5" borderId="3" xfId="0" applyFont="1" applyFill="1" applyBorder="1" applyAlignment="1">
      <alignment horizontal="left" vertical="top"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14" fontId="7" fillId="5" borderId="2" xfId="0" applyNumberFormat="1" applyFont="1" applyFill="1" applyBorder="1" applyAlignment="1">
      <alignment horizontal="left" vertical="top" wrapText="1"/>
    </xf>
    <xf numFmtId="14" fontId="7" fillId="5" borderId="1" xfId="0" applyNumberFormat="1" applyFont="1" applyFill="1" applyBorder="1" applyAlignment="1">
      <alignment horizontal="left" vertical="top" wrapText="1"/>
    </xf>
    <xf numFmtId="0" fontId="7" fillId="0" borderId="1" xfId="0" applyFont="1" applyBorder="1" applyAlignment="1">
      <alignment vertical="top" wrapText="1"/>
    </xf>
    <xf numFmtId="0" fontId="7" fillId="5" borderId="1" xfId="0" applyFont="1" applyFill="1" applyBorder="1" applyAlignment="1">
      <alignment vertical="top" wrapText="1"/>
    </xf>
    <xf numFmtId="0" fontId="7" fillId="0" borderId="9" xfId="0" applyFont="1" applyBorder="1" applyAlignment="1">
      <alignment vertical="top" wrapText="1"/>
    </xf>
    <xf numFmtId="0" fontId="7" fillId="5" borderId="9"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cellXfs>
  <cellStyles count="3">
    <cellStyle name="Normal" xfId="0" builtinId="0"/>
    <cellStyle name="Normal 3" xfId="2"/>
    <cellStyle name="Percent" xfId="1" builtinId="5"/>
  </cellStyles>
  <dxfs count="0"/>
  <tableStyles count="0" defaultTableStyle="TableStyleMedium9" defaultPivotStyle="PivotStyleLight16"/>
  <colors>
    <mruColors>
      <color rgb="FFFEF2E8"/>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0</xdr:col>
      <xdr:colOff>149680</xdr:colOff>
      <xdr:row>337</xdr:row>
      <xdr:rowOff>149679</xdr:rowOff>
    </xdr:from>
    <xdr:to>
      <xdr:col>5</xdr:col>
      <xdr:colOff>371138</xdr:colOff>
      <xdr:row>344</xdr:row>
      <xdr:rowOff>34929</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49680" y="96705965"/>
          <a:ext cx="5351351" cy="3600000"/>
        </a:xfrm>
        <a:prstGeom prst="rect">
          <a:avLst/>
        </a:prstGeom>
        <a:ln>
          <a:solidFill>
            <a:schemeClr val="tx1"/>
          </a:solidFill>
        </a:ln>
      </xdr:spPr>
    </xdr:pic>
    <xdr:clientData/>
  </xdr:twoCellAnchor>
  <xdr:twoCellAnchor editAs="oneCell">
    <xdr:from>
      <xdr:col>5</xdr:col>
      <xdr:colOff>489859</xdr:colOff>
      <xdr:row>337</xdr:row>
      <xdr:rowOff>169805</xdr:rowOff>
    </xdr:from>
    <xdr:to>
      <xdr:col>8</xdr:col>
      <xdr:colOff>2003996</xdr:colOff>
      <xdr:row>344</xdr:row>
      <xdr:rowOff>55055</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619752" y="96726091"/>
          <a:ext cx="5351351" cy="3600000"/>
        </a:xfrm>
        <a:prstGeom prst="rect">
          <a:avLst/>
        </a:prstGeom>
        <a:ln>
          <a:solidFill>
            <a:schemeClr val="tx1"/>
          </a:solidFill>
        </a:ln>
      </xdr:spPr>
    </xdr:pic>
    <xdr:clientData/>
  </xdr:twoCellAnchor>
  <xdr:twoCellAnchor editAs="oneCell">
    <xdr:from>
      <xdr:col>9</xdr:col>
      <xdr:colOff>870856</xdr:colOff>
      <xdr:row>311</xdr:row>
      <xdr:rowOff>169704</xdr:rowOff>
    </xdr:from>
    <xdr:to>
      <xdr:col>13</xdr:col>
      <xdr:colOff>26731</xdr:colOff>
      <xdr:row>315</xdr:row>
      <xdr:rowOff>1340238</xdr:rowOff>
    </xdr:to>
    <xdr:pic>
      <xdr:nvPicPr>
        <xdr:cNvPr id="15" name="Picture 14" descr="https://vsjcllp.vsjadon.com/upload/insp-207284-844.jpg">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1429999" y="104359597"/>
          <a:ext cx="2965875" cy="39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137610</xdr:colOff>
      <xdr:row>315</xdr:row>
      <xdr:rowOff>1742690</xdr:rowOff>
    </xdr:from>
    <xdr:to>
      <xdr:col>19</xdr:col>
      <xdr:colOff>41878</xdr:colOff>
      <xdr:row>326</xdr:row>
      <xdr:rowOff>123761</xdr:rowOff>
    </xdr:to>
    <xdr:pic>
      <xdr:nvPicPr>
        <xdr:cNvPr id="16" name="Picture 15" descr="https://vsjcllp.vsjadon.com/upload/insp-207284-847.jpg">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119074" y="108722047"/>
          <a:ext cx="2965875" cy="39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1066932</xdr:colOff>
      <xdr:row>315</xdr:row>
      <xdr:rowOff>1742690</xdr:rowOff>
    </xdr:from>
    <xdr:to>
      <xdr:col>13</xdr:col>
      <xdr:colOff>222807</xdr:colOff>
      <xdr:row>326</xdr:row>
      <xdr:rowOff>123761</xdr:rowOff>
    </xdr:to>
    <xdr:pic>
      <xdr:nvPicPr>
        <xdr:cNvPr id="17" name="Picture 16" descr="https://vsjcllp.vsjadon.com/upload/insp-207284-851.jpg">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626075" y="108722047"/>
          <a:ext cx="2965875" cy="39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736565</xdr:colOff>
      <xdr:row>311</xdr:row>
      <xdr:rowOff>237738</xdr:rowOff>
    </xdr:from>
    <xdr:to>
      <xdr:col>17</xdr:col>
      <xdr:colOff>287047</xdr:colOff>
      <xdr:row>315</xdr:row>
      <xdr:rowOff>1408272</xdr:rowOff>
    </xdr:to>
    <xdr:pic>
      <xdr:nvPicPr>
        <xdr:cNvPr id="18" name="Picture 17" descr="https://vsjcllp.vsjadon.com/upload/insp-207284-861.jpg">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139601" y="104427631"/>
          <a:ext cx="2965875" cy="39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588669</xdr:colOff>
      <xdr:row>311</xdr:row>
      <xdr:rowOff>190500</xdr:rowOff>
    </xdr:from>
    <xdr:to>
      <xdr:col>21</xdr:col>
      <xdr:colOff>492937</xdr:colOff>
      <xdr:row>315</xdr:row>
      <xdr:rowOff>1361034</xdr:rowOff>
    </xdr:to>
    <xdr:pic>
      <xdr:nvPicPr>
        <xdr:cNvPr id="19" name="Picture 18" descr="https://vsjcllp.vsjadon.com/upload/insp-207284-860.jpg">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6794776" y="104380393"/>
          <a:ext cx="2965875" cy="39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547486</xdr:colOff>
      <xdr:row>327</xdr:row>
      <xdr:rowOff>121599</xdr:rowOff>
    </xdr:from>
    <xdr:to>
      <xdr:col>19</xdr:col>
      <xdr:colOff>451435</xdr:colOff>
      <xdr:row>336</xdr:row>
      <xdr:rowOff>102125</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728780" y="113457893"/>
          <a:ext cx="1719302" cy="2300144"/>
        </a:xfrm>
        <a:prstGeom prst="rect">
          <a:avLst/>
        </a:prstGeom>
        <a:ln>
          <a:solidFill>
            <a:schemeClr val="tx1"/>
          </a:solidFill>
        </a:ln>
      </xdr:spPr>
    </xdr:pic>
    <xdr:clientData/>
  </xdr:twoCellAnchor>
  <xdr:twoCellAnchor editAs="oneCell">
    <xdr:from>
      <xdr:col>14</xdr:col>
      <xdr:colOff>153214</xdr:colOff>
      <xdr:row>315</xdr:row>
      <xdr:rowOff>2344431</xdr:rowOff>
    </xdr:from>
    <xdr:to>
      <xdr:col>18</xdr:col>
      <xdr:colOff>387253</xdr:colOff>
      <xdr:row>327</xdr:row>
      <xdr:rowOff>45624</xdr:rowOff>
    </xdr:to>
    <xdr:pic>
      <xdr:nvPicPr>
        <xdr:cNvPr id="11" name="Picture 10" descr="https://vsjcllp.vsjadon.com/upload/insp-216726-847.jpg">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5124273" y="109842460"/>
          <a:ext cx="2654509" cy="35394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486189</xdr:colOff>
      <xdr:row>315</xdr:row>
      <xdr:rowOff>2346701</xdr:rowOff>
    </xdr:from>
    <xdr:to>
      <xdr:col>26</xdr:col>
      <xdr:colOff>350413</xdr:colOff>
      <xdr:row>327</xdr:row>
      <xdr:rowOff>45624</xdr:rowOff>
    </xdr:to>
    <xdr:pic>
      <xdr:nvPicPr>
        <xdr:cNvPr id="12" name="Picture 11" descr="https://vsjcllp.vsjadon.com/upload/insp-216726-849.jpg">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7877718" y="109844730"/>
          <a:ext cx="4705166" cy="3537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223971</xdr:colOff>
      <xdr:row>312</xdr:row>
      <xdr:rowOff>360511</xdr:rowOff>
    </xdr:from>
    <xdr:to>
      <xdr:col>15</xdr:col>
      <xdr:colOff>126628</xdr:colOff>
      <xdr:row>315</xdr:row>
      <xdr:rowOff>2232015</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12393559" y="105001040"/>
          <a:ext cx="3309245" cy="4426446"/>
          <a:chOff x="235177" y="104573615"/>
          <a:chExt cx="3297238" cy="4402432"/>
        </a:xfrm>
      </xdr:grpSpPr>
      <xdr:pic>
        <xdr:nvPicPr>
          <xdr:cNvPr id="13" name="Picture 12" descr="https://vsjcllp.vsjadon.com/upload/insp-216726-851.jpg">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35177" y="104573615"/>
            <a:ext cx="3297238" cy="44024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2639787" y="104802214"/>
            <a:ext cx="57150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1</a:t>
            </a:r>
          </a:p>
        </xdr:txBody>
      </xdr:sp>
      <xdr:sp macro="" textlink="">
        <xdr:nvSpPr>
          <xdr:cNvPr id="22" name="TextBox 21">
            <a:extLst>
              <a:ext uri="{FF2B5EF4-FFF2-40B4-BE49-F238E27FC236}">
                <a16:creationId xmlns:a16="http://schemas.microsoft.com/office/drawing/2014/main" xmlns="" id="{00000000-0008-0000-0000-000016000000}"/>
              </a:ext>
            </a:extLst>
          </xdr:cNvPr>
          <xdr:cNvSpPr txBox="1"/>
        </xdr:nvSpPr>
        <xdr:spPr>
          <a:xfrm>
            <a:off x="738642" y="105158722"/>
            <a:ext cx="57150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3</a:t>
            </a:r>
          </a:p>
        </xdr:txBody>
      </xdr:sp>
      <xdr:sp macro="" textlink="">
        <xdr:nvSpPr>
          <xdr:cNvPr id="23" name="TextBox 22">
            <a:extLst>
              <a:ext uri="{FF2B5EF4-FFF2-40B4-BE49-F238E27FC236}">
                <a16:creationId xmlns:a16="http://schemas.microsoft.com/office/drawing/2014/main" xmlns="" id="{00000000-0008-0000-0000-000017000000}"/>
              </a:ext>
            </a:extLst>
          </xdr:cNvPr>
          <xdr:cNvSpPr txBox="1"/>
        </xdr:nvSpPr>
        <xdr:spPr>
          <a:xfrm>
            <a:off x="1612220" y="105066194"/>
            <a:ext cx="571500"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2</a:t>
            </a:r>
          </a:p>
        </xdr:txBody>
      </xdr:sp>
    </xdr:grpSp>
    <xdr:clientData/>
  </xdr:twoCellAnchor>
  <xdr:twoCellAnchor>
    <xdr:from>
      <xdr:col>15</xdr:col>
      <xdr:colOff>257255</xdr:colOff>
      <xdr:row>312</xdr:row>
      <xdr:rowOff>354842</xdr:rowOff>
    </xdr:from>
    <xdr:to>
      <xdr:col>20</xdr:col>
      <xdr:colOff>520099</xdr:colOff>
      <xdr:row>315</xdr:row>
      <xdr:rowOff>2226346</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15833431" y="104995371"/>
          <a:ext cx="3288433" cy="4426446"/>
          <a:chOff x="3663042" y="104567946"/>
          <a:chExt cx="3297238" cy="4402432"/>
        </a:xfrm>
      </xdr:grpSpPr>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663042" y="104567946"/>
            <a:ext cx="3297238" cy="4402432"/>
          </a:xfrm>
          <a:prstGeom prst="rect">
            <a:avLst/>
          </a:prstGeom>
          <a:ln>
            <a:solidFill>
              <a:schemeClr val="tx1"/>
            </a:solidFill>
          </a:ln>
        </xdr:spPr>
      </xdr:pic>
      <xdr:sp macro="" textlink="">
        <xdr:nvSpPr>
          <xdr:cNvPr id="25" name="TextBox 24">
            <a:extLst>
              <a:ext uri="{FF2B5EF4-FFF2-40B4-BE49-F238E27FC236}">
                <a16:creationId xmlns:a16="http://schemas.microsoft.com/office/drawing/2014/main" xmlns="" id="{00000000-0008-0000-0000-000019000000}"/>
              </a:ext>
            </a:extLst>
          </xdr:cNvPr>
          <xdr:cNvSpPr txBox="1"/>
        </xdr:nvSpPr>
        <xdr:spPr>
          <a:xfrm>
            <a:off x="3663042" y="104567946"/>
            <a:ext cx="1317172"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baseline="0">
                <a:solidFill>
                  <a:srgbClr val="FF0000"/>
                </a:solidFill>
              </a:rPr>
              <a:t>Tower </a:t>
            </a:r>
            <a:r>
              <a:rPr lang="en-IN" sz="2400" b="1">
                <a:solidFill>
                  <a:srgbClr val="FF0000"/>
                </a:solidFill>
              </a:rPr>
              <a:t>1</a:t>
            </a:r>
          </a:p>
        </xdr:txBody>
      </xdr:sp>
    </xdr:grpSp>
    <xdr:clientData/>
  </xdr:twoCellAnchor>
  <xdr:twoCellAnchor>
    <xdr:from>
      <xdr:col>21</xdr:col>
      <xdr:colOff>23385</xdr:colOff>
      <xdr:row>312</xdr:row>
      <xdr:rowOff>363230</xdr:rowOff>
    </xdr:from>
    <xdr:to>
      <xdr:col>26</xdr:col>
      <xdr:colOff>268140</xdr:colOff>
      <xdr:row>315</xdr:row>
      <xdr:rowOff>2202031</xdr:rowOff>
    </xdr:to>
    <xdr:grpSp>
      <xdr:nvGrpSpPr>
        <xdr:cNvPr id="5" name="Group 4">
          <a:extLst>
            <a:ext uri="{FF2B5EF4-FFF2-40B4-BE49-F238E27FC236}">
              <a16:creationId xmlns:a16="http://schemas.microsoft.com/office/drawing/2014/main" xmlns="" id="{00000000-0008-0000-0000-000005000000}"/>
            </a:ext>
          </a:extLst>
        </xdr:cNvPr>
        <xdr:cNvGrpSpPr/>
      </xdr:nvGrpSpPr>
      <xdr:grpSpPr>
        <a:xfrm>
          <a:off x="19230267" y="105003759"/>
          <a:ext cx="3270344" cy="4393743"/>
          <a:chOff x="7068683" y="104576334"/>
          <a:chExt cx="3272745" cy="4369729"/>
        </a:xfrm>
      </xdr:grpSpPr>
      <xdr:pic>
        <xdr:nvPicPr>
          <xdr:cNvPr id="14" name="Picture 13" descr="https://vsjcllp.vsjadon.com/upload/insp-216726-861.jpg">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7068683" y="104576334"/>
            <a:ext cx="3272745" cy="43697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a:off x="7068683" y="104576334"/>
            <a:ext cx="1317172"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baseline="0">
                <a:solidFill>
                  <a:srgbClr val="FF0000"/>
                </a:solidFill>
              </a:rPr>
              <a:t>Tower 2</a:t>
            </a:r>
            <a:endParaRPr lang="en-IN" sz="2400" b="1">
              <a:solidFill>
                <a:srgbClr val="FF0000"/>
              </a:solidFill>
            </a:endParaRPr>
          </a:p>
        </xdr:txBody>
      </xdr:sp>
    </xdr:grpSp>
    <xdr:clientData/>
  </xdr:twoCellAnchor>
  <xdr:twoCellAnchor>
    <xdr:from>
      <xdr:col>10</xdr:col>
      <xdr:colOff>165687</xdr:colOff>
      <xdr:row>315</xdr:row>
      <xdr:rowOff>2338990</xdr:rowOff>
    </xdr:from>
    <xdr:to>
      <xdr:col>14</xdr:col>
      <xdr:colOff>43223</xdr:colOff>
      <xdr:row>327</xdr:row>
      <xdr:rowOff>32018</xdr:rowOff>
    </xdr:to>
    <xdr:grpSp>
      <xdr:nvGrpSpPr>
        <xdr:cNvPr id="6" name="Group 5">
          <a:extLst>
            <a:ext uri="{FF2B5EF4-FFF2-40B4-BE49-F238E27FC236}">
              <a16:creationId xmlns:a16="http://schemas.microsoft.com/office/drawing/2014/main" xmlns="" id="{00000000-0008-0000-0000-000006000000}"/>
            </a:ext>
          </a:extLst>
        </xdr:cNvPr>
        <xdr:cNvGrpSpPr/>
      </xdr:nvGrpSpPr>
      <xdr:grpSpPr>
        <a:xfrm>
          <a:off x="12335275" y="109534461"/>
          <a:ext cx="2679007" cy="3531292"/>
          <a:chOff x="176893" y="109083022"/>
          <a:chExt cx="2680607" cy="3529692"/>
        </a:xfrm>
      </xdr:grpSpPr>
      <xdr:pic>
        <xdr:nvPicPr>
          <xdr:cNvPr id="21" name="Picture 20" descr="https://vsjcllp.vsjadon.com/upload/insp-216726-860.jpg">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76893" y="109083022"/>
            <a:ext cx="2680607" cy="35296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7" name="TextBox 26">
            <a:extLst>
              <a:ext uri="{FF2B5EF4-FFF2-40B4-BE49-F238E27FC236}">
                <a16:creationId xmlns:a16="http://schemas.microsoft.com/office/drawing/2014/main" xmlns="" id="{00000000-0008-0000-0000-00001B000000}"/>
              </a:ext>
            </a:extLst>
          </xdr:cNvPr>
          <xdr:cNvSpPr txBox="1"/>
        </xdr:nvSpPr>
        <xdr:spPr>
          <a:xfrm>
            <a:off x="176893" y="109083022"/>
            <a:ext cx="1317172" cy="435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baseline="0">
                <a:solidFill>
                  <a:srgbClr val="FF0000"/>
                </a:solidFill>
              </a:rPr>
              <a:t>Tower 3</a:t>
            </a:r>
            <a:endParaRPr lang="en-IN" sz="2400" b="1">
              <a:solidFill>
                <a:srgbClr val="FF0000"/>
              </a:solidFill>
            </a:endParaRPr>
          </a:p>
        </xdr:txBody>
      </xdr:sp>
    </xdr:grpSp>
    <xdr:clientData/>
  </xdr:twoCellAnchor>
  <xdr:twoCellAnchor>
    <xdr:from>
      <xdr:col>9</xdr:col>
      <xdr:colOff>795617</xdr:colOff>
      <xdr:row>311</xdr:row>
      <xdr:rowOff>235323</xdr:rowOff>
    </xdr:from>
    <xdr:to>
      <xdr:col>23</xdr:col>
      <xdr:colOff>235323</xdr:colOff>
      <xdr:row>334</xdr:row>
      <xdr:rowOff>67235</xdr:rowOff>
    </xdr:to>
    <xdr:grpSp>
      <xdr:nvGrpSpPr>
        <xdr:cNvPr id="28" name="Group 27">
          <a:extLst>
            <a:ext uri="{FF2B5EF4-FFF2-40B4-BE49-F238E27FC236}">
              <a16:creationId xmlns:a16="http://schemas.microsoft.com/office/drawing/2014/main" xmlns="" id="{5645752C-2088-4739-AFEC-89B697FEA883}"/>
            </a:ext>
          </a:extLst>
        </xdr:cNvPr>
        <xdr:cNvGrpSpPr/>
      </xdr:nvGrpSpPr>
      <xdr:grpSpPr>
        <a:xfrm>
          <a:off x="11362764" y="104618117"/>
          <a:ext cx="9289677" cy="10287000"/>
          <a:chOff x="592494" y="261257"/>
          <a:chExt cx="5532756" cy="8401812"/>
        </a:xfrm>
      </xdr:grpSpPr>
      <xdr:pic>
        <xdr:nvPicPr>
          <xdr:cNvPr id="29" name="Picture 28">
            <a:extLst>
              <a:ext uri="{FF2B5EF4-FFF2-40B4-BE49-F238E27FC236}">
                <a16:creationId xmlns:a16="http://schemas.microsoft.com/office/drawing/2014/main" xmlns="" id="{A137B7EA-859B-44BD-A585-5E14481B12F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592494" y="261257"/>
            <a:ext cx="2696250" cy="3600000"/>
          </a:xfrm>
          <a:prstGeom prst="rect">
            <a:avLst/>
          </a:prstGeom>
          <a:ln>
            <a:solidFill>
              <a:schemeClr val="tx1"/>
            </a:solidFill>
          </a:ln>
        </xdr:spPr>
      </xdr:pic>
      <xdr:pic>
        <xdr:nvPicPr>
          <xdr:cNvPr id="30" name="Picture 29">
            <a:extLst>
              <a:ext uri="{FF2B5EF4-FFF2-40B4-BE49-F238E27FC236}">
                <a16:creationId xmlns:a16="http://schemas.microsoft.com/office/drawing/2014/main" xmlns="" id="{D88717F5-433D-4E97-9D60-D8D0B5C8C32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429000" y="261257"/>
            <a:ext cx="2696250" cy="3600000"/>
          </a:xfrm>
          <a:prstGeom prst="rect">
            <a:avLst/>
          </a:prstGeom>
          <a:ln>
            <a:solidFill>
              <a:schemeClr val="tx1"/>
            </a:solidFill>
          </a:ln>
        </xdr:spPr>
      </xdr:pic>
      <xdr:pic>
        <xdr:nvPicPr>
          <xdr:cNvPr id="31" name="Picture 30">
            <a:extLst>
              <a:ext uri="{FF2B5EF4-FFF2-40B4-BE49-F238E27FC236}">
                <a16:creationId xmlns:a16="http://schemas.microsoft.com/office/drawing/2014/main" xmlns="" id="{BB16FEA0-4430-4696-A5D1-5CEAF504522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86637" y="4012163"/>
            <a:ext cx="1752563" cy="2340000"/>
          </a:xfrm>
          <a:prstGeom prst="rect">
            <a:avLst/>
          </a:prstGeom>
          <a:ln>
            <a:solidFill>
              <a:schemeClr val="tx1"/>
            </a:solidFill>
          </a:ln>
        </xdr:spPr>
      </xdr:pic>
      <xdr:pic>
        <xdr:nvPicPr>
          <xdr:cNvPr id="32" name="Picture 31">
            <a:extLst>
              <a:ext uri="{FF2B5EF4-FFF2-40B4-BE49-F238E27FC236}">
                <a16:creationId xmlns:a16="http://schemas.microsoft.com/office/drawing/2014/main" xmlns="" id="{D9FA2243-1087-4D72-B9D8-29EE5309773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706606" y="4012163"/>
            <a:ext cx="3115667" cy="2340000"/>
          </a:xfrm>
          <a:prstGeom prst="rect">
            <a:avLst/>
          </a:prstGeom>
          <a:ln>
            <a:solidFill>
              <a:schemeClr val="tx1"/>
            </a:solidFill>
          </a:ln>
        </xdr:spPr>
      </xdr:pic>
      <xdr:pic>
        <xdr:nvPicPr>
          <xdr:cNvPr id="33" name="Picture 32">
            <a:extLst>
              <a:ext uri="{FF2B5EF4-FFF2-40B4-BE49-F238E27FC236}">
                <a16:creationId xmlns:a16="http://schemas.microsoft.com/office/drawing/2014/main" xmlns="" id="{1E8F8B37-C200-491D-83C5-20453DEBB2D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647668" y="6503069"/>
            <a:ext cx="1617750" cy="2160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6A75A562-ACE6-47CF-AA9C-1AD146512395}"/>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321401" y="6503069"/>
            <a:ext cx="1617750" cy="2160000"/>
          </a:xfrm>
          <a:prstGeom prst="rect">
            <a:avLst/>
          </a:prstGeom>
          <a:ln>
            <a:solidFill>
              <a:schemeClr val="tx1"/>
            </a:solidFill>
          </a:ln>
        </xdr:spPr>
      </xdr:pic>
      <xdr:sp macro="" textlink="">
        <xdr:nvSpPr>
          <xdr:cNvPr id="35" name="TextBox 16">
            <a:extLst>
              <a:ext uri="{FF2B5EF4-FFF2-40B4-BE49-F238E27FC236}">
                <a16:creationId xmlns:a16="http://schemas.microsoft.com/office/drawing/2014/main" xmlns="" id="{2F6DBCDD-9A09-47D3-8537-71A68D8B4E03}"/>
              </a:ext>
            </a:extLst>
          </xdr:cNvPr>
          <xdr:cNvSpPr txBox="1"/>
        </xdr:nvSpPr>
        <xdr:spPr>
          <a:xfrm>
            <a:off x="2286464" y="261257"/>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1</a:t>
            </a:r>
            <a:endParaRPr lang="en-IN" sz="2400" b="1">
              <a:solidFill>
                <a:srgbClr val="FF0000"/>
              </a:solidFill>
            </a:endParaRPr>
          </a:p>
        </xdr:txBody>
      </xdr:sp>
      <xdr:sp macro="" textlink="">
        <xdr:nvSpPr>
          <xdr:cNvPr id="36" name="TextBox 17">
            <a:extLst>
              <a:ext uri="{FF2B5EF4-FFF2-40B4-BE49-F238E27FC236}">
                <a16:creationId xmlns:a16="http://schemas.microsoft.com/office/drawing/2014/main" xmlns="" id="{38DBCAAA-C081-45B5-96AF-4E604575C1AE}"/>
              </a:ext>
            </a:extLst>
          </xdr:cNvPr>
          <xdr:cNvSpPr txBox="1"/>
        </xdr:nvSpPr>
        <xdr:spPr>
          <a:xfrm>
            <a:off x="1568190" y="591457"/>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2</a:t>
            </a:r>
            <a:endParaRPr lang="en-IN" sz="2400" b="1">
              <a:solidFill>
                <a:srgbClr val="FF0000"/>
              </a:solidFill>
            </a:endParaRPr>
          </a:p>
        </xdr:txBody>
      </xdr:sp>
      <xdr:sp macro="" textlink="">
        <xdr:nvSpPr>
          <xdr:cNvPr id="37" name="TextBox 18">
            <a:extLst>
              <a:ext uri="{FF2B5EF4-FFF2-40B4-BE49-F238E27FC236}">
                <a16:creationId xmlns:a16="http://schemas.microsoft.com/office/drawing/2014/main" xmlns="" id="{50CA6C86-53AF-422F-8A8E-0B34B37CCE18}"/>
              </a:ext>
            </a:extLst>
          </xdr:cNvPr>
          <xdr:cNvSpPr txBox="1"/>
        </xdr:nvSpPr>
        <xdr:spPr>
          <a:xfrm>
            <a:off x="910263" y="822289"/>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3</a:t>
            </a:r>
            <a:endParaRPr lang="en-IN" sz="2400" b="1">
              <a:solidFill>
                <a:srgbClr val="FF0000"/>
              </a:solidFill>
            </a:endParaRPr>
          </a:p>
        </xdr:txBody>
      </xdr:sp>
      <xdr:sp macro="" textlink="">
        <xdr:nvSpPr>
          <xdr:cNvPr id="38" name="TextBox 19">
            <a:extLst>
              <a:ext uri="{FF2B5EF4-FFF2-40B4-BE49-F238E27FC236}">
                <a16:creationId xmlns:a16="http://schemas.microsoft.com/office/drawing/2014/main" xmlns="" id="{9769B2A1-D7E0-42AB-80AD-166B6CFFA702}"/>
              </a:ext>
            </a:extLst>
          </xdr:cNvPr>
          <xdr:cNvSpPr txBox="1"/>
        </xdr:nvSpPr>
        <xdr:spPr>
          <a:xfrm>
            <a:off x="4607046" y="261257"/>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1</a:t>
            </a:r>
            <a:endParaRPr lang="en-IN" sz="2400" b="1">
              <a:solidFill>
                <a:srgbClr val="FF0000"/>
              </a:solidFill>
            </a:endParaRPr>
          </a:p>
        </xdr:txBody>
      </xdr:sp>
      <xdr:sp macro="" textlink="">
        <xdr:nvSpPr>
          <xdr:cNvPr id="39" name="TextBox 23">
            <a:extLst>
              <a:ext uri="{FF2B5EF4-FFF2-40B4-BE49-F238E27FC236}">
                <a16:creationId xmlns:a16="http://schemas.microsoft.com/office/drawing/2014/main" xmlns="" id="{9B2A1A0C-F8D2-44D3-9A76-140FD326E557}"/>
              </a:ext>
            </a:extLst>
          </xdr:cNvPr>
          <xdr:cNvSpPr txBox="1"/>
        </xdr:nvSpPr>
        <xdr:spPr>
          <a:xfrm>
            <a:off x="1284168" y="4105921"/>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3</a:t>
            </a:r>
            <a:endParaRPr lang="en-IN" sz="2400" b="1">
              <a:solidFill>
                <a:srgbClr val="FF0000"/>
              </a:solidFill>
            </a:endParaRPr>
          </a:p>
        </xdr:txBody>
      </xdr:sp>
      <xdr:sp macro="" textlink="">
        <xdr:nvSpPr>
          <xdr:cNvPr id="40" name="TextBox 24">
            <a:extLst>
              <a:ext uri="{FF2B5EF4-FFF2-40B4-BE49-F238E27FC236}">
                <a16:creationId xmlns:a16="http://schemas.microsoft.com/office/drawing/2014/main" xmlns="" id="{1CAE450F-006E-48D6-A07D-8DD7244341A3}"/>
              </a:ext>
            </a:extLst>
          </xdr:cNvPr>
          <xdr:cNvSpPr txBox="1"/>
        </xdr:nvSpPr>
        <xdr:spPr>
          <a:xfrm>
            <a:off x="3924282" y="364481"/>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2</a:t>
            </a:r>
            <a:endParaRPr lang="en-IN" sz="2400" b="1">
              <a:solidFill>
                <a:srgbClr val="FF0000"/>
              </a:solidFill>
            </a:endParaRPr>
          </a:p>
        </xdr:txBody>
      </xdr:sp>
    </xdr:grpSp>
    <xdr:clientData/>
  </xdr:twoCellAnchor>
  <xdr:twoCellAnchor>
    <xdr:from>
      <xdr:col>0</xdr:col>
      <xdr:colOff>1367117</xdr:colOff>
      <xdr:row>312</xdr:row>
      <xdr:rowOff>156883</xdr:rowOff>
    </xdr:from>
    <xdr:to>
      <xdr:col>8</xdr:col>
      <xdr:colOff>582706</xdr:colOff>
      <xdr:row>334</xdr:row>
      <xdr:rowOff>123265</xdr:rowOff>
    </xdr:to>
    <xdr:grpSp>
      <xdr:nvGrpSpPr>
        <xdr:cNvPr id="41" name="Group 40">
          <a:extLst>
            <a:ext uri="{FF2B5EF4-FFF2-40B4-BE49-F238E27FC236}">
              <a16:creationId xmlns:a16="http://schemas.microsoft.com/office/drawing/2014/main" xmlns="" id="{5EC12134-289E-44D2-A51D-16ECB3B562DE}"/>
            </a:ext>
          </a:extLst>
        </xdr:cNvPr>
        <xdr:cNvGrpSpPr/>
      </xdr:nvGrpSpPr>
      <xdr:grpSpPr>
        <a:xfrm>
          <a:off x="1367117" y="104797412"/>
          <a:ext cx="7720854" cy="10163735"/>
          <a:chOff x="635824" y="304800"/>
          <a:chExt cx="5586354" cy="8141228"/>
        </a:xfrm>
      </xdr:grpSpPr>
      <xdr:grpSp>
        <xdr:nvGrpSpPr>
          <xdr:cNvPr id="42" name="Group 41">
            <a:extLst>
              <a:ext uri="{FF2B5EF4-FFF2-40B4-BE49-F238E27FC236}">
                <a16:creationId xmlns:a16="http://schemas.microsoft.com/office/drawing/2014/main" xmlns="" id="{BC5E9753-870F-4EFF-A223-E89E11361B97}"/>
              </a:ext>
            </a:extLst>
          </xdr:cNvPr>
          <xdr:cNvGrpSpPr/>
        </xdr:nvGrpSpPr>
        <xdr:grpSpPr>
          <a:xfrm>
            <a:off x="635824" y="304800"/>
            <a:ext cx="5586354" cy="8141228"/>
            <a:chOff x="635824" y="304800"/>
            <a:chExt cx="5586354" cy="8141228"/>
          </a:xfrm>
        </xdr:grpSpPr>
        <xdr:pic>
          <xdr:nvPicPr>
            <xdr:cNvPr id="49" name="Picture 48">
              <a:extLst>
                <a:ext uri="{FF2B5EF4-FFF2-40B4-BE49-F238E27FC236}">
                  <a16:creationId xmlns:a16="http://schemas.microsoft.com/office/drawing/2014/main" xmlns="" id="{24B31D85-0CB7-4A18-B514-6200D98BE13F}"/>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35824" y="304800"/>
              <a:ext cx="2696250" cy="3600000"/>
            </a:xfrm>
            <a:prstGeom prst="rect">
              <a:avLst/>
            </a:prstGeom>
            <a:ln>
              <a:solidFill>
                <a:schemeClr val="tx1"/>
              </a:solidFill>
            </a:ln>
          </xdr:spPr>
        </xdr:pic>
        <xdr:pic>
          <xdr:nvPicPr>
            <xdr:cNvPr id="50" name="Picture 49">
              <a:extLst>
                <a:ext uri="{FF2B5EF4-FFF2-40B4-BE49-F238E27FC236}">
                  <a16:creationId xmlns:a16="http://schemas.microsoft.com/office/drawing/2014/main" xmlns="" id="{DDD6B0C8-2CD4-4079-A351-0ACC4C3DA6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22108" y="4105414"/>
              <a:ext cx="1617750" cy="2160000"/>
            </a:xfrm>
            <a:prstGeom prst="rect">
              <a:avLst/>
            </a:prstGeom>
            <a:ln>
              <a:solidFill>
                <a:schemeClr val="tx1"/>
              </a:solidFill>
            </a:ln>
          </xdr:spPr>
        </xdr:pic>
        <xdr:pic>
          <xdr:nvPicPr>
            <xdr:cNvPr id="51" name="Picture 50">
              <a:extLst>
                <a:ext uri="{FF2B5EF4-FFF2-40B4-BE49-F238E27FC236}">
                  <a16:creationId xmlns:a16="http://schemas.microsoft.com/office/drawing/2014/main" xmlns="" id="{DCEBB739-DC50-4DA2-8C32-6D29CEB900D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525928" y="304800"/>
              <a:ext cx="2696250" cy="3600000"/>
            </a:xfrm>
            <a:prstGeom prst="rect">
              <a:avLst/>
            </a:prstGeom>
            <a:ln>
              <a:solidFill>
                <a:schemeClr val="tx1"/>
              </a:solidFill>
            </a:ln>
          </xdr:spPr>
        </xdr:pic>
        <xdr:pic>
          <xdr:nvPicPr>
            <xdr:cNvPr id="52" name="Picture 51">
              <a:extLst>
                <a:ext uri="{FF2B5EF4-FFF2-40B4-BE49-F238E27FC236}">
                  <a16:creationId xmlns:a16="http://schemas.microsoft.com/office/drawing/2014/main" xmlns="" id="{61A0FF6F-B6C2-4EFC-95E6-8946A8D7DA8E}"/>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895752" y="4105414"/>
              <a:ext cx="2876000" cy="2160000"/>
            </a:xfrm>
            <a:prstGeom prst="rect">
              <a:avLst/>
            </a:prstGeom>
            <a:ln>
              <a:solidFill>
                <a:schemeClr val="tx1"/>
              </a:solidFill>
            </a:ln>
          </xdr:spPr>
        </xdr:pic>
        <xdr:pic>
          <xdr:nvPicPr>
            <xdr:cNvPr id="53" name="Picture 52">
              <a:extLst>
                <a:ext uri="{FF2B5EF4-FFF2-40B4-BE49-F238E27FC236}">
                  <a16:creationId xmlns:a16="http://schemas.microsoft.com/office/drawing/2014/main" xmlns="" id="{7FBA5C3C-A2E9-43B5-9501-66D6FD527A9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849136" y="6466028"/>
              <a:ext cx="1482938" cy="1980000"/>
            </a:xfrm>
            <a:prstGeom prst="rect">
              <a:avLst/>
            </a:prstGeom>
            <a:ln>
              <a:solidFill>
                <a:schemeClr val="tx1"/>
              </a:solidFill>
            </a:ln>
          </xdr:spPr>
        </xdr:pic>
        <xdr:pic>
          <xdr:nvPicPr>
            <xdr:cNvPr id="54" name="Picture 53">
              <a:extLst>
                <a:ext uri="{FF2B5EF4-FFF2-40B4-BE49-F238E27FC236}">
                  <a16:creationId xmlns:a16="http://schemas.microsoft.com/office/drawing/2014/main" xmlns="" id="{C3392FAC-7FCE-4DF4-8279-7FE1BEA4AFDD}"/>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525928" y="6466028"/>
              <a:ext cx="1482938" cy="1980000"/>
            </a:xfrm>
            <a:prstGeom prst="rect">
              <a:avLst/>
            </a:prstGeom>
            <a:ln>
              <a:solidFill>
                <a:schemeClr val="tx1"/>
              </a:solidFill>
            </a:ln>
          </xdr:spPr>
        </xdr:pic>
      </xdr:grpSp>
      <xdr:sp macro="" textlink="">
        <xdr:nvSpPr>
          <xdr:cNvPr id="43" name="TextBox 19">
            <a:extLst>
              <a:ext uri="{FF2B5EF4-FFF2-40B4-BE49-F238E27FC236}">
                <a16:creationId xmlns:a16="http://schemas.microsoft.com/office/drawing/2014/main" xmlns="" id="{A65C8C00-2867-423E-8DB2-9B00B776C8B7}"/>
              </a:ext>
            </a:extLst>
          </xdr:cNvPr>
          <xdr:cNvSpPr txBox="1"/>
        </xdr:nvSpPr>
        <xdr:spPr>
          <a:xfrm>
            <a:off x="2452987" y="304800"/>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1</a:t>
            </a:r>
            <a:endParaRPr lang="en-IN" sz="2400" b="1">
              <a:solidFill>
                <a:srgbClr val="FF0000"/>
              </a:solidFill>
            </a:endParaRPr>
          </a:p>
        </xdr:txBody>
      </xdr:sp>
      <xdr:sp macro="" textlink="">
        <xdr:nvSpPr>
          <xdr:cNvPr id="44" name="TextBox 20">
            <a:extLst>
              <a:ext uri="{FF2B5EF4-FFF2-40B4-BE49-F238E27FC236}">
                <a16:creationId xmlns:a16="http://schemas.microsoft.com/office/drawing/2014/main" xmlns="" id="{266A349C-F849-4BA7-A3ED-8FB8A25B0025}"/>
              </a:ext>
            </a:extLst>
          </xdr:cNvPr>
          <xdr:cNvSpPr txBox="1"/>
        </xdr:nvSpPr>
        <xdr:spPr>
          <a:xfrm>
            <a:off x="5166665" y="304800"/>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1</a:t>
            </a:r>
            <a:endParaRPr lang="en-IN" sz="2400" b="1">
              <a:solidFill>
                <a:srgbClr val="FF0000"/>
              </a:solidFill>
            </a:endParaRPr>
          </a:p>
        </xdr:txBody>
      </xdr:sp>
      <xdr:sp macro="" textlink="">
        <xdr:nvSpPr>
          <xdr:cNvPr id="45" name="TextBox 21">
            <a:extLst>
              <a:ext uri="{FF2B5EF4-FFF2-40B4-BE49-F238E27FC236}">
                <a16:creationId xmlns:a16="http://schemas.microsoft.com/office/drawing/2014/main" xmlns="" id="{488C0CEF-9993-461B-86ED-299B8EE25033}"/>
              </a:ext>
            </a:extLst>
          </xdr:cNvPr>
          <xdr:cNvSpPr txBox="1"/>
        </xdr:nvSpPr>
        <xdr:spPr>
          <a:xfrm>
            <a:off x="1590825" y="535632"/>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2</a:t>
            </a:r>
            <a:endParaRPr lang="en-IN" sz="2400" b="1">
              <a:solidFill>
                <a:srgbClr val="FF0000"/>
              </a:solidFill>
            </a:endParaRPr>
          </a:p>
        </xdr:txBody>
      </xdr:sp>
      <xdr:sp macro="" textlink="">
        <xdr:nvSpPr>
          <xdr:cNvPr id="46" name="TextBox 22">
            <a:extLst>
              <a:ext uri="{FF2B5EF4-FFF2-40B4-BE49-F238E27FC236}">
                <a16:creationId xmlns:a16="http://schemas.microsoft.com/office/drawing/2014/main" xmlns="" id="{C806A890-E964-4177-9C47-EB79EA9C846D}"/>
              </a:ext>
            </a:extLst>
          </xdr:cNvPr>
          <xdr:cNvSpPr txBox="1"/>
        </xdr:nvSpPr>
        <xdr:spPr>
          <a:xfrm>
            <a:off x="4451310" y="583485"/>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2</a:t>
            </a:r>
            <a:endParaRPr lang="en-IN" sz="2400" b="1">
              <a:solidFill>
                <a:srgbClr val="FF0000"/>
              </a:solidFill>
            </a:endParaRPr>
          </a:p>
        </xdr:txBody>
      </xdr:sp>
      <xdr:sp macro="" textlink="">
        <xdr:nvSpPr>
          <xdr:cNvPr id="47" name="TextBox 23">
            <a:extLst>
              <a:ext uri="{FF2B5EF4-FFF2-40B4-BE49-F238E27FC236}">
                <a16:creationId xmlns:a16="http://schemas.microsoft.com/office/drawing/2014/main" xmlns="" id="{32BFFC67-EBE9-4DF5-8A47-CDFD3A693FEB}"/>
              </a:ext>
            </a:extLst>
          </xdr:cNvPr>
          <xdr:cNvSpPr txBox="1"/>
        </xdr:nvSpPr>
        <xdr:spPr>
          <a:xfrm>
            <a:off x="881817" y="766464"/>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3</a:t>
            </a:r>
            <a:endParaRPr lang="en-IN" sz="2400" b="1">
              <a:solidFill>
                <a:srgbClr val="FF0000"/>
              </a:solidFill>
            </a:endParaRPr>
          </a:p>
        </xdr:txBody>
      </xdr:sp>
      <xdr:sp macro="" textlink="">
        <xdr:nvSpPr>
          <xdr:cNvPr id="48" name="TextBox 24">
            <a:extLst>
              <a:ext uri="{FF2B5EF4-FFF2-40B4-BE49-F238E27FC236}">
                <a16:creationId xmlns:a16="http://schemas.microsoft.com/office/drawing/2014/main" xmlns="" id="{4198B85C-797A-4279-9538-6EAE5084CF95}"/>
              </a:ext>
            </a:extLst>
          </xdr:cNvPr>
          <xdr:cNvSpPr txBox="1"/>
        </xdr:nvSpPr>
        <xdr:spPr>
          <a:xfrm>
            <a:off x="3800186" y="839305"/>
            <a:ext cx="34015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3</a:t>
            </a:r>
            <a:endParaRPr lang="en-IN" sz="2400" b="1">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6"/>
  <sheetViews>
    <sheetView tabSelected="1" view="pageBreakPreview" topLeftCell="A88" zoomScale="85" zoomScaleNormal="85" zoomScaleSheetLayoutView="85" zoomScalePageLayoutView="55" workbookViewId="0">
      <selection activeCell="C90" sqref="C90:D90"/>
    </sheetView>
  </sheetViews>
  <sheetFormatPr defaultColWidth="9.140625" defaultRowHeight="17.100000000000001" customHeight="1" x14ac:dyDescent="0.25"/>
  <cols>
    <col min="1" max="1" width="26.42578125" style="9" customWidth="1"/>
    <col min="2" max="2" width="1.28515625" style="9" customWidth="1"/>
    <col min="3" max="3" width="18.42578125" style="9" customWidth="1"/>
    <col min="4" max="4" width="1.42578125" style="18" customWidth="1"/>
    <col min="5" max="5" width="25.42578125" style="9" customWidth="1"/>
    <col min="6" max="6" width="34.28515625" style="9" customWidth="1"/>
    <col min="7" max="7" width="1.42578125" style="9" customWidth="1"/>
    <col min="8" max="8" width="18.7109375" style="9" customWidth="1"/>
    <col min="9" max="9" width="30.85546875" style="9" customWidth="1"/>
    <col min="10" max="10" width="24" style="9" customWidth="1"/>
    <col min="11" max="11" width="9.28515625" style="9" bestFit="1" customWidth="1"/>
    <col min="12" max="12" width="9.140625" style="9"/>
    <col min="13" max="13" width="14.5703125" style="9" bestFit="1" customWidth="1"/>
    <col min="14" max="16384" width="9.140625" style="9"/>
  </cols>
  <sheetData>
    <row r="1" spans="1:12" ht="20.25" x14ac:dyDescent="0.25">
      <c r="A1" s="86" t="s">
        <v>42</v>
      </c>
      <c r="B1" s="87"/>
      <c r="C1" s="87"/>
      <c r="D1" s="87"/>
      <c r="E1" s="87"/>
      <c r="F1" s="87"/>
      <c r="G1" s="87"/>
      <c r="H1" s="87"/>
      <c r="I1" s="88"/>
    </row>
    <row r="2" spans="1:12" ht="63.75" customHeight="1" x14ac:dyDescent="0.25">
      <c r="A2" s="149" t="s">
        <v>11</v>
      </c>
      <c r="B2" s="149"/>
      <c r="C2" s="149"/>
      <c r="D2" s="10" t="s">
        <v>4</v>
      </c>
      <c r="E2" s="150" t="s">
        <v>94</v>
      </c>
      <c r="F2" s="150"/>
      <c r="G2" s="106" t="s">
        <v>15</v>
      </c>
      <c r="H2" s="106"/>
      <c r="I2" s="46">
        <v>45840</v>
      </c>
      <c r="J2" s="59">
        <f>J3+90</f>
        <v>45860</v>
      </c>
      <c r="L2" s="9">
        <f>I2-J3</f>
        <v>70</v>
      </c>
    </row>
    <row r="3" spans="1:12" ht="44.25" customHeight="1" x14ac:dyDescent="0.25">
      <c r="A3" s="89" t="s">
        <v>43</v>
      </c>
      <c r="B3" s="90"/>
      <c r="C3" s="91"/>
      <c r="D3" s="25" t="s">
        <v>4</v>
      </c>
      <c r="E3" s="151" t="s">
        <v>270</v>
      </c>
      <c r="F3" s="152"/>
      <c r="G3" s="106" t="s">
        <v>244</v>
      </c>
      <c r="H3" s="106"/>
      <c r="I3" s="46" t="s">
        <v>281</v>
      </c>
      <c r="J3" s="58">
        <v>45770</v>
      </c>
      <c r="K3" s="9" t="s">
        <v>283</v>
      </c>
    </row>
    <row r="4" spans="1:12" ht="43.5" customHeight="1" x14ac:dyDescent="0.25">
      <c r="A4" s="89" t="s">
        <v>39</v>
      </c>
      <c r="B4" s="90"/>
      <c r="C4" s="91"/>
      <c r="D4" s="22" t="s">
        <v>4</v>
      </c>
      <c r="E4" s="131" t="s">
        <v>279</v>
      </c>
      <c r="F4" s="132"/>
      <c r="G4" s="106" t="s">
        <v>36</v>
      </c>
      <c r="H4" s="106"/>
      <c r="I4" s="12" t="str">
        <f ca="1">TEXT(TODAY(),"DD/MM/YYYY")</f>
        <v>07/07/2025</v>
      </c>
      <c r="J4" s="131" t="s">
        <v>264</v>
      </c>
      <c r="K4" s="132"/>
    </row>
    <row r="5" spans="1:12" ht="20.25" x14ac:dyDescent="0.25">
      <c r="A5" s="62" t="s">
        <v>45</v>
      </c>
      <c r="B5" s="62"/>
      <c r="C5" s="62"/>
      <c r="D5" s="62"/>
      <c r="E5" s="62"/>
      <c r="F5" s="62"/>
      <c r="G5" s="62"/>
      <c r="H5" s="62"/>
      <c r="I5" s="140"/>
    </row>
    <row r="6" spans="1:12" ht="64.5" customHeight="1" x14ac:dyDescent="0.25">
      <c r="A6" s="147" t="s">
        <v>32</v>
      </c>
      <c r="B6" s="147"/>
      <c r="C6" s="147"/>
      <c r="D6" s="8" t="s">
        <v>4</v>
      </c>
      <c r="E6" s="26" t="s">
        <v>138</v>
      </c>
      <c r="F6" s="25" t="s">
        <v>38</v>
      </c>
      <c r="G6" s="8" t="s">
        <v>4</v>
      </c>
      <c r="H6" s="105" t="s">
        <v>282</v>
      </c>
      <c r="I6" s="105"/>
    </row>
    <row r="7" spans="1:12" ht="24" customHeight="1" x14ac:dyDescent="0.25">
      <c r="A7" s="147" t="s">
        <v>47</v>
      </c>
      <c r="B7" s="147"/>
      <c r="C7" s="147"/>
      <c r="D7" s="8" t="s">
        <v>4</v>
      </c>
      <c r="E7" s="11" t="s">
        <v>206</v>
      </c>
      <c r="F7" s="25" t="s">
        <v>48</v>
      </c>
      <c r="G7" s="8" t="s">
        <v>4</v>
      </c>
      <c r="H7" s="131" t="s">
        <v>205</v>
      </c>
      <c r="I7" s="132"/>
    </row>
    <row r="8" spans="1:12" ht="45.75" customHeight="1" x14ac:dyDescent="0.25">
      <c r="A8" s="147" t="s">
        <v>49</v>
      </c>
      <c r="B8" s="147"/>
      <c r="C8" s="147"/>
      <c r="D8" s="8" t="s">
        <v>4</v>
      </c>
      <c r="E8" s="148" t="s">
        <v>207</v>
      </c>
      <c r="F8" s="148"/>
      <c r="G8" s="148"/>
      <c r="H8" s="148"/>
      <c r="I8" s="148"/>
    </row>
    <row r="9" spans="1:12" ht="273" customHeight="1" x14ac:dyDescent="0.25">
      <c r="A9" s="106" t="s">
        <v>44</v>
      </c>
      <c r="B9" s="25" t="s">
        <v>4</v>
      </c>
      <c r="C9" s="25" t="s">
        <v>46</v>
      </c>
      <c r="D9" s="8" t="s">
        <v>4</v>
      </c>
      <c r="E9" s="131" t="s">
        <v>241</v>
      </c>
      <c r="F9" s="141"/>
      <c r="G9" s="141"/>
      <c r="H9" s="141"/>
      <c r="I9" s="132"/>
    </row>
    <row r="10" spans="1:12" ht="49.5" customHeight="1" x14ac:dyDescent="0.25">
      <c r="A10" s="106"/>
      <c r="B10" s="25" t="s">
        <v>4</v>
      </c>
      <c r="C10" s="25" t="s">
        <v>14</v>
      </c>
      <c r="D10" s="8" t="s">
        <v>4</v>
      </c>
      <c r="E10" s="131" t="s">
        <v>242</v>
      </c>
      <c r="F10" s="141"/>
      <c r="G10" s="141"/>
      <c r="H10" s="141"/>
      <c r="I10" s="132"/>
    </row>
    <row r="11" spans="1:12" ht="40.5" x14ac:dyDescent="0.25">
      <c r="A11" s="106"/>
      <c r="B11" s="25" t="s">
        <v>4</v>
      </c>
      <c r="C11" s="25" t="s">
        <v>5</v>
      </c>
      <c r="D11" s="8" t="s">
        <v>4</v>
      </c>
      <c r="E11" s="131" t="s">
        <v>243</v>
      </c>
      <c r="F11" s="141"/>
      <c r="G11" s="141"/>
      <c r="H11" s="141"/>
      <c r="I11" s="132"/>
    </row>
    <row r="12" spans="1:12" ht="20.25" x14ac:dyDescent="0.25">
      <c r="A12" s="106" t="s">
        <v>37</v>
      </c>
      <c r="B12" s="106"/>
      <c r="C12" s="106"/>
      <c r="D12" s="8" t="s">
        <v>4</v>
      </c>
      <c r="E12" s="105" t="s">
        <v>219</v>
      </c>
      <c r="F12" s="105"/>
      <c r="G12" s="105"/>
      <c r="H12" s="105"/>
      <c r="I12" s="105"/>
    </row>
    <row r="13" spans="1:12" ht="20.25" x14ac:dyDescent="0.25">
      <c r="A13" s="62" t="s">
        <v>50</v>
      </c>
      <c r="B13" s="62"/>
      <c r="C13" s="62"/>
      <c r="D13" s="62"/>
      <c r="E13" s="62"/>
      <c r="F13" s="62"/>
      <c r="G13" s="62"/>
      <c r="H13" s="62"/>
      <c r="I13" s="62"/>
    </row>
    <row r="14" spans="1:12" ht="40.5" x14ac:dyDescent="0.25">
      <c r="A14" s="106" t="s">
        <v>31</v>
      </c>
      <c r="B14" s="106"/>
      <c r="C14" s="106"/>
      <c r="D14" s="8" t="s">
        <v>4</v>
      </c>
      <c r="E14" s="26" t="s">
        <v>95</v>
      </c>
      <c r="F14" s="19" t="s">
        <v>51</v>
      </c>
      <c r="G14" s="8" t="s">
        <v>4</v>
      </c>
      <c r="H14" s="105" t="s">
        <v>212</v>
      </c>
      <c r="I14" s="105"/>
    </row>
    <row r="15" spans="1:12" ht="40.5" x14ac:dyDescent="0.25">
      <c r="A15" s="106" t="s">
        <v>52</v>
      </c>
      <c r="B15" s="106"/>
      <c r="C15" s="106"/>
      <c r="D15" s="8" t="s">
        <v>4</v>
      </c>
      <c r="E15" s="26" t="s">
        <v>181</v>
      </c>
      <c r="F15" s="25" t="s">
        <v>53</v>
      </c>
      <c r="G15" s="8" t="s">
        <v>4</v>
      </c>
      <c r="H15" s="146">
        <v>46295</v>
      </c>
      <c r="I15" s="105"/>
    </row>
    <row r="16" spans="1:12" ht="21.75" customHeight="1" x14ac:dyDescent="0.25">
      <c r="A16" s="89" t="s">
        <v>54</v>
      </c>
      <c r="B16" s="90"/>
      <c r="C16" s="91"/>
      <c r="D16" s="8" t="s">
        <v>4</v>
      </c>
      <c r="E16" s="12" t="s">
        <v>208</v>
      </c>
      <c r="F16" s="25" t="s">
        <v>55</v>
      </c>
      <c r="G16" s="8" t="s">
        <v>4</v>
      </c>
      <c r="H16" s="145" t="s">
        <v>240</v>
      </c>
      <c r="I16" s="132"/>
    </row>
    <row r="17" spans="1:9" ht="40.5" x14ac:dyDescent="0.25">
      <c r="A17" s="89" t="s">
        <v>56</v>
      </c>
      <c r="B17" s="90"/>
      <c r="C17" s="91"/>
      <c r="D17" s="8" t="s">
        <v>4</v>
      </c>
      <c r="E17" s="46">
        <f>H15</f>
        <v>46295</v>
      </c>
      <c r="F17" s="25" t="s">
        <v>57</v>
      </c>
      <c r="G17" s="8" t="s">
        <v>4</v>
      </c>
      <c r="H17" s="131" t="s">
        <v>182</v>
      </c>
      <c r="I17" s="132"/>
    </row>
    <row r="18" spans="1:9" ht="40.5" customHeight="1" x14ac:dyDescent="0.25">
      <c r="A18" s="89" t="s">
        <v>58</v>
      </c>
      <c r="B18" s="90"/>
      <c r="C18" s="91"/>
      <c r="D18" s="8" t="s">
        <v>4</v>
      </c>
      <c r="E18" s="26" t="s">
        <v>96</v>
      </c>
      <c r="F18" s="25" t="s">
        <v>97</v>
      </c>
      <c r="G18" s="8" t="s">
        <v>4</v>
      </c>
      <c r="H18" s="105">
        <v>431675.64</v>
      </c>
      <c r="I18" s="105"/>
    </row>
    <row r="19" spans="1:9" ht="40.5" x14ac:dyDescent="0.25">
      <c r="A19" s="106" t="s">
        <v>99</v>
      </c>
      <c r="B19" s="106"/>
      <c r="C19" s="106"/>
      <c r="D19" s="8" t="s">
        <v>4</v>
      </c>
      <c r="E19" s="20">
        <v>71208.134000000005</v>
      </c>
      <c r="F19" s="25" t="s">
        <v>98</v>
      </c>
      <c r="G19" s="8" t="s">
        <v>4</v>
      </c>
      <c r="H19" s="105">
        <v>66090.297999999995</v>
      </c>
      <c r="I19" s="105"/>
    </row>
    <row r="20" spans="1:9" ht="40.5" x14ac:dyDescent="0.25">
      <c r="A20" s="106" t="s">
        <v>59</v>
      </c>
      <c r="B20" s="106"/>
      <c r="C20" s="106"/>
      <c r="D20" s="8" t="s">
        <v>4</v>
      </c>
      <c r="E20" s="20">
        <v>0.6</v>
      </c>
      <c r="F20" s="13" t="s">
        <v>60</v>
      </c>
      <c r="G20" s="8" t="s">
        <v>4</v>
      </c>
      <c r="H20" s="131">
        <v>859</v>
      </c>
      <c r="I20" s="132"/>
    </row>
    <row r="21" spans="1:9" ht="40.5" x14ac:dyDescent="0.25">
      <c r="A21" s="106" t="s">
        <v>61</v>
      </c>
      <c r="B21" s="106"/>
      <c r="C21" s="106"/>
      <c r="D21" s="8" t="s">
        <v>4</v>
      </c>
      <c r="E21" s="20">
        <v>859</v>
      </c>
      <c r="F21" s="25" t="s">
        <v>62</v>
      </c>
      <c r="G21" s="8" t="s">
        <v>4</v>
      </c>
      <c r="H21" s="105" t="s">
        <v>153</v>
      </c>
      <c r="I21" s="105"/>
    </row>
    <row r="22" spans="1:9" ht="20.25" x14ac:dyDescent="0.25">
      <c r="A22" s="89" t="s">
        <v>26</v>
      </c>
      <c r="B22" s="90"/>
      <c r="C22" s="91"/>
      <c r="D22" s="8" t="s">
        <v>4</v>
      </c>
      <c r="E22" s="20">
        <v>18.927358099999999</v>
      </c>
      <c r="F22" s="19" t="s">
        <v>27</v>
      </c>
      <c r="G22" s="19" t="s">
        <v>4</v>
      </c>
      <c r="H22" s="131">
        <v>73.181320400000004</v>
      </c>
      <c r="I22" s="132"/>
    </row>
    <row r="23" spans="1:9" ht="128.25" customHeight="1" x14ac:dyDescent="0.25">
      <c r="A23" s="89" t="s">
        <v>29</v>
      </c>
      <c r="B23" s="90"/>
      <c r="C23" s="91"/>
      <c r="D23" s="8" t="s">
        <v>4</v>
      </c>
      <c r="E23" s="131" t="s">
        <v>101</v>
      </c>
      <c r="F23" s="141"/>
      <c r="G23" s="141"/>
      <c r="H23" s="141"/>
      <c r="I23" s="132"/>
    </row>
    <row r="24" spans="1:9" ht="20.25" customHeight="1" x14ac:dyDescent="0.25">
      <c r="A24" s="62" t="s">
        <v>22</v>
      </c>
      <c r="B24" s="62"/>
      <c r="C24" s="62"/>
      <c r="D24" s="62"/>
      <c r="E24" s="62"/>
      <c r="F24" s="62"/>
      <c r="G24" s="62"/>
      <c r="H24" s="62"/>
      <c r="I24" s="62"/>
    </row>
    <row r="25" spans="1:9" ht="21" customHeight="1" x14ac:dyDescent="0.25">
      <c r="A25" s="89" t="s">
        <v>30</v>
      </c>
      <c r="B25" s="90"/>
      <c r="C25" s="91"/>
      <c r="D25" s="19" t="s">
        <v>4</v>
      </c>
      <c r="E25" s="20" t="s">
        <v>102</v>
      </c>
      <c r="F25" s="25" t="s">
        <v>16</v>
      </c>
      <c r="G25" s="19" t="s">
        <v>4</v>
      </c>
      <c r="H25" s="131" t="s">
        <v>183</v>
      </c>
      <c r="I25" s="132"/>
    </row>
    <row r="26" spans="1:9" ht="21.75" customHeight="1" x14ac:dyDescent="0.25">
      <c r="A26" s="89" t="s">
        <v>17</v>
      </c>
      <c r="B26" s="90"/>
      <c r="C26" s="91"/>
      <c r="D26" s="19" t="s">
        <v>4</v>
      </c>
      <c r="E26" s="20" t="s">
        <v>103</v>
      </c>
      <c r="F26" s="25" t="s">
        <v>40</v>
      </c>
      <c r="G26" s="19" t="s">
        <v>4</v>
      </c>
      <c r="H26" s="131" t="s">
        <v>153</v>
      </c>
      <c r="I26" s="132"/>
    </row>
    <row r="27" spans="1:9" ht="42.75" customHeight="1" x14ac:dyDescent="0.25">
      <c r="A27" s="142" t="s">
        <v>25</v>
      </c>
      <c r="B27" s="143"/>
      <c r="C27" s="144"/>
      <c r="D27" s="19" t="s">
        <v>4</v>
      </c>
      <c r="E27" s="26" t="s">
        <v>104</v>
      </c>
      <c r="F27" s="25" t="s">
        <v>18</v>
      </c>
      <c r="G27" s="30" t="s">
        <v>4</v>
      </c>
      <c r="H27" s="131" t="s">
        <v>213</v>
      </c>
      <c r="I27" s="132"/>
    </row>
    <row r="28" spans="1:9" ht="60.75" x14ac:dyDescent="0.25">
      <c r="A28" s="89" t="s">
        <v>146</v>
      </c>
      <c r="B28" s="90"/>
      <c r="C28" s="91"/>
      <c r="D28" s="19" t="s">
        <v>4</v>
      </c>
      <c r="E28" s="26" t="s">
        <v>214</v>
      </c>
      <c r="F28" s="25" t="s">
        <v>147</v>
      </c>
      <c r="G28" s="19" t="s">
        <v>4</v>
      </c>
      <c r="H28" s="131" t="s">
        <v>184</v>
      </c>
      <c r="I28" s="132"/>
    </row>
    <row r="29" spans="1:9" ht="150" customHeight="1" x14ac:dyDescent="0.25">
      <c r="A29" s="89" t="s">
        <v>19</v>
      </c>
      <c r="B29" s="90"/>
      <c r="C29" s="91"/>
      <c r="D29" s="19" t="s">
        <v>4</v>
      </c>
      <c r="E29" s="26" t="s">
        <v>215</v>
      </c>
      <c r="F29" s="25" t="s">
        <v>145</v>
      </c>
      <c r="G29" s="19" t="s">
        <v>4</v>
      </c>
      <c r="H29" s="131" t="s">
        <v>216</v>
      </c>
      <c r="I29" s="132"/>
    </row>
    <row r="30" spans="1:9" ht="20.25" x14ac:dyDescent="0.25">
      <c r="A30" s="89" t="s">
        <v>177</v>
      </c>
      <c r="B30" s="90"/>
      <c r="C30" s="91"/>
      <c r="D30" s="8" t="s">
        <v>4</v>
      </c>
      <c r="E30" s="26" t="s">
        <v>178</v>
      </c>
      <c r="F30" s="25" t="s">
        <v>179</v>
      </c>
      <c r="G30" s="8" t="s">
        <v>4</v>
      </c>
      <c r="H30" s="131" t="s">
        <v>178</v>
      </c>
      <c r="I30" s="132"/>
    </row>
    <row r="31" spans="1:9" ht="20.25" x14ac:dyDescent="0.25">
      <c r="A31" s="89" t="s">
        <v>180</v>
      </c>
      <c r="B31" s="90"/>
      <c r="C31" s="91"/>
      <c r="D31" s="8" t="s">
        <v>4</v>
      </c>
      <c r="E31" s="131" t="s">
        <v>178</v>
      </c>
      <c r="F31" s="141"/>
      <c r="G31" s="141"/>
      <c r="H31" s="141"/>
      <c r="I31" s="132"/>
    </row>
    <row r="32" spans="1:9" ht="20.25" x14ac:dyDescent="0.25">
      <c r="A32" s="128" t="s">
        <v>41</v>
      </c>
      <c r="B32" s="129"/>
      <c r="C32" s="129"/>
      <c r="D32" s="129"/>
      <c r="E32" s="129"/>
      <c r="F32" s="129"/>
      <c r="G32" s="129"/>
      <c r="H32" s="129"/>
      <c r="I32" s="130"/>
    </row>
    <row r="33" spans="1:9" ht="40.5" x14ac:dyDescent="0.25">
      <c r="A33" s="89" t="s">
        <v>20</v>
      </c>
      <c r="B33" s="90"/>
      <c r="C33" s="91"/>
      <c r="D33" s="19" t="s">
        <v>4</v>
      </c>
      <c r="E33" s="26" t="s">
        <v>105</v>
      </c>
      <c r="F33" s="25" t="s">
        <v>21</v>
      </c>
      <c r="G33" s="19" t="s">
        <v>4</v>
      </c>
      <c r="H33" s="131" t="s">
        <v>106</v>
      </c>
      <c r="I33" s="132"/>
    </row>
    <row r="34" spans="1:9" ht="21" customHeight="1" x14ac:dyDescent="0.25">
      <c r="A34" s="89" t="s">
        <v>24</v>
      </c>
      <c r="B34" s="90"/>
      <c r="C34" s="91"/>
      <c r="D34" s="19" t="s">
        <v>4</v>
      </c>
      <c r="E34" s="26" t="s">
        <v>106</v>
      </c>
      <c r="F34" s="15" t="s">
        <v>35</v>
      </c>
      <c r="G34" s="19" t="s">
        <v>4</v>
      </c>
      <c r="H34" s="131" t="s">
        <v>106</v>
      </c>
      <c r="I34" s="132"/>
    </row>
    <row r="35" spans="1:9" ht="21" customHeight="1" x14ac:dyDescent="0.25">
      <c r="A35" s="89" t="s">
        <v>34</v>
      </c>
      <c r="B35" s="90"/>
      <c r="C35" s="91"/>
      <c r="D35" s="19" t="s">
        <v>4</v>
      </c>
      <c r="E35" s="11" t="s">
        <v>108</v>
      </c>
      <c r="F35" s="25" t="s">
        <v>23</v>
      </c>
      <c r="G35" s="19" t="s">
        <v>4</v>
      </c>
      <c r="H35" s="131" t="s">
        <v>107</v>
      </c>
      <c r="I35" s="132"/>
    </row>
    <row r="36" spans="1:9" ht="20.25" x14ac:dyDescent="0.25">
      <c r="A36" s="62" t="s">
        <v>0</v>
      </c>
      <c r="B36" s="62"/>
      <c r="C36" s="62"/>
      <c r="D36" s="62"/>
      <c r="E36" s="62"/>
      <c r="F36" s="140"/>
      <c r="G36" s="62"/>
      <c r="H36" s="62"/>
      <c r="I36" s="62"/>
    </row>
    <row r="37" spans="1:9" ht="20.25" x14ac:dyDescent="0.25">
      <c r="A37" s="137" t="s">
        <v>0</v>
      </c>
      <c r="B37" s="137"/>
      <c r="C37" s="137"/>
      <c r="D37" s="19" t="s">
        <v>4</v>
      </c>
      <c r="E37" s="21" t="s">
        <v>1</v>
      </c>
      <c r="F37" s="21" t="s">
        <v>6</v>
      </c>
      <c r="G37" s="137" t="s">
        <v>2</v>
      </c>
      <c r="H37" s="137"/>
      <c r="I37" s="21" t="s">
        <v>3</v>
      </c>
    </row>
    <row r="38" spans="1:9" ht="43.5" customHeight="1" x14ac:dyDescent="0.25">
      <c r="A38" s="106" t="s">
        <v>7</v>
      </c>
      <c r="B38" s="106"/>
      <c r="C38" s="106"/>
      <c r="D38" s="19" t="s">
        <v>4</v>
      </c>
      <c r="E38" s="24" t="s">
        <v>209</v>
      </c>
      <c r="F38" s="24" t="s">
        <v>211</v>
      </c>
      <c r="G38" s="133" t="s">
        <v>210</v>
      </c>
      <c r="H38" s="135"/>
      <c r="I38" s="24" t="s">
        <v>211</v>
      </c>
    </row>
    <row r="39" spans="1:9" ht="22.5" customHeight="1" x14ac:dyDescent="0.25">
      <c r="A39" s="106" t="s">
        <v>8</v>
      </c>
      <c r="B39" s="106"/>
      <c r="C39" s="106"/>
      <c r="D39" s="19" t="s">
        <v>4</v>
      </c>
      <c r="E39" s="24" t="s">
        <v>109</v>
      </c>
      <c r="F39" s="24" t="s">
        <v>109</v>
      </c>
      <c r="G39" s="136" t="s">
        <v>109</v>
      </c>
      <c r="H39" s="136"/>
      <c r="I39" s="24" t="s">
        <v>109</v>
      </c>
    </row>
    <row r="40" spans="1:9" ht="22.5" customHeight="1" x14ac:dyDescent="0.25">
      <c r="A40" s="106" t="s">
        <v>12</v>
      </c>
      <c r="B40" s="106"/>
      <c r="C40" s="106"/>
      <c r="D40" s="19" t="s">
        <v>4</v>
      </c>
      <c r="E40" s="20" t="s">
        <v>104</v>
      </c>
      <c r="F40" s="25" t="s">
        <v>13</v>
      </c>
      <c r="G40" s="8" t="s">
        <v>4</v>
      </c>
      <c r="H40" s="105" t="s">
        <v>100</v>
      </c>
      <c r="I40" s="105"/>
    </row>
    <row r="41" spans="1:9" ht="20.25" x14ac:dyDescent="0.25">
      <c r="A41" s="62" t="s">
        <v>63</v>
      </c>
      <c r="B41" s="62"/>
      <c r="C41" s="62"/>
      <c r="D41" s="62"/>
      <c r="E41" s="62"/>
      <c r="F41" s="62"/>
      <c r="G41" s="62"/>
      <c r="H41" s="62"/>
      <c r="I41" s="62"/>
    </row>
    <row r="42" spans="1:9" ht="20.25" x14ac:dyDescent="0.25">
      <c r="A42" s="137" t="s">
        <v>64</v>
      </c>
      <c r="B42" s="137"/>
      <c r="C42" s="137"/>
      <c r="D42" s="138" t="s">
        <v>65</v>
      </c>
      <c r="E42" s="139"/>
      <c r="F42" s="137" t="s">
        <v>66</v>
      </c>
      <c r="G42" s="137"/>
      <c r="H42" s="137" t="s">
        <v>67</v>
      </c>
      <c r="I42" s="137"/>
    </row>
    <row r="43" spans="1:9" ht="20.25" customHeight="1" x14ac:dyDescent="0.25">
      <c r="A43" s="133" t="s">
        <v>202</v>
      </c>
      <c r="B43" s="134"/>
      <c r="C43" s="135"/>
      <c r="D43" s="133" t="s">
        <v>110</v>
      </c>
      <c r="E43" s="135"/>
      <c r="F43" s="133" t="s">
        <v>261</v>
      </c>
      <c r="G43" s="135"/>
      <c r="H43" s="133" t="s">
        <v>261</v>
      </c>
      <c r="I43" s="135"/>
    </row>
    <row r="44" spans="1:9" ht="42" customHeight="1" x14ac:dyDescent="0.25">
      <c r="A44" s="133" t="s">
        <v>203</v>
      </c>
      <c r="B44" s="134"/>
      <c r="C44" s="135"/>
      <c r="D44" s="133" t="s">
        <v>110</v>
      </c>
      <c r="E44" s="135"/>
      <c r="F44" s="133" t="s">
        <v>262</v>
      </c>
      <c r="G44" s="135"/>
      <c r="H44" s="133" t="s">
        <v>262</v>
      </c>
      <c r="I44" s="135"/>
    </row>
    <row r="45" spans="1:9" ht="40.5" customHeight="1" x14ac:dyDescent="0.25">
      <c r="A45" s="133" t="s">
        <v>204</v>
      </c>
      <c r="B45" s="134"/>
      <c r="C45" s="135"/>
      <c r="D45" s="133" t="s">
        <v>110</v>
      </c>
      <c r="E45" s="135"/>
      <c r="F45" s="133" t="s">
        <v>277</v>
      </c>
      <c r="G45" s="135"/>
      <c r="H45" s="133" t="s">
        <v>263</v>
      </c>
      <c r="I45" s="135"/>
    </row>
    <row r="46" spans="1:9" ht="20.25" x14ac:dyDescent="0.25">
      <c r="A46" s="62" t="s">
        <v>68</v>
      </c>
      <c r="B46" s="62"/>
      <c r="C46" s="62"/>
      <c r="D46" s="62"/>
      <c r="E46" s="62"/>
      <c r="F46" s="62"/>
      <c r="G46" s="62"/>
      <c r="H46" s="62"/>
      <c r="I46" s="62"/>
    </row>
    <row r="47" spans="1:9" ht="45.75" customHeight="1" x14ac:dyDescent="0.25">
      <c r="A47" s="106" t="s">
        <v>69</v>
      </c>
      <c r="B47" s="106"/>
      <c r="C47" s="106"/>
      <c r="D47" s="19" t="s">
        <v>4</v>
      </c>
      <c r="E47" s="26" t="s">
        <v>154</v>
      </c>
      <c r="F47" s="25" t="s">
        <v>70</v>
      </c>
      <c r="G47" s="19" t="s">
        <v>4</v>
      </c>
      <c r="H47" s="131" t="s">
        <v>217</v>
      </c>
      <c r="I47" s="132"/>
    </row>
    <row r="48" spans="1:9" ht="63.75" customHeight="1" x14ac:dyDescent="0.25">
      <c r="A48" s="106" t="s">
        <v>111</v>
      </c>
      <c r="B48" s="106"/>
      <c r="C48" s="106"/>
      <c r="D48" s="19" t="s">
        <v>4</v>
      </c>
      <c r="E48" s="26" t="s">
        <v>217</v>
      </c>
      <c r="F48" s="25" t="s">
        <v>71</v>
      </c>
      <c r="G48" s="19" t="s">
        <v>4</v>
      </c>
      <c r="H48" s="131" t="s">
        <v>217</v>
      </c>
      <c r="I48" s="132"/>
    </row>
    <row r="49" spans="1:13" ht="89.25" customHeight="1" x14ac:dyDescent="0.25">
      <c r="A49" s="106" t="s">
        <v>72</v>
      </c>
      <c r="B49" s="106"/>
      <c r="C49" s="106"/>
      <c r="D49" s="19" t="s">
        <v>4</v>
      </c>
      <c r="E49" s="26" t="s">
        <v>237</v>
      </c>
      <c r="F49" s="25" t="s">
        <v>73</v>
      </c>
      <c r="G49" s="19" t="s">
        <v>4</v>
      </c>
      <c r="H49" s="105" t="s">
        <v>220</v>
      </c>
      <c r="I49" s="105"/>
    </row>
    <row r="50" spans="1:13" ht="84" customHeight="1" x14ac:dyDescent="0.25">
      <c r="A50" s="106" t="s">
        <v>221</v>
      </c>
      <c r="B50" s="106"/>
      <c r="C50" s="106"/>
      <c r="D50" s="19" t="s">
        <v>4</v>
      </c>
      <c r="E50" s="26" t="s">
        <v>218</v>
      </c>
      <c r="F50" s="25" t="s">
        <v>74</v>
      </c>
      <c r="G50" s="19" t="s">
        <v>4</v>
      </c>
      <c r="H50" s="105" t="s">
        <v>236</v>
      </c>
      <c r="I50" s="105"/>
    </row>
    <row r="51" spans="1:13" ht="21" thickBot="1" x14ac:dyDescent="0.3">
      <c r="A51" s="62" t="s">
        <v>75</v>
      </c>
      <c r="B51" s="62"/>
      <c r="C51" s="62"/>
      <c r="D51" s="62"/>
      <c r="E51" s="62"/>
      <c r="F51" s="62"/>
      <c r="G51" s="62"/>
      <c r="H51" s="62"/>
      <c r="I51" s="62"/>
    </row>
    <row r="52" spans="1:13" ht="20.25" customHeight="1" x14ac:dyDescent="0.3">
      <c r="A52" s="63" t="s">
        <v>252</v>
      </c>
      <c r="B52" s="63"/>
      <c r="C52" s="63"/>
      <c r="D52" s="64" t="s">
        <v>4</v>
      </c>
      <c r="E52" s="55" t="s">
        <v>163</v>
      </c>
      <c r="F52" s="61" t="s">
        <v>164</v>
      </c>
      <c r="G52" s="61"/>
      <c r="H52" s="55" t="s">
        <v>165</v>
      </c>
      <c r="I52" s="55" t="s">
        <v>166</v>
      </c>
      <c r="J52" s="35" t="str">
        <f ca="1">(IF(F55&gt;99%,"All work completed. Please provide OC.",IF(F55&gt;89.8%,"Plinth, RCC, Brick, Plaster, Flooring, Wooden, Plumbing, Electrification, etc., work Completed. Finishing work is in process.",IF(F55&lt;94%,(IF(C55=0,"Work not yet Started.",IF(E55=25%,"Piling work in process",IF(E55=50%,"Excavation work in process",IF(E55=100%,"Excavation work Completed. ","0")))&amp;(IF(C56=0%,"",IF(C56=K57,"Footing work is process",IF(C56=K58,"Footing work Completed",IF(C56=K59,"1st Basement Completed",IF(C56=K60,"1st &amp; 2nd Basement Completed",IF(C56=K61,"1st to 3rd Basement Completed",IF(C56=K62,"1st to 4th Basement Completed",IF(C56=K63,"Plinth work is process",IF(C56=K64,"Plinth work completed","0")))))))))))&amp;(IF(C57=(F53+H53+I53),", RCC Slab",IF(C57&gt;0,", RCC upto "&amp;C57&amp;" Slab",""))&amp;(IF(C58=I53,", Brickwork",IF(C58&gt;0,", Brickwork upto "&amp;C58&amp;" Floor",""))&amp;(IF(C59=I53,", Internal Plaster",IF(C59&gt;0,", Internal Plaster upto "&amp;C59&amp;" Floor",""))&amp;(IF(C60=I53,", External Plaster",IF(C60&gt;0,", External Plaster upto "&amp;C60&amp;" Floor",""))&amp;(IF(C61=I53,", External Plumbing, Elevation and Waterproofing",IF(C61&gt;0,", External Plumbing, Elevation and Waterproofing upto "&amp;C61&amp;" Floor",""))&amp;(IF(C62=I53,", Flooring &amp; Fitting",IF(C62&gt;0,", Flooring &amp; Fitting upto "&amp;C62&amp;" Floor",""))&amp;(IF(C63=I53,", Wooden Work",IF(C63&gt;0,", Wooden Work upto "&amp;C63&amp;" Floor",""))&amp;(IF(C64=I53,", Electrical &amp; Sanitary fittings",IF(C64&gt;0,", Electrical &amp; Sanitary fittings upto "&amp;C64&amp;" Floor",""))&amp;(IF(C65&gt;0,", Finishing upto "&amp;C65&amp;" Floor","")&amp;(IF(C57&gt;0.5," Completed",""))))))))))))))))</f>
        <v>Excavation work Completed. Plinth work completed, RCC upto 39 Slab, Brickwork upto 38 Floor, Internal Plaster upto 30.4 Floor, External Plaster upto 30.4 Floor, External Plumbing, Elevation and Waterproofing upto 7 Floor Completed</v>
      </c>
      <c r="K52" s="36"/>
    </row>
    <row r="53" spans="1:13" ht="20.25" x14ac:dyDescent="0.3">
      <c r="A53" s="63"/>
      <c r="B53" s="63"/>
      <c r="C53" s="63"/>
      <c r="D53" s="64"/>
      <c r="E53" s="55">
        <v>0</v>
      </c>
      <c r="F53" s="61">
        <v>1</v>
      </c>
      <c r="G53" s="61"/>
      <c r="H53" s="55">
        <v>0</v>
      </c>
      <c r="I53" s="55">
        <f ca="1">--TRIM(RIGHT(SUBSTITUTE(LEFT(A52,_xlfn.AGGREGATE(16,6,FIND({0,1,2,3,4,5,6,7,8,9},A52,ROW(INDIRECT("1:"&amp;LEN(A52)))),1))," ",REPT(" ",LEN(A52))),LEN(A52)))</f>
        <v>39</v>
      </c>
      <c r="J53" s="37" t="s">
        <v>170</v>
      </c>
      <c r="K53" s="36"/>
    </row>
    <row r="54" spans="1:13" ht="20.25" customHeight="1" x14ac:dyDescent="0.3">
      <c r="A54" s="65" t="s">
        <v>168</v>
      </c>
      <c r="B54" s="65"/>
      <c r="C54" s="65" t="s">
        <v>245</v>
      </c>
      <c r="D54" s="65"/>
      <c r="E54" s="56" t="s">
        <v>246</v>
      </c>
      <c r="F54" s="65" t="s">
        <v>169</v>
      </c>
      <c r="G54" s="65"/>
      <c r="H54" s="38" t="s">
        <v>167</v>
      </c>
      <c r="I54" s="38"/>
      <c r="J54" s="39" t="s">
        <v>247</v>
      </c>
      <c r="K54" s="40">
        <f ca="1">I53*25%</f>
        <v>9.75</v>
      </c>
    </row>
    <row r="55" spans="1:13" ht="20.25" customHeight="1" x14ac:dyDescent="0.3">
      <c r="A55" s="60" t="s">
        <v>253</v>
      </c>
      <c r="B55" s="60"/>
      <c r="C55" s="61">
        <f ca="1">K56</f>
        <v>39</v>
      </c>
      <c r="D55" s="61"/>
      <c r="E55" s="54">
        <f ca="1">((100/I53)*C55)/100</f>
        <v>1.0000000000000002</v>
      </c>
      <c r="F55" s="60">
        <f ca="1">(((C55/I53*5)+(C56/I53*20)+(25/(F53+H53+I53)*C57)+(5/(I53)*C58)+(2.5/(I53)*C59)+(2.5/(I53)*C60)+(5/I53*C61)+(10/I53*C62)+(2.5/I53*C63)+(2.5/I53*C64)+(10/I53*C65)+(10/I53*C66))/100)</f>
        <v>0.59041666666666659</v>
      </c>
      <c r="G55" s="60"/>
      <c r="H55" s="60" t="str">
        <f ca="1">J52</f>
        <v>Excavation work Completed. Plinth work completed, RCC upto 39 Slab, Brickwork upto 38 Floor, Internal Plaster upto 30.4 Floor, External Plaster upto 30.4 Floor, External Plumbing, Elevation and Waterproofing upto 7 Floor Completed</v>
      </c>
      <c r="I55" s="60"/>
      <c r="J55" s="39" t="s">
        <v>171</v>
      </c>
      <c r="K55" s="41">
        <f ca="1">I53*50%</f>
        <v>19.5</v>
      </c>
    </row>
    <row r="56" spans="1:13" ht="20.25" x14ac:dyDescent="0.3">
      <c r="A56" s="60" t="s">
        <v>135</v>
      </c>
      <c r="B56" s="60"/>
      <c r="C56" s="66">
        <v>39</v>
      </c>
      <c r="D56" s="61"/>
      <c r="E56" s="54">
        <f ca="1">((100/I53)*C56)/100</f>
        <v>1.0000000000000002</v>
      </c>
      <c r="F56" s="60"/>
      <c r="G56" s="60"/>
      <c r="H56" s="60"/>
      <c r="I56" s="60"/>
      <c r="J56" s="39" t="s">
        <v>172</v>
      </c>
      <c r="K56" s="41">
        <f ca="1">I53</f>
        <v>39</v>
      </c>
    </row>
    <row r="57" spans="1:13" ht="21" customHeight="1" x14ac:dyDescent="0.35">
      <c r="A57" s="60" t="s">
        <v>254</v>
      </c>
      <c r="B57" s="60"/>
      <c r="C57" s="61">
        <v>39</v>
      </c>
      <c r="D57" s="61"/>
      <c r="E57" s="54">
        <f ca="1">((100/(F53+H53+I53))*C57)/100</f>
        <v>0.97499999999999998</v>
      </c>
      <c r="F57" s="60"/>
      <c r="G57" s="60"/>
      <c r="H57" s="60"/>
      <c r="I57" s="60"/>
      <c r="J57" s="39" t="s">
        <v>173</v>
      </c>
      <c r="K57" s="42">
        <f ca="1">(IF(E53&gt;1,(I53/(E53+2)),I53/4))</f>
        <v>9.75</v>
      </c>
    </row>
    <row r="58" spans="1:13" ht="21" customHeight="1" x14ac:dyDescent="0.35">
      <c r="A58" s="60" t="s">
        <v>255</v>
      </c>
      <c r="B58" s="60"/>
      <c r="C58" s="61">
        <v>38</v>
      </c>
      <c r="D58" s="61"/>
      <c r="E58" s="54">
        <f ca="1">((100/I53)*C58)/100</f>
        <v>0.97435897435897445</v>
      </c>
      <c r="F58" s="60"/>
      <c r="G58" s="60"/>
      <c r="H58" s="60"/>
      <c r="I58" s="60"/>
      <c r="J58" s="39" t="s">
        <v>174</v>
      </c>
      <c r="K58" s="42">
        <f ca="1">(IF(E53&gt;1,(I53/(E53+2)+K57),I53/4+K57))</f>
        <v>19.5</v>
      </c>
    </row>
    <row r="59" spans="1:13" ht="21" customHeight="1" x14ac:dyDescent="0.35">
      <c r="A59" s="67" t="s">
        <v>256</v>
      </c>
      <c r="B59" s="68"/>
      <c r="C59" s="66">
        <f>C58*0.8</f>
        <v>30.400000000000002</v>
      </c>
      <c r="D59" s="66"/>
      <c r="E59" s="54">
        <f ca="1">((100/I53)*C59)/100</f>
        <v>0.7794871794871796</v>
      </c>
      <c r="F59" s="60"/>
      <c r="G59" s="60"/>
      <c r="H59" s="60"/>
      <c r="I59" s="60"/>
      <c r="J59" s="39" t="s">
        <v>248</v>
      </c>
      <c r="K59" s="42">
        <f>(IF(E53&gt;1,(I53/(E53+2)+K58),0))</f>
        <v>0</v>
      </c>
    </row>
    <row r="60" spans="1:13" ht="21" customHeight="1" x14ac:dyDescent="0.35">
      <c r="A60" s="67" t="s">
        <v>266</v>
      </c>
      <c r="B60" s="68"/>
      <c r="C60" s="66">
        <f>C59</f>
        <v>30.400000000000002</v>
      </c>
      <c r="D60" s="66"/>
      <c r="E60" s="54">
        <f ca="1">((100/I53)*C60)/100</f>
        <v>0.7794871794871796</v>
      </c>
      <c r="F60" s="60"/>
      <c r="G60" s="60"/>
      <c r="H60" s="60"/>
      <c r="I60" s="60"/>
      <c r="J60" s="39" t="s">
        <v>249</v>
      </c>
      <c r="K60" s="42">
        <f>(IF(E53&gt;2,(I53/(E53+2)+K59),0))</f>
        <v>0</v>
      </c>
    </row>
    <row r="61" spans="1:13" ht="57.75" customHeight="1" x14ac:dyDescent="0.35">
      <c r="A61" s="67" t="s">
        <v>267</v>
      </c>
      <c r="B61" s="68"/>
      <c r="C61" s="61">
        <v>7</v>
      </c>
      <c r="D61" s="61"/>
      <c r="E61" s="54">
        <f ca="1">((100/(I53))*C61)/100</f>
        <v>0.17948717948717949</v>
      </c>
      <c r="F61" s="60"/>
      <c r="G61" s="60"/>
      <c r="H61" s="60"/>
      <c r="I61" s="60"/>
      <c r="J61" s="39" t="s">
        <v>250</v>
      </c>
      <c r="K61" s="43">
        <f>(IF(E53&gt;3,(I53/(E53+2)+K60),0))</f>
        <v>0</v>
      </c>
    </row>
    <row r="62" spans="1:13" ht="21" x14ac:dyDescent="0.35">
      <c r="A62" s="60" t="s">
        <v>257</v>
      </c>
      <c r="B62" s="60"/>
      <c r="C62" s="61">
        <v>0</v>
      </c>
      <c r="D62" s="61"/>
      <c r="E62" s="54">
        <f ca="1">((100/(I53))*C62)/100</f>
        <v>0</v>
      </c>
      <c r="F62" s="60"/>
      <c r="G62" s="60"/>
      <c r="H62" s="60"/>
      <c r="I62" s="60"/>
      <c r="J62" s="39" t="s">
        <v>251</v>
      </c>
      <c r="K62" s="42">
        <f>(IF(E53&gt;4,(I53/(E53+2)+K61),0))</f>
        <v>0</v>
      </c>
    </row>
    <row r="63" spans="1:13" ht="21" customHeight="1" x14ac:dyDescent="0.35">
      <c r="A63" s="60" t="s">
        <v>268</v>
      </c>
      <c r="B63" s="60"/>
      <c r="C63" s="61">
        <v>0</v>
      </c>
      <c r="D63" s="61"/>
      <c r="E63" s="54">
        <f ca="1">((100/I53)*C63)/100</f>
        <v>0</v>
      </c>
      <c r="F63" s="60"/>
      <c r="G63" s="60"/>
      <c r="H63" s="60"/>
      <c r="I63" s="60"/>
      <c r="J63" s="39" t="s">
        <v>175</v>
      </c>
      <c r="K63" s="42">
        <f ca="1">(IF(E53=1,(I53/(E53+3)+K58),IF(E53=0,(I53/4+K58),IF(E53&gt;1,0))))</f>
        <v>29.25</v>
      </c>
    </row>
    <row r="64" spans="1:13" ht="41.25" customHeight="1" thickBot="1" x14ac:dyDescent="0.4">
      <c r="A64" s="60" t="s">
        <v>269</v>
      </c>
      <c r="B64" s="60"/>
      <c r="C64" s="61">
        <v>0</v>
      </c>
      <c r="D64" s="61"/>
      <c r="E64" s="54">
        <f ca="1">((100/I53)*C64)/100</f>
        <v>0</v>
      </c>
      <c r="F64" s="60"/>
      <c r="G64" s="60"/>
      <c r="H64" s="60"/>
      <c r="I64" s="60"/>
      <c r="J64" s="44" t="s">
        <v>176</v>
      </c>
      <c r="K64" s="45">
        <f ca="1">(IF(E53&gt;1.5,(I53/(E53+2)+K57+MAX(0,K58-K57)+MAX(0,K59-K58)+MAX(0,K60-K59)+MAX(0,K61-K60)+MAX(0,K62-K61)),IF(E53=1,(I53/(E53+3)+K63),IF(E53=0,I53/4+K63))))</f>
        <v>39</v>
      </c>
      <c r="M64" s="9" t="e">
        <f>(IF(D52&gt;1.5,(H52/(D52+2)+J57+MAX(0,J58-J57)+MAX(0,J59-J58)+MAX(0,J60-J59)+MAX(0,J61-J60)+MAX(0,J62-J61)),IF(D52=1,(H52/(D52+3)+J62),IF(D52=0,H52*0.3+J62))))</f>
        <v>#VALUE!</v>
      </c>
    </row>
    <row r="65" spans="1:13" ht="20.25" x14ac:dyDescent="0.25">
      <c r="A65" s="60" t="s">
        <v>258</v>
      </c>
      <c r="B65" s="60"/>
      <c r="C65" s="61">
        <v>0</v>
      </c>
      <c r="D65" s="61"/>
      <c r="E65" s="54">
        <f ca="1">((100/(I53))*C65)/100</f>
        <v>0</v>
      </c>
      <c r="F65" s="60"/>
      <c r="G65" s="60"/>
      <c r="H65" s="60"/>
      <c r="I65" s="60"/>
    </row>
    <row r="66" spans="1:13" ht="20.25" x14ac:dyDescent="0.25">
      <c r="A66" s="60" t="s">
        <v>259</v>
      </c>
      <c r="B66" s="60"/>
      <c r="C66" s="61">
        <v>0</v>
      </c>
      <c r="D66" s="61"/>
      <c r="E66" s="54">
        <f ca="1">((100/(I53))*C66)/100</f>
        <v>0</v>
      </c>
      <c r="F66" s="60"/>
      <c r="G66" s="60"/>
      <c r="H66" s="60"/>
      <c r="I66" s="60"/>
    </row>
    <row r="67" spans="1:13" ht="21" thickBot="1" x14ac:dyDescent="0.3">
      <c r="A67" s="62" t="s">
        <v>75</v>
      </c>
      <c r="B67" s="62"/>
      <c r="C67" s="62"/>
      <c r="D67" s="62"/>
      <c r="E67" s="62"/>
      <c r="F67" s="62"/>
      <c r="G67" s="62"/>
      <c r="H67" s="62"/>
      <c r="I67" s="62"/>
    </row>
    <row r="68" spans="1:13" ht="20.25" customHeight="1" x14ac:dyDescent="0.3">
      <c r="A68" s="63" t="s">
        <v>260</v>
      </c>
      <c r="B68" s="63"/>
      <c r="C68" s="63"/>
      <c r="D68" s="64" t="s">
        <v>4</v>
      </c>
      <c r="E68" s="55" t="s">
        <v>163</v>
      </c>
      <c r="F68" s="61" t="s">
        <v>164</v>
      </c>
      <c r="G68" s="61"/>
      <c r="H68" s="55" t="s">
        <v>165</v>
      </c>
      <c r="I68" s="55" t="s">
        <v>166</v>
      </c>
      <c r="J68" s="35" t="str">
        <f ca="1">(IF(F71&gt;99%,"All work completed. Please provide OC.",IF(F71&gt;89.8%,"Plinth, RCC, Brick, Plaster, Flooring, Wooden, Plumbing, Electrification, etc., work Completed. Finishing work is in process.",IF(F71&lt;94%,(IF(C71=0,"Work not yet Started.",IF(E71=25%,"Piling work in process",IF(E71=50%,"Excavation work in process",IF(E71=100%,"Excavation work Completed. ","0")))&amp;(IF(C72=0%,"",IF(C72=K73,"Footing work is process",IF(C72=K74,"Footing work Completed",IF(C72=K75,"1st Basement Completed",IF(C72=K76,"1st &amp; 2nd Basement Completed",IF(C72=K77,"1st to 3rd Basement Completed",IF(C72=K78,"1st to 4th Basement Completed",IF(C72=K79,"Plinth work is process",IF(C72=K80,"Plinth work completed","0")))))))))))&amp;(IF(C73=(F69+H69+I69),", RCC Slab",IF(C73&gt;0,", RCC upto "&amp;C73&amp;" Slab",""))&amp;(IF(C74=I69,", Brickwork",IF(C74&gt;0,", Brickwork upto "&amp;C74&amp;" Floor",""))&amp;(IF(C75=I69,", Internal Plaster",IF(C75&gt;0,", Internal Plaster upto "&amp;C75&amp;" Floor",""))&amp;(IF(C76=I69,", External Plaster",IF(C76&gt;0,", External Plaster upto "&amp;C76&amp;" Floor",""))&amp;(IF(C77=I69,", External Plumbing, Elevation and Waterproofing",IF(C77&gt;0,", External Plumbing, Elevation and Waterproofing upto "&amp;C77&amp;" Floor",""))&amp;(IF(C78=I69,", Flooring &amp; Fitting",IF(C78&gt;0,", Flooring &amp; Fitting upto "&amp;C78&amp;" Floor",""))&amp;(IF(C79=I69,", Wooden Work",IF(C79&gt;0,", Wooden Work upto "&amp;C79&amp;" Floor",""))&amp;(IF(C80=I69,", Electrical &amp; Sanitary fittings",IF(C80&gt;0,", Electrical &amp; Sanitary fittings upto "&amp;C80&amp;" Floor",""))&amp;(IF(C81&gt;0,", Finishing upto "&amp;C81&amp;" Floor","")&amp;(IF(C73&gt;0.5," Completed",""))))))))))))))))</f>
        <v>Excavation work Completed. Plinth work completed, RCC upto 39 Slab, Brickwork upto 38 Floor, Internal Plaster upto 30.4 Floor, External Plaster upto 30.4 Floor Completed</v>
      </c>
      <c r="K68" s="36"/>
    </row>
    <row r="69" spans="1:13" ht="20.25" x14ac:dyDescent="0.3">
      <c r="A69" s="63"/>
      <c r="B69" s="63"/>
      <c r="C69" s="63"/>
      <c r="D69" s="64"/>
      <c r="E69" s="55">
        <v>2</v>
      </c>
      <c r="F69" s="61">
        <v>1</v>
      </c>
      <c r="G69" s="61"/>
      <c r="H69" s="55">
        <v>0</v>
      </c>
      <c r="I69" s="55">
        <f ca="1">--TRIM(RIGHT(SUBSTITUTE(LEFT(A68,_xlfn.AGGREGATE(16,6,FIND({0,1,2,3,4,5,6,7,8,9},A68,ROW(INDIRECT("1:"&amp;LEN(A68)))),1))," ",REPT(" ",LEN(A68))),LEN(A68)))</f>
        <v>39</v>
      </c>
      <c r="J69" s="37" t="s">
        <v>170</v>
      </c>
      <c r="K69" s="36"/>
    </row>
    <row r="70" spans="1:13" ht="20.25" customHeight="1" x14ac:dyDescent="0.3">
      <c r="A70" s="65" t="s">
        <v>168</v>
      </c>
      <c r="B70" s="65"/>
      <c r="C70" s="65" t="s">
        <v>245</v>
      </c>
      <c r="D70" s="65"/>
      <c r="E70" s="56" t="s">
        <v>246</v>
      </c>
      <c r="F70" s="65" t="s">
        <v>169</v>
      </c>
      <c r="G70" s="65"/>
      <c r="H70" s="38" t="s">
        <v>167</v>
      </c>
      <c r="I70" s="38"/>
      <c r="J70" s="39" t="s">
        <v>247</v>
      </c>
      <c r="K70" s="40">
        <f ca="1">I69*25%</f>
        <v>9.75</v>
      </c>
    </row>
    <row r="71" spans="1:13" ht="20.25" customHeight="1" x14ac:dyDescent="0.3">
      <c r="A71" s="60" t="s">
        <v>253</v>
      </c>
      <c r="B71" s="60"/>
      <c r="C71" s="61">
        <f ca="1">K72</f>
        <v>39</v>
      </c>
      <c r="D71" s="61"/>
      <c r="E71" s="54">
        <f ca="1">((100/I69)*C71)/100</f>
        <v>1.0000000000000002</v>
      </c>
      <c r="F71" s="60">
        <f ca="1">(((C71/I69*5)+(C72/I69*20)+(25/(F69+H69+I69)*C73)+(5/(I69)*C74)+(2.5/(I69)*C75)+(2.5/(I69)*C76)+(5/I69*C77)+(10/I69*C78)+(2.5/I69*C79)+(2.5/I69*C80)+(10/I69*C81)+(10/I69*C82))/100)</f>
        <v>0.58144230769230765</v>
      </c>
      <c r="G71" s="60"/>
      <c r="H71" s="60" t="str">
        <f ca="1">J68</f>
        <v>Excavation work Completed. Plinth work completed, RCC upto 39 Slab, Brickwork upto 38 Floor, Internal Plaster upto 30.4 Floor, External Plaster upto 30.4 Floor Completed</v>
      </c>
      <c r="I71" s="60"/>
      <c r="J71" s="39" t="s">
        <v>171</v>
      </c>
      <c r="K71" s="41">
        <f ca="1">I69*50%</f>
        <v>19.5</v>
      </c>
    </row>
    <row r="72" spans="1:13" ht="20.25" x14ac:dyDescent="0.3">
      <c r="A72" s="60" t="s">
        <v>135</v>
      </c>
      <c r="B72" s="60"/>
      <c r="C72" s="66">
        <v>39</v>
      </c>
      <c r="D72" s="61"/>
      <c r="E72" s="54">
        <f ca="1">((100/I69)*C72)/100</f>
        <v>1.0000000000000002</v>
      </c>
      <c r="F72" s="60"/>
      <c r="G72" s="60"/>
      <c r="H72" s="60"/>
      <c r="I72" s="60"/>
      <c r="J72" s="39" t="s">
        <v>172</v>
      </c>
      <c r="K72" s="41">
        <f ca="1">I69</f>
        <v>39</v>
      </c>
    </row>
    <row r="73" spans="1:13" ht="21" customHeight="1" x14ac:dyDescent="0.35">
      <c r="A73" s="60" t="s">
        <v>254</v>
      </c>
      <c r="B73" s="60"/>
      <c r="C73" s="61">
        <v>39</v>
      </c>
      <c r="D73" s="61"/>
      <c r="E73" s="54">
        <f ca="1">((100/(F69+H69+I69))*C73)/100</f>
        <v>0.97499999999999998</v>
      </c>
      <c r="F73" s="60"/>
      <c r="G73" s="60"/>
      <c r="H73" s="60"/>
      <c r="I73" s="60"/>
      <c r="J73" s="39" t="s">
        <v>173</v>
      </c>
      <c r="K73" s="42">
        <f ca="1">(IF(E69&gt;1,(I69/(E69+2)),I69/4))</f>
        <v>9.75</v>
      </c>
    </row>
    <row r="74" spans="1:13" ht="21" customHeight="1" x14ac:dyDescent="0.35">
      <c r="A74" s="60" t="s">
        <v>255</v>
      </c>
      <c r="B74" s="60"/>
      <c r="C74" s="61">
        <v>38</v>
      </c>
      <c r="D74" s="61"/>
      <c r="E74" s="54">
        <f ca="1">((100/I69)*C74)/100</f>
        <v>0.97435897435897445</v>
      </c>
      <c r="F74" s="60"/>
      <c r="G74" s="60"/>
      <c r="H74" s="60"/>
      <c r="I74" s="60"/>
      <c r="J74" s="39" t="s">
        <v>174</v>
      </c>
      <c r="K74" s="42">
        <f ca="1">(IF(E69&gt;1,(I69/(E69+2)+K73),I69/4+K73))</f>
        <v>19.5</v>
      </c>
    </row>
    <row r="75" spans="1:13" ht="21" customHeight="1" x14ac:dyDescent="0.35">
      <c r="A75" s="67" t="s">
        <v>256</v>
      </c>
      <c r="B75" s="68"/>
      <c r="C75" s="66">
        <f>C74*0.8</f>
        <v>30.400000000000002</v>
      </c>
      <c r="D75" s="66"/>
      <c r="E75" s="54">
        <f ca="1">((100/I69)*C75)/100</f>
        <v>0.7794871794871796</v>
      </c>
      <c r="F75" s="60"/>
      <c r="G75" s="60"/>
      <c r="H75" s="60"/>
      <c r="I75" s="60"/>
      <c r="J75" s="39" t="s">
        <v>248</v>
      </c>
      <c r="K75" s="42">
        <f ca="1">(IF(E69&gt;1,(I69/(E69+2)+K74),0))</f>
        <v>29.25</v>
      </c>
    </row>
    <row r="76" spans="1:13" ht="21" customHeight="1" x14ac:dyDescent="0.35">
      <c r="A76" s="67" t="s">
        <v>266</v>
      </c>
      <c r="B76" s="68"/>
      <c r="C76" s="66">
        <f>C75</f>
        <v>30.400000000000002</v>
      </c>
      <c r="D76" s="66"/>
      <c r="E76" s="54">
        <f ca="1">((100/I69)*C76)/100</f>
        <v>0.7794871794871796</v>
      </c>
      <c r="F76" s="60"/>
      <c r="G76" s="60"/>
      <c r="H76" s="60"/>
      <c r="I76" s="60"/>
      <c r="J76" s="39" t="s">
        <v>249</v>
      </c>
      <c r="K76" s="42">
        <f>(IF(E69&gt;2,(I69/(E69+2)+K75),0))</f>
        <v>0</v>
      </c>
    </row>
    <row r="77" spans="1:13" ht="57.75" customHeight="1" x14ac:dyDescent="0.35">
      <c r="A77" s="67" t="s">
        <v>267</v>
      </c>
      <c r="B77" s="68"/>
      <c r="C77" s="61">
        <v>0</v>
      </c>
      <c r="D77" s="61"/>
      <c r="E77" s="54">
        <f ca="1">((100/(I69))*C77)/100</f>
        <v>0</v>
      </c>
      <c r="F77" s="60"/>
      <c r="G77" s="60"/>
      <c r="H77" s="60"/>
      <c r="I77" s="60"/>
      <c r="J77" s="39" t="s">
        <v>250</v>
      </c>
      <c r="K77" s="43">
        <f>(IF(E69&gt;3,(I69/(E69+2)+K76),0))</f>
        <v>0</v>
      </c>
    </row>
    <row r="78" spans="1:13" ht="21" x14ac:dyDescent="0.35">
      <c r="A78" s="60" t="s">
        <v>257</v>
      </c>
      <c r="B78" s="60"/>
      <c r="C78" s="61">
        <v>0</v>
      </c>
      <c r="D78" s="61"/>
      <c r="E78" s="54">
        <f ca="1">((100/(I69))*C78)/100</f>
        <v>0</v>
      </c>
      <c r="F78" s="60"/>
      <c r="G78" s="60"/>
      <c r="H78" s="60"/>
      <c r="I78" s="60"/>
      <c r="J78" s="39" t="s">
        <v>251</v>
      </c>
      <c r="K78" s="42">
        <f>(IF(E69&gt;4,(I69/(E69+2)+K77),0))</f>
        <v>0</v>
      </c>
    </row>
    <row r="79" spans="1:13" ht="21" customHeight="1" x14ac:dyDescent="0.35">
      <c r="A79" s="60" t="s">
        <v>268</v>
      </c>
      <c r="B79" s="60"/>
      <c r="C79" s="61">
        <v>0</v>
      </c>
      <c r="D79" s="61"/>
      <c r="E79" s="54">
        <f ca="1">((100/I69)*C79)/100</f>
        <v>0</v>
      </c>
      <c r="F79" s="60"/>
      <c r="G79" s="60"/>
      <c r="H79" s="60"/>
      <c r="I79" s="60"/>
      <c r="J79" s="39" t="s">
        <v>175</v>
      </c>
      <c r="K79" s="42">
        <f>(IF(E69=1,(I69/(E69+3)+K74),IF(E69=0,(I69/4+K74),IF(E69&gt;1,0))))</f>
        <v>0</v>
      </c>
    </row>
    <row r="80" spans="1:13" ht="41.25" customHeight="1" thickBot="1" x14ac:dyDescent="0.4">
      <c r="A80" s="60" t="s">
        <v>269</v>
      </c>
      <c r="B80" s="60"/>
      <c r="C80" s="61">
        <v>0</v>
      </c>
      <c r="D80" s="61"/>
      <c r="E80" s="54">
        <f ca="1">((100/I69)*C80)/100</f>
        <v>0</v>
      </c>
      <c r="F80" s="60"/>
      <c r="G80" s="60"/>
      <c r="H80" s="60"/>
      <c r="I80" s="60"/>
      <c r="J80" s="44" t="s">
        <v>176</v>
      </c>
      <c r="K80" s="45">
        <f ca="1">(IF(E69&gt;1.5,(I69/(E69+2)+K73+MAX(0,K74-K73)+MAX(0,K75-K74)+MAX(0,K76-K75)+MAX(0,K77-K76)+MAX(0,K78-K77)),IF(E69=1,(I69/(E69+3)+K79),IF(E69=0,I69/4+K79))))</f>
        <v>39</v>
      </c>
      <c r="M80" s="9" t="e">
        <f>(IF(D68&gt;1.5,(H68/(D68+2)+J73+MAX(0,J74-J73)+MAX(0,J75-J74)+MAX(0,J76-J75)+MAX(0,J77-J76)+MAX(0,J78-J77)),IF(D68=1,(H68/(D68+3)+J78),IF(D68=0,H68*0.3+J78))))</f>
        <v>#VALUE!</v>
      </c>
    </row>
    <row r="81" spans="1:13" ht="20.25" x14ac:dyDescent="0.25">
      <c r="A81" s="60" t="s">
        <v>258</v>
      </c>
      <c r="B81" s="60"/>
      <c r="C81" s="61">
        <v>0</v>
      </c>
      <c r="D81" s="61"/>
      <c r="E81" s="54">
        <f ca="1">((100/(I69))*C81)/100</f>
        <v>0</v>
      </c>
      <c r="F81" s="60"/>
      <c r="G81" s="60"/>
      <c r="H81" s="60"/>
      <c r="I81" s="60"/>
    </row>
    <row r="82" spans="1:13" ht="20.25" x14ac:dyDescent="0.25">
      <c r="A82" s="60" t="s">
        <v>259</v>
      </c>
      <c r="B82" s="60"/>
      <c r="C82" s="61">
        <v>0</v>
      </c>
      <c r="D82" s="61"/>
      <c r="E82" s="54">
        <f ca="1">((100/(I69))*C82)/100</f>
        <v>0</v>
      </c>
      <c r="F82" s="60"/>
      <c r="G82" s="60"/>
      <c r="H82" s="60"/>
      <c r="I82" s="60"/>
    </row>
    <row r="83" spans="1:13" ht="21" thickBot="1" x14ac:dyDescent="0.3">
      <c r="A83" s="62" t="s">
        <v>75</v>
      </c>
      <c r="B83" s="62"/>
      <c r="C83" s="62"/>
      <c r="D83" s="62"/>
      <c r="E83" s="62"/>
      <c r="F83" s="62"/>
      <c r="G83" s="62"/>
      <c r="H83" s="62"/>
      <c r="I83" s="62"/>
    </row>
    <row r="84" spans="1:13" ht="20.25" customHeight="1" x14ac:dyDescent="0.3">
      <c r="A84" s="63" t="s">
        <v>278</v>
      </c>
      <c r="B84" s="63"/>
      <c r="C84" s="63"/>
      <c r="D84" s="64" t="s">
        <v>4</v>
      </c>
      <c r="E84" s="55" t="s">
        <v>163</v>
      </c>
      <c r="F84" s="61" t="s">
        <v>164</v>
      </c>
      <c r="G84" s="61"/>
      <c r="H84" s="55" t="s">
        <v>165</v>
      </c>
      <c r="I84" s="55" t="s">
        <v>166</v>
      </c>
      <c r="J84" s="35" t="str">
        <f ca="1">(IF(F87&gt;99%,"All work completed. Please provide OC.",IF(F87&gt;89.8%,"Plinth, RCC, Brick, Plaster, Flooring, Wooden, Plumbing, Electrification, etc., work Completed. Finishing work is in process.",IF(F87&lt;94%,(IF(C87=0,"Work not yet Started.",IF(E87=25%,"Piling work in process",IF(E87=50%,"Excavation work in process",IF(E87=100%,"Excavation work Completed. ","0")))&amp;(IF(C88=0%,"",IF(C88=K89,"Footing work is process",IF(C88=K90,"Footing work Completed",IF(C88=K91,"1st Basement Completed",IF(C88=K92,"1st &amp; 2nd Basement Completed",IF(C88=K93,"1st to 3rd Basement Completed",IF(C88=K94,"1st to 4th Basement Completed",IF(C88=K95,"Plinth work is process",IF(C88=K96,"Plinth work completed","0")))))))))))&amp;(IF(C89=(F85+H85+I85),", RCC Slab",IF(C89&gt;0,", RCC upto "&amp;C89&amp;" Slab",""))&amp;(IF(C90=I85,", Brickwork",IF(C90&gt;0,", Brickwork upto "&amp;C90&amp;" Floor",""))&amp;(IF(C91=I85,", Internal Plaster",IF(C91&gt;0,", Internal Plaster upto "&amp;C91&amp;" Floor",""))&amp;(IF(C92=I85,", External Plaster",IF(C92&gt;0,", External Plaster upto "&amp;C92&amp;" Floor",""))&amp;(IF(C93=I85,", External Plumbing, Elevation and Waterproofing",IF(C93&gt;0,", External Plumbing, Elevation and Waterproofing upto "&amp;C93&amp;" Floor",""))&amp;(IF(C94=I85,", Flooring &amp; Fitting",IF(C94&gt;0,", Flooring &amp; Fitting upto "&amp;C94&amp;" Floor",""))&amp;(IF(C95=I85,", Wooden Work",IF(C95&gt;0,", Wooden Work upto "&amp;C95&amp;" Floor",""))&amp;(IF(C96=I85,", Electrical &amp; Sanitary fittings",IF(C96&gt;0,", Electrical &amp; Sanitary fittings upto "&amp;C96&amp;" Floor",""))&amp;(IF(C97&gt;0,", Finishing upto "&amp;C97&amp;" Floor","")&amp;(IF(C89&gt;0.5," Completed",""))))))))))))))))</f>
        <v>Excavation work Completed. Plinth work completed, RCC upto 39 Slab, Brickwork upto 38 Floor, Internal Plaster upto 36 Floor, External Plaster upto 36 Floor Completed</v>
      </c>
      <c r="K84" s="36"/>
    </row>
    <row r="85" spans="1:13" ht="20.25" x14ac:dyDescent="0.3">
      <c r="A85" s="63"/>
      <c r="B85" s="63"/>
      <c r="C85" s="63"/>
      <c r="D85" s="64"/>
      <c r="E85" s="55">
        <v>5</v>
      </c>
      <c r="F85" s="61">
        <v>1</v>
      </c>
      <c r="G85" s="61"/>
      <c r="H85" s="55">
        <v>0</v>
      </c>
      <c r="I85" s="55">
        <f ca="1">--TRIM(RIGHT(SUBSTITUTE(LEFT(A84,_xlfn.AGGREGATE(16,6,FIND({0,1,2,3,4,5,6,7,8,9},A84,ROW(INDIRECT("1:"&amp;LEN(A84)))),1))," ",REPT(" ",LEN(A84))),LEN(A84)))</f>
        <v>39</v>
      </c>
      <c r="J85" s="37" t="s">
        <v>170</v>
      </c>
      <c r="K85" s="36"/>
    </row>
    <row r="86" spans="1:13" ht="20.25" customHeight="1" x14ac:dyDescent="0.3">
      <c r="A86" s="65" t="s">
        <v>168</v>
      </c>
      <c r="B86" s="65"/>
      <c r="C86" s="65" t="s">
        <v>245</v>
      </c>
      <c r="D86" s="65"/>
      <c r="E86" s="56" t="s">
        <v>246</v>
      </c>
      <c r="F86" s="65" t="s">
        <v>169</v>
      </c>
      <c r="G86" s="65"/>
      <c r="H86" s="38" t="s">
        <v>167</v>
      </c>
      <c r="I86" s="38"/>
      <c r="J86" s="39" t="s">
        <v>247</v>
      </c>
      <c r="K86" s="40">
        <f ca="1">I85*25%</f>
        <v>9.75</v>
      </c>
    </row>
    <row r="87" spans="1:13" ht="20.25" customHeight="1" x14ac:dyDescent="0.3">
      <c r="A87" s="60" t="s">
        <v>253</v>
      </c>
      <c r="B87" s="60"/>
      <c r="C87" s="61">
        <f ca="1">K88</f>
        <v>39</v>
      </c>
      <c r="D87" s="61"/>
      <c r="E87" s="54">
        <f ca="1">((100/I85)*C87)/100</f>
        <v>1.0000000000000002</v>
      </c>
      <c r="F87" s="60">
        <f ca="1">(((C87/I85*5)+(C88/I85*20)+(25/(F85+H85+I85)*C89)+(5/(I85)*C90)+(2.5/(I85)*C91)+(2.5/(I85)*C92)+(5/I85*C93)+(10/I85*C94)+(2.5/I85*C95)+(2.5/I85*C96)+(10/I85*C97)+(10/I85*C98))/100)</f>
        <v>0.58862179487179478</v>
      </c>
      <c r="G87" s="60"/>
      <c r="H87" s="60" t="str">
        <f ca="1">J84</f>
        <v>Excavation work Completed. Plinth work completed, RCC upto 39 Slab, Brickwork upto 38 Floor, Internal Plaster upto 36 Floor, External Plaster upto 36 Floor Completed</v>
      </c>
      <c r="I87" s="60"/>
      <c r="J87" s="39" t="s">
        <v>171</v>
      </c>
      <c r="K87" s="41">
        <f ca="1">I85*50%</f>
        <v>19.5</v>
      </c>
    </row>
    <row r="88" spans="1:13" ht="20.25" x14ac:dyDescent="0.3">
      <c r="A88" s="60" t="s">
        <v>135</v>
      </c>
      <c r="B88" s="60"/>
      <c r="C88" s="66">
        <f ca="1">K96</f>
        <v>39</v>
      </c>
      <c r="D88" s="61"/>
      <c r="E88" s="54">
        <f ca="1">((100/I85)*C88)/100</f>
        <v>1.0000000000000002</v>
      </c>
      <c r="F88" s="60"/>
      <c r="G88" s="60"/>
      <c r="H88" s="60"/>
      <c r="I88" s="60"/>
      <c r="J88" s="39" t="s">
        <v>172</v>
      </c>
      <c r="K88" s="41">
        <f ca="1">I85</f>
        <v>39</v>
      </c>
    </row>
    <row r="89" spans="1:13" ht="21" customHeight="1" x14ac:dyDescent="0.35">
      <c r="A89" s="60" t="s">
        <v>254</v>
      </c>
      <c r="B89" s="60"/>
      <c r="C89" s="61">
        <v>39</v>
      </c>
      <c r="D89" s="61"/>
      <c r="E89" s="54">
        <f ca="1">((100/(F85+H85+I85))*C89)/100</f>
        <v>0.97499999999999998</v>
      </c>
      <c r="F89" s="60"/>
      <c r="G89" s="60"/>
      <c r="H89" s="60"/>
      <c r="I89" s="60"/>
      <c r="J89" s="39" t="s">
        <v>173</v>
      </c>
      <c r="K89" s="42">
        <f ca="1">(IF(E85&gt;1,(I85/(E85+2)),I85/4))</f>
        <v>5.5714285714285712</v>
      </c>
    </row>
    <row r="90" spans="1:13" ht="21" customHeight="1" x14ac:dyDescent="0.35">
      <c r="A90" s="60" t="s">
        <v>255</v>
      </c>
      <c r="B90" s="60"/>
      <c r="C90" s="61">
        <f>C89-1</f>
        <v>38</v>
      </c>
      <c r="D90" s="61"/>
      <c r="E90" s="54">
        <f ca="1">((100/I85)*C90)/100</f>
        <v>0.97435897435897445</v>
      </c>
      <c r="F90" s="60"/>
      <c r="G90" s="60"/>
      <c r="H90" s="60"/>
      <c r="I90" s="60"/>
      <c r="J90" s="39" t="s">
        <v>174</v>
      </c>
      <c r="K90" s="42">
        <f ca="1">(IF(E85&gt;1,(I85/(E85+2)+K89),I85/4+K89))</f>
        <v>11.142857142857142</v>
      </c>
    </row>
    <row r="91" spans="1:13" ht="21" customHeight="1" x14ac:dyDescent="0.35">
      <c r="A91" s="67" t="s">
        <v>256</v>
      </c>
      <c r="B91" s="68"/>
      <c r="C91" s="66">
        <v>36</v>
      </c>
      <c r="D91" s="66"/>
      <c r="E91" s="54">
        <f ca="1">((100/I85)*C91)/100</f>
        <v>0.92307692307692324</v>
      </c>
      <c r="F91" s="60"/>
      <c r="G91" s="60"/>
      <c r="H91" s="60"/>
      <c r="I91" s="60"/>
      <c r="J91" s="39" t="s">
        <v>248</v>
      </c>
      <c r="K91" s="42">
        <f ca="1">(IF(E85&gt;1,(I85/(E85+2)+K90),0))</f>
        <v>16.714285714285715</v>
      </c>
    </row>
    <row r="92" spans="1:13" ht="21" customHeight="1" x14ac:dyDescent="0.35">
      <c r="A92" s="67" t="s">
        <v>266</v>
      </c>
      <c r="B92" s="68"/>
      <c r="C92" s="66">
        <f>C91</f>
        <v>36</v>
      </c>
      <c r="D92" s="66"/>
      <c r="E92" s="54">
        <f ca="1">((100/I85)*C92)/100</f>
        <v>0.92307692307692324</v>
      </c>
      <c r="F92" s="60"/>
      <c r="G92" s="60"/>
      <c r="H92" s="60"/>
      <c r="I92" s="60"/>
      <c r="J92" s="39" t="s">
        <v>249</v>
      </c>
      <c r="K92" s="42">
        <f ca="1">(IF(E85&gt;2,(I85/(E85+2)+K91),0))</f>
        <v>22.285714285714285</v>
      </c>
    </row>
    <row r="93" spans="1:13" ht="57.75" customHeight="1" x14ac:dyDescent="0.35">
      <c r="A93" s="67" t="s">
        <v>267</v>
      </c>
      <c r="B93" s="68"/>
      <c r="C93" s="61">
        <v>0</v>
      </c>
      <c r="D93" s="61"/>
      <c r="E93" s="54">
        <f ca="1">((100/(I85))*C93)/100</f>
        <v>0</v>
      </c>
      <c r="F93" s="60"/>
      <c r="G93" s="60"/>
      <c r="H93" s="60"/>
      <c r="I93" s="60"/>
      <c r="J93" s="39" t="s">
        <v>250</v>
      </c>
      <c r="K93" s="43">
        <f ca="1">(IF(E85&gt;3,(I85/(E85+2)+K92),0))</f>
        <v>27.857142857142854</v>
      </c>
    </row>
    <row r="94" spans="1:13" ht="21" x14ac:dyDescent="0.35">
      <c r="A94" s="60" t="s">
        <v>257</v>
      </c>
      <c r="B94" s="60"/>
      <c r="C94" s="61">
        <v>0</v>
      </c>
      <c r="D94" s="61"/>
      <c r="E94" s="54">
        <f ca="1">((100/(I85))*C94)/100</f>
        <v>0</v>
      </c>
      <c r="F94" s="60"/>
      <c r="G94" s="60"/>
      <c r="H94" s="60"/>
      <c r="I94" s="60"/>
      <c r="J94" s="39" t="s">
        <v>251</v>
      </c>
      <c r="K94" s="42">
        <f ca="1">(IF(E85&gt;4,(I85/(E85+2)+K93),0))</f>
        <v>33.428571428571423</v>
      </c>
    </row>
    <row r="95" spans="1:13" ht="21" customHeight="1" x14ac:dyDescent="0.35">
      <c r="A95" s="60" t="s">
        <v>268</v>
      </c>
      <c r="B95" s="60"/>
      <c r="C95" s="61">
        <v>0</v>
      </c>
      <c r="D95" s="61"/>
      <c r="E95" s="54">
        <f ca="1">((100/I85)*C95)/100</f>
        <v>0</v>
      </c>
      <c r="F95" s="60"/>
      <c r="G95" s="60"/>
      <c r="H95" s="60"/>
      <c r="I95" s="60"/>
      <c r="J95" s="39" t="s">
        <v>175</v>
      </c>
      <c r="K95" s="42">
        <f>(IF(E85=1,(I85/(E85+3)+K90),IF(E85=0,(I85/4+K90),IF(E85&gt;1,0))))</f>
        <v>0</v>
      </c>
    </row>
    <row r="96" spans="1:13" ht="41.25" customHeight="1" thickBot="1" x14ac:dyDescent="0.4">
      <c r="A96" s="60" t="s">
        <v>269</v>
      </c>
      <c r="B96" s="60"/>
      <c r="C96" s="61">
        <v>0</v>
      </c>
      <c r="D96" s="61"/>
      <c r="E96" s="54">
        <f ca="1">((100/I85)*C96)/100</f>
        <v>0</v>
      </c>
      <c r="F96" s="60"/>
      <c r="G96" s="60"/>
      <c r="H96" s="60"/>
      <c r="I96" s="60"/>
      <c r="J96" s="44" t="s">
        <v>176</v>
      </c>
      <c r="K96" s="45">
        <f ca="1">(IF(E85&gt;1.5,(I85/(E85+2)+K89+MAX(0,K90-K89)+MAX(0,K91-K90)+MAX(0,K92-K91)+MAX(0,K93-K92)+MAX(0,K94-K93)),IF(E85=1,(I85/(E85+3)+K95),IF(E85=0,I85/4+K95))))</f>
        <v>39</v>
      </c>
      <c r="M96" s="9" t="e">
        <f>(IF(D84&gt;1.5,(H84/(D84+2)+J89+MAX(0,J90-J89)+MAX(0,J91-J90)+MAX(0,J92-J91)+MAX(0,J93-J92)+MAX(0,J94-J93)),IF(D84=1,(H84/(D84+3)+J94),IF(D84=0,H84*0.3+J94))))</f>
        <v>#VALUE!</v>
      </c>
    </row>
    <row r="97" spans="1:12" ht="20.25" x14ac:dyDescent="0.25">
      <c r="A97" s="60" t="s">
        <v>258</v>
      </c>
      <c r="B97" s="60"/>
      <c r="C97" s="61">
        <v>0</v>
      </c>
      <c r="D97" s="61"/>
      <c r="E97" s="54">
        <f ca="1">((100/(I85))*C97)/100</f>
        <v>0</v>
      </c>
      <c r="F97" s="60"/>
      <c r="G97" s="60"/>
      <c r="H97" s="60"/>
      <c r="I97" s="60"/>
    </row>
    <row r="98" spans="1:12" ht="20.25" x14ac:dyDescent="0.25">
      <c r="A98" s="60" t="s">
        <v>259</v>
      </c>
      <c r="B98" s="60"/>
      <c r="C98" s="61">
        <v>0</v>
      </c>
      <c r="D98" s="61"/>
      <c r="E98" s="54">
        <f ca="1">((100/(I85))*C98)/100</f>
        <v>0</v>
      </c>
      <c r="F98" s="60"/>
      <c r="G98" s="60"/>
      <c r="H98" s="60"/>
      <c r="I98" s="60"/>
    </row>
    <row r="99" spans="1:12" ht="48.75" customHeight="1" x14ac:dyDescent="0.25">
      <c r="A99" s="124" t="s">
        <v>265</v>
      </c>
      <c r="B99" s="125"/>
      <c r="C99" s="125"/>
      <c r="D99" s="125"/>
      <c r="E99" s="125"/>
      <c r="F99" s="125"/>
      <c r="G99" s="125"/>
      <c r="H99" s="126"/>
      <c r="I99" s="53">
        <f ca="1">(F87+F71+F55)/3</f>
        <v>0.58682692307692308</v>
      </c>
      <c r="J99" s="31"/>
      <c r="K99" s="32"/>
      <c r="L99" s="32"/>
    </row>
    <row r="100" spans="1:12" ht="20.25" x14ac:dyDescent="0.25">
      <c r="A100" s="62" t="s">
        <v>148</v>
      </c>
      <c r="B100" s="62"/>
      <c r="C100" s="62"/>
      <c r="D100" s="62"/>
      <c r="E100" s="62"/>
      <c r="F100" s="62"/>
      <c r="G100" s="62"/>
      <c r="H100" s="62"/>
      <c r="I100" s="62"/>
    </row>
    <row r="101" spans="1:12" ht="44.25" customHeight="1" x14ac:dyDescent="0.25">
      <c r="A101" s="106" t="s">
        <v>78</v>
      </c>
      <c r="B101" s="106"/>
      <c r="C101" s="106"/>
      <c r="D101" s="29" t="s">
        <v>4</v>
      </c>
      <c r="E101" s="20" t="s">
        <v>155</v>
      </c>
      <c r="F101" s="25" t="s">
        <v>161</v>
      </c>
      <c r="G101" s="16" t="s">
        <v>4</v>
      </c>
      <c r="H101" s="105" t="s">
        <v>222</v>
      </c>
      <c r="I101" s="105"/>
    </row>
    <row r="102" spans="1:12" ht="40.5" x14ac:dyDescent="0.25">
      <c r="A102" s="106" t="s">
        <v>238</v>
      </c>
      <c r="B102" s="106"/>
      <c r="C102" s="106"/>
      <c r="D102" s="19" t="s">
        <v>4</v>
      </c>
      <c r="E102" s="20" t="s">
        <v>276</v>
      </c>
      <c r="F102" s="25" t="s">
        <v>239</v>
      </c>
      <c r="G102" s="8" t="s">
        <v>4</v>
      </c>
      <c r="H102" s="105" t="s">
        <v>223</v>
      </c>
      <c r="I102" s="105"/>
      <c r="K102" s="57" t="s">
        <v>271</v>
      </c>
    </row>
    <row r="103" spans="1:12" ht="21.75" customHeight="1" x14ac:dyDescent="0.25">
      <c r="A103" s="127" t="s">
        <v>79</v>
      </c>
      <c r="B103" s="127"/>
      <c r="C103" s="127"/>
      <c r="D103" s="29" t="s">
        <v>4</v>
      </c>
      <c r="E103" s="20" t="s">
        <v>156</v>
      </c>
      <c r="F103" s="25" t="s">
        <v>80</v>
      </c>
      <c r="G103" s="8" t="s">
        <v>4</v>
      </c>
      <c r="H103" s="105" t="s">
        <v>162</v>
      </c>
      <c r="I103" s="105"/>
    </row>
    <row r="104" spans="1:12" ht="20.25" x14ac:dyDescent="0.25">
      <c r="A104" s="86" t="s">
        <v>149</v>
      </c>
      <c r="B104" s="87"/>
      <c r="C104" s="87"/>
      <c r="D104" s="87"/>
      <c r="E104" s="87"/>
      <c r="F104" s="87"/>
      <c r="G104" s="87"/>
      <c r="H104" s="87"/>
      <c r="I104" s="88"/>
    </row>
    <row r="105" spans="1:12" ht="20.25" x14ac:dyDescent="0.25">
      <c r="A105" s="89" t="s">
        <v>9</v>
      </c>
      <c r="B105" s="90"/>
      <c r="C105" s="90"/>
      <c r="D105" s="90"/>
      <c r="E105" s="90"/>
      <c r="F105" s="91"/>
      <c r="G105" s="19" t="s">
        <v>4</v>
      </c>
      <c r="H105" s="92">
        <v>410.63</v>
      </c>
      <c r="I105" s="93"/>
    </row>
    <row r="106" spans="1:12" ht="20.25" x14ac:dyDescent="0.25">
      <c r="A106" s="89" t="s">
        <v>157</v>
      </c>
      <c r="B106" s="90"/>
      <c r="C106" s="90"/>
      <c r="D106" s="90"/>
      <c r="E106" s="90"/>
      <c r="F106" s="91"/>
      <c r="G106" s="19" t="s">
        <v>4</v>
      </c>
      <c r="H106" s="94">
        <v>4580.08</v>
      </c>
      <c r="I106" s="94"/>
    </row>
    <row r="107" spans="1:12" ht="20.25" x14ac:dyDescent="0.25">
      <c r="A107" s="89" t="s">
        <v>150</v>
      </c>
      <c r="B107" s="90"/>
      <c r="C107" s="90"/>
      <c r="D107" s="90"/>
      <c r="E107" s="90"/>
      <c r="F107" s="91"/>
      <c r="G107" s="19" t="s">
        <v>4</v>
      </c>
      <c r="H107" s="94">
        <v>6400</v>
      </c>
      <c r="I107" s="94"/>
    </row>
    <row r="108" spans="1:12" ht="20.25" x14ac:dyDescent="0.25">
      <c r="A108" s="128" t="s">
        <v>84</v>
      </c>
      <c r="B108" s="129"/>
      <c r="C108" s="129"/>
      <c r="D108" s="129"/>
      <c r="E108" s="129"/>
      <c r="F108" s="129"/>
      <c r="G108" s="129"/>
      <c r="H108" s="129"/>
      <c r="I108" s="130"/>
    </row>
    <row r="109" spans="1:12" ht="45.75" customHeight="1" x14ac:dyDescent="0.25">
      <c r="A109" s="83" t="s">
        <v>151</v>
      </c>
      <c r="B109" s="83"/>
      <c r="C109" s="84" t="s">
        <v>139</v>
      </c>
      <c r="D109" s="85"/>
      <c r="E109" s="28" t="s">
        <v>140</v>
      </c>
      <c r="F109" s="84" t="s">
        <v>141</v>
      </c>
      <c r="G109" s="85"/>
      <c r="H109" s="28" t="s">
        <v>142</v>
      </c>
      <c r="I109" s="28" t="s">
        <v>201</v>
      </c>
    </row>
    <row r="110" spans="1:12" ht="21.75" customHeight="1" x14ac:dyDescent="0.25">
      <c r="A110" s="69" t="s">
        <v>224</v>
      </c>
      <c r="B110" s="70"/>
      <c r="C110" s="70"/>
      <c r="D110" s="70"/>
      <c r="E110" s="70"/>
      <c r="F110" s="70"/>
      <c r="G110" s="70"/>
      <c r="H110" s="70"/>
      <c r="I110" s="71"/>
    </row>
    <row r="111" spans="1:12" ht="21.75" customHeight="1" x14ac:dyDescent="0.25">
      <c r="A111" s="69" t="s">
        <v>185</v>
      </c>
      <c r="B111" s="70"/>
      <c r="C111" s="70"/>
      <c r="D111" s="70"/>
      <c r="E111" s="70"/>
      <c r="F111" s="70"/>
      <c r="G111" s="70"/>
      <c r="H111" s="70"/>
      <c r="I111" s="71"/>
    </row>
    <row r="112" spans="1:12" ht="20.25" x14ac:dyDescent="0.25">
      <c r="A112" s="76" t="s">
        <v>199</v>
      </c>
      <c r="B112" s="76"/>
      <c r="C112" s="76"/>
      <c r="D112" s="76"/>
      <c r="E112" s="76"/>
      <c r="F112" s="76"/>
      <c r="G112" s="76"/>
      <c r="H112" s="76"/>
      <c r="I112" s="76"/>
    </row>
    <row r="113" spans="1:11" ht="20.25" x14ac:dyDescent="0.25">
      <c r="A113" s="76" t="s">
        <v>227</v>
      </c>
      <c r="B113" s="76"/>
      <c r="C113" s="76"/>
      <c r="D113" s="76"/>
      <c r="E113" s="76"/>
      <c r="F113" s="76"/>
      <c r="G113" s="76"/>
      <c r="H113" s="76"/>
      <c r="I113" s="76"/>
    </row>
    <row r="114" spans="1:11" ht="20.25" x14ac:dyDescent="0.25">
      <c r="A114" s="77" t="s">
        <v>228</v>
      </c>
      <c r="B114" s="78"/>
      <c r="C114" s="72">
        <v>1</v>
      </c>
      <c r="D114" s="72"/>
      <c r="E114" s="33" t="s">
        <v>158</v>
      </c>
      <c r="F114" s="73">
        <f>(3*5.49+2.08*2.44+2.95*3.05+3*3.3+1.2*2.18+1.2*2.18+2.58*1.07+1*2.95+1.19*2.65+1.17*1.78)*10.764</f>
        <v>609.47274959999993</v>
      </c>
      <c r="G114" s="75"/>
      <c r="H114" s="33">
        <v>0</v>
      </c>
      <c r="I114" s="33">
        <f t="shared" ref="I114" si="0">F114*1.6+H114</f>
        <v>975.15639935999991</v>
      </c>
      <c r="K114" s="9">
        <v>2</v>
      </c>
    </row>
    <row r="115" spans="1:11" ht="20.25" x14ac:dyDescent="0.25">
      <c r="A115" s="79"/>
      <c r="B115" s="80"/>
      <c r="C115" s="72">
        <v>2</v>
      </c>
      <c r="D115" s="72"/>
      <c r="E115" s="33" t="s">
        <v>158</v>
      </c>
      <c r="F115" s="73">
        <f>(3*5.49+2.08*2.44+2.95*3.05+3*3.3+1.2*2.18+1.2*2.18+2.58*1.07+1*2.95+1.19*2.65+1.17*1.78)*10.764</f>
        <v>609.47274959999993</v>
      </c>
      <c r="G115" s="75"/>
      <c r="H115" s="33">
        <v>0</v>
      </c>
      <c r="I115" s="33">
        <f t="shared" ref="I115" si="1">F115*1.6+H115</f>
        <v>975.15639935999991</v>
      </c>
    </row>
    <row r="116" spans="1:11" ht="20.25" x14ac:dyDescent="0.25">
      <c r="A116" s="76" t="s">
        <v>188</v>
      </c>
      <c r="B116" s="76"/>
      <c r="C116" s="76"/>
      <c r="D116" s="76"/>
      <c r="E116" s="76"/>
      <c r="F116" s="76"/>
      <c r="G116" s="76"/>
      <c r="H116" s="76"/>
      <c r="I116" s="76"/>
    </row>
    <row r="117" spans="1:11" ht="20.25" x14ac:dyDescent="0.25">
      <c r="A117" s="77" t="str">
        <f>A116</f>
        <v>2nd Floor Floor (Level 13.2 M)</v>
      </c>
      <c r="B117" s="78"/>
      <c r="C117" s="72">
        <v>1</v>
      </c>
      <c r="D117" s="72"/>
      <c r="E117" s="33" t="s">
        <v>159</v>
      </c>
      <c r="F117" s="72">
        <f>(3.025*4.61+2.03*2.44+3*3.05+2.08*1.17*2+1*2.03+1.865*1.17)*10.764</f>
        <v>399.64256279999995</v>
      </c>
      <c r="G117" s="72"/>
      <c r="H117" s="33">
        <v>0</v>
      </c>
      <c r="I117" s="33">
        <f t="shared" ref="I117:I122" si="2">F117*1.6+H117</f>
        <v>639.42810048000001</v>
      </c>
    </row>
    <row r="118" spans="1:11" ht="20.25" x14ac:dyDescent="0.25">
      <c r="A118" s="79"/>
      <c r="B118" s="80"/>
      <c r="C118" s="72">
        <v>2</v>
      </c>
      <c r="D118" s="72"/>
      <c r="E118" s="33" t="s">
        <v>159</v>
      </c>
      <c r="F118" s="72">
        <f>(3.025*4.61+2.03*2.44+3*3.05+2.08*1.17*2+1*2.03+1.865*1.17)*10.764</f>
        <v>399.64256279999995</v>
      </c>
      <c r="G118" s="72"/>
      <c r="H118" s="33">
        <v>0</v>
      </c>
      <c r="I118" s="33">
        <f t="shared" si="2"/>
        <v>639.42810048000001</v>
      </c>
    </row>
    <row r="119" spans="1:11" ht="20.25" x14ac:dyDescent="0.25">
      <c r="A119" s="79"/>
      <c r="B119" s="80"/>
      <c r="C119" s="72">
        <v>3</v>
      </c>
      <c r="D119" s="72"/>
      <c r="E119" s="33" t="s">
        <v>158</v>
      </c>
      <c r="F119" s="73">
        <f>(3*5.49+2.08*2.44+2.95*3.05+3*3.3+1.2*2.18+1.2*2.18+2.58*1.07+1*2.95+1.19*2.65+1.17*1.78)*10.764</f>
        <v>609.47274959999993</v>
      </c>
      <c r="G119" s="75"/>
      <c r="H119" s="33">
        <v>0</v>
      </c>
      <c r="I119" s="33">
        <f t="shared" si="2"/>
        <v>975.15639935999991</v>
      </c>
    </row>
    <row r="120" spans="1:11" ht="20.25" x14ac:dyDescent="0.25">
      <c r="A120" s="79"/>
      <c r="B120" s="80"/>
      <c r="C120" s="72">
        <v>4</v>
      </c>
      <c r="D120" s="72"/>
      <c r="E120" s="33" t="s">
        <v>158</v>
      </c>
      <c r="F120" s="73">
        <f>(3*5.49+2.08*2.44+2.95*3.05+3*3.3+1.2*2.18+1.2*2.18+2.58*1.07+1*2.95+1.19*2.65+1.17*1.78)*10.764</f>
        <v>609.47274959999993</v>
      </c>
      <c r="G120" s="75"/>
      <c r="H120" s="33">
        <v>0</v>
      </c>
      <c r="I120" s="33">
        <f t="shared" si="2"/>
        <v>975.15639935999991</v>
      </c>
    </row>
    <row r="121" spans="1:11" ht="20.25" x14ac:dyDescent="0.25">
      <c r="A121" s="79"/>
      <c r="B121" s="80"/>
      <c r="C121" s="72">
        <v>5</v>
      </c>
      <c r="D121" s="72"/>
      <c r="E121" s="33" t="s">
        <v>158</v>
      </c>
      <c r="F121" s="73">
        <f>(3*5.49+2.08*2.44+2.95*3.05+3*3.3+1.2*2.18+1.2*2.18+2.58*1.07+1*2.95+1.19*2.65+1.17*1.78)*10.764</f>
        <v>609.47274959999993</v>
      </c>
      <c r="G121" s="75"/>
      <c r="H121" s="33">
        <v>0</v>
      </c>
      <c r="I121" s="33">
        <f t="shared" si="2"/>
        <v>975.15639935999991</v>
      </c>
      <c r="K121" s="9">
        <v>6</v>
      </c>
    </row>
    <row r="122" spans="1:11" ht="20.25" x14ac:dyDescent="0.25">
      <c r="A122" s="81"/>
      <c r="B122" s="82"/>
      <c r="C122" s="72">
        <v>6</v>
      </c>
      <c r="D122" s="72"/>
      <c r="E122" s="33" t="s">
        <v>158</v>
      </c>
      <c r="F122" s="73">
        <f>(3*5.49+2.08*2.44+2.95*3.05+3*3.3+1.2*2.18+1.2*2.18+2.58*1.07+1*2.95+1.19*2.65+1.17*1.78)*10.764</f>
        <v>609.47274959999993</v>
      </c>
      <c r="G122" s="75"/>
      <c r="H122" s="33">
        <v>0</v>
      </c>
      <c r="I122" s="33">
        <f t="shared" si="2"/>
        <v>975.15639935999991</v>
      </c>
    </row>
    <row r="123" spans="1:11" ht="20.25" x14ac:dyDescent="0.25">
      <c r="A123" s="76" t="s">
        <v>189</v>
      </c>
      <c r="B123" s="76"/>
      <c r="C123" s="76"/>
      <c r="D123" s="76"/>
      <c r="E123" s="76"/>
      <c r="F123" s="76"/>
      <c r="G123" s="76"/>
      <c r="H123" s="76"/>
      <c r="I123" s="76"/>
    </row>
    <row r="124" spans="1:11" ht="20.25" x14ac:dyDescent="0.25">
      <c r="A124" s="77" t="str">
        <f>A123</f>
        <v>3rd Floor (Level 16.35 M)</v>
      </c>
      <c r="B124" s="78"/>
      <c r="C124" s="72">
        <v>1</v>
      </c>
      <c r="D124" s="72"/>
      <c r="E124" s="33" t="s">
        <v>159</v>
      </c>
      <c r="F124" s="72">
        <f t="shared" ref="F124:F125" si="3">(3.025*4.61+2.03*2.44+3*3.05+2.08*1.17*2+1*2.03+1.865*1.17)*10.764</f>
        <v>399.64256279999995</v>
      </c>
      <c r="G124" s="72"/>
      <c r="H124" s="33">
        <v>0</v>
      </c>
      <c r="I124" s="33">
        <f t="shared" ref="I124:I131" si="4">F124*1.6+H124</f>
        <v>639.42810048000001</v>
      </c>
    </row>
    <row r="125" spans="1:11" ht="20.25" x14ac:dyDescent="0.25">
      <c r="A125" s="79"/>
      <c r="B125" s="80"/>
      <c r="C125" s="72">
        <v>2</v>
      </c>
      <c r="D125" s="72"/>
      <c r="E125" s="33" t="s">
        <v>159</v>
      </c>
      <c r="F125" s="72">
        <f t="shared" si="3"/>
        <v>399.64256279999995</v>
      </c>
      <c r="G125" s="72"/>
      <c r="H125" s="33">
        <v>0</v>
      </c>
      <c r="I125" s="33">
        <f t="shared" si="4"/>
        <v>639.42810048000001</v>
      </c>
    </row>
    <row r="126" spans="1:11" ht="20.25" x14ac:dyDescent="0.25">
      <c r="A126" s="79"/>
      <c r="B126" s="80"/>
      <c r="C126" s="72">
        <v>3</v>
      </c>
      <c r="D126" s="72"/>
      <c r="E126" s="33" t="s">
        <v>158</v>
      </c>
      <c r="F126" s="73">
        <f>(3*5.49+2.08*2.44+2.95*3.05+3*3.3+1.2*2.18+1.2*2.18+2.58*1.07+1*2.95+1.19*2.65+1.17*1.78)*10.764</f>
        <v>609.47274959999993</v>
      </c>
      <c r="G126" s="75"/>
      <c r="H126" s="33">
        <v>0</v>
      </c>
      <c r="I126" s="33">
        <f t="shared" si="4"/>
        <v>975.15639935999991</v>
      </c>
    </row>
    <row r="127" spans="1:11" ht="20.25" x14ac:dyDescent="0.25">
      <c r="A127" s="79"/>
      <c r="B127" s="80"/>
      <c r="C127" s="72">
        <v>4</v>
      </c>
      <c r="D127" s="72"/>
      <c r="E127" s="33" t="s">
        <v>158</v>
      </c>
      <c r="F127" s="73">
        <f>(3*5.49+2.08*2.44+2.95*3.05+3*3.3+1.2*2.18+1.2*2.18+2.58*1.07+1*2.95+1.19*2.65+1.17*1.78)*10.764</f>
        <v>609.47274959999993</v>
      </c>
      <c r="G127" s="75"/>
      <c r="H127" s="33">
        <v>0</v>
      </c>
      <c r="I127" s="33">
        <f t="shared" si="4"/>
        <v>975.15639935999991</v>
      </c>
    </row>
    <row r="128" spans="1:11" ht="20.25" x14ac:dyDescent="0.25">
      <c r="A128" s="79"/>
      <c r="B128" s="80"/>
      <c r="C128" s="72">
        <v>5</v>
      </c>
      <c r="D128" s="72"/>
      <c r="E128" s="33" t="s">
        <v>159</v>
      </c>
      <c r="F128" s="72">
        <f t="shared" ref="F128:F129" si="5">(3.025*4.61+2.03*2.44+3*3.05+2.08*1.17*2+1*2.03+1.865*1.17)*10.764</f>
        <v>399.64256279999995</v>
      </c>
      <c r="G128" s="72"/>
      <c r="H128" s="33">
        <v>0</v>
      </c>
      <c r="I128" s="33">
        <f t="shared" si="4"/>
        <v>639.42810048000001</v>
      </c>
    </row>
    <row r="129" spans="1:11" ht="20.25" x14ac:dyDescent="0.25">
      <c r="A129" s="79"/>
      <c r="B129" s="80"/>
      <c r="C129" s="72">
        <v>6</v>
      </c>
      <c r="D129" s="72"/>
      <c r="E129" s="33" t="s">
        <v>159</v>
      </c>
      <c r="F129" s="72">
        <f t="shared" si="5"/>
        <v>399.64256279999995</v>
      </c>
      <c r="G129" s="72"/>
      <c r="H129" s="33">
        <v>0</v>
      </c>
      <c r="I129" s="33">
        <f t="shared" si="4"/>
        <v>639.42810048000001</v>
      </c>
    </row>
    <row r="130" spans="1:11" ht="20.25" x14ac:dyDescent="0.25">
      <c r="A130" s="79"/>
      <c r="B130" s="80"/>
      <c r="C130" s="72">
        <v>7</v>
      </c>
      <c r="D130" s="72"/>
      <c r="E130" s="33" t="s">
        <v>158</v>
      </c>
      <c r="F130" s="73">
        <f>(3*5.49+2.08*2.44+2.95*3.05+3*3.3+1.2*2.18+1.2*2.18+2.58*1.07+1*2.95+1.19*2.65+1.17*1.78)*10.764</f>
        <v>609.47274959999993</v>
      </c>
      <c r="G130" s="75"/>
      <c r="H130" s="33">
        <v>0</v>
      </c>
      <c r="I130" s="33">
        <f t="shared" si="4"/>
        <v>975.15639935999991</v>
      </c>
      <c r="K130" s="9">
        <v>8</v>
      </c>
    </row>
    <row r="131" spans="1:11" ht="20.25" x14ac:dyDescent="0.25">
      <c r="A131" s="81"/>
      <c r="B131" s="82"/>
      <c r="C131" s="72">
        <v>8</v>
      </c>
      <c r="D131" s="72"/>
      <c r="E131" s="33" t="s">
        <v>158</v>
      </c>
      <c r="F131" s="73">
        <f>(3*5.49+2.08*2.44+2.95*3.05+3*3.3+1.2*2.18+1.2*2.18+2.58*1.07+1*2.95+1.19*2.65+1.17*1.78)*10.764</f>
        <v>609.47274959999993</v>
      </c>
      <c r="G131" s="75"/>
      <c r="H131" s="33">
        <v>0</v>
      </c>
      <c r="I131" s="33">
        <f t="shared" si="4"/>
        <v>975.15639935999991</v>
      </c>
    </row>
    <row r="132" spans="1:11" ht="20.25" x14ac:dyDescent="0.25">
      <c r="A132" s="76" t="s">
        <v>191</v>
      </c>
      <c r="B132" s="76"/>
      <c r="C132" s="76"/>
      <c r="D132" s="76"/>
      <c r="E132" s="76"/>
      <c r="F132" s="76"/>
      <c r="G132" s="76"/>
      <c r="H132" s="76"/>
      <c r="I132" s="76"/>
    </row>
    <row r="133" spans="1:11" ht="20.25" x14ac:dyDescent="0.25">
      <c r="A133" s="77" t="str">
        <f>A132</f>
        <v>4th Floor (Level 19.675 M)</v>
      </c>
      <c r="B133" s="78"/>
      <c r="C133" s="72">
        <v>1</v>
      </c>
      <c r="D133" s="72"/>
      <c r="E133" s="33" t="s">
        <v>159</v>
      </c>
      <c r="F133" s="72">
        <f t="shared" ref="F133:F134" si="6">(3.05*4.66+2.13*2.44+3.05*3.05+2.13*1.22+2.13*1.22+1*2.13+1.865*1.17)*10.764</f>
        <v>411.4210698</v>
      </c>
      <c r="G133" s="72"/>
      <c r="H133" s="33">
        <v>0</v>
      </c>
      <c r="I133" s="33">
        <f t="shared" ref="I133:I140" si="7">F133*1.6+H133</f>
        <v>658.27371168000002</v>
      </c>
    </row>
    <row r="134" spans="1:11" ht="20.25" x14ac:dyDescent="0.25">
      <c r="A134" s="79"/>
      <c r="B134" s="80"/>
      <c r="C134" s="72">
        <v>2</v>
      </c>
      <c r="D134" s="72"/>
      <c r="E134" s="33" t="s">
        <v>159</v>
      </c>
      <c r="F134" s="72">
        <f t="shared" si="6"/>
        <v>411.4210698</v>
      </c>
      <c r="G134" s="72"/>
      <c r="H134" s="33">
        <v>0</v>
      </c>
      <c r="I134" s="33">
        <f t="shared" si="7"/>
        <v>658.27371168000002</v>
      </c>
    </row>
    <row r="135" spans="1:11" ht="20.25" x14ac:dyDescent="0.25">
      <c r="A135" s="79"/>
      <c r="B135" s="80"/>
      <c r="C135" s="72">
        <v>3</v>
      </c>
      <c r="D135" s="72"/>
      <c r="E135" s="33" t="s">
        <v>158</v>
      </c>
      <c r="F135" s="72">
        <f t="shared" ref="F135:F136" si="8">(3.05*5.49+2.13*2.44+3.05*3.05+3.05*3.35+1.3*2.13+1.3*2.13+2.53*1.07+1*3.05+2.65*0.9+1.78*1.17)*10.764</f>
        <v>615.96344159999978</v>
      </c>
      <c r="G135" s="72"/>
      <c r="H135" s="33">
        <v>0</v>
      </c>
      <c r="I135" s="33">
        <f t="shared" si="7"/>
        <v>985.54150655999968</v>
      </c>
    </row>
    <row r="136" spans="1:11" ht="20.25" x14ac:dyDescent="0.25">
      <c r="A136" s="79"/>
      <c r="B136" s="80"/>
      <c r="C136" s="72">
        <v>4</v>
      </c>
      <c r="D136" s="72"/>
      <c r="E136" s="33" t="s">
        <v>158</v>
      </c>
      <c r="F136" s="72">
        <f t="shared" si="8"/>
        <v>615.96344159999978</v>
      </c>
      <c r="G136" s="72"/>
      <c r="H136" s="33">
        <v>0</v>
      </c>
      <c r="I136" s="33">
        <f t="shared" si="7"/>
        <v>985.54150655999968</v>
      </c>
    </row>
    <row r="137" spans="1:11" ht="20.25" x14ac:dyDescent="0.25">
      <c r="A137" s="79"/>
      <c r="B137" s="80"/>
      <c r="C137" s="72">
        <v>5</v>
      </c>
      <c r="D137" s="72"/>
      <c r="E137" s="33" t="s">
        <v>159</v>
      </c>
      <c r="F137" s="72">
        <f t="shared" ref="F137:F138" si="9">(3.05*4.66+2.13*2.44+3.05*3.05+2.13*1.22+2.13*1.22+1*2.13+1.865*1.17)*10.764</f>
        <v>411.4210698</v>
      </c>
      <c r="G137" s="72"/>
      <c r="H137" s="33">
        <v>0</v>
      </c>
      <c r="I137" s="33">
        <f t="shared" si="7"/>
        <v>658.27371168000002</v>
      </c>
    </row>
    <row r="138" spans="1:11" ht="20.25" x14ac:dyDescent="0.25">
      <c r="A138" s="79"/>
      <c r="B138" s="80"/>
      <c r="C138" s="72">
        <v>6</v>
      </c>
      <c r="D138" s="72"/>
      <c r="E138" s="33" t="s">
        <v>159</v>
      </c>
      <c r="F138" s="72">
        <f t="shared" si="9"/>
        <v>411.4210698</v>
      </c>
      <c r="G138" s="72"/>
      <c r="H138" s="33">
        <v>0</v>
      </c>
      <c r="I138" s="33">
        <f t="shared" si="7"/>
        <v>658.27371168000002</v>
      </c>
    </row>
    <row r="139" spans="1:11" ht="20.25" x14ac:dyDescent="0.25">
      <c r="A139" s="79"/>
      <c r="B139" s="80"/>
      <c r="C139" s="72">
        <v>7</v>
      </c>
      <c r="D139" s="72"/>
      <c r="E139" s="33" t="s">
        <v>158</v>
      </c>
      <c r="F139" s="72">
        <f t="shared" ref="F139:F140" si="10">(3.05*5.49+2.13*2.44+3.05*3.05+3.05*3.35+1.3*2.13+1.3*2.13+2.53*1.07+1*3.05+2.65*0.9+1.78*1.17)*10.764</f>
        <v>615.96344159999978</v>
      </c>
      <c r="G139" s="72"/>
      <c r="H139" s="33">
        <v>0</v>
      </c>
      <c r="I139" s="33">
        <f t="shared" si="7"/>
        <v>985.54150655999968</v>
      </c>
    </row>
    <row r="140" spans="1:11" ht="20.25" x14ac:dyDescent="0.25">
      <c r="A140" s="81"/>
      <c r="B140" s="82"/>
      <c r="C140" s="72">
        <v>8</v>
      </c>
      <c r="D140" s="72"/>
      <c r="E140" s="33" t="s">
        <v>158</v>
      </c>
      <c r="F140" s="72">
        <f t="shared" si="10"/>
        <v>615.96344159999978</v>
      </c>
      <c r="G140" s="72"/>
      <c r="H140" s="33">
        <v>0</v>
      </c>
      <c r="I140" s="33">
        <f t="shared" si="7"/>
        <v>985.54150655999968</v>
      </c>
      <c r="K140" s="9">
        <v>8</v>
      </c>
    </row>
    <row r="141" spans="1:11" ht="20.25" x14ac:dyDescent="0.25">
      <c r="A141" s="76" t="s">
        <v>193</v>
      </c>
      <c r="B141" s="76"/>
      <c r="C141" s="76"/>
      <c r="D141" s="76"/>
      <c r="E141" s="76"/>
      <c r="F141" s="76"/>
      <c r="G141" s="76"/>
      <c r="H141" s="76"/>
      <c r="I141" s="76"/>
    </row>
    <row r="142" spans="1:11" ht="20.25" x14ac:dyDescent="0.25">
      <c r="A142" s="77" t="str">
        <f>A141</f>
        <v>5th Floor (Level 22.825 M)</v>
      </c>
      <c r="B142" s="78"/>
      <c r="C142" s="72">
        <v>1</v>
      </c>
      <c r="D142" s="72"/>
      <c r="E142" s="33" t="s">
        <v>159</v>
      </c>
      <c r="F142" s="72">
        <f t="shared" ref="F142:F143" si="11">(3.05*4.66+2.13*2.44+3.05*3.05+2.13*1.22+2.13*1.22+1*2.13+1.865*1.17)*10.764</f>
        <v>411.4210698</v>
      </c>
      <c r="G142" s="72"/>
      <c r="H142" s="33">
        <v>0</v>
      </c>
      <c r="I142" s="33">
        <f t="shared" ref="I142:I149" si="12">F142*1.6+H142</f>
        <v>658.27371168000002</v>
      </c>
    </row>
    <row r="143" spans="1:11" ht="20.25" x14ac:dyDescent="0.25">
      <c r="A143" s="79"/>
      <c r="B143" s="80"/>
      <c r="C143" s="72">
        <v>2</v>
      </c>
      <c r="D143" s="72"/>
      <c r="E143" s="33" t="s">
        <v>159</v>
      </c>
      <c r="F143" s="72">
        <f t="shared" si="11"/>
        <v>411.4210698</v>
      </c>
      <c r="G143" s="72"/>
      <c r="H143" s="33">
        <v>0</v>
      </c>
      <c r="I143" s="33">
        <f t="shared" si="12"/>
        <v>658.27371168000002</v>
      </c>
    </row>
    <row r="144" spans="1:11" ht="20.25" x14ac:dyDescent="0.25">
      <c r="A144" s="79"/>
      <c r="B144" s="80"/>
      <c r="C144" s="72">
        <v>3</v>
      </c>
      <c r="D144" s="72"/>
      <c r="E144" s="33" t="s">
        <v>158</v>
      </c>
      <c r="F144" s="72">
        <f t="shared" ref="F144:F145" si="13">(3.05*5.49+2.13*2.44+3.05*3.05+3.05*3.35+1.3*2.13+1.3*2.13+2.53*1.07+1*3.05+2.65*0.9+1.78*1.17)*10.764</f>
        <v>615.96344159999978</v>
      </c>
      <c r="G144" s="72"/>
      <c r="H144" s="33">
        <v>0</v>
      </c>
      <c r="I144" s="33">
        <f t="shared" si="12"/>
        <v>985.54150655999968</v>
      </c>
    </row>
    <row r="145" spans="1:11" ht="20.25" x14ac:dyDescent="0.25">
      <c r="A145" s="79"/>
      <c r="B145" s="80"/>
      <c r="C145" s="72">
        <v>4</v>
      </c>
      <c r="D145" s="72"/>
      <c r="E145" s="33" t="s">
        <v>158</v>
      </c>
      <c r="F145" s="72">
        <f t="shared" si="13"/>
        <v>615.96344159999978</v>
      </c>
      <c r="G145" s="72"/>
      <c r="H145" s="33">
        <v>0</v>
      </c>
      <c r="I145" s="33">
        <f t="shared" si="12"/>
        <v>985.54150655999968</v>
      </c>
    </row>
    <row r="146" spans="1:11" ht="20.25" x14ac:dyDescent="0.25">
      <c r="A146" s="79"/>
      <c r="B146" s="80"/>
      <c r="C146" s="72">
        <v>5</v>
      </c>
      <c r="D146" s="72"/>
      <c r="E146" s="33" t="s">
        <v>159</v>
      </c>
      <c r="F146" s="72">
        <f t="shared" ref="F146:F147" si="14">(3.05*4.66+2.13*2.44+3.05*3.05+2.13*1.22+2.13*1.22+1*2.13+1.865*1.17)*10.764</f>
        <v>411.4210698</v>
      </c>
      <c r="G146" s="72"/>
      <c r="H146" s="33">
        <v>0</v>
      </c>
      <c r="I146" s="33">
        <f t="shared" si="12"/>
        <v>658.27371168000002</v>
      </c>
    </row>
    <row r="147" spans="1:11" ht="20.25" x14ac:dyDescent="0.25">
      <c r="A147" s="79"/>
      <c r="B147" s="80"/>
      <c r="C147" s="72">
        <v>6</v>
      </c>
      <c r="D147" s="72"/>
      <c r="E147" s="33" t="s">
        <v>159</v>
      </c>
      <c r="F147" s="72">
        <f t="shared" si="14"/>
        <v>411.4210698</v>
      </c>
      <c r="G147" s="72"/>
      <c r="H147" s="33">
        <v>0</v>
      </c>
      <c r="I147" s="33">
        <f t="shared" si="12"/>
        <v>658.27371168000002</v>
      </c>
    </row>
    <row r="148" spans="1:11" ht="20.25" x14ac:dyDescent="0.25">
      <c r="A148" s="79"/>
      <c r="B148" s="80"/>
      <c r="C148" s="72">
        <v>7</v>
      </c>
      <c r="D148" s="72"/>
      <c r="E148" s="33" t="s">
        <v>158</v>
      </c>
      <c r="F148" s="72">
        <f t="shared" ref="F148:F149" si="15">(3.05*5.49+2.13*2.44+3.05*3.05+3.05*3.35+1.3*2.13+1.3*2.13+2.53*1.07+1*3.05+2.65*0.9+1.78*1.17)*10.764</f>
        <v>615.96344159999978</v>
      </c>
      <c r="G148" s="72"/>
      <c r="H148" s="33">
        <v>0</v>
      </c>
      <c r="I148" s="33">
        <f t="shared" si="12"/>
        <v>985.54150655999968</v>
      </c>
    </row>
    <row r="149" spans="1:11" ht="20.25" x14ac:dyDescent="0.25">
      <c r="A149" s="81"/>
      <c r="B149" s="82"/>
      <c r="C149" s="72">
        <v>8</v>
      </c>
      <c r="D149" s="72"/>
      <c r="E149" s="33" t="s">
        <v>158</v>
      </c>
      <c r="F149" s="72">
        <f t="shared" si="15"/>
        <v>615.96344159999978</v>
      </c>
      <c r="G149" s="72"/>
      <c r="H149" s="33">
        <v>0</v>
      </c>
      <c r="I149" s="33">
        <f t="shared" si="12"/>
        <v>985.54150655999968</v>
      </c>
      <c r="K149" s="9">
        <v>8</v>
      </c>
    </row>
    <row r="150" spans="1:11" ht="20.25" x14ac:dyDescent="0.25">
      <c r="A150" s="76" t="s">
        <v>195</v>
      </c>
      <c r="B150" s="76"/>
      <c r="C150" s="76"/>
      <c r="D150" s="76"/>
      <c r="E150" s="76"/>
      <c r="F150" s="76"/>
      <c r="G150" s="76"/>
      <c r="H150" s="76"/>
      <c r="I150" s="76"/>
    </row>
    <row r="151" spans="1:11" ht="20.25" x14ac:dyDescent="0.25">
      <c r="A151" s="77" t="str">
        <f>A150</f>
        <v>6th Floor (Level 25.775 M)</v>
      </c>
      <c r="B151" s="78"/>
      <c r="C151" s="72">
        <v>1</v>
      </c>
      <c r="D151" s="72"/>
      <c r="E151" s="33" t="s">
        <v>159</v>
      </c>
      <c r="F151" s="72">
        <f t="shared" ref="F151:F152" si="16">(3.05*4.66+2.13*2.44+3.05*3.05+2.13*1.22+2.13*1.22+1*2.13+1.865*1.17)*10.764</f>
        <v>411.4210698</v>
      </c>
      <c r="G151" s="72"/>
      <c r="H151" s="33">
        <v>0</v>
      </c>
      <c r="I151" s="33">
        <f t="shared" ref="I151:I158" si="17">F151*1.6+H151</f>
        <v>658.27371168000002</v>
      </c>
    </row>
    <row r="152" spans="1:11" ht="20.25" x14ac:dyDescent="0.25">
      <c r="A152" s="79"/>
      <c r="B152" s="80"/>
      <c r="C152" s="72">
        <v>2</v>
      </c>
      <c r="D152" s="72"/>
      <c r="E152" s="33" t="s">
        <v>159</v>
      </c>
      <c r="F152" s="72">
        <f t="shared" si="16"/>
        <v>411.4210698</v>
      </c>
      <c r="G152" s="72"/>
      <c r="H152" s="33">
        <v>0</v>
      </c>
      <c r="I152" s="33">
        <f t="shared" si="17"/>
        <v>658.27371168000002</v>
      </c>
    </row>
    <row r="153" spans="1:11" ht="20.25" x14ac:dyDescent="0.25">
      <c r="A153" s="79"/>
      <c r="B153" s="80"/>
      <c r="C153" s="72">
        <v>3</v>
      </c>
      <c r="D153" s="72"/>
      <c r="E153" s="33" t="s">
        <v>158</v>
      </c>
      <c r="F153" s="72">
        <f t="shared" ref="F153:F154" si="18">(3.05*5.49+2.13*2.44+3.05*3.05+3.05*3.35+1.3*2.13+1.3*2.13+2.53*1.07+1*3.05+2.65*0.9+1.78*1.17)*10.764</f>
        <v>615.96344159999978</v>
      </c>
      <c r="G153" s="72"/>
      <c r="H153" s="33">
        <v>0</v>
      </c>
      <c r="I153" s="33">
        <f t="shared" si="17"/>
        <v>985.54150655999968</v>
      </c>
    </row>
    <row r="154" spans="1:11" ht="20.25" x14ac:dyDescent="0.25">
      <c r="A154" s="79"/>
      <c r="B154" s="80"/>
      <c r="C154" s="72">
        <v>4</v>
      </c>
      <c r="D154" s="72"/>
      <c r="E154" s="33" t="s">
        <v>158</v>
      </c>
      <c r="F154" s="72">
        <f t="shared" si="18"/>
        <v>615.96344159999978</v>
      </c>
      <c r="G154" s="72"/>
      <c r="H154" s="33">
        <v>0</v>
      </c>
      <c r="I154" s="33">
        <f t="shared" si="17"/>
        <v>985.54150655999968</v>
      </c>
    </row>
    <row r="155" spans="1:11" ht="20.25" x14ac:dyDescent="0.25">
      <c r="A155" s="79"/>
      <c r="B155" s="80"/>
      <c r="C155" s="72">
        <v>5</v>
      </c>
      <c r="D155" s="72"/>
      <c r="E155" s="33" t="s">
        <v>159</v>
      </c>
      <c r="F155" s="72">
        <f t="shared" ref="F155:F156" si="19">(3.05*4.66+2.13*2.44+3.05*3.05+2.13*1.22+2.13*1.22+1*2.13+1.865*1.17)*10.764</f>
        <v>411.4210698</v>
      </c>
      <c r="G155" s="72"/>
      <c r="H155" s="33">
        <v>0</v>
      </c>
      <c r="I155" s="33">
        <f t="shared" si="17"/>
        <v>658.27371168000002</v>
      </c>
    </row>
    <row r="156" spans="1:11" ht="20.25" x14ac:dyDescent="0.25">
      <c r="A156" s="79"/>
      <c r="B156" s="80"/>
      <c r="C156" s="72">
        <v>6</v>
      </c>
      <c r="D156" s="72"/>
      <c r="E156" s="33" t="s">
        <v>159</v>
      </c>
      <c r="F156" s="72">
        <f t="shared" si="19"/>
        <v>411.4210698</v>
      </c>
      <c r="G156" s="72"/>
      <c r="H156" s="33">
        <v>0</v>
      </c>
      <c r="I156" s="33">
        <f t="shared" si="17"/>
        <v>658.27371168000002</v>
      </c>
    </row>
    <row r="157" spans="1:11" ht="20.25" x14ac:dyDescent="0.25">
      <c r="A157" s="79"/>
      <c r="B157" s="80"/>
      <c r="C157" s="72">
        <v>7</v>
      </c>
      <c r="D157" s="72"/>
      <c r="E157" s="33" t="s">
        <v>158</v>
      </c>
      <c r="F157" s="72">
        <f t="shared" ref="F157:F158" si="20">(3.05*5.49+2.13*2.44+3.05*3.05+3.05*3.35+1.3*2.13+1.3*2.13+2.53*1.07+1*3.05+2.65*0.9+1.78*1.17)*10.764</f>
        <v>615.96344159999978</v>
      </c>
      <c r="G157" s="72"/>
      <c r="H157" s="33">
        <v>0</v>
      </c>
      <c r="I157" s="33">
        <f t="shared" si="17"/>
        <v>985.54150655999968</v>
      </c>
    </row>
    <row r="158" spans="1:11" ht="20.25" x14ac:dyDescent="0.25">
      <c r="A158" s="81"/>
      <c r="B158" s="82"/>
      <c r="C158" s="72">
        <v>8</v>
      </c>
      <c r="D158" s="72"/>
      <c r="E158" s="33" t="s">
        <v>158</v>
      </c>
      <c r="F158" s="72">
        <f t="shared" si="20"/>
        <v>615.96344159999978</v>
      </c>
      <c r="G158" s="72"/>
      <c r="H158" s="33">
        <v>0</v>
      </c>
      <c r="I158" s="33">
        <f t="shared" si="17"/>
        <v>985.54150655999968</v>
      </c>
      <c r="K158" s="9">
        <v>8</v>
      </c>
    </row>
    <row r="159" spans="1:11" ht="20.25" x14ac:dyDescent="0.25">
      <c r="A159" s="76" t="s">
        <v>273</v>
      </c>
      <c r="B159" s="76"/>
      <c r="C159" s="76"/>
      <c r="D159" s="76"/>
      <c r="E159" s="76"/>
      <c r="F159" s="76"/>
      <c r="G159" s="76"/>
      <c r="H159" s="76"/>
      <c r="I159" s="76"/>
    </row>
    <row r="160" spans="1:11" ht="20.25" x14ac:dyDescent="0.25">
      <c r="A160" s="77" t="str">
        <f>A159</f>
        <v>7th Floor (Level 28.725 M) (Part Refuge Area)</v>
      </c>
      <c r="B160" s="78"/>
      <c r="C160" s="72">
        <v>1</v>
      </c>
      <c r="D160" s="72"/>
      <c r="E160" s="33" t="s">
        <v>159</v>
      </c>
      <c r="F160" s="72">
        <f t="shared" ref="F160:F161" si="21">(3.05*4.66+2.13*2.44+3.05*3.05+2.13*1.22+2.13*1.22+1*2.13+1.865*1.17)*10.764</f>
        <v>411.4210698</v>
      </c>
      <c r="G160" s="72"/>
      <c r="H160" s="33">
        <v>0</v>
      </c>
      <c r="I160" s="33">
        <f t="shared" ref="I160:I166" si="22">F160*1.6+H160</f>
        <v>658.27371168000002</v>
      </c>
    </row>
    <row r="161" spans="1:11" ht="20.25" x14ac:dyDescent="0.25">
      <c r="A161" s="79"/>
      <c r="B161" s="80"/>
      <c r="C161" s="72">
        <v>2</v>
      </c>
      <c r="D161" s="72"/>
      <c r="E161" s="33" t="s">
        <v>159</v>
      </c>
      <c r="F161" s="72">
        <f t="shared" si="21"/>
        <v>411.4210698</v>
      </c>
      <c r="G161" s="72"/>
      <c r="H161" s="33">
        <v>0</v>
      </c>
      <c r="I161" s="33">
        <f t="shared" si="22"/>
        <v>658.27371168000002</v>
      </c>
    </row>
    <row r="162" spans="1:11" ht="20.25" x14ac:dyDescent="0.25">
      <c r="A162" s="79"/>
      <c r="B162" s="80"/>
      <c r="C162" s="72">
        <v>3</v>
      </c>
      <c r="D162" s="72"/>
      <c r="E162" s="33" t="s">
        <v>158</v>
      </c>
      <c r="F162" s="72">
        <f t="shared" ref="F162:F163" si="23">(3.05*5.49+2.13*2.44+3.05*3.05+3.05*3.35+1.3*2.13+1.3*2.13+2.53*1.07+1*3.05+2.65*0.9+1.78*1.17)*10.764</f>
        <v>615.96344159999978</v>
      </c>
      <c r="G162" s="72"/>
      <c r="H162" s="33">
        <v>0</v>
      </c>
      <c r="I162" s="33">
        <f t="shared" si="22"/>
        <v>985.54150655999968</v>
      </c>
    </row>
    <row r="163" spans="1:11" ht="20.25" x14ac:dyDescent="0.25">
      <c r="A163" s="79"/>
      <c r="B163" s="80"/>
      <c r="C163" s="72">
        <v>4</v>
      </c>
      <c r="D163" s="72"/>
      <c r="E163" s="33" t="s">
        <v>158</v>
      </c>
      <c r="F163" s="72">
        <f t="shared" si="23"/>
        <v>615.96344159999978</v>
      </c>
      <c r="G163" s="72"/>
      <c r="H163" s="33">
        <v>0</v>
      </c>
      <c r="I163" s="33">
        <f t="shared" si="22"/>
        <v>985.54150655999968</v>
      </c>
    </row>
    <row r="164" spans="1:11" ht="20.25" x14ac:dyDescent="0.25">
      <c r="A164" s="79"/>
      <c r="B164" s="80"/>
      <c r="C164" s="72">
        <v>5</v>
      </c>
      <c r="D164" s="72"/>
      <c r="E164" s="33" t="s">
        <v>159</v>
      </c>
      <c r="F164" s="72">
        <f t="shared" ref="F164:F165" si="24">(3.05*4.66+2.13*2.44+3.05*3.05+2.13*1.22+2.13*1.22+1*2.13+1.865*1.17)*10.764</f>
        <v>411.4210698</v>
      </c>
      <c r="G164" s="72"/>
      <c r="H164" s="33">
        <v>0</v>
      </c>
      <c r="I164" s="33">
        <f t="shared" si="22"/>
        <v>658.27371168000002</v>
      </c>
    </row>
    <row r="165" spans="1:11" ht="20.25" x14ac:dyDescent="0.25">
      <c r="A165" s="79"/>
      <c r="B165" s="80"/>
      <c r="C165" s="72">
        <v>6</v>
      </c>
      <c r="D165" s="72"/>
      <c r="E165" s="33" t="s">
        <v>159</v>
      </c>
      <c r="F165" s="72">
        <f t="shared" si="24"/>
        <v>411.4210698</v>
      </c>
      <c r="G165" s="72"/>
      <c r="H165" s="33">
        <v>0</v>
      </c>
      <c r="I165" s="33">
        <f t="shared" si="22"/>
        <v>658.27371168000002</v>
      </c>
    </row>
    <row r="166" spans="1:11" ht="20.25" x14ac:dyDescent="0.25">
      <c r="A166" s="79"/>
      <c r="B166" s="80"/>
      <c r="C166" s="72">
        <v>7</v>
      </c>
      <c r="D166" s="72"/>
      <c r="E166" s="33" t="s">
        <v>158</v>
      </c>
      <c r="F166" s="72">
        <f t="shared" ref="F166" si="25">(3.05*5.49+2.13*2.44+3.05*3.05+3.05*3.35+1.3*2.13+1.3*2.13+2.53*1.07+1*3.05+2.65*0.9+1.78*1.17)*10.764</f>
        <v>615.96344159999978</v>
      </c>
      <c r="G166" s="72"/>
      <c r="H166" s="33">
        <v>0</v>
      </c>
      <c r="I166" s="33">
        <f t="shared" si="22"/>
        <v>985.54150655999968</v>
      </c>
      <c r="K166" s="9">
        <v>7</v>
      </c>
    </row>
    <row r="167" spans="1:11" ht="23.25" customHeight="1" x14ac:dyDescent="0.25">
      <c r="A167" s="81"/>
      <c r="B167" s="82"/>
      <c r="C167" s="72">
        <v>8</v>
      </c>
      <c r="D167" s="72"/>
      <c r="E167" s="73" t="s">
        <v>160</v>
      </c>
      <c r="F167" s="74"/>
      <c r="G167" s="74"/>
      <c r="H167" s="74"/>
      <c r="I167" s="75"/>
    </row>
    <row r="168" spans="1:11" ht="46.15" customHeight="1" x14ac:dyDescent="0.25">
      <c r="A168" s="76" t="s">
        <v>225</v>
      </c>
      <c r="B168" s="76"/>
      <c r="C168" s="76"/>
      <c r="D168" s="76"/>
      <c r="E168" s="76"/>
      <c r="F168" s="76"/>
      <c r="G168" s="76"/>
      <c r="H168" s="76"/>
      <c r="I168" s="76"/>
    </row>
    <row r="169" spans="1:11" ht="25.5" customHeight="1" x14ac:dyDescent="0.25">
      <c r="A169" s="77" t="str">
        <f>A168</f>
        <v>8th, 9th, 10th, 11th, 13th, 14th, 15th, 16th, 18th, 19th, 20th, 21st, 23rd, 24th, 25th, 26th, 28th, 29th, 30th, 31st, 33th, 34th, 35th, 36th, 38th &amp; 39th Floor</v>
      </c>
      <c r="B169" s="78"/>
      <c r="C169" s="72">
        <v>1</v>
      </c>
      <c r="D169" s="72"/>
      <c r="E169" s="33" t="s">
        <v>159</v>
      </c>
      <c r="F169" s="72">
        <f t="shared" ref="F169:F170" si="26">(3.05*4.66+2.13*2.44+3.05*3.05+2.13*1.22+2.13*1.22+1*2.13+1.865*1.17)*10.764</f>
        <v>411.4210698</v>
      </c>
      <c r="G169" s="72"/>
      <c r="H169" s="33">
        <v>0</v>
      </c>
      <c r="I169" s="33">
        <f t="shared" ref="I169:I176" si="27">F169*1.6+H169</f>
        <v>658.27371168000002</v>
      </c>
    </row>
    <row r="170" spans="1:11" ht="25.5" customHeight="1" x14ac:dyDescent="0.25">
      <c r="A170" s="79"/>
      <c r="B170" s="80"/>
      <c r="C170" s="72">
        <v>2</v>
      </c>
      <c r="D170" s="72"/>
      <c r="E170" s="33" t="s">
        <v>159</v>
      </c>
      <c r="F170" s="72">
        <f t="shared" si="26"/>
        <v>411.4210698</v>
      </c>
      <c r="G170" s="72"/>
      <c r="H170" s="33">
        <v>0</v>
      </c>
      <c r="I170" s="33">
        <f t="shared" si="27"/>
        <v>658.27371168000002</v>
      </c>
    </row>
    <row r="171" spans="1:11" ht="25.5" customHeight="1" x14ac:dyDescent="0.25">
      <c r="A171" s="79"/>
      <c r="B171" s="80"/>
      <c r="C171" s="72">
        <v>3</v>
      </c>
      <c r="D171" s="72"/>
      <c r="E171" s="33" t="s">
        <v>158</v>
      </c>
      <c r="F171" s="72">
        <f t="shared" ref="F171:F172" si="28">(3.05*5.49+2.13*2.44+3.05*3.05+3.05*3.35+1.3*2.13+1.3*2.13+2.53*1.07+1*3.05+2.65*0.9+1.78*1.17)*10.764</f>
        <v>615.96344159999978</v>
      </c>
      <c r="G171" s="72"/>
      <c r="H171" s="33">
        <v>0</v>
      </c>
      <c r="I171" s="33">
        <f t="shared" si="27"/>
        <v>985.54150655999968</v>
      </c>
    </row>
    <row r="172" spans="1:11" ht="25.5" customHeight="1" x14ac:dyDescent="0.25">
      <c r="A172" s="79"/>
      <c r="B172" s="80"/>
      <c r="C172" s="72">
        <v>4</v>
      </c>
      <c r="D172" s="72"/>
      <c r="E172" s="33" t="s">
        <v>158</v>
      </c>
      <c r="F172" s="72">
        <f t="shared" si="28"/>
        <v>615.96344159999978</v>
      </c>
      <c r="G172" s="72"/>
      <c r="H172" s="33">
        <v>0</v>
      </c>
      <c r="I172" s="33">
        <f t="shared" si="27"/>
        <v>985.54150655999968</v>
      </c>
    </row>
    <row r="173" spans="1:11" ht="25.5" customHeight="1" x14ac:dyDescent="0.25">
      <c r="A173" s="79"/>
      <c r="B173" s="80"/>
      <c r="C173" s="72">
        <v>5</v>
      </c>
      <c r="D173" s="72"/>
      <c r="E173" s="33" t="s">
        <v>159</v>
      </c>
      <c r="F173" s="72">
        <f t="shared" ref="F173:F174" si="29">(3.05*4.66+2.13*2.44+3.05*3.05+2.13*1.22+2.13*1.22+1*2.13+1.865*1.17)*10.764</f>
        <v>411.4210698</v>
      </c>
      <c r="G173" s="72"/>
      <c r="H173" s="33">
        <v>0</v>
      </c>
      <c r="I173" s="33">
        <f t="shared" si="27"/>
        <v>658.27371168000002</v>
      </c>
    </row>
    <row r="174" spans="1:11" ht="25.5" customHeight="1" x14ac:dyDescent="0.25">
      <c r="A174" s="79"/>
      <c r="B174" s="80"/>
      <c r="C174" s="72">
        <v>6</v>
      </c>
      <c r="D174" s="72"/>
      <c r="E174" s="33" t="s">
        <v>159</v>
      </c>
      <c r="F174" s="72">
        <f t="shared" si="29"/>
        <v>411.4210698</v>
      </c>
      <c r="G174" s="72"/>
      <c r="H174" s="33">
        <v>0</v>
      </c>
      <c r="I174" s="33">
        <f t="shared" si="27"/>
        <v>658.27371168000002</v>
      </c>
    </row>
    <row r="175" spans="1:11" ht="25.5" customHeight="1" x14ac:dyDescent="0.25">
      <c r="A175" s="79"/>
      <c r="B175" s="80"/>
      <c r="C175" s="72">
        <v>7</v>
      </c>
      <c r="D175" s="72"/>
      <c r="E175" s="33" t="s">
        <v>158</v>
      </c>
      <c r="F175" s="72">
        <f t="shared" ref="F175:F176" si="30">(3.05*5.49+2.13*2.44+3.05*3.05+3.05*3.35+1.3*2.13+1.3*2.13+2.53*1.07+1*3.05+2.65*0.9+1.78*1.17)*10.764</f>
        <v>615.96344159999978</v>
      </c>
      <c r="G175" s="72"/>
      <c r="H175" s="33">
        <v>0</v>
      </c>
      <c r="I175" s="33">
        <f t="shared" si="27"/>
        <v>985.54150655999968</v>
      </c>
    </row>
    <row r="176" spans="1:11" ht="25.5" customHeight="1" x14ac:dyDescent="0.25">
      <c r="A176" s="81"/>
      <c r="B176" s="82"/>
      <c r="C176" s="72">
        <v>8</v>
      </c>
      <c r="D176" s="72"/>
      <c r="E176" s="33" t="s">
        <v>158</v>
      </c>
      <c r="F176" s="72">
        <f t="shared" si="30"/>
        <v>615.96344159999978</v>
      </c>
      <c r="G176" s="72"/>
      <c r="H176" s="33">
        <v>0</v>
      </c>
      <c r="I176" s="33">
        <f t="shared" si="27"/>
        <v>985.54150655999968</v>
      </c>
      <c r="K176" s="9">
        <f>8*26</f>
        <v>208</v>
      </c>
    </row>
    <row r="177" spans="1:11" ht="20.25" x14ac:dyDescent="0.25">
      <c r="A177" s="76" t="s">
        <v>272</v>
      </c>
      <c r="B177" s="76"/>
      <c r="C177" s="76"/>
      <c r="D177" s="76"/>
      <c r="E177" s="76"/>
      <c r="F177" s="76"/>
      <c r="G177" s="76"/>
      <c r="H177" s="76"/>
      <c r="I177" s="76"/>
    </row>
    <row r="178" spans="1:11" ht="20.25" x14ac:dyDescent="0.25">
      <c r="A178" s="77" t="str">
        <f>A177</f>
        <v>12th, 17th, 22nd, 27th, 32nd &amp; 37th Floor (Part Refuge Area)</v>
      </c>
      <c r="B178" s="78"/>
      <c r="C178" s="72">
        <v>1</v>
      </c>
      <c r="D178" s="72"/>
      <c r="E178" s="33" t="s">
        <v>159</v>
      </c>
      <c r="F178" s="72">
        <f t="shared" ref="F178:F179" si="31">(3.05*4.66+2.13*2.44+3.05*3.05+2.13*1.22+2.13*1.22+1*2.13+1.865*1.17)*10.764</f>
        <v>411.4210698</v>
      </c>
      <c r="G178" s="72"/>
      <c r="H178" s="33">
        <v>0</v>
      </c>
      <c r="I178" s="33">
        <f t="shared" ref="I178:I184" si="32">F178*1.6+H178</f>
        <v>658.27371168000002</v>
      </c>
    </row>
    <row r="179" spans="1:11" ht="20.25" x14ac:dyDescent="0.25">
      <c r="A179" s="79"/>
      <c r="B179" s="80"/>
      <c r="C179" s="72">
        <v>2</v>
      </c>
      <c r="D179" s="72"/>
      <c r="E179" s="33" t="s">
        <v>159</v>
      </c>
      <c r="F179" s="72">
        <f t="shared" si="31"/>
        <v>411.4210698</v>
      </c>
      <c r="G179" s="72"/>
      <c r="H179" s="33">
        <v>0</v>
      </c>
      <c r="I179" s="33">
        <f t="shared" si="32"/>
        <v>658.27371168000002</v>
      </c>
    </row>
    <row r="180" spans="1:11" ht="20.25" x14ac:dyDescent="0.25">
      <c r="A180" s="79"/>
      <c r="B180" s="80"/>
      <c r="C180" s="72">
        <v>3</v>
      </c>
      <c r="D180" s="72"/>
      <c r="E180" s="33" t="s">
        <v>158</v>
      </c>
      <c r="F180" s="72">
        <f t="shared" ref="F180:F181" si="33">(3.05*5.49+2.13*2.44+3.05*3.05+3.05*3.35+1.3*2.13+1.3*2.13+2.53*1.07+1*3.05+2.65*0.9+1.78*1.17)*10.764</f>
        <v>615.96344159999978</v>
      </c>
      <c r="G180" s="72"/>
      <c r="H180" s="33">
        <v>0</v>
      </c>
      <c r="I180" s="33">
        <f t="shared" si="32"/>
        <v>985.54150655999968</v>
      </c>
    </row>
    <row r="181" spans="1:11" ht="20.25" x14ac:dyDescent="0.25">
      <c r="A181" s="79"/>
      <c r="B181" s="80"/>
      <c r="C181" s="72">
        <v>4</v>
      </c>
      <c r="D181" s="72"/>
      <c r="E181" s="33" t="s">
        <v>158</v>
      </c>
      <c r="F181" s="72">
        <f t="shared" si="33"/>
        <v>615.96344159999978</v>
      </c>
      <c r="G181" s="72"/>
      <c r="H181" s="33">
        <v>0</v>
      </c>
      <c r="I181" s="33">
        <f t="shared" si="32"/>
        <v>985.54150655999968</v>
      </c>
    </row>
    <row r="182" spans="1:11" ht="20.25" x14ac:dyDescent="0.25">
      <c r="A182" s="79"/>
      <c r="B182" s="80"/>
      <c r="C182" s="72">
        <v>5</v>
      </c>
      <c r="D182" s="72"/>
      <c r="E182" s="33" t="s">
        <v>159</v>
      </c>
      <c r="F182" s="72">
        <f t="shared" ref="F182:F183" si="34">(3.05*4.66+2.13*2.44+3.05*3.05+2.13*1.22+2.13*1.22+1*2.13+1.865*1.17)*10.764</f>
        <v>411.4210698</v>
      </c>
      <c r="G182" s="72"/>
      <c r="H182" s="33">
        <v>0</v>
      </c>
      <c r="I182" s="33">
        <f t="shared" si="32"/>
        <v>658.27371168000002</v>
      </c>
    </row>
    <row r="183" spans="1:11" ht="20.25" x14ac:dyDescent="0.25">
      <c r="A183" s="79"/>
      <c r="B183" s="80"/>
      <c r="C183" s="72">
        <v>6</v>
      </c>
      <c r="D183" s="72"/>
      <c r="E183" s="33" t="s">
        <v>159</v>
      </c>
      <c r="F183" s="72">
        <f t="shared" si="34"/>
        <v>411.4210698</v>
      </c>
      <c r="G183" s="72"/>
      <c r="H183" s="33">
        <v>0</v>
      </c>
      <c r="I183" s="33">
        <f t="shared" si="32"/>
        <v>658.27371168000002</v>
      </c>
    </row>
    <row r="184" spans="1:11" ht="20.25" x14ac:dyDescent="0.25">
      <c r="A184" s="79"/>
      <c r="B184" s="80"/>
      <c r="C184" s="72">
        <v>7</v>
      </c>
      <c r="D184" s="72"/>
      <c r="E184" s="33" t="s">
        <v>158</v>
      </c>
      <c r="F184" s="72">
        <f t="shared" ref="F184" si="35">(3.05*5.49+2.13*2.44+3.05*3.05+3.05*3.35+1.3*2.13+1.3*2.13+2.53*1.07+1*3.05+2.65*0.9+1.78*1.17)*10.764</f>
        <v>615.96344159999978</v>
      </c>
      <c r="G184" s="72"/>
      <c r="H184" s="33">
        <v>0</v>
      </c>
      <c r="I184" s="33">
        <f t="shared" si="32"/>
        <v>985.54150655999968</v>
      </c>
      <c r="K184" s="9">
        <f>7*6</f>
        <v>42</v>
      </c>
    </row>
    <row r="185" spans="1:11" ht="20.25" x14ac:dyDescent="0.25">
      <c r="A185" s="81"/>
      <c r="B185" s="82"/>
      <c r="C185" s="72">
        <v>8</v>
      </c>
      <c r="D185" s="72"/>
      <c r="E185" s="73" t="s">
        <v>160</v>
      </c>
      <c r="F185" s="74"/>
      <c r="G185" s="74"/>
      <c r="H185" s="74"/>
      <c r="I185" s="75"/>
    </row>
    <row r="186" spans="1:11" ht="21.75" customHeight="1" x14ac:dyDescent="0.25">
      <c r="A186" s="69" t="s">
        <v>186</v>
      </c>
      <c r="B186" s="70"/>
      <c r="C186" s="70"/>
      <c r="D186" s="70"/>
      <c r="E186" s="70"/>
      <c r="F186" s="70"/>
      <c r="G186" s="70"/>
      <c r="H186" s="70"/>
      <c r="I186" s="71"/>
    </row>
    <row r="187" spans="1:11" ht="20.25" x14ac:dyDescent="0.25">
      <c r="A187" s="76" t="s">
        <v>198</v>
      </c>
      <c r="B187" s="76"/>
      <c r="C187" s="76"/>
      <c r="D187" s="76"/>
      <c r="E187" s="76"/>
      <c r="F187" s="76"/>
      <c r="G187" s="76"/>
      <c r="H187" s="76"/>
      <c r="I187" s="76"/>
    </row>
    <row r="188" spans="1:11" ht="20.25" customHeight="1" x14ac:dyDescent="0.25">
      <c r="A188" s="76" t="s">
        <v>234</v>
      </c>
      <c r="B188" s="76"/>
      <c r="C188" s="76"/>
      <c r="D188" s="76"/>
      <c r="E188" s="76"/>
      <c r="F188" s="76"/>
      <c r="G188" s="76"/>
      <c r="H188" s="76"/>
      <c r="I188" s="76"/>
    </row>
    <row r="189" spans="1:11" ht="20.25" x14ac:dyDescent="0.25">
      <c r="A189" s="76" t="s">
        <v>200</v>
      </c>
      <c r="B189" s="76"/>
      <c r="C189" s="76"/>
      <c r="D189" s="76"/>
      <c r="E189" s="76"/>
      <c r="F189" s="76"/>
      <c r="G189" s="76"/>
      <c r="H189" s="76"/>
      <c r="I189" s="76"/>
    </row>
    <row r="190" spans="1:11" ht="24" customHeight="1" x14ac:dyDescent="0.25">
      <c r="A190" s="76" t="s">
        <v>229</v>
      </c>
      <c r="B190" s="76"/>
      <c r="C190" s="76"/>
      <c r="D190" s="76"/>
      <c r="E190" s="76"/>
      <c r="F190" s="76"/>
      <c r="G190" s="76"/>
      <c r="H190" s="76"/>
      <c r="I190" s="76"/>
    </row>
    <row r="191" spans="1:11" ht="20.25" x14ac:dyDescent="0.25">
      <c r="A191" s="73" t="s">
        <v>143</v>
      </c>
      <c r="B191" s="75"/>
      <c r="C191" s="72">
        <v>1</v>
      </c>
      <c r="D191" s="72"/>
      <c r="E191" s="33" t="s">
        <v>159</v>
      </c>
      <c r="F191" s="72">
        <f t="shared" ref="F191:F196" si="36">(3.025*4.61+2.03*2.44+3*3.05+2.08*1.17*2+1*2.03+1.865*1.17)*10.764</f>
        <v>399.64256279999995</v>
      </c>
      <c r="G191" s="72"/>
      <c r="H191" s="33">
        <v>0</v>
      </c>
      <c r="I191" s="33">
        <f>F191*1.6+H191</f>
        <v>639.42810048000001</v>
      </c>
      <c r="K191" s="9">
        <v>1</v>
      </c>
    </row>
    <row r="192" spans="1:11" ht="20.25" x14ac:dyDescent="0.25">
      <c r="A192" s="76" t="s">
        <v>235</v>
      </c>
      <c r="B192" s="76"/>
      <c r="C192" s="76"/>
      <c r="D192" s="76"/>
      <c r="E192" s="76"/>
      <c r="F192" s="76"/>
      <c r="G192" s="76"/>
      <c r="H192" s="76"/>
      <c r="I192" s="76"/>
    </row>
    <row r="193" spans="1:11" ht="20.25" x14ac:dyDescent="0.25">
      <c r="A193" s="77" t="s">
        <v>188</v>
      </c>
      <c r="B193" s="78"/>
      <c r="C193" s="72">
        <v>1</v>
      </c>
      <c r="D193" s="72"/>
      <c r="E193" s="33" t="s">
        <v>159</v>
      </c>
      <c r="F193" s="73">
        <f t="shared" si="36"/>
        <v>399.64256279999995</v>
      </c>
      <c r="G193" s="75"/>
      <c r="H193" s="33">
        <v>0</v>
      </c>
      <c r="I193" s="33">
        <f>F193*1.6+H193</f>
        <v>639.42810048000001</v>
      </c>
    </row>
    <row r="194" spans="1:11" ht="20.25" x14ac:dyDescent="0.25">
      <c r="A194" s="81"/>
      <c r="B194" s="82"/>
      <c r="C194" s="72">
        <v>2</v>
      </c>
      <c r="D194" s="72"/>
      <c r="E194" s="33" t="s">
        <v>158</v>
      </c>
      <c r="F194" s="73">
        <f>(3*5.49+2.08*2.44+2.95*3.05+3*3.3+1.2*2.18+1.2*2.18+2.58*1.07+1*2.95+1.19*2.65+1.17*1.78)*10.764</f>
        <v>609.47274959999993</v>
      </c>
      <c r="G194" s="75"/>
      <c r="H194" s="33">
        <v>0</v>
      </c>
      <c r="I194" s="33">
        <f>F194*1.6+H194</f>
        <v>975.15639935999991</v>
      </c>
      <c r="K194" s="9">
        <v>2</v>
      </c>
    </row>
    <row r="195" spans="1:11" ht="20.25" x14ac:dyDescent="0.25">
      <c r="A195" s="76" t="s">
        <v>190</v>
      </c>
      <c r="B195" s="76"/>
      <c r="C195" s="76"/>
      <c r="D195" s="76"/>
      <c r="E195" s="76"/>
      <c r="F195" s="76"/>
      <c r="G195" s="76"/>
      <c r="H195" s="76"/>
      <c r="I195" s="76"/>
    </row>
    <row r="196" spans="1:11" ht="20.25" x14ac:dyDescent="0.25">
      <c r="A196" s="77" t="str">
        <f>A195</f>
        <v xml:space="preserve">3rd Floor + Parking Floor 5th (Level 16.35 M) </v>
      </c>
      <c r="B196" s="78"/>
      <c r="C196" s="72">
        <v>1</v>
      </c>
      <c r="D196" s="72"/>
      <c r="E196" s="33" t="s">
        <v>159</v>
      </c>
      <c r="F196" s="73">
        <f t="shared" si="36"/>
        <v>399.64256279999995</v>
      </c>
      <c r="G196" s="75"/>
      <c r="H196" s="33">
        <v>0</v>
      </c>
      <c r="I196" s="33">
        <f>F196*1.6+H196</f>
        <v>639.42810048000001</v>
      </c>
    </row>
    <row r="197" spans="1:11" ht="20.25" x14ac:dyDescent="0.25">
      <c r="A197" s="79"/>
      <c r="B197" s="80"/>
      <c r="C197" s="72">
        <v>2</v>
      </c>
      <c r="D197" s="72"/>
      <c r="E197" s="33" t="s">
        <v>158</v>
      </c>
      <c r="F197" s="73">
        <f>(3*5.49+2.08*2.44+2.95*3.05+3*3.3+1.2*2.18+1.2*2.18+2.58*1.07+1*2.95+1.19*2.65+1.17*1.78)*10.764</f>
        <v>609.47274959999993</v>
      </c>
      <c r="G197" s="75"/>
      <c r="H197" s="33">
        <v>0</v>
      </c>
      <c r="I197" s="33">
        <f>F197*1.6+H197</f>
        <v>975.15639935999991</v>
      </c>
    </row>
    <row r="198" spans="1:11" ht="20.25" x14ac:dyDescent="0.25">
      <c r="A198" s="79"/>
      <c r="B198" s="80"/>
      <c r="C198" s="72">
        <v>3</v>
      </c>
      <c r="D198" s="72"/>
      <c r="E198" s="33" t="s">
        <v>158</v>
      </c>
      <c r="F198" s="73">
        <f>(3*5.49+2.08*2.44+2.95*3.05+3*3.3+1.2*2.18+1.2*2.18+2.58*1.07+1*2.95+1.19*2.65+1.17*1.78)*10.764</f>
        <v>609.47274959999993</v>
      </c>
      <c r="G198" s="75"/>
      <c r="H198" s="33">
        <v>0</v>
      </c>
      <c r="I198" s="33">
        <f>F198*1.6+H198</f>
        <v>975.15639935999991</v>
      </c>
    </row>
    <row r="199" spans="1:11" ht="20.25" x14ac:dyDescent="0.25">
      <c r="A199" s="79"/>
      <c r="B199" s="80"/>
      <c r="C199" s="72">
        <v>4</v>
      </c>
      <c r="D199" s="72"/>
      <c r="E199" s="33" t="s">
        <v>158</v>
      </c>
      <c r="F199" s="73">
        <f>(3*5.49+2.08*2.44+2.95*3.05+3*3.3+1.2*2.18+1.2*2.18+2.58*1.07+1*2.95+1.19*2.65+1.17*1.78)*10.764</f>
        <v>609.47274959999993</v>
      </c>
      <c r="G199" s="75"/>
      <c r="H199" s="33">
        <v>0</v>
      </c>
      <c r="I199" s="33">
        <f>F199*1.6+H199</f>
        <v>975.15639935999991</v>
      </c>
      <c r="K199" s="9">
        <v>4</v>
      </c>
    </row>
    <row r="200" spans="1:11" ht="20.25" x14ac:dyDescent="0.25">
      <c r="A200" s="76" t="s">
        <v>191</v>
      </c>
      <c r="B200" s="76"/>
      <c r="C200" s="76"/>
      <c r="D200" s="76"/>
      <c r="E200" s="76"/>
      <c r="F200" s="76"/>
      <c r="G200" s="76"/>
      <c r="H200" s="76"/>
      <c r="I200" s="76"/>
    </row>
    <row r="201" spans="1:11" ht="20.25" x14ac:dyDescent="0.25">
      <c r="A201" s="77" t="str">
        <f>A200</f>
        <v>4th Floor (Level 19.675 M)</v>
      </c>
      <c r="B201" s="78"/>
      <c r="C201" s="72">
        <v>1</v>
      </c>
      <c r="D201" s="72"/>
      <c r="E201" s="33" t="s">
        <v>159</v>
      </c>
      <c r="F201" s="72">
        <f>(3.05*4.66+2.13*2.44+3.05*3.05+2.13*1.22+2.13*1.22+1*2.13+1.865*1.17)*10.764</f>
        <v>411.4210698</v>
      </c>
      <c r="G201" s="72"/>
      <c r="H201" s="33">
        <v>0</v>
      </c>
      <c r="I201" s="33">
        <f t="shared" ref="I201:I207" si="37">F201*1.6+H201</f>
        <v>658.27371168000002</v>
      </c>
    </row>
    <row r="202" spans="1:11" ht="20.25" x14ac:dyDescent="0.25">
      <c r="A202" s="79"/>
      <c r="B202" s="80"/>
      <c r="C202" s="72">
        <v>2</v>
      </c>
      <c r="D202" s="72"/>
      <c r="E202" s="33" t="s">
        <v>158</v>
      </c>
      <c r="F202" s="72">
        <f t="shared" ref="F202:F203" si="38">(3.05*5.49+2.13*2.44+3.05*3.05+3.05*3.35+1.3*2.13+1.3*2.13+2.53*1.07+1*3.05+2.65*0.9+1.78*1.17)*10.764</f>
        <v>615.96344159999978</v>
      </c>
      <c r="G202" s="72"/>
      <c r="H202" s="33">
        <v>0</v>
      </c>
      <c r="I202" s="33">
        <f t="shared" si="37"/>
        <v>985.54150655999968</v>
      </c>
    </row>
    <row r="203" spans="1:11" ht="20.25" x14ac:dyDescent="0.25">
      <c r="A203" s="79"/>
      <c r="B203" s="80"/>
      <c r="C203" s="72">
        <v>3</v>
      </c>
      <c r="D203" s="72"/>
      <c r="E203" s="33" t="s">
        <v>158</v>
      </c>
      <c r="F203" s="72">
        <f t="shared" si="38"/>
        <v>615.96344159999978</v>
      </c>
      <c r="G203" s="72"/>
      <c r="H203" s="33">
        <v>0</v>
      </c>
      <c r="I203" s="33">
        <f t="shared" si="37"/>
        <v>985.54150655999968</v>
      </c>
    </row>
    <row r="204" spans="1:11" ht="20.25" x14ac:dyDescent="0.25">
      <c r="A204" s="79"/>
      <c r="B204" s="80"/>
      <c r="C204" s="72">
        <v>4</v>
      </c>
      <c r="D204" s="72"/>
      <c r="E204" s="33" t="s">
        <v>159</v>
      </c>
      <c r="F204" s="72">
        <f t="shared" ref="F204:F205" si="39">(3.05*4.66+2.13*2.44+3.05*3.05+2.13*1.22+2.13*1.22+1*2.13+1.865*1.17)*10.764</f>
        <v>411.4210698</v>
      </c>
      <c r="G204" s="72"/>
      <c r="H204" s="33">
        <v>0</v>
      </c>
      <c r="I204" s="33">
        <f t="shared" si="37"/>
        <v>658.27371168000002</v>
      </c>
    </row>
    <row r="205" spans="1:11" ht="20.25" x14ac:dyDescent="0.25">
      <c r="A205" s="79"/>
      <c r="B205" s="80"/>
      <c r="C205" s="72">
        <v>5</v>
      </c>
      <c r="D205" s="72"/>
      <c r="E205" s="33" t="s">
        <v>159</v>
      </c>
      <c r="F205" s="72">
        <f t="shared" si="39"/>
        <v>411.4210698</v>
      </c>
      <c r="G205" s="72"/>
      <c r="H205" s="33">
        <v>0</v>
      </c>
      <c r="I205" s="33">
        <f t="shared" si="37"/>
        <v>658.27371168000002</v>
      </c>
    </row>
    <row r="206" spans="1:11" ht="20.25" x14ac:dyDescent="0.25">
      <c r="A206" s="79"/>
      <c r="B206" s="80"/>
      <c r="C206" s="72">
        <v>6</v>
      </c>
      <c r="D206" s="72"/>
      <c r="E206" s="33" t="s">
        <v>158</v>
      </c>
      <c r="F206" s="72">
        <f t="shared" ref="F206:F207" si="40">(3.05*5.49+2.13*2.44+3.05*3.05+3.05*3.35+1.3*2.13+1.3*2.13+2.53*1.07+1*3.05+2.65*0.9+1.78*1.17)*10.764</f>
        <v>615.96344159999978</v>
      </c>
      <c r="G206" s="72"/>
      <c r="H206" s="33">
        <v>0</v>
      </c>
      <c r="I206" s="33">
        <f t="shared" si="37"/>
        <v>985.54150655999968</v>
      </c>
    </row>
    <row r="207" spans="1:11" ht="20.25" x14ac:dyDescent="0.25">
      <c r="A207" s="81"/>
      <c r="B207" s="82"/>
      <c r="C207" s="72">
        <v>7</v>
      </c>
      <c r="D207" s="72"/>
      <c r="E207" s="33" t="s">
        <v>158</v>
      </c>
      <c r="F207" s="72">
        <f t="shared" si="40"/>
        <v>615.96344159999978</v>
      </c>
      <c r="G207" s="72"/>
      <c r="H207" s="33">
        <v>0</v>
      </c>
      <c r="I207" s="33">
        <f t="shared" si="37"/>
        <v>985.54150655999968</v>
      </c>
      <c r="K207" s="9">
        <v>7</v>
      </c>
    </row>
    <row r="208" spans="1:11" ht="20.25" x14ac:dyDescent="0.25">
      <c r="A208" s="76" t="s">
        <v>193</v>
      </c>
      <c r="B208" s="76"/>
      <c r="C208" s="76"/>
      <c r="D208" s="76"/>
      <c r="E208" s="76"/>
      <c r="F208" s="76"/>
      <c r="G208" s="76"/>
      <c r="H208" s="76"/>
      <c r="I208" s="76"/>
    </row>
    <row r="209" spans="1:11" ht="20.25" x14ac:dyDescent="0.25">
      <c r="A209" s="77" t="str">
        <f>A208</f>
        <v>5th Floor (Level 22.825 M)</v>
      </c>
      <c r="B209" s="78"/>
      <c r="C209" s="72">
        <v>1</v>
      </c>
      <c r="D209" s="72"/>
      <c r="E209" s="33" t="s">
        <v>159</v>
      </c>
      <c r="F209" s="72">
        <f>(3.05*4.66+2.13*2.44+3.05*3.05+2.13*1.22+2.13*1.22+1*2.13+1.865*1.17)*10.764</f>
        <v>411.4210698</v>
      </c>
      <c r="G209" s="72"/>
      <c r="H209" s="33">
        <v>0</v>
      </c>
      <c r="I209" s="33">
        <f t="shared" ref="I209:I215" si="41">F209*1.6+H209</f>
        <v>658.27371168000002</v>
      </c>
    </row>
    <row r="210" spans="1:11" ht="20.25" x14ac:dyDescent="0.25">
      <c r="A210" s="79"/>
      <c r="B210" s="80"/>
      <c r="C210" s="72">
        <v>2</v>
      </c>
      <c r="D210" s="72"/>
      <c r="E210" s="33" t="s">
        <v>158</v>
      </c>
      <c r="F210" s="72">
        <f t="shared" ref="F210:F211" si="42">(3.05*5.49+2.13*2.44+3.05*3.05+3.05*3.35+1.3*2.13+1.3*2.13+2.53*1.07+1*3.05+2.65*0.9+1.78*1.17)*10.764</f>
        <v>615.96344159999978</v>
      </c>
      <c r="G210" s="72"/>
      <c r="H210" s="33">
        <v>0</v>
      </c>
      <c r="I210" s="33">
        <f t="shared" si="41"/>
        <v>985.54150655999968</v>
      </c>
    </row>
    <row r="211" spans="1:11" ht="20.25" x14ac:dyDescent="0.25">
      <c r="A211" s="79"/>
      <c r="B211" s="80"/>
      <c r="C211" s="72">
        <v>3</v>
      </c>
      <c r="D211" s="72"/>
      <c r="E211" s="33" t="s">
        <v>158</v>
      </c>
      <c r="F211" s="72">
        <f t="shared" si="42"/>
        <v>615.96344159999978</v>
      </c>
      <c r="G211" s="72"/>
      <c r="H211" s="33">
        <v>0</v>
      </c>
      <c r="I211" s="33">
        <f t="shared" si="41"/>
        <v>985.54150655999968</v>
      </c>
    </row>
    <row r="212" spans="1:11" ht="20.25" x14ac:dyDescent="0.25">
      <c r="A212" s="79"/>
      <c r="B212" s="80"/>
      <c r="C212" s="72">
        <v>4</v>
      </c>
      <c r="D212" s="72"/>
      <c r="E212" s="33" t="s">
        <v>159</v>
      </c>
      <c r="F212" s="72">
        <f t="shared" ref="F212:F213" si="43">(3.05*4.66+2.13*2.44+3.05*3.05+2.13*1.22+2.13*1.22+1*2.13+1.865*1.17)*10.764</f>
        <v>411.4210698</v>
      </c>
      <c r="G212" s="72"/>
      <c r="H212" s="33">
        <v>0</v>
      </c>
      <c r="I212" s="33">
        <f t="shared" si="41"/>
        <v>658.27371168000002</v>
      </c>
    </row>
    <row r="213" spans="1:11" ht="20.25" x14ac:dyDescent="0.25">
      <c r="A213" s="79"/>
      <c r="B213" s="80"/>
      <c r="C213" s="72">
        <v>5</v>
      </c>
      <c r="D213" s="72"/>
      <c r="E213" s="33" t="s">
        <v>159</v>
      </c>
      <c r="F213" s="72">
        <f t="shared" si="43"/>
        <v>411.4210698</v>
      </c>
      <c r="G213" s="72"/>
      <c r="H213" s="33">
        <v>0</v>
      </c>
      <c r="I213" s="33">
        <f t="shared" si="41"/>
        <v>658.27371168000002</v>
      </c>
    </row>
    <row r="214" spans="1:11" ht="20.25" x14ac:dyDescent="0.25">
      <c r="A214" s="79"/>
      <c r="B214" s="80"/>
      <c r="C214" s="72">
        <v>6</v>
      </c>
      <c r="D214" s="72"/>
      <c r="E214" s="33" t="s">
        <v>158</v>
      </c>
      <c r="F214" s="72">
        <f t="shared" ref="F214:F215" si="44">(3.05*5.49+2.13*2.44+3.05*3.05+3.05*3.35+1.3*2.13+1.3*2.13+2.53*1.07+1*3.05+2.65*0.9+1.78*1.17)*10.764</f>
        <v>615.96344159999978</v>
      </c>
      <c r="G214" s="72"/>
      <c r="H214" s="33">
        <v>0</v>
      </c>
      <c r="I214" s="33">
        <f t="shared" si="41"/>
        <v>985.54150655999968</v>
      </c>
    </row>
    <row r="215" spans="1:11" ht="20.25" x14ac:dyDescent="0.25">
      <c r="A215" s="81"/>
      <c r="B215" s="82"/>
      <c r="C215" s="72">
        <v>7</v>
      </c>
      <c r="D215" s="72"/>
      <c r="E215" s="33" t="s">
        <v>158</v>
      </c>
      <c r="F215" s="72">
        <f t="shared" si="44"/>
        <v>615.96344159999978</v>
      </c>
      <c r="G215" s="72"/>
      <c r="H215" s="33">
        <v>0</v>
      </c>
      <c r="I215" s="33">
        <f t="shared" si="41"/>
        <v>985.54150655999968</v>
      </c>
      <c r="K215" s="9">
        <v>7</v>
      </c>
    </row>
    <row r="216" spans="1:11" ht="20.25" x14ac:dyDescent="0.25">
      <c r="A216" s="76" t="s">
        <v>195</v>
      </c>
      <c r="B216" s="76"/>
      <c r="C216" s="76"/>
      <c r="D216" s="76"/>
      <c r="E216" s="76"/>
      <c r="F216" s="76"/>
      <c r="G216" s="76"/>
      <c r="H216" s="76"/>
      <c r="I216" s="76"/>
    </row>
    <row r="217" spans="1:11" ht="20.25" x14ac:dyDescent="0.25">
      <c r="A217" s="77" t="str">
        <f>A216</f>
        <v>6th Floor (Level 25.775 M)</v>
      </c>
      <c r="B217" s="78"/>
      <c r="C217" s="72">
        <v>1</v>
      </c>
      <c r="D217" s="72"/>
      <c r="E217" s="33" t="s">
        <v>159</v>
      </c>
      <c r="F217" s="72">
        <f t="shared" ref="F217:F218" si="45">(3.05*4.66+2.13*2.44+3.05*3.05+2.13*1.22+2.13*1.22+1*2.13+1.865*1.17)*10.764</f>
        <v>411.4210698</v>
      </c>
      <c r="G217" s="72"/>
      <c r="H217" s="33">
        <v>0</v>
      </c>
      <c r="I217" s="33">
        <f t="shared" ref="I217:I224" si="46">F217*1.6+H217</f>
        <v>658.27371168000002</v>
      </c>
    </row>
    <row r="218" spans="1:11" ht="20.25" x14ac:dyDescent="0.25">
      <c r="A218" s="79"/>
      <c r="B218" s="80"/>
      <c r="C218" s="72">
        <v>2</v>
      </c>
      <c r="D218" s="72"/>
      <c r="E218" s="33" t="s">
        <v>159</v>
      </c>
      <c r="F218" s="72">
        <f t="shared" si="45"/>
        <v>411.4210698</v>
      </c>
      <c r="G218" s="72"/>
      <c r="H218" s="33">
        <v>0</v>
      </c>
      <c r="I218" s="33">
        <f t="shared" si="46"/>
        <v>658.27371168000002</v>
      </c>
    </row>
    <row r="219" spans="1:11" ht="20.25" x14ac:dyDescent="0.25">
      <c r="A219" s="79"/>
      <c r="B219" s="80"/>
      <c r="C219" s="72">
        <v>3</v>
      </c>
      <c r="D219" s="72"/>
      <c r="E219" s="33" t="s">
        <v>158</v>
      </c>
      <c r="F219" s="72">
        <f t="shared" ref="F219:F220" si="47">(3.05*5.49+2.13*2.44+3.05*3.05+3.05*3.35+1.3*2.13+1.3*2.13+2.53*1.07+1*3.05+2.65*0.9+1.78*1.17)*10.764</f>
        <v>615.96344159999978</v>
      </c>
      <c r="G219" s="72"/>
      <c r="H219" s="33">
        <v>0</v>
      </c>
      <c r="I219" s="33">
        <f t="shared" si="46"/>
        <v>985.54150655999968</v>
      </c>
    </row>
    <row r="220" spans="1:11" ht="20.25" x14ac:dyDescent="0.25">
      <c r="A220" s="79"/>
      <c r="B220" s="80"/>
      <c r="C220" s="72">
        <v>4</v>
      </c>
      <c r="D220" s="72"/>
      <c r="E220" s="33" t="s">
        <v>158</v>
      </c>
      <c r="F220" s="72">
        <f t="shared" si="47"/>
        <v>615.96344159999978</v>
      </c>
      <c r="G220" s="72"/>
      <c r="H220" s="33">
        <v>0</v>
      </c>
      <c r="I220" s="33">
        <f t="shared" si="46"/>
        <v>985.54150655999968</v>
      </c>
    </row>
    <row r="221" spans="1:11" ht="20.25" x14ac:dyDescent="0.25">
      <c r="A221" s="79"/>
      <c r="B221" s="80"/>
      <c r="C221" s="72">
        <v>5</v>
      </c>
      <c r="D221" s="72"/>
      <c r="E221" s="33" t="s">
        <v>159</v>
      </c>
      <c r="F221" s="72">
        <f t="shared" ref="F221:F222" si="48">(3.05*4.66+2.13*2.44+3.05*3.05+2.13*1.22+2.13*1.22+1*2.13+1.865*1.17)*10.764</f>
        <v>411.4210698</v>
      </c>
      <c r="G221" s="72"/>
      <c r="H221" s="33">
        <v>0</v>
      </c>
      <c r="I221" s="33">
        <f t="shared" si="46"/>
        <v>658.27371168000002</v>
      </c>
    </row>
    <row r="222" spans="1:11" ht="20.25" x14ac:dyDescent="0.25">
      <c r="A222" s="79"/>
      <c r="B222" s="80"/>
      <c r="C222" s="72">
        <v>6</v>
      </c>
      <c r="D222" s="72"/>
      <c r="E222" s="33" t="s">
        <v>159</v>
      </c>
      <c r="F222" s="72">
        <f t="shared" si="48"/>
        <v>411.4210698</v>
      </c>
      <c r="G222" s="72"/>
      <c r="H222" s="33">
        <v>0</v>
      </c>
      <c r="I222" s="33">
        <f t="shared" si="46"/>
        <v>658.27371168000002</v>
      </c>
    </row>
    <row r="223" spans="1:11" ht="20.25" x14ac:dyDescent="0.25">
      <c r="A223" s="79"/>
      <c r="B223" s="80"/>
      <c r="C223" s="72">
        <v>7</v>
      </c>
      <c r="D223" s="72"/>
      <c r="E223" s="33" t="s">
        <v>158</v>
      </c>
      <c r="F223" s="72">
        <f t="shared" ref="F223:F224" si="49">(3.05*5.49+2.13*2.44+3.05*3.05+3.05*3.35+1.3*2.13+1.3*2.13+2.53*1.07+1*3.05+2.65*0.9+1.78*1.17)*10.764</f>
        <v>615.96344159999978</v>
      </c>
      <c r="G223" s="72"/>
      <c r="H223" s="33">
        <v>0</v>
      </c>
      <c r="I223" s="33">
        <f t="shared" si="46"/>
        <v>985.54150655999968</v>
      </c>
    </row>
    <row r="224" spans="1:11" ht="20.25" x14ac:dyDescent="0.25">
      <c r="A224" s="81"/>
      <c r="B224" s="82"/>
      <c r="C224" s="72">
        <v>8</v>
      </c>
      <c r="D224" s="72"/>
      <c r="E224" s="33" t="s">
        <v>158</v>
      </c>
      <c r="F224" s="72">
        <f t="shared" si="49"/>
        <v>615.96344159999978</v>
      </c>
      <c r="G224" s="72"/>
      <c r="H224" s="33">
        <v>0</v>
      </c>
      <c r="I224" s="33">
        <f t="shared" si="46"/>
        <v>985.54150655999968</v>
      </c>
      <c r="K224" s="9">
        <v>8</v>
      </c>
    </row>
    <row r="225" spans="1:11" ht="20.25" x14ac:dyDescent="0.25">
      <c r="A225" s="76" t="s">
        <v>273</v>
      </c>
      <c r="B225" s="76"/>
      <c r="C225" s="76"/>
      <c r="D225" s="76"/>
      <c r="E225" s="76"/>
      <c r="F225" s="76"/>
      <c r="G225" s="76"/>
      <c r="H225" s="76"/>
      <c r="I225" s="76"/>
    </row>
    <row r="226" spans="1:11" ht="20.25" x14ac:dyDescent="0.25">
      <c r="A226" s="77" t="str">
        <f>A225</f>
        <v>7th Floor (Level 28.725 M) (Part Refuge Area)</v>
      </c>
      <c r="B226" s="78"/>
      <c r="C226" s="72">
        <v>1</v>
      </c>
      <c r="D226" s="72"/>
      <c r="E226" s="33" t="s">
        <v>159</v>
      </c>
      <c r="F226" s="72">
        <f t="shared" ref="F226:F227" si="50">(3.05*4.66+2.13*2.44+3.05*3.05+2.13*1.22+2.13*1.22+1*2.13+1.865*1.17)*10.764</f>
        <v>411.4210698</v>
      </c>
      <c r="G226" s="72"/>
      <c r="H226" s="33">
        <v>0</v>
      </c>
      <c r="I226" s="33">
        <f t="shared" ref="I226:I233" si="51">F226*1.6+H226</f>
        <v>658.27371168000002</v>
      </c>
    </row>
    <row r="227" spans="1:11" ht="20.25" x14ac:dyDescent="0.25">
      <c r="A227" s="79"/>
      <c r="B227" s="80"/>
      <c r="C227" s="72">
        <v>2</v>
      </c>
      <c r="D227" s="72"/>
      <c r="E227" s="33" t="s">
        <v>159</v>
      </c>
      <c r="F227" s="72">
        <f t="shared" si="50"/>
        <v>411.4210698</v>
      </c>
      <c r="G227" s="72"/>
      <c r="H227" s="33">
        <v>0</v>
      </c>
      <c r="I227" s="33">
        <f t="shared" si="51"/>
        <v>658.27371168000002</v>
      </c>
    </row>
    <row r="228" spans="1:11" ht="20.25" x14ac:dyDescent="0.25">
      <c r="A228" s="79"/>
      <c r="B228" s="80"/>
      <c r="C228" s="72">
        <v>3</v>
      </c>
      <c r="D228" s="72"/>
      <c r="E228" s="33" t="s">
        <v>158</v>
      </c>
      <c r="F228" s="72">
        <f t="shared" ref="F228:F229" si="52">(3.05*5.49+2.13*2.44+3.05*3.05+3.05*3.35+1.3*2.13+1.3*2.13+2.53*1.07+1*3.05+2.65*0.9+1.78*1.17)*10.764</f>
        <v>615.96344159999978</v>
      </c>
      <c r="G228" s="72"/>
      <c r="H228" s="33">
        <v>0</v>
      </c>
      <c r="I228" s="33">
        <f t="shared" si="51"/>
        <v>985.54150655999968</v>
      </c>
    </row>
    <row r="229" spans="1:11" ht="20.25" x14ac:dyDescent="0.25">
      <c r="A229" s="79"/>
      <c r="B229" s="80"/>
      <c r="C229" s="72">
        <v>4</v>
      </c>
      <c r="D229" s="72"/>
      <c r="E229" s="33" t="s">
        <v>158</v>
      </c>
      <c r="F229" s="72">
        <f t="shared" si="52"/>
        <v>615.96344159999978</v>
      </c>
      <c r="G229" s="72"/>
      <c r="H229" s="33">
        <v>0</v>
      </c>
      <c r="I229" s="33">
        <f t="shared" si="51"/>
        <v>985.54150655999968</v>
      </c>
    </row>
    <row r="230" spans="1:11" ht="20.25" x14ac:dyDescent="0.25">
      <c r="A230" s="79"/>
      <c r="B230" s="80"/>
      <c r="C230" s="72">
        <v>5</v>
      </c>
      <c r="D230" s="72"/>
      <c r="E230" s="33" t="s">
        <v>159</v>
      </c>
      <c r="F230" s="72">
        <f t="shared" ref="F230:F231" si="53">(3.05*4.66+2.13*2.44+3.05*3.05+2.13*1.22+2.13*1.22+1*2.13+1.865*1.17)*10.764</f>
        <v>411.4210698</v>
      </c>
      <c r="G230" s="72"/>
      <c r="H230" s="33">
        <v>0</v>
      </c>
      <c r="I230" s="33">
        <f t="shared" si="51"/>
        <v>658.27371168000002</v>
      </c>
    </row>
    <row r="231" spans="1:11" ht="20.25" x14ac:dyDescent="0.25">
      <c r="A231" s="79"/>
      <c r="B231" s="80"/>
      <c r="C231" s="72">
        <v>6</v>
      </c>
      <c r="D231" s="72"/>
      <c r="E231" s="33" t="s">
        <v>159</v>
      </c>
      <c r="F231" s="72">
        <f t="shared" si="53"/>
        <v>411.4210698</v>
      </c>
      <c r="G231" s="72"/>
      <c r="H231" s="33">
        <v>0</v>
      </c>
      <c r="I231" s="33">
        <f t="shared" si="51"/>
        <v>658.27371168000002</v>
      </c>
    </row>
    <row r="232" spans="1:11" ht="20.25" x14ac:dyDescent="0.25">
      <c r="A232" s="79"/>
      <c r="B232" s="80"/>
      <c r="C232" s="72">
        <v>7</v>
      </c>
      <c r="D232" s="72"/>
      <c r="E232" s="33" t="s">
        <v>158</v>
      </c>
      <c r="F232" s="72">
        <f t="shared" ref="F232" si="54">(3.05*5.49+2.13*2.44+3.05*3.05+3.05*3.35+1.3*2.13+1.3*2.13+2.53*1.07+1*3.05+2.65*0.9+1.78*1.17)*10.764</f>
        <v>615.96344159999978</v>
      </c>
      <c r="G232" s="72"/>
      <c r="H232" s="33">
        <v>0</v>
      </c>
      <c r="I232" s="33">
        <f t="shared" si="51"/>
        <v>985.54150655999968</v>
      </c>
      <c r="K232" s="9">
        <v>7</v>
      </c>
    </row>
    <row r="233" spans="1:11" ht="20.25" x14ac:dyDescent="0.25">
      <c r="A233" s="81"/>
      <c r="B233" s="82"/>
      <c r="C233" s="72">
        <v>8</v>
      </c>
      <c r="D233" s="72"/>
      <c r="E233" s="73" t="s">
        <v>160</v>
      </c>
      <c r="F233" s="74">
        <f>(3*5.49+2.08*2.44+2.95*3.05+3*3.3+1.2*2.18+1.2*2.18+2.58*1.07)*10.764</f>
        <v>521.35756919999994</v>
      </c>
      <c r="G233" s="74"/>
      <c r="H233" s="74">
        <v>0</v>
      </c>
      <c r="I233" s="75">
        <f t="shared" si="51"/>
        <v>834.17211071999998</v>
      </c>
    </row>
    <row r="234" spans="1:11" ht="46.15" customHeight="1" x14ac:dyDescent="0.25">
      <c r="A234" s="76" t="s">
        <v>225</v>
      </c>
      <c r="B234" s="76"/>
      <c r="C234" s="76"/>
      <c r="D234" s="76"/>
      <c r="E234" s="76"/>
      <c r="F234" s="76"/>
      <c r="G234" s="76"/>
      <c r="H234" s="76"/>
      <c r="I234" s="76"/>
    </row>
    <row r="235" spans="1:11" ht="27" customHeight="1" x14ac:dyDescent="0.25">
      <c r="A235" s="77" t="str">
        <f>A234</f>
        <v>8th, 9th, 10th, 11th, 13th, 14th, 15th, 16th, 18th, 19th, 20th, 21st, 23rd, 24th, 25th, 26th, 28th, 29th, 30th, 31st, 33th, 34th, 35th, 36th, 38th &amp; 39th Floor</v>
      </c>
      <c r="B235" s="78"/>
      <c r="C235" s="72">
        <v>1</v>
      </c>
      <c r="D235" s="72"/>
      <c r="E235" s="33" t="s">
        <v>159</v>
      </c>
      <c r="F235" s="72">
        <f t="shared" ref="F235:F236" si="55">(3.05*4.66+2.13*2.44+3.05*3.05+2.13*1.22+2.13*1.22+1*2.13+1.865*1.17)*10.764</f>
        <v>411.4210698</v>
      </c>
      <c r="G235" s="72"/>
      <c r="H235" s="33">
        <v>0</v>
      </c>
      <c r="I235" s="33">
        <f t="shared" ref="I235:I242" si="56">F235*1.6+H235</f>
        <v>658.27371168000002</v>
      </c>
    </row>
    <row r="236" spans="1:11" ht="27" customHeight="1" x14ac:dyDescent="0.25">
      <c r="A236" s="79"/>
      <c r="B236" s="80"/>
      <c r="C236" s="72">
        <v>2</v>
      </c>
      <c r="D236" s="72"/>
      <c r="E236" s="33" t="s">
        <v>159</v>
      </c>
      <c r="F236" s="72">
        <f t="shared" si="55"/>
        <v>411.4210698</v>
      </c>
      <c r="G236" s="72"/>
      <c r="H236" s="33">
        <v>0</v>
      </c>
      <c r="I236" s="33">
        <f t="shared" si="56"/>
        <v>658.27371168000002</v>
      </c>
    </row>
    <row r="237" spans="1:11" ht="27" customHeight="1" x14ac:dyDescent="0.25">
      <c r="A237" s="79"/>
      <c r="B237" s="80"/>
      <c r="C237" s="72">
        <v>3</v>
      </c>
      <c r="D237" s="72"/>
      <c r="E237" s="33" t="s">
        <v>158</v>
      </c>
      <c r="F237" s="72">
        <f t="shared" ref="F237:F238" si="57">(3.05*5.49+2.13*2.44+3.05*3.05+3.05*3.35+1.3*2.13+1.3*2.13+2.53*1.07+1*3.05+2.65*0.9+1.78*1.17)*10.764</f>
        <v>615.96344159999978</v>
      </c>
      <c r="G237" s="72"/>
      <c r="H237" s="33">
        <v>0</v>
      </c>
      <c r="I237" s="33">
        <f t="shared" si="56"/>
        <v>985.54150655999968</v>
      </c>
    </row>
    <row r="238" spans="1:11" ht="27" customHeight="1" x14ac:dyDescent="0.25">
      <c r="A238" s="79"/>
      <c r="B238" s="80"/>
      <c r="C238" s="72">
        <v>4</v>
      </c>
      <c r="D238" s="72"/>
      <c r="E238" s="33" t="s">
        <v>158</v>
      </c>
      <c r="F238" s="72">
        <f t="shared" si="57"/>
        <v>615.96344159999978</v>
      </c>
      <c r="G238" s="72"/>
      <c r="H238" s="33">
        <v>0</v>
      </c>
      <c r="I238" s="33">
        <f t="shared" si="56"/>
        <v>985.54150655999968</v>
      </c>
    </row>
    <row r="239" spans="1:11" ht="27" customHeight="1" x14ac:dyDescent="0.25">
      <c r="A239" s="79"/>
      <c r="B239" s="80"/>
      <c r="C239" s="72">
        <v>5</v>
      </c>
      <c r="D239" s="72"/>
      <c r="E239" s="33" t="s">
        <v>159</v>
      </c>
      <c r="F239" s="72">
        <f t="shared" ref="F239:F240" si="58">(3.05*4.66+2.13*2.44+3.05*3.05+2.13*1.22+2.13*1.22+1*2.13+1.865*1.17)*10.764</f>
        <v>411.4210698</v>
      </c>
      <c r="G239" s="72"/>
      <c r="H239" s="33">
        <v>0</v>
      </c>
      <c r="I239" s="33">
        <f t="shared" si="56"/>
        <v>658.27371168000002</v>
      </c>
    </row>
    <row r="240" spans="1:11" ht="27" customHeight="1" x14ac:dyDescent="0.25">
      <c r="A240" s="79"/>
      <c r="B240" s="80"/>
      <c r="C240" s="72">
        <v>6</v>
      </c>
      <c r="D240" s="72"/>
      <c r="E240" s="33" t="s">
        <v>159</v>
      </c>
      <c r="F240" s="72">
        <f t="shared" si="58"/>
        <v>411.4210698</v>
      </c>
      <c r="G240" s="72"/>
      <c r="H240" s="33">
        <v>0</v>
      </c>
      <c r="I240" s="33">
        <f t="shared" si="56"/>
        <v>658.27371168000002</v>
      </c>
    </row>
    <row r="241" spans="1:11" ht="27" customHeight="1" x14ac:dyDescent="0.25">
      <c r="A241" s="79"/>
      <c r="B241" s="80"/>
      <c r="C241" s="72">
        <v>7</v>
      </c>
      <c r="D241" s="72"/>
      <c r="E241" s="33" t="s">
        <v>158</v>
      </c>
      <c r="F241" s="72">
        <f t="shared" ref="F241:F242" si="59">(3.05*5.49+2.13*2.44+3.05*3.05+3.05*3.35+1.3*2.13+1.3*2.13+2.53*1.07+1*3.05+2.65*0.9+1.78*1.17)*10.764</f>
        <v>615.96344159999978</v>
      </c>
      <c r="G241" s="72"/>
      <c r="H241" s="33">
        <v>0</v>
      </c>
      <c r="I241" s="33">
        <f t="shared" si="56"/>
        <v>985.54150655999968</v>
      </c>
    </row>
    <row r="242" spans="1:11" ht="27" customHeight="1" x14ac:dyDescent="0.25">
      <c r="A242" s="81"/>
      <c r="B242" s="82"/>
      <c r="C242" s="72">
        <v>8</v>
      </c>
      <c r="D242" s="72"/>
      <c r="E242" s="33" t="s">
        <v>158</v>
      </c>
      <c r="F242" s="72">
        <f t="shared" si="59"/>
        <v>615.96344159999978</v>
      </c>
      <c r="G242" s="72"/>
      <c r="H242" s="33">
        <v>0</v>
      </c>
      <c r="I242" s="33">
        <f t="shared" si="56"/>
        <v>985.54150655999968</v>
      </c>
      <c r="K242" s="9">
        <f>8*26</f>
        <v>208</v>
      </c>
    </row>
    <row r="243" spans="1:11" ht="20.25" x14ac:dyDescent="0.25">
      <c r="A243" s="76" t="s">
        <v>272</v>
      </c>
      <c r="B243" s="76"/>
      <c r="C243" s="76"/>
      <c r="D243" s="76"/>
      <c r="E243" s="76"/>
      <c r="F243" s="76"/>
      <c r="G243" s="76"/>
      <c r="H243" s="76"/>
      <c r="I243" s="76"/>
    </row>
    <row r="244" spans="1:11" ht="20.25" x14ac:dyDescent="0.25">
      <c r="A244" s="77" t="str">
        <f>A243</f>
        <v>12th, 17th, 22nd, 27th, 32nd &amp; 37th Floor (Part Refuge Area)</v>
      </c>
      <c r="B244" s="78"/>
      <c r="C244" s="72">
        <v>1</v>
      </c>
      <c r="D244" s="72"/>
      <c r="E244" s="33" t="s">
        <v>159</v>
      </c>
      <c r="F244" s="72">
        <f t="shared" ref="F244:F245" si="60">(3.05*4.66+2.13*2.44+3.05*3.05+2.13*1.22+2.13*1.22+1*2.13+1.865*1.17)*10.764</f>
        <v>411.4210698</v>
      </c>
      <c r="G244" s="72"/>
      <c r="H244" s="33">
        <v>0</v>
      </c>
      <c r="I244" s="33">
        <f t="shared" ref="I244:I251" si="61">F244*1.6+H244</f>
        <v>658.27371168000002</v>
      </c>
    </row>
    <row r="245" spans="1:11" ht="20.25" x14ac:dyDescent="0.25">
      <c r="A245" s="79"/>
      <c r="B245" s="80"/>
      <c r="C245" s="72">
        <v>2</v>
      </c>
      <c r="D245" s="72"/>
      <c r="E245" s="33" t="s">
        <v>159</v>
      </c>
      <c r="F245" s="72">
        <f t="shared" si="60"/>
        <v>411.4210698</v>
      </c>
      <c r="G245" s="72"/>
      <c r="H245" s="33">
        <v>0</v>
      </c>
      <c r="I245" s="33">
        <f t="shared" si="61"/>
        <v>658.27371168000002</v>
      </c>
    </row>
    <row r="246" spans="1:11" ht="20.25" x14ac:dyDescent="0.25">
      <c r="A246" s="79"/>
      <c r="B246" s="80"/>
      <c r="C246" s="72">
        <v>3</v>
      </c>
      <c r="D246" s="72"/>
      <c r="E246" s="33" t="s">
        <v>158</v>
      </c>
      <c r="F246" s="72">
        <f t="shared" ref="F246:F247" si="62">(3.05*5.49+2.13*2.44+3.05*3.05+3.05*3.35+1.3*2.13+1.3*2.13+2.53*1.07+1*3.05+2.65*0.9+1.78*1.17)*10.764</f>
        <v>615.96344159999978</v>
      </c>
      <c r="G246" s="72"/>
      <c r="H246" s="33">
        <v>0</v>
      </c>
      <c r="I246" s="33">
        <f t="shared" si="61"/>
        <v>985.54150655999968</v>
      </c>
    </row>
    <row r="247" spans="1:11" ht="20.25" x14ac:dyDescent="0.25">
      <c r="A247" s="79"/>
      <c r="B247" s="80"/>
      <c r="C247" s="72">
        <v>4</v>
      </c>
      <c r="D247" s="72"/>
      <c r="E247" s="33" t="s">
        <v>158</v>
      </c>
      <c r="F247" s="72">
        <f t="shared" si="62"/>
        <v>615.96344159999978</v>
      </c>
      <c r="G247" s="72"/>
      <c r="H247" s="33">
        <v>0</v>
      </c>
      <c r="I247" s="33">
        <f t="shared" si="61"/>
        <v>985.54150655999968</v>
      </c>
    </row>
    <row r="248" spans="1:11" ht="20.25" x14ac:dyDescent="0.25">
      <c r="A248" s="79"/>
      <c r="B248" s="80"/>
      <c r="C248" s="72">
        <v>5</v>
      </c>
      <c r="D248" s="72"/>
      <c r="E248" s="33" t="s">
        <v>159</v>
      </c>
      <c r="F248" s="72">
        <f t="shared" ref="F248:F249" si="63">(3.05*4.66+2.13*2.44+3.05*3.05+2.13*1.22+2.13*1.22+1*2.13+1.865*1.17)*10.764</f>
        <v>411.4210698</v>
      </c>
      <c r="G248" s="72"/>
      <c r="H248" s="33">
        <v>0</v>
      </c>
      <c r="I248" s="33">
        <f t="shared" si="61"/>
        <v>658.27371168000002</v>
      </c>
    </row>
    <row r="249" spans="1:11" ht="20.25" x14ac:dyDescent="0.25">
      <c r="A249" s="79"/>
      <c r="B249" s="80"/>
      <c r="C249" s="72">
        <v>6</v>
      </c>
      <c r="D249" s="72"/>
      <c r="E249" s="33" t="s">
        <v>159</v>
      </c>
      <c r="F249" s="72">
        <f t="shared" si="63"/>
        <v>411.4210698</v>
      </c>
      <c r="G249" s="72"/>
      <c r="H249" s="33">
        <v>0</v>
      </c>
      <c r="I249" s="33">
        <f t="shared" si="61"/>
        <v>658.27371168000002</v>
      </c>
    </row>
    <row r="250" spans="1:11" ht="20.25" x14ac:dyDescent="0.25">
      <c r="A250" s="79"/>
      <c r="B250" s="80"/>
      <c r="C250" s="72">
        <v>7</v>
      </c>
      <c r="D250" s="72"/>
      <c r="E250" s="33" t="s">
        <v>158</v>
      </c>
      <c r="F250" s="72">
        <f>(3.05*5.49+2.13*2.44+3.05*3.05+3.05*3.35+1.3*2.13+1.3*2.13+2.53*1.07+1*3.05+2.65*0.9+1.78*1.17)*10.764</f>
        <v>615.96344159999978</v>
      </c>
      <c r="G250" s="72"/>
      <c r="H250" s="33">
        <v>0</v>
      </c>
      <c r="I250" s="33">
        <f t="shared" si="61"/>
        <v>985.54150655999968</v>
      </c>
      <c r="K250" s="9">
        <f>7*6</f>
        <v>42</v>
      </c>
    </row>
    <row r="251" spans="1:11" ht="20.25" x14ac:dyDescent="0.25">
      <c r="A251" s="81"/>
      <c r="B251" s="82"/>
      <c r="C251" s="72">
        <v>8</v>
      </c>
      <c r="D251" s="72"/>
      <c r="E251" s="73" t="s">
        <v>160</v>
      </c>
      <c r="F251" s="74">
        <f>(3*5.49+2.08*2.44+2.95*3.05+3*3.3+1.2*2.18+1.2*2.18+2.58*1.07)*10.764</f>
        <v>521.35756919999994</v>
      </c>
      <c r="G251" s="74"/>
      <c r="H251" s="74">
        <v>0</v>
      </c>
      <c r="I251" s="75">
        <f t="shared" si="61"/>
        <v>834.17211071999998</v>
      </c>
    </row>
    <row r="252" spans="1:11" ht="21.75" customHeight="1" x14ac:dyDescent="0.25">
      <c r="A252" s="69" t="s">
        <v>187</v>
      </c>
      <c r="B252" s="70"/>
      <c r="C252" s="70"/>
      <c r="D252" s="70"/>
      <c r="E252" s="70"/>
      <c r="F252" s="70"/>
      <c r="G252" s="70"/>
      <c r="H252" s="70"/>
      <c r="I252" s="71"/>
    </row>
    <row r="253" spans="1:11" ht="20.25" x14ac:dyDescent="0.25">
      <c r="A253" s="76" t="s">
        <v>198</v>
      </c>
      <c r="B253" s="76"/>
      <c r="C253" s="76"/>
      <c r="D253" s="76"/>
      <c r="E253" s="76"/>
      <c r="F253" s="76"/>
      <c r="G253" s="76"/>
      <c r="H253" s="76"/>
      <c r="I253" s="76"/>
    </row>
    <row r="254" spans="1:11" ht="20.25" customHeight="1" x14ac:dyDescent="0.25">
      <c r="A254" s="76" t="s">
        <v>234</v>
      </c>
      <c r="B254" s="76"/>
      <c r="C254" s="76"/>
      <c r="D254" s="76"/>
      <c r="E254" s="76"/>
      <c r="F254" s="76"/>
      <c r="G254" s="76"/>
      <c r="H254" s="76"/>
      <c r="I254" s="76"/>
    </row>
    <row r="255" spans="1:11" ht="20.25" x14ac:dyDescent="0.25">
      <c r="A255" s="76" t="s">
        <v>231</v>
      </c>
      <c r="B255" s="76"/>
      <c r="C255" s="76"/>
      <c r="D255" s="76"/>
      <c r="E255" s="76"/>
      <c r="F255" s="76"/>
      <c r="G255" s="76"/>
      <c r="H255" s="76"/>
      <c r="I255" s="76"/>
    </row>
    <row r="256" spans="1:11" ht="20.25" customHeight="1" x14ac:dyDescent="0.25">
      <c r="A256" s="76" t="s">
        <v>230</v>
      </c>
      <c r="B256" s="76"/>
      <c r="C256" s="76"/>
      <c r="D256" s="76"/>
      <c r="E256" s="76"/>
      <c r="F256" s="76"/>
      <c r="G256" s="76"/>
      <c r="H256" s="76"/>
      <c r="I256" s="76"/>
    </row>
    <row r="257" spans="1:11" ht="20.25" x14ac:dyDescent="0.25">
      <c r="A257" s="121" t="s">
        <v>232</v>
      </c>
      <c r="B257" s="122"/>
      <c r="C257" s="122"/>
      <c r="D257" s="122"/>
      <c r="E257" s="122"/>
      <c r="F257" s="122"/>
      <c r="G257" s="122"/>
      <c r="H257" s="122"/>
      <c r="I257" s="123"/>
    </row>
    <row r="258" spans="1:11" ht="20.25" x14ac:dyDescent="0.25">
      <c r="A258" s="76" t="s">
        <v>233</v>
      </c>
      <c r="B258" s="76"/>
      <c r="C258" s="76"/>
      <c r="D258" s="76"/>
      <c r="E258" s="76"/>
      <c r="F258" s="76"/>
      <c r="G258" s="76"/>
      <c r="H258" s="76"/>
      <c r="I258" s="76"/>
    </row>
    <row r="259" spans="1:11" ht="20.25" x14ac:dyDescent="0.25">
      <c r="A259" s="76" t="s">
        <v>192</v>
      </c>
      <c r="B259" s="76"/>
      <c r="C259" s="76"/>
      <c r="D259" s="76"/>
      <c r="E259" s="76"/>
      <c r="F259" s="76"/>
      <c r="G259" s="76"/>
      <c r="H259" s="76"/>
      <c r="I259" s="76"/>
    </row>
    <row r="260" spans="1:11" ht="20.25" x14ac:dyDescent="0.25">
      <c r="A260" s="77" t="str">
        <f>A259</f>
        <v>1st Floor (Level 19.675M SFL &amp; 19.875 FFl)</v>
      </c>
      <c r="B260" s="78"/>
      <c r="C260" s="72">
        <v>1</v>
      </c>
      <c r="D260" s="72"/>
      <c r="E260" s="33" t="s">
        <v>158</v>
      </c>
      <c r="F260" s="72">
        <f>(5.84*3.05+3.05*0.9+2.59*2.13+3.05*3.05+3.43*3.05+1.37*2.29+2.29*1.37+1*1.37+1.12*1.37+2.75*1.19+1.93*1.19+2.85*1.19)*10.764</f>
        <v>688.65273360000003</v>
      </c>
      <c r="G260" s="72"/>
      <c r="H260" s="33">
        <v>0</v>
      </c>
      <c r="I260" s="33">
        <f>F260*1.6+H260</f>
        <v>1101.8443737600001</v>
      </c>
    </row>
    <row r="261" spans="1:11" ht="20.25" x14ac:dyDescent="0.25">
      <c r="A261" s="79"/>
      <c r="B261" s="80"/>
      <c r="C261" s="72">
        <v>2</v>
      </c>
      <c r="D261" s="72"/>
      <c r="E261" s="33" t="s">
        <v>158</v>
      </c>
      <c r="F261" s="72">
        <f>(5.84*3.05+3.05*0.9+2.59*2.13+3.05*3.05+3.43*3.05+1.37*2.29+2.29*1.37+1*1.37+1.12*1.37+2.75*1.19+1.93*1.19+2.85*1.19)*10.764</f>
        <v>688.65273360000003</v>
      </c>
      <c r="G261" s="72"/>
      <c r="H261" s="33">
        <v>0</v>
      </c>
      <c r="I261" s="33">
        <f>F261*1.6+H261</f>
        <v>1101.8443737600001</v>
      </c>
    </row>
    <row r="262" spans="1:11" ht="20.25" x14ac:dyDescent="0.25">
      <c r="A262" s="79"/>
      <c r="B262" s="80"/>
      <c r="C262" s="72">
        <v>3</v>
      </c>
      <c r="D262" s="72"/>
      <c r="E262" s="33" t="s">
        <v>158</v>
      </c>
      <c r="F262" s="73">
        <f>(3.05*5.49+2.13*2.44+3.05*3.05+3.05*3.35+1.3*2.13+1.3*2.13+2.53*1.07+1*3.05+2.65*0.9+1.78*1.17)*10.764</f>
        <v>615.96344159999978</v>
      </c>
      <c r="G262" s="75"/>
      <c r="H262" s="33">
        <v>0</v>
      </c>
      <c r="I262" s="33">
        <f>F262*1.6+H262</f>
        <v>985.54150655999968</v>
      </c>
    </row>
    <row r="263" spans="1:11" ht="20.25" x14ac:dyDescent="0.25">
      <c r="A263" s="81"/>
      <c r="B263" s="82"/>
      <c r="C263" s="72">
        <v>4</v>
      </c>
      <c r="D263" s="72"/>
      <c r="E263" s="33" t="s">
        <v>158</v>
      </c>
      <c r="F263" s="72">
        <f>(3.05*5.49+2.13*2.44+3.05*3.05+3.05*3.35+1.3*2.13+1.3*2.13+2.53*1.07+1*3.05+2.65*0.9+1.78*1.17)*10.764</f>
        <v>615.96344159999978</v>
      </c>
      <c r="G263" s="72"/>
      <c r="H263" s="33">
        <v>0</v>
      </c>
      <c r="I263" s="33">
        <f>F263*1.6+H263</f>
        <v>985.54150655999968</v>
      </c>
      <c r="K263" s="9">
        <v>4</v>
      </c>
    </row>
    <row r="264" spans="1:11" ht="20.25" x14ac:dyDescent="0.25">
      <c r="A264" s="76" t="s">
        <v>194</v>
      </c>
      <c r="B264" s="76"/>
      <c r="C264" s="76"/>
      <c r="D264" s="76"/>
      <c r="E264" s="76"/>
      <c r="F264" s="76"/>
      <c r="G264" s="76"/>
      <c r="H264" s="76"/>
      <c r="I264" s="76"/>
    </row>
    <row r="265" spans="1:11" ht="20.25" x14ac:dyDescent="0.25">
      <c r="A265" s="77" t="str">
        <f>A264</f>
        <v>2nd Floor (Level 22.825M)</v>
      </c>
      <c r="B265" s="78"/>
      <c r="C265" s="72">
        <v>1</v>
      </c>
      <c r="D265" s="72"/>
      <c r="E265" s="33" t="s">
        <v>158</v>
      </c>
      <c r="F265" s="72">
        <f>(5.84*3.05+3.05*0.9+2.59*2.13+3.05*3.05+3.43*3.05+1.37*2.29+2.29*1.37+1*1.37+1.12*1.37+2.75*1.19+1.93*1.19+2.85*1.19)*10.764</f>
        <v>688.65273360000003</v>
      </c>
      <c r="G265" s="72"/>
      <c r="H265" s="33">
        <v>0</v>
      </c>
      <c r="I265" s="33">
        <f t="shared" ref="I265:I270" si="64">F265*1.6+H265</f>
        <v>1101.8443737600001</v>
      </c>
    </row>
    <row r="266" spans="1:11" ht="20.25" x14ac:dyDescent="0.25">
      <c r="A266" s="79"/>
      <c r="B266" s="80"/>
      <c r="C266" s="72">
        <v>2</v>
      </c>
      <c r="D266" s="72"/>
      <c r="E266" s="33" t="s">
        <v>158</v>
      </c>
      <c r="F266" s="72">
        <f>(5.84*3.05+3.05*0.9+2.59*2.13+3.05*3.05+3.43*3.05+1.37*2.29+2.29*1.37+1*1.37+1.12*1.37+2.75*1.19+1.93*1.19+2.85*1.19)*10.764</f>
        <v>688.65273360000003</v>
      </c>
      <c r="G266" s="72"/>
      <c r="H266" s="33">
        <v>0</v>
      </c>
      <c r="I266" s="33">
        <f t="shared" si="64"/>
        <v>1101.8443737600001</v>
      </c>
    </row>
    <row r="267" spans="1:11" ht="20.25" x14ac:dyDescent="0.25">
      <c r="A267" s="79"/>
      <c r="B267" s="80"/>
      <c r="C267" s="72">
        <v>3</v>
      </c>
      <c r="D267" s="72"/>
      <c r="E267" s="33" t="s">
        <v>159</v>
      </c>
      <c r="F267" s="72">
        <f>(3.05*4.66+2.13*2.44+3.05*3.05+2.13*1.22+2.13*1.22+1*2.13+1.865*1.17)*10.764</f>
        <v>411.4210698</v>
      </c>
      <c r="G267" s="72"/>
      <c r="H267" s="33">
        <v>0</v>
      </c>
      <c r="I267" s="33">
        <f t="shared" si="64"/>
        <v>658.27371168000002</v>
      </c>
    </row>
    <row r="268" spans="1:11" ht="20.25" x14ac:dyDescent="0.25">
      <c r="A268" s="79"/>
      <c r="B268" s="80"/>
      <c r="C268" s="72">
        <v>4</v>
      </c>
      <c r="D268" s="72"/>
      <c r="E268" s="33" t="s">
        <v>159</v>
      </c>
      <c r="F268" s="72">
        <f>(3.05*4.66+2.13*2.44+3.05*3.05+2.13*1.22+2.13*1.22+1*2.13+1.865*1.17)*10.764</f>
        <v>411.4210698</v>
      </c>
      <c r="G268" s="72"/>
      <c r="H268" s="33">
        <v>0</v>
      </c>
      <c r="I268" s="33">
        <f t="shared" si="64"/>
        <v>658.27371168000002</v>
      </c>
    </row>
    <row r="269" spans="1:11" ht="20.25" x14ac:dyDescent="0.25">
      <c r="A269" s="79"/>
      <c r="B269" s="80"/>
      <c r="C269" s="72">
        <v>5</v>
      </c>
      <c r="D269" s="72"/>
      <c r="E269" s="33" t="s">
        <v>158</v>
      </c>
      <c r="F269" s="73">
        <f>(3.05*5.49+2.13*2.44+3.05*3.05+3.05*3.35+1.3*2.13+1.3*2.13+2.53*1.07+1*3.05+2.65*0.9+1.78*1.17)*10.764</f>
        <v>615.96344159999978</v>
      </c>
      <c r="G269" s="75"/>
      <c r="H269" s="33">
        <v>0</v>
      </c>
      <c r="I269" s="33">
        <f t="shared" si="64"/>
        <v>985.54150655999968</v>
      </c>
    </row>
    <row r="270" spans="1:11" ht="20.25" x14ac:dyDescent="0.25">
      <c r="A270" s="81"/>
      <c r="B270" s="82"/>
      <c r="C270" s="72">
        <v>6</v>
      </c>
      <c r="D270" s="72"/>
      <c r="E270" s="33" t="s">
        <v>158</v>
      </c>
      <c r="F270" s="72">
        <f>(3.05*5.49+2.13*2.44+3.05*3.05+3.05*3.35+1.3*2.13+1.3*2.13+2.53*1.07+1*3.05+2.65*0.9+1.78*1.17)*10.764</f>
        <v>615.96344159999978</v>
      </c>
      <c r="G270" s="72"/>
      <c r="H270" s="33">
        <v>0</v>
      </c>
      <c r="I270" s="33">
        <f t="shared" si="64"/>
        <v>985.54150655999968</v>
      </c>
      <c r="K270" s="9">
        <v>6</v>
      </c>
    </row>
    <row r="271" spans="1:11" ht="20.25" x14ac:dyDescent="0.25">
      <c r="A271" s="76" t="s">
        <v>196</v>
      </c>
      <c r="B271" s="76"/>
      <c r="C271" s="76"/>
      <c r="D271" s="76"/>
      <c r="E271" s="76"/>
      <c r="F271" s="76"/>
      <c r="G271" s="76"/>
      <c r="H271" s="76"/>
      <c r="I271" s="76"/>
    </row>
    <row r="272" spans="1:11" ht="20.25" x14ac:dyDescent="0.25">
      <c r="A272" s="77" t="str">
        <f>A271</f>
        <v>3rd Floor (Level 25.775M)</v>
      </c>
      <c r="B272" s="78"/>
      <c r="C272" s="72">
        <v>1</v>
      </c>
      <c r="D272" s="72"/>
      <c r="E272" s="33" t="s">
        <v>159</v>
      </c>
      <c r="F272" s="72">
        <f>(3.05*4.66+2.13*2.44+3.05*3.05+2.13*1.22+2.13*1.22+1*2.13+1.865*1.17)*10.764</f>
        <v>411.4210698</v>
      </c>
      <c r="G272" s="72"/>
      <c r="H272" s="33">
        <v>0</v>
      </c>
      <c r="I272" s="33">
        <f t="shared" ref="I272:I279" si="65">F272*1.6+H272</f>
        <v>658.27371168000002</v>
      </c>
    </row>
    <row r="273" spans="1:11" ht="20.25" x14ac:dyDescent="0.25">
      <c r="A273" s="79"/>
      <c r="B273" s="80"/>
      <c r="C273" s="72">
        <v>2</v>
      </c>
      <c r="D273" s="72"/>
      <c r="E273" s="33" t="s">
        <v>159</v>
      </c>
      <c r="F273" s="72">
        <f>(3.05*4.66+2.13*2.44+3.05*3.05+2.13*1.22+2.13*1.22+1*2.13+1.865*1.17)*10.764</f>
        <v>411.4210698</v>
      </c>
      <c r="G273" s="72"/>
      <c r="H273" s="33">
        <v>0</v>
      </c>
      <c r="I273" s="33">
        <f t="shared" si="65"/>
        <v>658.27371168000002</v>
      </c>
    </row>
    <row r="274" spans="1:11" ht="20.25" x14ac:dyDescent="0.25">
      <c r="A274" s="79"/>
      <c r="B274" s="80"/>
      <c r="C274" s="72">
        <v>3</v>
      </c>
      <c r="D274" s="72"/>
      <c r="E274" s="33" t="s">
        <v>158</v>
      </c>
      <c r="F274" s="72">
        <f t="shared" ref="F274:F275" si="66">(5.84*3.05+3.05*0.9+2.59*2.13+3.05*3.05+3.43*3.05+1.37*2.29+2.29*1.37+1*1.37+1.12*1.37+2.75*1.19+1.93*1.19+2.85*1.19)*10.764</f>
        <v>688.65273360000003</v>
      </c>
      <c r="G274" s="72"/>
      <c r="H274" s="33">
        <v>0</v>
      </c>
      <c r="I274" s="33">
        <f t="shared" si="65"/>
        <v>1101.8443737600001</v>
      </c>
    </row>
    <row r="275" spans="1:11" ht="20.25" x14ac:dyDescent="0.25">
      <c r="A275" s="79"/>
      <c r="B275" s="80"/>
      <c r="C275" s="72">
        <v>4</v>
      </c>
      <c r="D275" s="72"/>
      <c r="E275" s="33" t="s">
        <v>158</v>
      </c>
      <c r="F275" s="72">
        <f t="shared" si="66"/>
        <v>688.65273360000003</v>
      </c>
      <c r="G275" s="72"/>
      <c r="H275" s="33">
        <v>0</v>
      </c>
      <c r="I275" s="33">
        <f t="shared" si="65"/>
        <v>1101.8443737600001</v>
      </c>
    </row>
    <row r="276" spans="1:11" ht="20.25" x14ac:dyDescent="0.25">
      <c r="A276" s="79"/>
      <c r="B276" s="80"/>
      <c r="C276" s="72">
        <v>5</v>
      </c>
      <c r="D276" s="72"/>
      <c r="E276" s="33" t="s">
        <v>159</v>
      </c>
      <c r="F276" s="72">
        <f>(3.05*4.66+2.13*2.44+3.05*3.05+2.13*1.22+2.13*1.22+1*2.13+1.865*1.17)*10.764</f>
        <v>411.4210698</v>
      </c>
      <c r="G276" s="72"/>
      <c r="H276" s="33">
        <v>0</v>
      </c>
      <c r="I276" s="33">
        <f t="shared" si="65"/>
        <v>658.27371168000002</v>
      </c>
    </row>
    <row r="277" spans="1:11" ht="20.25" x14ac:dyDescent="0.25">
      <c r="A277" s="79"/>
      <c r="B277" s="80"/>
      <c r="C277" s="72">
        <v>6</v>
      </c>
      <c r="D277" s="72"/>
      <c r="E277" s="33" t="s">
        <v>159</v>
      </c>
      <c r="F277" s="72">
        <f>(3.05*4.66+2.13*2.44+3.05*3.05+2.13*1.22+2.13*1.22+1*2.13+1.865*1.17)*10.764</f>
        <v>411.4210698</v>
      </c>
      <c r="G277" s="72"/>
      <c r="H277" s="33">
        <v>0</v>
      </c>
      <c r="I277" s="33">
        <f t="shared" si="65"/>
        <v>658.27371168000002</v>
      </c>
    </row>
    <row r="278" spans="1:11" ht="20.25" x14ac:dyDescent="0.25">
      <c r="A278" s="79"/>
      <c r="B278" s="80"/>
      <c r="C278" s="72">
        <v>7</v>
      </c>
      <c r="D278" s="72"/>
      <c r="E278" s="33" t="s">
        <v>158</v>
      </c>
      <c r="F278" s="73">
        <f>(3.05*5.49+2.13*2.44+3.05*3.05+3.05*3.35+1.3*2.13+1.3*2.13+2.53*1.07+1*3.05+2.65*0.9+1.78*1.17)*10.764</f>
        <v>615.96344159999978</v>
      </c>
      <c r="G278" s="75"/>
      <c r="H278" s="33">
        <v>0</v>
      </c>
      <c r="I278" s="33">
        <f t="shared" si="65"/>
        <v>985.54150655999968</v>
      </c>
    </row>
    <row r="279" spans="1:11" ht="20.25" x14ac:dyDescent="0.25">
      <c r="A279" s="81"/>
      <c r="B279" s="82"/>
      <c r="C279" s="72">
        <v>8</v>
      </c>
      <c r="D279" s="72"/>
      <c r="E279" s="33" t="s">
        <v>158</v>
      </c>
      <c r="F279" s="72">
        <f>(3.05*5.49+2.13*2.44+3.05*3.05+3.05*3.35+1.3*2.13+1.3*2.13+2.53*1.07+1*3.05+2.65*0.9+1.78*1.17)*10.764</f>
        <v>615.96344159999978</v>
      </c>
      <c r="G279" s="72"/>
      <c r="H279" s="33">
        <v>0</v>
      </c>
      <c r="I279" s="33">
        <f t="shared" si="65"/>
        <v>985.54150655999968</v>
      </c>
      <c r="K279" s="9">
        <v>8</v>
      </c>
    </row>
    <row r="280" spans="1:11" ht="20.25" x14ac:dyDescent="0.25">
      <c r="A280" s="76" t="s">
        <v>197</v>
      </c>
      <c r="B280" s="76"/>
      <c r="C280" s="76"/>
      <c r="D280" s="76"/>
      <c r="E280" s="76"/>
      <c r="F280" s="76"/>
      <c r="G280" s="76"/>
      <c r="H280" s="76"/>
      <c r="I280" s="76"/>
    </row>
    <row r="281" spans="1:11" ht="20.25" x14ac:dyDescent="0.25">
      <c r="A281" s="77" t="str">
        <f>A280</f>
        <v>4th Floor (Level 28.725M)</v>
      </c>
      <c r="B281" s="78"/>
      <c r="C281" s="72">
        <v>1</v>
      </c>
      <c r="D281" s="72"/>
      <c r="E281" s="33" t="s">
        <v>159</v>
      </c>
      <c r="F281" s="72">
        <f>(3.05*4.66+2.13*2.44+3.05*3.05+2.13*1.22+2.13*1.22+1*2.13+1.865*1.17)*10.764</f>
        <v>411.4210698</v>
      </c>
      <c r="G281" s="72"/>
      <c r="H281" s="33">
        <v>0</v>
      </c>
      <c r="I281" s="33">
        <f t="shared" ref="I281:I288" si="67">F281*1.6+H281</f>
        <v>658.27371168000002</v>
      </c>
    </row>
    <row r="282" spans="1:11" ht="20.25" x14ac:dyDescent="0.25">
      <c r="A282" s="79"/>
      <c r="B282" s="80"/>
      <c r="C282" s="72">
        <v>2</v>
      </c>
      <c r="D282" s="72"/>
      <c r="E282" s="33" t="s">
        <v>159</v>
      </c>
      <c r="F282" s="72">
        <f>(3.05*4.66+2.13*2.44+3.05*3.05+2.13*1.22+2.13*1.22+1*2.13+1.865*1.17)*10.764</f>
        <v>411.4210698</v>
      </c>
      <c r="G282" s="72"/>
      <c r="H282" s="33">
        <v>0</v>
      </c>
      <c r="I282" s="33">
        <f t="shared" si="67"/>
        <v>658.27371168000002</v>
      </c>
    </row>
    <row r="283" spans="1:11" ht="20.25" x14ac:dyDescent="0.25">
      <c r="A283" s="79"/>
      <c r="B283" s="80"/>
      <c r="C283" s="72">
        <v>3</v>
      </c>
      <c r="D283" s="72"/>
      <c r="E283" s="33" t="s">
        <v>158</v>
      </c>
      <c r="F283" s="72">
        <f t="shared" ref="F283:F284" si="68">(5.84*3.05+3.05*0.9+2.59*2.13+3.05*3.05+3.43*3.05+1.37*2.29+2.29*1.37+1*1.37+1.12*1.37+2.75*1.19+1.93*1.19+2.85*1.19)*10.764</f>
        <v>688.65273360000003</v>
      </c>
      <c r="G283" s="72"/>
      <c r="H283" s="33">
        <v>0</v>
      </c>
      <c r="I283" s="33">
        <f t="shared" si="67"/>
        <v>1101.8443737600001</v>
      </c>
    </row>
    <row r="284" spans="1:11" ht="20.25" x14ac:dyDescent="0.25">
      <c r="A284" s="79"/>
      <c r="B284" s="80"/>
      <c r="C284" s="72">
        <v>4</v>
      </c>
      <c r="D284" s="72"/>
      <c r="E284" s="33" t="s">
        <v>158</v>
      </c>
      <c r="F284" s="72">
        <f t="shared" si="68"/>
        <v>688.65273360000003</v>
      </c>
      <c r="G284" s="72"/>
      <c r="H284" s="33">
        <v>0</v>
      </c>
      <c r="I284" s="33">
        <f t="shared" si="67"/>
        <v>1101.8443737600001</v>
      </c>
    </row>
    <row r="285" spans="1:11" ht="20.25" x14ac:dyDescent="0.25">
      <c r="A285" s="79"/>
      <c r="B285" s="80"/>
      <c r="C285" s="72">
        <v>5</v>
      </c>
      <c r="D285" s="72"/>
      <c r="E285" s="33" t="s">
        <v>159</v>
      </c>
      <c r="F285" s="72">
        <f>(3.05*4.66+2.13*2.44+3.05*3.05+2.13*1.22+2.13*1.22+1*2.13+1.865*1.17)*10.764</f>
        <v>411.4210698</v>
      </c>
      <c r="G285" s="72"/>
      <c r="H285" s="33">
        <v>0</v>
      </c>
      <c r="I285" s="33">
        <f t="shared" si="67"/>
        <v>658.27371168000002</v>
      </c>
    </row>
    <row r="286" spans="1:11" ht="20.25" x14ac:dyDescent="0.25">
      <c r="A286" s="79"/>
      <c r="B286" s="80"/>
      <c r="C286" s="72">
        <v>6</v>
      </c>
      <c r="D286" s="72"/>
      <c r="E286" s="33" t="s">
        <v>159</v>
      </c>
      <c r="F286" s="72">
        <f>(3.05*4.66+2.13*2.44+3.05*3.05+2.13*1.22+2.13*1.22+1*2.13+1.865*1.17)*10.764</f>
        <v>411.4210698</v>
      </c>
      <c r="G286" s="72"/>
      <c r="H286" s="33">
        <v>0</v>
      </c>
      <c r="I286" s="33">
        <f t="shared" si="67"/>
        <v>658.27371168000002</v>
      </c>
    </row>
    <row r="287" spans="1:11" ht="20.25" x14ac:dyDescent="0.25">
      <c r="A287" s="79"/>
      <c r="B287" s="80"/>
      <c r="C287" s="72">
        <v>7</v>
      </c>
      <c r="D287" s="72"/>
      <c r="E287" s="33" t="s">
        <v>158</v>
      </c>
      <c r="F287" s="73">
        <f>(3.05*5.49+2.13*2.44+3.05*3.05+3.05*3.35+1.3*2.13+1.3*2.13+2.53*1.07+1*3.05+2.65*0.9+1.78*1.17)*10.764</f>
        <v>615.96344159999978</v>
      </c>
      <c r="G287" s="75"/>
      <c r="H287" s="33">
        <v>0</v>
      </c>
      <c r="I287" s="33">
        <f t="shared" si="67"/>
        <v>985.54150655999968</v>
      </c>
    </row>
    <row r="288" spans="1:11" ht="20.25" x14ac:dyDescent="0.25">
      <c r="A288" s="81"/>
      <c r="B288" s="82"/>
      <c r="C288" s="72">
        <v>8</v>
      </c>
      <c r="D288" s="72"/>
      <c r="E288" s="33" t="s">
        <v>158</v>
      </c>
      <c r="F288" s="72">
        <f>(3.05*5.49+2.13*2.44+3.05*3.05+3.05*3.35+1.3*2.13+1.3*2.13+2.53*1.07+1*3.05+2.65*0.9+1.78*1.17)*10.764</f>
        <v>615.96344159999978</v>
      </c>
      <c r="G288" s="72"/>
      <c r="H288" s="33">
        <v>0</v>
      </c>
      <c r="I288" s="33">
        <f t="shared" si="67"/>
        <v>985.54150655999968</v>
      </c>
      <c r="K288" s="9">
        <v>8</v>
      </c>
    </row>
    <row r="289" spans="1:11" ht="43.9" customHeight="1" x14ac:dyDescent="0.25">
      <c r="A289" s="76" t="s">
        <v>226</v>
      </c>
      <c r="B289" s="76"/>
      <c r="C289" s="76"/>
      <c r="D289" s="76"/>
      <c r="E289" s="76"/>
      <c r="F289" s="76"/>
      <c r="G289" s="76"/>
      <c r="H289" s="76"/>
      <c r="I289" s="76"/>
    </row>
    <row r="290" spans="1:11" ht="24" customHeight="1" x14ac:dyDescent="0.25">
      <c r="A290" s="77" t="str">
        <f>A289</f>
        <v>5th, 6th, 7th, 8th, 10th, 11th, 12th, 13th, 15th, 16th, 17th, 18th, 20th, 21st, 22nd, 23rd, 25th, 26th, 27th, 28th, 30th, 31st, 32nd, 33rd, 35th &amp; 36th Floor</v>
      </c>
      <c r="B290" s="78"/>
      <c r="C290" s="72">
        <v>1</v>
      </c>
      <c r="D290" s="72"/>
      <c r="E290" s="33" t="s">
        <v>159</v>
      </c>
      <c r="F290" s="72">
        <f>(3.05*4.66+2.13*2.44+3.05*3.05+2.13*1.22+2.13*1.22+1*2.13+1.865*1.17)*10.764</f>
        <v>411.4210698</v>
      </c>
      <c r="G290" s="72"/>
      <c r="H290" s="33">
        <v>0</v>
      </c>
      <c r="I290" s="33">
        <f t="shared" ref="I290:I297" si="69">F290*1.6+H290</f>
        <v>658.27371168000002</v>
      </c>
    </row>
    <row r="291" spans="1:11" ht="24" customHeight="1" x14ac:dyDescent="0.25">
      <c r="A291" s="79"/>
      <c r="B291" s="80"/>
      <c r="C291" s="72">
        <v>2</v>
      </c>
      <c r="D291" s="72"/>
      <c r="E291" s="33" t="s">
        <v>159</v>
      </c>
      <c r="F291" s="72">
        <f>(3.05*4.66+2.13*2.44+3.05*3.05+2.13*1.22+2.13*1.22+1*2.13+1.865*1.17)*10.764</f>
        <v>411.4210698</v>
      </c>
      <c r="G291" s="72"/>
      <c r="H291" s="33">
        <v>0</v>
      </c>
      <c r="I291" s="33">
        <f t="shared" si="69"/>
        <v>658.27371168000002</v>
      </c>
    </row>
    <row r="292" spans="1:11" ht="24" customHeight="1" x14ac:dyDescent="0.25">
      <c r="A292" s="79"/>
      <c r="B292" s="80"/>
      <c r="C292" s="72">
        <v>3</v>
      </c>
      <c r="D292" s="72"/>
      <c r="E292" s="33" t="s">
        <v>158</v>
      </c>
      <c r="F292" s="72">
        <f t="shared" ref="F292:F293" si="70">(5.84*3.05+3.05*0.9+2.59*2.13+3.05*3.05+3.43*3.05+1.37*2.29+2.29*1.37+1*1.37+1.12*1.37+2.75*1.19+1.93*1.19+2.85*1.19)*10.764</f>
        <v>688.65273360000003</v>
      </c>
      <c r="G292" s="72"/>
      <c r="H292" s="33">
        <v>0</v>
      </c>
      <c r="I292" s="33">
        <f t="shared" si="69"/>
        <v>1101.8443737600001</v>
      </c>
    </row>
    <row r="293" spans="1:11" ht="24" customHeight="1" x14ac:dyDescent="0.25">
      <c r="A293" s="79"/>
      <c r="B293" s="80"/>
      <c r="C293" s="72">
        <v>4</v>
      </c>
      <c r="D293" s="72"/>
      <c r="E293" s="33" t="s">
        <v>158</v>
      </c>
      <c r="F293" s="72">
        <f t="shared" si="70"/>
        <v>688.65273360000003</v>
      </c>
      <c r="G293" s="72"/>
      <c r="H293" s="33">
        <v>0</v>
      </c>
      <c r="I293" s="33">
        <f t="shared" si="69"/>
        <v>1101.8443737600001</v>
      </c>
    </row>
    <row r="294" spans="1:11" ht="24" customHeight="1" x14ac:dyDescent="0.25">
      <c r="A294" s="79"/>
      <c r="B294" s="80"/>
      <c r="C294" s="72">
        <v>5</v>
      </c>
      <c r="D294" s="72"/>
      <c r="E294" s="33" t="s">
        <v>159</v>
      </c>
      <c r="F294" s="72">
        <f>(3.05*4.66+2.13*2.44+3.05*3.05+2.13*1.22+2.13*1.22+1*2.13+1.865*1.17)*10.764</f>
        <v>411.4210698</v>
      </c>
      <c r="G294" s="72"/>
      <c r="H294" s="33">
        <v>0</v>
      </c>
      <c r="I294" s="33">
        <f t="shared" si="69"/>
        <v>658.27371168000002</v>
      </c>
    </row>
    <row r="295" spans="1:11" ht="24" customHeight="1" x14ac:dyDescent="0.25">
      <c r="A295" s="79"/>
      <c r="B295" s="80"/>
      <c r="C295" s="72">
        <v>6</v>
      </c>
      <c r="D295" s="72"/>
      <c r="E295" s="33" t="s">
        <v>159</v>
      </c>
      <c r="F295" s="72">
        <f>(3.05*4.66+2.13*2.44+3.05*3.05+2.13*1.22+2.13*1.22+1*2.13+1.865*1.17)*10.764</f>
        <v>411.4210698</v>
      </c>
      <c r="G295" s="72"/>
      <c r="H295" s="33">
        <v>0</v>
      </c>
      <c r="I295" s="33">
        <f t="shared" si="69"/>
        <v>658.27371168000002</v>
      </c>
    </row>
    <row r="296" spans="1:11" ht="24" customHeight="1" x14ac:dyDescent="0.25">
      <c r="A296" s="79"/>
      <c r="B296" s="80"/>
      <c r="C296" s="72">
        <v>7</v>
      </c>
      <c r="D296" s="72"/>
      <c r="E296" s="33" t="s">
        <v>158</v>
      </c>
      <c r="F296" s="73">
        <f>(3.05*5.49+2.13*2.44+3.05*3.05+3.05*3.35+1.3*2.13+1.3*2.13+2.53*1.07+1*3.05+2.65*0.9+1.78*1.17)*10.764</f>
        <v>615.96344159999978</v>
      </c>
      <c r="G296" s="75"/>
      <c r="H296" s="33">
        <v>0</v>
      </c>
      <c r="I296" s="33">
        <f t="shared" si="69"/>
        <v>985.54150655999968</v>
      </c>
    </row>
    <row r="297" spans="1:11" ht="24" customHeight="1" x14ac:dyDescent="0.25">
      <c r="A297" s="81"/>
      <c r="B297" s="82"/>
      <c r="C297" s="72">
        <v>8</v>
      </c>
      <c r="D297" s="72"/>
      <c r="E297" s="33" t="s">
        <v>158</v>
      </c>
      <c r="F297" s="72">
        <f>(3.05*5.49+2.13*2.44+3.05*3.05+3.05*3.35+1.3*2.13+1.3*2.13+2.53*1.07+1*3.05+2.65*0.9+1.78*1.17)*10.764</f>
        <v>615.96344159999978</v>
      </c>
      <c r="G297" s="72"/>
      <c r="H297" s="33">
        <v>0</v>
      </c>
      <c r="I297" s="33">
        <f t="shared" si="69"/>
        <v>985.54150655999968</v>
      </c>
      <c r="K297" s="9">
        <f>8*26</f>
        <v>208</v>
      </c>
    </row>
    <row r="298" spans="1:11" ht="20.25" x14ac:dyDescent="0.25">
      <c r="A298" s="76" t="s">
        <v>274</v>
      </c>
      <c r="B298" s="76"/>
      <c r="C298" s="76"/>
      <c r="D298" s="76"/>
      <c r="E298" s="76"/>
      <c r="F298" s="76"/>
      <c r="G298" s="76"/>
      <c r="H298" s="76"/>
      <c r="I298" s="76"/>
    </row>
    <row r="299" spans="1:11" ht="20.25" x14ac:dyDescent="0.25">
      <c r="A299" s="77" t="str">
        <f>A298</f>
        <v>9th, 14th, 19th, 24th, 29th &amp; 34th Floor (Part Refuge Area)</v>
      </c>
      <c r="B299" s="78"/>
      <c r="C299" s="72">
        <v>1</v>
      </c>
      <c r="D299" s="72"/>
      <c r="E299" s="33" t="s">
        <v>159</v>
      </c>
      <c r="F299" s="72">
        <f>(3.05*4.66+2.13*2.44+3.05*3.05+2.13*1.22+2.13*1.22+1*2.13+1.865*1.17)*10.764</f>
        <v>411.4210698</v>
      </c>
      <c r="G299" s="72"/>
      <c r="H299" s="33">
        <v>0</v>
      </c>
      <c r="I299" s="33">
        <f t="shared" ref="I299:I306" si="71">F299*1.6+H299</f>
        <v>658.27371168000002</v>
      </c>
    </row>
    <row r="300" spans="1:11" ht="20.25" x14ac:dyDescent="0.25">
      <c r="A300" s="79"/>
      <c r="B300" s="80"/>
      <c r="C300" s="72">
        <v>2</v>
      </c>
      <c r="D300" s="72"/>
      <c r="E300" s="33" t="s">
        <v>159</v>
      </c>
      <c r="F300" s="72">
        <f>(3.05*4.66+2.13*2.44+3.05*3.05+2.13*1.22+2.13*1.22+1*2.13+1.865*1.17)*10.764</f>
        <v>411.4210698</v>
      </c>
      <c r="G300" s="72"/>
      <c r="H300" s="33">
        <v>0</v>
      </c>
      <c r="I300" s="33">
        <f t="shared" si="71"/>
        <v>658.27371168000002</v>
      </c>
    </row>
    <row r="301" spans="1:11" ht="20.25" x14ac:dyDescent="0.25">
      <c r="A301" s="79"/>
      <c r="B301" s="80"/>
      <c r="C301" s="72">
        <v>3</v>
      </c>
      <c r="D301" s="72"/>
      <c r="E301" s="33" t="s">
        <v>158</v>
      </c>
      <c r="F301" s="72">
        <f t="shared" ref="F301:F302" si="72">(5.84*3.05+3.05*0.9+2.59*2.13+3.05*3.05+3.43*3.05+1.37*2.29+2.29*1.37+1*1.37+1.12*1.37+2.75*1.19+1.93*1.19+2.85*1.19)*10.764</f>
        <v>688.65273360000003</v>
      </c>
      <c r="G301" s="72"/>
      <c r="H301" s="33">
        <v>0</v>
      </c>
      <c r="I301" s="33">
        <f t="shared" si="71"/>
        <v>1101.8443737600001</v>
      </c>
    </row>
    <row r="302" spans="1:11" ht="20.25" x14ac:dyDescent="0.25">
      <c r="A302" s="79"/>
      <c r="B302" s="80"/>
      <c r="C302" s="72">
        <v>4</v>
      </c>
      <c r="D302" s="72"/>
      <c r="E302" s="33" t="s">
        <v>158</v>
      </c>
      <c r="F302" s="72">
        <f t="shared" si="72"/>
        <v>688.65273360000003</v>
      </c>
      <c r="G302" s="72"/>
      <c r="H302" s="33">
        <v>0</v>
      </c>
      <c r="I302" s="33">
        <f t="shared" si="71"/>
        <v>1101.8443737600001</v>
      </c>
    </row>
    <row r="303" spans="1:11" ht="20.25" x14ac:dyDescent="0.25">
      <c r="A303" s="79"/>
      <c r="B303" s="80"/>
      <c r="C303" s="72">
        <v>5</v>
      </c>
      <c r="D303" s="72"/>
      <c r="E303" s="33" t="s">
        <v>159</v>
      </c>
      <c r="F303" s="72">
        <f>(3.05*4.66+2.13*2.44+3.05*3.05+2.13*1.22+2.13*1.22+1*2.13+1.865*1.17)*10.764</f>
        <v>411.4210698</v>
      </c>
      <c r="G303" s="72"/>
      <c r="H303" s="33">
        <v>0</v>
      </c>
      <c r="I303" s="33">
        <f t="shared" si="71"/>
        <v>658.27371168000002</v>
      </c>
    </row>
    <row r="304" spans="1:11" ht="20.25" x14ac:dyDescent="0.25">
      <c r="A304" s="79"/>
      <c r="B304" s="80"/>
      <c r="C304" s="72">
        <v>6</v>
      </c>
      <c r="D304" s="72"/>
      <c r="E304" s="33" t="s">
        <v>159</v>
      </c>
      <c r="F304" s="72">
        <f>(3.05*4.66+2.13*2.44+3.05*3.05+2.13*1.22+2.13*1.22+1*2.13+1.865*1.17)*10.764</f>
        <v>411.4210698</v>
      </c>
      <c r="G304" s="72"/>
      <c r="H304" s="33">
        <v>0</v>
      </c>
      <c r="I304" s="33">
        <f t="shared" si="71"/>
        <v>658.27371168000002</v>
      </c>
    </row>
    <row r="305" spans="1:11" ht="20.25" x14ac:dyDescent="0.25">
      <c r="A305" s="79"/>
      <c r="B305" s="80"/>
      <c r="C305" s="72">
        <v>7</v>
      </c>
      <c r="D305" s="72"/>
      <c r="E305" s="33" t="s">
        <v>158</v>
      </c>
      <c r="F305" s="72">
        <f>(3.05*5.49+2.13*2.44+3.05*3.05+3.05*3.35+1.3*2.13+1.3*2.13+2.53*1.07+1*3.05+2.65*0.9+1.78*1.17)*10.764</f>
        <v>615.96344159999978</v>
      </c>
      <c r="G305" s="72"/>
      <c r="H305" s="33">
        <v>0</v>
      </c>
      <c r="I305" s="33">
        <f t="shared" si="71"/>
        <v>985.54150655999968</v>
      </c>
    </row>
    <row r="306" spans="1:11" ht="20.25" x14ac:dyDescent="0.25">
      <c r="A306" s="81"/>
      <c r="B306" s="82"/>
      <c r="C306" s="72">
        <v>8</v>
      </c>
      <c r="D306" s="72"/>
      <c r="E306" s="73" t="s">
        <v>160</v>
      </c>
      <c r="F306" s="74">
        <f>(3*5.49+2.08*2.44+2.95*3.05+3*3.3+1.2*2.18+1.2*2.18+2.58*1.07)*10.764</f>
        <v>521.35756919999994</v>
      </c>
      <c r="G306" s="74"/>
      <c r="H306" s="74">
        <v>0</v>
      </c>
      <c r="I306" s="75">
        <f t="shared" si="71"/>
        <v>834.17211071999998</v>
      </c>
      <c r="K306" s="9">
        <f>7*6</f>
        <v>42</v>
      </c>
    </row>
    <row r="307" spans="1:11" ht="24" customHeight="1" x14ac:dyDescent="0.25">
      <c r="A307" s="62" t="s">
        <v>76</v>
      </c>
      <c r="B307" s="62"/>
      <c r="C307" s="62"/>
      <c r="D307" s="62"/>
      <c r="E307" s="62"/>
      <c r="F307" s="62"/>
      <c r="G307" s="62"/>
      <c r="H307" s="62"/>
      <c r="I307" s="62"/>
      <c r="K307" s="9">
        <f>SUM(K114:K306)</f>
        <v>859</v>
      </c>
    </row>
    <row r="308" spans="1:11" ht="188.25" customHeight="1" x14ac:dyDescent="0.25">
      <c r="A308" s="23" t="s">
        <v>81</v>
      </c>
      <c r="B308" s="27" t="s">
        <v>4</v>
      </c>
      <c r="C308" s="105" t="s">
        <v>280</v>
      </c>
      <c r="D308" s="105"/>
      <c r="E308" s="105"/>
      <c r="F308" s="105"/>
      <c r="G308" s="105"/>
      <c r="H308" s="105"/>
      <c r="I308" s="105"/>
    </row>
    <row r="309" spans="1:11" ht="21" customHeight="1" x14ac:dyDescent="0.25">
      <c r="A309" s="62" t="s">
        <v>82</v>
      </c>
      <c r="B309" s="62"/>
      <c r="C309" s="62"/>
      <c r="D309" s="62"/>
      <c r="E309" s="62"/>
      <c r="F309" s="62"/>
      <c r="G309" s="62"/>
      <c r="H309" s="62"/>
      <c r="I309" s="62"/>
    </row>
    <row r="310" spans="1:11" ht="20.25" x14ac:dyDescent="0.25">
      <c r="A310" s="106" t="s">
        <v>77</v>
      </c>
      <c r="B310" s="106"/>
      <c r="C310" s="106"/>
      <c r="D310" s="8" t="s">
        <v>4</v>
      </c>
      <c r="E310" s="107" t="str">
        <f>E3</f>
        <v>The Highlands at Godrej City, Panvel 
Tower 1, 2 &amp; 3</v>
      </c>
      <c r="F310" s="108"/>
      <c r="G310" s="108"/>
      <c r="H310" s="108"/>
      <c r="I310" s="109"/>
    </row>
    <row r="311" spans="1:11" ht="43.5" customHeight="1" x14ac:dyDescent="0.25">
      <c r="A311" s="95" t="s">
        <v>144</v>
      </c>
      <c r="B311" s="95"/>
      <c r="C311" s="95"/>
      <c r="D311" s="14" t="s">
        <v>4</v>
      </c>
      <c r="E311" s="110" t="str">
        <f>E11</f>
        <v>The Highlands at Godrej City situated at Village- Talegaon, Taluka- Khalapur, Dist- Raigad - 410221</v>
      </c>
      <c r="F311" s="111"/>
      <c r="G311" s="111"/>
      <c r="H311" s="111"/>
      <c r="I311" s="112"/>
    </row>
    <row r="312" spans="1:11" ht="20.25" x14ac:dyDescent="0.25">
      <c r="A312" s="95" t="s">
        <v>152</v>
      </c>
      <c r="B312" s="95"/>
      <c r="C312" s="95"/>
      <c r="D312" s="14" t="s">
        <v>4</v>
      </c>
      <c r="E312" s="96" t="str">
        <f>I3</f>
        <v>04/07/2025 at 10:51AM</v>
      </c>
      <c r="F312" s="97"/>
      <c r="G312" s="97"/>
      <c r="H312" s="97"/>
      <c r="I312" s="98"/>
    </row>
    <row r="313" spans="1:11" ht="66.75" customHeight="1" x14ac:dyDescent="0.25">
      <c r="A313" s="47"/>
      <c r="B313" s="48"/>
      <c r="C313" s="48"/>
      <c r="D313" s="48"/>
      <c r="E313" s="48"/>
      <c r="F313" s="48"/>
      <c r="G313" s="48"/>
      <c r="H313" s="48"/>
      <c r="I313" s="49"/>
    </row>
    <row r="314" spans="1:11" ht="66.75" customHeight="1" x14ac:dyDescent="0.25">
      <c r="A314" s="50"/>
      <c r="B314" s="51"/>
      <c r="C314" s="51"/>
      <c r="D314" s="51"/>
      <c r="E314" s="51"/>
      <c r="F314" s="51"/>
      <c r="G314" s="51"/>
      <c r="H314" s="51"/>
      <c r="I314" s="52"/>
    </row>
    <row r="315" spans="1:11" ht="66.75" customHeight="1" x14ac:dyDescent="0.25">
      <c r="A315" s="50"/>
      <c r="B315" s="51"/>
      <c r="C315" s="51"/>
      <c r="D315" s="51"/>
      <c r="E315" s="51"/>
      <c r="F315" s="51"/>
      <c r="G315" s="51"/>
      <c r="H315" s="51"/>
      <c r="I315" s="52"/>
    </row>
    <row r="316" spans="1:11" ht="189.75" customHeight="1" x14ac:dyDescent="0.25">
      <c r="A316" s="50"/>
      <c r="B316" s="51"/>
      <c r="C316" s="51"/>
      <c r="D316" s="51"/>
      <c r="E316" s="51"/>
      <c r="F316" s="51"/>
      <c r="G316" s="51"/>
      <c r="H316" s="51"/>
      <c r="I316" s="52"/>
    </row>
    <row r="317" spans="1:11" ht="66.75" customHeight="1" x14ac:dyDescent="0.25">
      <c r="A317" s="50"/>
      <c r="B317" s="51"/>
      <c r="C317" s="51"/>
      <c r="D317" s="51"/>
      <c r="E317" s="51"/>
      <c r="F317" s="51"/>
      <c r="G317" s="51"/>
      <c r="H317" s="51"/>
      <c r="I317" s="52"/>
    </row>
    <row r="318" spans="1:11" ht="20.25" x14ac:dyDescent="0.25">
      <c r="A318" s="50"/>
      <c r="B318" s="51"/>
      <c r="C318" s="51"/>
      <c r="D318" s="51"/>
      <c r="E318" s="51"/>
      <c r="F318" s="51"/>
      <c r="G318" s="51"/>
      <c r="H318" s="51"/>
      <c r="I318" s="52"/>
    </row>
    <row r="319" spans="1:11" ht="20.25" x14ac:dyDescent="0.25">
      <c r="A319" s="50"/>
      <c r="B319" s="51"/>
      <c r="C319" s="51"/>
      <c r="D319" s="51"/>
      <c r="E319" s="51"/>
      <c r="F319" s="51"/>
      <c r="G319" s="51"/>
      <c r="H319" s="51"/>
      <c r="I319" s="52"/>
    </row>
    <row r="320" spans="1:11" ht="20.25" x14ac:dyDescent="0.25">
      <c r="A320" s="50"/>
      <c r="B320" s="51"/>
      <c r="C320" s="51"/>
      <c r="D320" s="51"/>
      <c r="E320" s="51"/>
      <c r="F320" s="51"/>
      <c r="G320" s="51"/>
      <c r="H320" s="51"/>
      <c r="I320" s="52"/>
    </row>
    <row r="321" spans="1:9" ht="20.25" x14ac:dyDescent="0.25">
      <c r="A321" s="50"/>
      <c r="B321" s="51"/>
      <c r="C321" s="51"/>
      <c r="D321" s="51"/>
      <c r="E321" s="51"/>
      <c r="F321" s="51"/>
      <c r="G321" s="51"/>
      <c r="H321" s="51"/>
      <c r="I321" s="52"/>
    </row>
    <row r="322" spans="1:9" ht="20.25" x14ac:dyDescent="0.25">
      <c r="A322" s="50"/>
      <c r="B322" s="51"/>
      <c r="C322" s="51"/>
      <c r="D322" s="51"/>
      <c r="E322" s="51"/>
      <c r="F322" s="51"/>
      <c r="G322" s="51"/>
      <c r="H322" s="51"/>
      <c r="I322" s="52"/>
    </row>
    <row r="323" spans="1:9" ht="20.25" x14ac:dyDescent="0.25">
      <c r="A323" s="50"/>
      <c r="B323" s="51"/>
      <c r="C323" s="51"/>
      <c r="D323" s="51"/>
      <c r="E323" s="51"/>
      <c r="F323" s="51"/>
      <c r="G323" s="51"/>
      <c r="H323" s="51"/>
      <c r="I323" s="52"/>
    </row>
    <row r="324" spans="1:9" ht="20.25" x14ac:dyDescent="0.25">
      <c r="A324" s="50"/>
      <c r="B324" s="51"/>
      <c r="C324" s="51"/>
      <c r="D324" s="51"/>
      <c r="E324" s="51"/>
      <c r="F324" s="51"/>
      <c r="G324" s="51"/>
      <c r="H324" s="51"/>
      <c r="I324" s="52"/>
    </row>
    <row r="325" spans="1:9" ht="20.25" x14ac:dyDescent="0.25">
      <c r="A325" s="50"/>
      <c r="B325" s="51"/>
      <c r="C325" s="51"/>
      <c r="D325" s="51"/>
      <c r="E325" s="51"/>
      <c r="F325" s="51"/>
      <c r="G325" s="51"/>
      <c r="H325" s="51"/>
      <c r="I325" s="52"/>
    </row>
    <row r="326" spans="1:9" ht="20.25" x14ac:dyDescent="0.25">
      <c r="A326" s="50"/>
      <c r="B326" s="51"/>
      <c r="C326" s="51"/>
      <c r="D326" s="51"/>
      <c r="E326" s="51"/>
      <c r="F326" s="51"/>
      <c r="G326" s="51"/>
      <c r="H326" s="51"/>
      <c r="I326" s="52"/>
    </row>
    <row r="327" spans="1:9" ht="20.25" x14ac:dyDescent="0.25">
      <c r="A327" s="50"/>
      <c r="B327" s="51"/>
      <c r="C327" s="51"/>
      <c r="D327" s="51"/>
      <c r="E327" s="51"/>
      <c r="F327" s="51"/>
      <c r="G327" s="51"/>
      <c r="H327" s="51"/>
      <c r="I327" s="52"/>
    </row>
    <row r="328" spans="1:9" ht="20.25" x14ac:dyDescent="0.25">
      <c r="A328" s="50"/>
      <c r="B328" s="51"/>
      <c r="C328" s="51"/>
      <c r="D328" s="51"/>
      <c r="E328" s="51"/>
      <c r="F328" s="51"/>
      <c r="G328" s="51"/>
      <c r="H328" s="51"/>
      <c r="I328" s="52"/>
    </row>
    <row r="329" spans="1:9" ht="20.25" x14ac:dyDescent="0.25">
      <c r="A329" s="50"/>
      <c r="B329" s="51"/>
      <c r="C329" s="51"/>
      <c r="D329" s="51"/>
      <c r="E329" s="51"/>
      <c r="F329" s="51"/>
      <c r="G329" s="51"/>
      <c r="H329" s="51"/>
      <c r="I329" s="52"/>
    </row>
    <row r="330" spans="1:9" ht="20.25" x14ac:dyDescent="0.25">
      <c r="A330" s="50"/>
      <c r="B330" s="51"/>
      <c r="C330" s="51"/>
      <c r="D330" s="51"/>
      <c r="E330" s="51"/>
      <c r="F330" s="51"/>
      <c r="G330" s="51"/>
      <c r="H330" s="51"/>
      <c r="I330" s="52"/>
    </row>
    <row r="331" spans="1:9" ht="20.25" x14ac:dyDescent="0.25">
      <c r="A331" s="50"/>
      <c r="B331" s="51"/>
      <c r="C331" s="51"/>
      <c r="D331" s="51"/>
      <c r="E331" s="51"/>
      <c r="F331" s="51"/>
      <c r="G331" s="51"/>
      <c r="H331" s="51"/>
      <c r="I331" s="52"/>
    </row>
    <row r="332" spans="1:9" ht="20.25" x14ac:dyDescent="0.25">
      <c r="A332" s="50"/>
      <c r="B332" s="51"/>
      <c r="C332" s="51"/>
      <c r="D332" s="51"/>
      <c r="E332" s="51"/>
      <c r="F332" s="51"/>
      <c r="G332" s="51"/>
      <c r="H332" s="51"/>
      <c r="I332" s="52"/>
    </row>
    <row r="333" spans="1:9" ht="20.25" x14ac:dyDescent="0.25">
      <c r="A333" s="50"/>
      <c r="B333" s="51"/>
      <c r="C333" s="51"/>
      <c r="D333" s="51"/>
      <c r="E333" s="51"/>
      <c r="F333" s="51"/>
      <c r="G333" s="51"/>
      <c r="H333" s="51"/>
      <c r="I333" s="52"/>
    </row>
    <row r="334" spans="1:9" ht="20.25" x14ac:dyDescent="0.25">
      <c r="A334" s="50"/>
      <c r="B334" s="51"/>
      <c r="C334" s="51"/>
      <c r="D334" s="51"/>
      <c r="E334" s="51"/>
      <c r="F334" s="51"/>
      <c r="G334" s="51"/>
      <c r="H334" s="51"/>
      <c r="I334" s="52"/>
    </row>
    <row r="335" spans="1:9" ht="20.25" x14ac:dyDescent="0.25">
      <c r="A335" s="50"/>
      <c r="B335" s="51"/>
      <c r="C335" s="51"/>
      <c r="D335" s="51"/>
      <c r="E335" s="51"/>
      <c r="F335" s="51"/>
      <c r="G335" s="51"/>
      <c r="H335" s="51"/>
      <c r="I335" s="52"/>
    </row>
    <row r="336" spans="1:9" ht="20.25" x14ac:dyDescent="0.25">
      <c r="A336" s="50"/>
      <c r="B336" s="51"/>
      <c r="C336" s="51"/>
      <c r="D336" s="51"/>
      <c r="E336" s="51"/>
      <c r="F336" s="51"/>
      <c r="G336" s="51"/>
      <c r="H336" s="51"/>
      <c r="I336" s="52"/>
    </row>
    <row r="337" spans="1:9" ht="23.25" customHeight="1" x14ac:dyDescent="0.25">
      <c r="A337" s="62" t="s">
        <v>83</v>
      </c>
      <c r="B337" s="62"/>
      <c r="C337" s="62"/>
      <c r="D337" s="62"/>
      <c r="E337" s="62"/>
      <c r="F337" s="62"/>
      <c r="G337" s="62"/>
      <c r="H337" s="62"/>
      <c r="I337" s="62"/>
    </row>
    <row r="338" spans="1:9" ht="41.25" customHeight="1" thickBot="1" x14ac:dyDescent="0.3">
      <c r="A338" s="99"/>
      <c r="B338" s="100"/>
      <c r="C338" s="100"/>
      <c r="D338" s="100"/>
      <c r="E338" s="100"/>
      <c r="F338" s="100"/>
      <c r="G338" s="100"/>
      <c r="H338" s="100"/>
      <c r="I338" s="101"/>
    </row>
    <row r="339" spans="1:9" ht="41.25" customHeight="1" thickBot="1" x14ac:dyDescent="0.3">
      <c r="A339" s="102"/>
      <c r="B339" s="103"/>
      <c r="C339" s="103"/>
      <c r="D339" s="103"/>
      <c r="E339" s="103"/>
      <c r="F339" s="103"/>
      <c r="G339" s="103"/>
      <c r="H339" s="103"/>
      <c r="I339" s="104"/>
    </row>
    <row r="340" spans="1:9" ht="41.25" customHeight="1" thickBot="1" x14ac:dyDescent="0.3">
      <c r="A340" s="102"/>
      <c r="B340" s="103"/>
      <c r="C340" s="103"/>
      <c r="D340" s="103"/>
      <c r="E340" s="103"/>
      <c r="F340" s="103"/>
      <c r="G340" s="103"/>
      <c r="H340" s="103"/>
      <c r="I340" s="104"/>
    </row>
    <row r="341" spans="1:9" ht="41.25" customHeight="1" thickBot="1" x14ac:dyDescent="0.3">
      <c r="A341" s="102"/>
      <c r="B341" s="103"/>
      <c r="C341" s="103"/>
      <c r="D341" s="103"/>
      <c r="E341" s="103"/>
      <c r="F341" s="103"/>
      <c r="G341" s="103"/>
      <c r="H341" s="103"/>
      <c r="I341" s="104"/>
    </row>
    <row r="342" spans="1:9" ht="41.25" customHeight="1" thickBot="1" x14ac:dyDescent="0.3">
      <c r="A342" s="102"/>
      <c r="B342" s="103"/>
      <c r="C342" s="103"/>
      <c r="D342" s="103"/>
      <c r="E342" s="103"/>
      <c r="F342" s="103"/>
      <c r="G342" s="103"/>
      <c r="H342" s="103"/>
      <c r="I342" s="104"/>
    </row>
    <row r="343" spans="1:9" ht="41.25" customHeight="1" thickBot="1" x14ac:dyDescent="0.3">
      <c r="A343" s="102"/>
      <c r="B343" s="103"/>
      <c r="C343" s="103"/>
      <c r="D343" s="103"/>
      <c r="E343" s="103"/>
      <c r="F343" s="103"/>
      <c r="G343" s="103"/>
      <c r="H343" s="103"/>
      <c r="I343" s="104"/>
    </row>
    <row r="344" spans="1:9" ht="41.25" customHeight="1" thickBot="1" x14ac:dyDescent="0.3">
      <c r="A344" s="102"/>
      <c r="B344" s="103"/>
      <c r="C344" s="103"/>
      <c r="D344" s="103"/>
      <c r="E344" s="103"/>
      <c r="F344" s="103"/>
      <c r="G344" s="103"/>
      <c r="H344" s="103"/>
      <c r="I344" s="104"/>
    </row>
    <row r="345" spans="1:9" ht="21" thickBot="1" x14ac:dyDescent="0.3">
      <c r="A345" s="102"/>
      <c r="B345" s="103"/>
      <c r="C345" s="103"/>
      <c r="D345" s="103"/>
      <c r="E345" s="103"/>
      <c r="F345" s="103"/>
      <c r="G345" s="103"/>
      <c r="H345" s="103"/>
      <c r="I345" s="104"/>
    </row>
    <row r="346" spans="1:9" ht="24.75" customHeight="1" x14ac:dyDescent="0.25">
      <c r="A346" s="62" t="s">
        <v>28</v>
      </c>
      <c r="B346" s="62"/>
      <c r="C346" s="62"/>
      <c r="D346" s="62"/>
      <c r="E346" s="62"/>
      <c r="F346" s="62"/>
      <c r="G346" s="62"/>
      <c r="H346" s="62"/>
      <c r="I346" s="62"/>
    </row>
    <row r="347" spans="1:9" ht="20.25" x14ac:dyDescent="0.25">
      <c r="A347" s="113" t="s">
        <v>85</v>
      </c>
      <c r="B347" s="114"/>
      <c r="C347" s="114"/>
      <c r="D347" s="114"/>
      <c r="E347" s="114"/>
      <c r="F347" s="114"/>
      <c r="G347" s="114"/>
      <c r="H347" s="114"/>
      <c r="I347" s="115"/>
    </row>
    <row r="348" spans="1:9" ht="20.25" x14ac:dyDescent="0.25">
      <c r="A348" s="113" t="s">
        <v>86</v>
      </c>
      <c r="B348" s="114"/>
      <c r="C348" s="114"/>
      <c r="D348" s="114"/>
      <c r="E348" s="114"/>
      <c r="F348" s="114"/>
      <c r="G348" s="114"/>
      <c r="H348" s="114"/>
      <c r="I348" s="115"/>
    </row>
    <row r="349" spans="1:9" ht="45.75" customHeight="1" x14ac:dyDescent="0.25">
      <c r="A349" s="113" t="s">
        <v>87</v>
      </c>
      <c r="B349" s="114"/>
      <c r="C349" s="114"/>
      <c r="D349" s="114"/>
      <c r="E349" s="114"/>
      <c r="F349" s="114"/>
      <c r="G349" s="114"/>
      <c r="H349" s="114"/>
      <c r="I349" s="115"/>
    </row>
    <row r="350" spans="1:9" ht="42" customHeight="1" x14ac:dyDescent="0.25">
      <c r="A350" s="113" t="s">
        <v>88</v>
      </c>
      <c r="B350" s="114"/>
      <c r="C350" s="114"/>
      <c r="D350" s="114"/>
      <c r="E350" s="114"/>
      <c r="F350" s="114"/>
      <c r="G350" s="114"/>
      <c r="H350" s="114"/>
      <c r="I350" s="115"/>
    </row>
    <row r="351" spans="1:9" ht="20.25" x14ac:dyDescent="0.25">
      <c r="A351" s="113" t="s">
        <v>89</v>
      </c>
      <c r="B351" s="114"/>
      <c r="C351" s="114"/>
      <c r="D351" s="114"/>
      <c r="E351" s="114"/>
      <c r="F351" s="114"/>
      <c r="G351" s="114"/>
      <c r="H351" s="114"/>
      <c r="I351" s="115"/>
    </row>
    <row r="352" spans="1:9" ht="20.25" x14ac:dyDescent="0.25">
      <c r="A352" s="113" t="s">
        <v>90</v>
      </c>
      <c r="B352" s="114"/>
      <c r="C352" s="114"/>
      <c r="D352" s="114"/>
      <c r="E352" s="114"/>
      <c r="F352" s="114"/>
      <c r="G352" s="114"/>
      <c r="H352" s="114"/>
      <c r="I352" s="115"/>
    </row>
    <row r="353" spans="1:9" ht="65.25" customHeight="1" x14ac:dyDescent="0.25">
      <c r="A353" s="113" t="s">
        <v>91</v>
      </c>
      <c r="B353" s="114"/>
      <c r="C353" s="114"/>
      <c r="D353" s="114"/>
      <c r="E353" s="114"/>
      <c r="F353" s="114"/>
      <c r="G353" s="114"/>
      <c r="H353" s="114"/>
      <c r="I353" s="115"/>
    </row>
    <row r="354" spans="1:9" ht="44.25" customHeight="1" x14ac:dyDescent="0.25">
      <c r="A354" s="113" t="s">
        <v>92</v>
      </c>
      <c r="B354" s="114"/>
      <c r="C354" s="114"/>
      <c r="D354" s="114"/>
      <c r="E354" s="114"/>
      <c r="F354" s="114"/>
      <c r="G354" s="114"/>
      <c r="H354" s="114"/>
      <c r="I354" s="115"/>
    </row>
    <row r="355" spans="1:9" ht="20.25" x14ac:dyDescent="0.25">
      <c r="A355" s="116" t="s">
        <v>93</v>
      </c>
      <c r="B355" s="117"/>
      <c r="C355" s="117"/>
      <c r="D355" s="117"/>
      <c r="E355" s="117"/>
      <c r="F355" s="117"/>
      <c r="G355" s="117"/>
      <c r="H355" s="117"/>
      <c r="I355" s="118"/>
    </row>
    <row r="356" spans="1:9" ht="68.25" customHeight="1" x14ac:dyDescent="0.25">
      <c r="A356" s="119" t="s">
        <v>33</v>
      </c>
      <c r="B356" s="119"/>
      <c r="C356" s="119"/>
      <c r="D356" s="8" t="s">
        <v>4</v>
      </c>
      <c r="E356" s="34" t="s">
        <v>275</v>
      </c>
      <c r="F356" s="17" t="s">
        <v>10</v>
      </c>
      <c r="G356" s="8" t="s">
        <v>4</v>
      </c>
      <c r="H356" s="120"/>
      <c r="I356" s="120"/>
    </row>
  </sheetData>
  <mergeCells count="626">
    <mergeCell ref="J4:K4"/>
    <mergeCell ref="F119:G119"/>
    <mergeCell ref="C191:D191"/>
    <mergeCell ref="F191:G191"/>
    <mergeCell ref="F176:G176"/>
    <mergeCell ref="E185:I185"/>
    <mergeCell ref="F178:G178"/>
    <mergeCell ref="C179:D179"/>
    <mergeCell ref="F179:G179"/>
    <mergeCell ref="C180:D180"/>
    <mergeCell ref="F180:G180"/>
    <mergeCell ref="C181:D181"/>
    <mergeCell ref="F181:G181"/>
    <mergeCell ref="C182:D182"/>
    <mergeCell ref="F182:G182"/>
    <mergeCell ref="C183:D183"/>
    <mergeCell ref="F183:G183"/>
    <mergeCell ref="C156:D156"/>
    <mergeCell ref="F156:G156"/>
    <mergeCell ref="C166:D166"/>
    <mergeCell ref="F166:G166"/>
    <mergeCell ref="F171:G171"/>
    <mergeCell ref="C164:D164"/>
    <mergeCell ref="F164:G164"/>
    <mergeCell ref="F115:G115"/>
    <mergeCell ref="A188:I188"/>
    <mergeCell ref="A190:I190"/>
    <mergeCell ref="C130:D130"/>
    <mergeCell ref="C128:D128"/>
    <mergeCell ref="F128:G128"/>
    <mergeCell ref="C129:D129"/>
    <mergeCell ref="F129:G129"/>
    <mergeCell ref="C117:D117"/>
    <mergeCell ref="C167:D167"/>
    <mergeCell ref="E167:I167"/>
    <mergeCell ref="A168:I168"/>
    <mergeCell ref="A169:B176"/>
    <mergeCell ref="C169:D169"/>
    <mergeCell ref="C171:D171"/>
    <mergeCell ref="C174:D174"/>
    <mergeCell ref="F174:G174"/>
    <mergeCell ref="C175:D175"/>
    <mergeCell ref="F175:G175"/>
    <mergeCell ref="C176:D176"/>
    <mergeCell ref="F169:G169"/>
    <mergeCell ref="F126:G126"/>
    <mergeCell ref="C127:D127"/>
    <mergeCell ref="F127:G127"/>
    <mergeCell ref="A4:C4"/>
    <mergeCell ref="E4:F4"/>
    <mergeCell ref="G4:H4"/>
    <mergeCell ref="A5:I5"/>
    <mergeCell ref="A6:C6"/>
    <mergeCell ref="H6:I6"/>
    <mergeCell ref="A1:I1"/>
    <mergeCell ref="A2:C2"/>
    <mergeCell ref="E2:F2"/>
    <mergeCell ref="G2:H2"/>
    <mergeCell ref="A3:C3"/>
    <mergeCell ref="E3:F3"/>
    <mergeCell ref="G3:H3"/>
    <mergeCell ref="A12:C12"/>
    <mergeCell ref="E12:I12"/>
    <mergeCell ref="A13:I13"/>
    <mergeCell ref="A14:C14"/>
    <mergeCell ref="H14:I14"/>
    <mergeCell ref="A15:C15"/>
    <mergeCell ref="H15:I15"/>
    <mergeCell ref="A7:C7"/>
    <mergeCell ref="H7:I7"/>
    <mergeCell ref="A8:C8"/>
    <mergeCell ref="E8:I8"/>
    <mergeCell ref="A9:A11"/>
    <mergeCell ref="E9:I9"/>
    <mergeCell ref="E10:I10"/>
    <mergeCell ref="E11:I11"/>
    <mergeCell ref="A19:C19"/>
    <mergeCell ref="H19:I19"/>
    <mergeCell ref="A20:C20"/>
    <mergeCell ref="H20:I20"/>
    <mergeCell ref="A21:C21"/>
    <mergeCell ref="H21:I21"/>
    <mergeCell ref="A16:C16"/>
    <mergeCell ref="H16:I16"/>
    <mergeCell ref="A17:C17"/>
    <mergeCell ref="H17:I17"/>
    <mergeCell ref="A18:C18"/>
    <mergeCell ref="H18:I18"/>
    <mergeCell ref="A26:C26"/>
    <mergeCell ref="H26:I26"/>
    <mergeCell ref="A27:C27"/>
    <mergeCell ref="H27:I27"/>
    <mergeCell ref="A28:C28"/>
    <mergeCell ref="H28:I28"/>
    <mergeCell ref="A22:C22"/>
    <mergeCell ref="H22:I22"/>
    <mergeCell ref="A23:C23"/>
    <mergeCell ref="E23:I23"/>
    <mergeCell ref="A24:I24"/>
    <mergeCell ref="A25:C25"/>
    <mergeCell ref="H25:I25"/>
    <mergeCell ref="A35:C35"/>
    <mergeCell ref="H35:I35"/>
    <mergeCell ref="A36:I36"/>
    <mergeCell ref="A37:C37"/>
    <mergeCell ref="G37:H37"/>
    <mergeCell ref="A38:C38"/>
    <mergeCell ref="G38:H38"/>
    <mergeCell ref="A29:C29"/>
    <mergeCell ref="H29:I29"/>
    <mergeCell ref="A32:I32"/>
    <mergeCell ref="A33:C33"/>
    <mergeCell ref="H33:I33"/>
    <mergeCell ref="A34:C34"/>
    <mergeCell ref="H34:I34"/>
    <mergeCell ref="A30:C30"/>
    <mergeCell ref="H30:I30"/>
    <mergeCell ref="A31:C31"/>
    <mergeCell ref="E31:I31"/>
    <mergeCell ref="A39:C39"/>
    <mergeCell ref="G39:H39"/>
    <mergeCell ref="A40:C40"/>
    <mergeCell ref="H40:I40"/>
    <mergeCell ref="A41:I41"/>
    <mergeCell ref="A42:C42"/>
    <mergeCell ref="D42:E42"/>
    <mergeCell ref="F42:G42"/>
    <mergeCell ref="H42:I42"/>
    <mergeCell ref="A43:C43"/>
    <mergeCell ref="D43:E43"/>
    <mergeCell ref="F43:G43"/>
    <mergeCell ref="H43:I43"/>
    <mergeCell ref="A45:C45"/>
    <mergeCell ref="D45:E45"/>
    <mergeCell ref="F45:G45"/>
    <mergeCell ref="H45:I45"/>
    <mergeCell ref="A44:C44"/>
    <mergeCell ref="D44:E44"/>
    <mergeCell ref="F44:G44"/>
    <mergeCell ref="H44:I44"/>
    <mergeCell ref="A71:B71"/>
    <mergeCell ref="C71:D71"/>
    <mergeCell ref="F71:G82"/>
    <mergeCell ref="H71:I82"/>
    <mergeCell ref="A72:B72"/>
    <mergeCell ref="C72:D72"/>
    <mergeCell ref="A73:B73"/>
    <mergeCell ref="A46:I46"/>
    <mergeCell ref="A47:C47"/>
    <mergeCell ref="H47:I47"/>
    <mergeCell ref="A48:C48"/>
    <mergeCell ref="H48:I48"/>
    <mergeCell ref="A49:C49"/>
    <mergeCell ref="H49:I49"/>
    <mergeCell ref="A50:C50"/>
    <mergeCell ref="H50:I50"/>
    <mergeCell ref="A67:I67"/>
    <mergeCell ref="A68:C69"/>
    <mergeCell ref="D68:D69"/>
    <mergeCell ref="F68:G68"/>
    <mergeCell ref="F69:G69"/>
    <mergeCell ref="A70:B70"/>
    <mergeCell ref="C70:D70"/>
    <mergeCell ref="F70:G70"/>
    <mergeCell ref="C282:D282"/>
    <mergeCell ref="C283:D283"/>
    <mergeCell ref="F283:G283"/>
    <mergeCell ref="F238:G238"/>
    <mergeCell ref="A133:B140"/>
    <mergeCell ref="F117:G117"/>
    <mergeCell ref="C118:D118"/>
    <mergeCell ref="F118:G118"/>
    <mergeCell ref="C119:D119"/>
    <mergeCell ref="A189:I189"/>
    <mergeCell ref="A123:I123"/>
    <mergeCell ref="A132:I132"/>
    <mergeCell ref="A187:I187"/>
    <mergeCell ref="C120:D120"/>
    <mergeCell ref="F120:G120"/>
    <mergeCell ref="C121:D121"/>
    <mergeCell ref="F121:G121"/>
    <mergeCell ref="C122:D122"/>
    <mergeCell ref="F122:G122"/>
    <mergeCell ref="A117:B122"/>
    <mergeCell ref="A124:B131"/>
    <mergeCell ref="C124:D124"/>
    <mergeCell ref="F124:G124"/>
    <mergeCell ref="C125:D125"/>
    <mergeCell ref="F279:G279"/>
    <mergeCell ref="C272:D272"/>
    <mergeCell ref="F272:G272"/>
    <mergeCell ref="A111:I111"/>
    <mergeCell ref="A280:I280"/>
    <mergeCell ref="C281:D281"/>
    <mergeCell ref="A99:H99"/>
    <mergeCell ref="A100:I100"/>
    <mergeCell ref="A101:C101"/>
    <mergeCell ref="H101:I101"/>
    <mergeCell ref="A102:C102"/>
    <mergeCell ref="H102:I102"/>
    <mergeCell ref="A103:C103"/>
    <mergeCell ref="H103:I103"/>
    <mergeCell ref="A108:I108"/>
    <mergeCell ref="A112:I112"/>
    <mergeCell ref="A113:I113"/>
    <mergeCell ref="A116:I116"/>
    <mergeCell ref="A114:B115"/>
    <mergeCell ref="F125:G125"/>
    <mergeCell ref="C126:D126"/>
    <mergeCell ref="C114:D114"/>
    <mergeCell ref="F114:G114"/>
    <mergeCell ref="C115:D115"/>
    <mergeCell ref="F293:G293"/>
    <mergeCell ref="C294:D294"/>
    <mergeCell ref="F294:G294"/>
    <mergeCell ref="C284:D284"/>
    <mergeCell ref="F240:G240"/>
    <mergeCell ref="F241:G241"/>
    <mergeCell ref="C241:D241"/>
    <mergeCell ref="C238:D238"/>
    <mergeCell ref="C240:D240"/>
    <mergeCell ref="A255:I255"/>
    <mergeCell ref="A253:I253"/>
    <mergeCell ref="A254:I254"/>
    <mergeCell ref="A256:I256"/>
    <mergeCell ref="A257:I257"/>
    <mergeCell ref="A258:I258"/>
    <mergeCell ref="A259:I259"/>
    <mergeCell ref="C260:D260"/>
    <mergeCell ref="F260:G260"/>
    <mergeCell ref="C261:D261"/>
    <mergeCell ref="F261:G261"/>
    <mergeCell ref="C262:D262"/>
    <mergeCell ref="C263:D263"/>
    <mergeCell ref="F263:G263"/>
    <mergeCell ref="C279:D279"/>
    <mergeCell ref="C290:D290"/>
    <mergeCell ref="C285:D285"/>
    <mergeCell ref="F285:G285"/>
    <mergeCell ref="C286:D286"/>
    <mergeCell ref="F286:G286"/>
    <mergeCell ref="C287:D287"/>
    <mergeCell ref="F287:G287"/>
    <mergeCell ref="C288:D288"/>
    <mergeCell ref="F290:G290"/>
    <mergeCell ref="A354:I354"/>
    <mergeCell ref="A355:I355"/>
    <mergeCell ref="A356:C356"/>
    <mergeCell ref="H356:I356"/>
    <mergeCell ref="A346:I346"/>
    <mergeCell ref="A347:I347"/>
    <mergeCell ref="A348:I348"/>
    <mergeCell ref="A349:I349"/>
    <mergeCell ref="A350:I350"/>
    <mergeCell ref="A351:I351"/>
    <mergeCell ref="A352:I352"/>
    <mergeCell ref="A353:I353"/>
    <mergeCell ref="A312:C312"/>
    <mergeCell ref="E312:I312"/>
    <mergeCell ref="A337:I337"/>
    <mergeCell ref="A338:I345"/>
    <mergeCell ref="A307:I307"/>
    <mergeCell ref="C308:I308"/>
    <mergeCell ref="A309:I309"/>
    <mergeCell ref="A310:C310"/>
    <mergeCell ref="E310:I310"/>
    <mergeCell ref="A311:C311"/>
    <mergeCell ref="E311:I311"/>
    <mergeCell ref="C302:D302"/>
    <mergeCell ref="F302:G302"/>
    <mergeCell ref="C303:D303"/>
    <mergeCell ref="F303:G303"/>
    <mergeCell ref="C304:D304"/>
    <mergeCell ref="C305:D305"/>
    <mergeCell ref="C306:D306"/>
    <mergeCell ref="E306:I306"/>
    <mergeCell ref="F305:G305"/>
    <mergeCell ref="F304:G304"/>
    <mergeCell ref="A109:B109"/>
    <mergeCell ref="C109:D109"/>
    <mergeCell ref="F109:G109"/>
    <mergeCell ref="A104:I104"/>
    <mergeCell ref="A105:F105"/>
    <mergeCell ref="H105:I105"/>
    <mergeCell ref="A106:F106"/>
    <mergeCell ref="H106:I106"/>
    <mergeCell ref="A107:F107"/>
    <mergeCell ref="H107:I107"/>
    <mergeCell ref="C198:D198"/>
    <mergeCell ref="F198:G198"/>
    <mergeCell ref="C202:D202"/>
    <mergeCell ref="F202:G202"/>
    <mergeCell ref="C203:D203"/>
    <mergeCell ref="F203:G203"/>
    <mergeCell ref="C184:D184"/>
    <mergeCell ref="F184:G184"/>
    <mergeCell ref="C185:D185"/>
    <mergeCell ref="C199:D199"/>
    <mergeCell ref="F199:G199"/>
    <mergeCell ref="A200:I200"/>
    <mergeCell ref="A193:B194"/>
    <mergeCell ref="C194:D194"/>
    <mergeCell ref="F194:G194"/>
    <mergeCell ref="A195:I195"/>
    <mergeCell ref="A196:B199"/>
    <mergeCell ref="A192:I192"/>
    <mergeCell ref="C193:D193"/>
    <mergeCell ref="F193:G193"/>
    <mergeCell ref="A186:I186"/>
    <mergeCell ref="A201:B207"/>
    <mergeCell ref="C204:D204"/>
    <mergeCell ref="A191:B191"/>
    <mergeCell ref="F165:G165"/>
    <mergeCell ref="C172:D172"/>
    <mergeCell ref="F172:G172"/>
    <mergeCell ref="C196:D196"/>
    <mergeCell ref="F196:G196"/>
    <mergeCell ref="C197:D197"/>
    <mergeCell ref="C173:D173"/>
    <mergeCell ref="F173:G173"/>
    <mergeCell ref="A177:I177"/>
    <mergeCell ref="A178:B185"/>
    <mergeCell ref="C178:D178"/>
    <mergeCell ref="F197:G197"/>
    <mergeCell ref="C165:D165"/>
    <mergeCell ref="F130:G130"/>
    <mergeCell ref="C131:D131"/>
    <mergeCell ref="F131:G131"/>
    <mergeCell ref="F147:G147"/>
    <mergeCell ref="C147:D147"/>
    <mergeCell ref="F136:G136"/>
    <mergeCell ref="C145:D145"/>
    <mergeCell ref="F145:G145"/>
    <mergeCell ref="C155:D155"/>
    <mergeCell ref="F155:G155"/>
    <mergeCell ref="C133:D133"/>
    <mergeCell ref="F133:G133"/>
    <mergeCell ref="C134:D134"/>
    <mergeCell ref="F134:G134"/>
    <mergeCell ref="C135:D135"/>
    <mergeCell ref="F135:G135"/>
    <mergeCell ref="C136:D136"/>
    <mergeCell ref="C142:D142"/>
    <mergeCell ref="F142:G142"/>
    <mergeCell ref="C143:D143"/>
    <mergeCell ref="F143:G143"/>
    <mergeCell ref="C144:D144"/>
    <mergeCell ref="F144:G144"/>
    <mergeCell ref="C146:D146"/>
    <mergeCell ref="C137:D137"/>
    <mergeCell ref="F137:G137"/>
    <mergeCell ref="C138:D138"/>
    <mergeCell ref="F138:G138"/>
    <mergeCell ref="C139:D139"/>
    <mergeCell ref="F139:G139"/>
    <mergeCell ref="C140:D140"/>
    <mergeCell ref="F140:G140"/>
    <mergeCell ref="C201:D201"/>
    <mergeCell ref="F201:G201"/>
    <mergeCell ref="A150:I150"/>
    <mergeCell ref="A151:B158"/>
    <mergeCell ref="C153:D153"/>
    <mergeCell ref="F153:G153"/>
    <mergeCell ref="C154:D154"/>
    <mergeCell ref="F154:G154"/>
    <mergeCell ref="A159:I159"/>
    <mergeCell ref="A160:B167"/>
    <mergeCell ref="C160:D160"/>
    <mergeCell ref="F160:G160"/>
    <mergeCell ref="A141:I141"/>
    <mergeCell ref="A142:B149"/>
    <mergeCell ref="C170:D170"/>
    <mergeCell ref="F170:G170"/>
    <mergeCell ref="C206:D206"/>
    <mergeCell ref="F206:G206"/>
    <mergeCell ref="F146:G146"/>
    <mergeCell ref="C148:D148"/>
    <mergeCell ref="F148:G148"/>
    <mergeCell ref="C149:D149"/>
    <mergeCell ref="F149:G149"/>
    <mergeCell ref="C157:D157"/>
    <mergeCell ref="F157:G157"/>
    <mergeCell ref="C158:D158"/>
    <mergeCell ref="F158:G158"/>
    <mergeCell ref="C151:D151"/>
    <mergeCell ref="F151:G151"/>
    <mergeCell ref="C152:D152"/>
    <mergeCell ref="F152:G152"/>
    <mergeCell ref="F204:G204"/>
    <mergeCell ref="C205:D205"/>
    <mergeCell ref="F205:G205"/>
    <mergeCell ref="C161:D161"/>
    <mergeCell ref="F161:G161"/>
    <mergeCell ref="C162:D162"/>
    <mergeCell ref="F162:G162"/>
    <mergeCell ref="C163:D163"/>
    <mergeCell ref="F163:G163"/>
    <mergeCell ref="C207:D207"/>
    <mergeCell ref="F207:G207"/>
    <mergeCell ref="F262:G262"/>
    <mergeCell ref="F212:G212"/>
    <mergeCell ref="C213:D213"/>
    <mergeCell ref="F213:G213"/>
    <mergeCell ref="C214:D214"/>
    <mergeCell ref="F214:G214"/>
    <mergeCell ref="C215:D215"/>
    <mergeCell ref="F215:G215"/>
    <mergeCell ref="A216:I216"/>
    <mergeCell ref="C217:D217"/>
    <mergeCell ref="F217:G217"/>
    <mergeCell ref="C219:D219"/>
    <mergeCell ref="F219:G219"/>
    <mergeCell ref="C220:D220"/>
    <mergeCell ref="F220:G220"/>
    <mergeCell ref="A252:I252"/>
    <mergeCell ref="C237:D237"/>
    <mergeCell ref="F237:G237"/>
    <mergeCell ref="C221:D221"/>
    <mergeCell ref="F221:G221"/>
    <mergeCell ref="A217:B224"/>
    <mergeCell ref="C222:D222"/>
    <mergeCell ref="C269:D269"/>
    <mergeCell ref="F269:G269"/>
    <mergeCell ref="C267:D267"/>
    <mergeCell ref="F267:G267"/>
    <mergeCell ref="C268:D268"/>
    <mergeCell ref="F268:G268"/>
    <mergeCell ref="F236:G236"/>
    <mergeCell ref="A208:I208"/>
    <mergeCell ref="C209:D209"/>
    <mergeCell ref="F209:G209"/>
    <mergeCell ref="C210:D210"/>
    <mergeCell ref="F210:G210"/>
    <mergeCell ref="C211:D211"/>
    <mergeCell ref="F211:G211"/>
    <mergeCell ref="C212:D212"/>
    <mergeCell ref="F224:G224"/>
    <mergeCell ref="C218:D218"/>
    <mergeCell ref="F218:G218"/>
    <mergeCell ref="A209:B215"/>
    <mergeCell ref="F266:G266"/>
    <mergeCell ref="C239:D239"/>
    <mergeCell ref="F239:G239"/>
    <mergeCell ref="C247:D247"/>
    <mergeCell ref="A243:I243"/>
    <mergeCell ref="F222:G222"/>
    <mergeCell ref="C223:D223"/>
    <mergeCell ref="F223:G223"/>
    <mergeCell ref="A260:B263"/>
    <mergeCell ref="A265:B270"/>
    <mergeCell ref="C244:D244"/>
    <mergeCell ref="F244:G244"/>
    <mergeCell ref="C245:D245"/>
    <mergeCell ref="F245:G245"/>
    <mergeCell ref="C246:D246"/>
    <mergeCell ref="F246:G246"/>
    <mergeCell ref="C242:D242"/>
    <mergeCell ref="F265:G265"/>
    <mergeCell ref="C266:D266"/>
    <mergeCell ref="A225:I225"/>
    <mergeCell ref="F247:G247"/>
    <mergeCell ref="C224:D224"/>
    <mergeCell ref="C265:D265"/>
    <mergeCell ref="C226:D226"/>
    <mergeCell ref="F226:G226"/>
    <mergeCell ref="C227:D227"/>
    <mergeCell ref="F227:G227"/>
    <mergeCell ref="C228:D228"/>
    <mergeCell ref="F228:G228"/>
    <mergeCell ref="C229:D229"/>
    <mergeCell ref="F229:G229"/>
    <mergeCell ref="A264:I264"/>
    <mergeCell ref="F242:G242"/>
    <mergeCell ref="C230:D230"/>
    <mergeCell ref="F230:G230"/>
    <mergeCell ref="C231:D231"/>
    <mergeCell ref="F231:G231"/>
    <mergeCell ref="C232:D232"/>
    <mergeCell ref="A235:B242"/>
    <mergeCell ref="A244:B251"/>
    <mergeCell ref="C278:D278"/>
    <mergeCell ref="F278:G278"/>
    <mergeCell ref="F274:G274"/>
    <mergeCell ref="C275:D275"/>
    <mergeCell ref="C301:D301"/>
    <mergeCell ref="A290:B297"/>
    <mergeCell ref="A272:B279"/>
    <mergeCell ref="A281:B288"/>
    <mergeCell ref="F301:G301"/>
    <mergeCell ref="F288:G288"/>
    <mergeCell ref="F296:G296"/>
    <mergeCell ref="C299:D299"/>
    <mergeCell ref="F299:G299"/>
    <mergeCell ref="F295:G295"/>
    <mergeCell ref="A298:I298"/>
    <mergeCell ref="F281:G281"/>
    <mergeCell ref="F282:G282"/>
    <mergeCell ref="F284:G284"/>
    <mergeCell ref="C297:D297"/>
    <mergeCell ref="F297:G297"/>
    <mergeCell ref="C291:D291"/>
    <mergeCell ref="F291:G291"/>
    <mergeCell ref="C296:D296"/>
    <mergeCell ref="C295:D295"/>
    <mergeCell ref="C270:D270"/>
    <mergeCell ref="F275:G275"/>
    <mergeCell ref="C276:D276"/>
    <mergeCell ref="F276:G276"/>
    <mergeCell ref="C277:D277"/>
    <mergeCell ref="F277:G277"/>
    <mergeCell ref="F270:G270"/>
    <mergeCell ref="C273:D273"/>
    <mergeCell ref="F273:G273"/>
    <mergeCell ref="A271:I271"/>
    <mergeCell ref="C274:D274"/>
    <mergeCell ref="A110:I110"/>
    <mergeCell ref="C300:D300"/>
    <mergeCell ref="F300:G300"/>
    <mergeCell ref="F232:G232"/>
    <mergeCell ref="C233:D233"/>
    <mergeCell ref="E233:I233"/>
    <mergeCell ref="C248:D248"/>
    <mergeCell ref="F248:G248"/>
    <mergeCell ref="C249:D249"/>
    <mergeCell ref="F249:G249"/>
    <mergeCell ref="C250:D250"/>
    <mergeCell ref="F250:G250"/>
    <mergeCell ref="C251:D251"/>
    <mergeCell ref="E251:I251"/>
    <mergeCell ref="A234:I234"/>
    <mergeCell ref="C235:D235"/>
    <mergeCell ref="F235:G235"/>
    <mergeCell ref="C236:D236"/>
    <mergeCell ref="A226:B233"/>
    <mergeCell ref="A299:B306"/>
    <mergeCell ref="A289:I289"/>
    <mergeCell ref="C292:D292"/>
    <mergeCell ref="F292:G292"/>
    <mergeCell ref="C293:D293"/>
    <mergeCell ref="C73:D73"/>
    <mergeCell ref="A74:B74"/>
    <mergeCell ref="C74:D74"/>
    <mergeCell ref="A75:B75"/>
    <mergeCell ref="C75:D75"/>
    <mergeCell ref="A76:B76"/>
    <mergeCell ref="C76:D76"/>
    <mergeCell ref="A77:B77"/>
    <mergeCell ref="C77:D77"/>
    <mergeCell ref="A78:B78"/>
    <mergeCell ref="C78:D78"/>
    <mergeCell ref="A79:B79"/>
    <mergeCell ref="C79:D79"/>
    <mergeCell ref="A80:B80"/>
    <mergeCell ref="C80:D80"/>
    <mergeCell ref="A81:B81"/>
    <mergeCell ref="C81:D81"/>
    <mergeCell ref="A82:B82"/>
    <mergeCell ref="C82:D82"/>
    <mergeCell ref="A51:I51"/>
    <mergeCell ref="A52:C53"/>
    <mergeCell ref="D52:D53"/>
    <mergeCell ref="F52:G52"/>
    <mergeCell ref="F53:G53"/>
    <mergeCell ref="A54:B54"/>
    <mergeCell ref="C54:D54"/>
    <mergeCell ref="F54:G54"/>
    <mergeCell ref="A55:B55"/>
    <mergeCell ref="C55:D55"/>
    <mergeCell ref="F55:G66"/>
    <mergeCell ref="H55:I66"/>
    <mergeCell ref="A56:B56"/>
    <mergeCell ref="C56:D56"/>
    <mergeCell ref="A57:B57"/>
    <mergeCell ref="C57:D57"/>
    <mergeCell ref="A58:B58"/>
    <mergeCell ref="C58:D58"/>
    <mergeCell ref="A59:B59"/>
    <mergeCell ref="C59:D59"/>
    <mergeCell ref="A60:B60"/>
    <mergeCell ref="C60:D60"/>
    <mergeCell ref="A61:B61"/>
    <mergeCell ref="C61:D61"/>
    <mergeCell ref="A62:B62"/>
    <mergeCell ref="C62:D62"/>
    <mergeCell ref="A63:B63"/>
    <mergeCell ref="C63:D63"/>
    <mergeCell ref="A64:B64"/>
    <mergeCell ref="C64:D64"/>
    <mergeCell ref="A65:B65"/>
    <mergeCell ref="C65:D65"/>
    <mergeCell ref="A66:B66"/>
    <mergeCell ref="C66:D66"/>
    <mergeCell ref="A83:I83"/>
    <mergeCell ref="A84:C85"/>
    <mergeCell ref="D84:D85"/>
    <mergeCell ref="F84:G84"/>
    <mergeCell ref="F85:G85"/>
    <mergeCell ref="A86:B86"/>
    <mergeCell ref="C86:D86"/>
    <mergeCell ref="F86:G86"/>
    <mergeCell ref="A87:B87"/>
    <mergeCell ref="C87:D87"/>
    <mergeCell ref="F87:G98"/>
    <mergeCell ref="H87:I98"/>
    <mergeCell ref="A88:B88"/>
    <mergeCell ref="C88:D88"/>
    <mergeCell ref="A89:B89"/>
    <mergeCell ref="C89:D89"/>
    <mergeCell ref="A90:B90"/>
    <mergeCell ref="C90:D90"/>
    <mergeCell ref="A91:B91"/>
    <mergeCell ref="C91:D91"/>
    <mergeCell ref="A92:B92"/>
    <mergeCell ref="C92:D92"/>
    <mergeCell ref="A93:B93"/>
    <mergeCell ref="C93:D93"/>
    <mergeCell ref="A94:B94"/>
    <mergeCell ref="C94:D94"/>
    <mergeCell ref="A95:B95"/>
    <mergeCell ref="C95:D95"/>
    <mergeCell ref="A96:B96"/>
    <mergeCell ref="C96:D96"/>
    <mergeCell ref="A97:B97"/>
    <mergeCell ref="C97:D97"/>
    <mergeCell ref="A98:B98"/>
    <mergeCell ref="C98:D98"/>
  </mergeCells>
  <printOptions horizontalCentered="1"/>
  <pageMargins left="0.19685039370078741" right="0.19685039370078741" top="0.78740157480314965" bottom="0.78740157480314965" header="0.19685039370078741" footer="0.19685039370078741"/>
  <pageSetup paperSize="9" scale="63" fitToHeight="0" orientation="portrait" r:id="rId1"/>
  <headerFooter>
    <oddHeader>&amp;C&amp;G</oddHeader>
    <oddFooter>&amp;L&amp;"Times New Roman,Bold"&amp;16Ref No: &amp;F&amp;R&amp;"Times New Roman,Bold"&amp;16&amp;P</oddFooter>
  </headerFooter>
  <rowBreaks count="3" manualBreakCount="3">
    <brk id="82" max="16383" man="1"/>
    <brk id="308" max="8" man="1"/>
    <brk id="336"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13" workbookViewId="0">
      <selection sqref="A1:XFD1048576"/>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112</v>
      </c>
      <c r="B2" s="1" t="s">
        <v>113</v>
      </c>
      <c r="C2" s="1">
        <v>26</v>
      </c>
    </row>
    <row r="3" spans="1:15" x14ac:dyDescent="0.25">
      <c r="B3" t="s">
        <v>114</v>
      </c>
      <c r="C3" t="s">
        <v>115</v>
      </c>
    </row>
    <row r="4" spans="1:15" x14ac:dyDescent="0.25">
      <c r="A4" t="s">
        <v>116</v>
      </c>
      <c r="B4" s="2">
        <v>10</v>
      </c>
      <c r="C4" s="2">
        <v>10</v>
      </c>
      <c r="E4">
        <f>(100/B4)*C4</f>
        <v>100</v>
      </c>
    </row>
    <row r="5" spans="1:15" x14ac:dyDescent="0.25">
      <c r="A5" t="s">
        <v>117</v>
      </c>
      <c r="B5" t="s">
        <v>118</v>
      </c>
      <c r="C5" t="s">
        <v>119</v>
      </c>
      <c r="E5">
        <f>(100/B6)*C6</f>
        <v>96.296296296296291</v>
      </c>
      <c r="I5" s="2" t="s">
        <v>120</v>
      </c>
      <c r="J5" s="2" t="s">
        <v>121</v>
      </c>
      <c r="K5" s="2" t="s">
        <v>122</v>
      </c>
      <c r="L5" s="2" t="s">
        <v>123</v>
      </c>
      <c r="M5" s="2" t="s">
        <v>124</v>
      </c>
      <c r="N5" s="2" t="s">
        <v>125</v>
      </c>
      <c r="O5" s="2" t="s">
        <v>126</v>
      </c>
    </row>
    <row r="6" spans="1:15" x14ac:dyDescent="0.25">
      <c r="B6" s="2">
        <f>C2+1</f>
        <v>27</v>
      </c>
      <c r="C6" s="2">
        <v>26</v>
      </c>
      <c r="E6">
        <f>(100/B8)*C8</f>
        <v>0</v>
      </c>
      <c r="F6" s="3" t="s">
        <v>127</v>
      </c>
      <c r="I6" s="3">
        <f>C4</f>
        <v>10</v>
      </c>
      <c r="J6" s="3">
        <f>40/B6*C6</f>
        <v>38.518518518518519</v>
      </c>
      <c r="K6" s="3">
        <f>15/B8*C8</f>
        <v>0</v>
      </c>
      <c r="L6" s="3">
        <f>10/B10*C10</f>
        <v>0</v>
      </c>
      <c r="M6" s="3">
        <f>10/B12*C12</f>
        <v>0</v>
      </c>
      <c r="N6" s="3">
        <f>5/B14*C14</f>
        <v>0</v>
      </c>
      <c r="O6" s="3">
        <f>5/B16*C16</f>
        <v>0</v>
      </c>
    </row>
    <row r="7" spans="1:15" x14ac:dyDescent="0.25">
      <c r="A7" t="s">
        <v>128</v>
      </c>
      <c r="B7" t="s">
        <v>129</v>
      </c>
      <c r="C7" t="s">
        <v>130</v>
      </c>
      <c r="E7">
        <f>(100/B10)*C10</f>
        <v>0</v>
      </c>
      <c r="F7" s="2" t="s">
        <v>131</v>
      </c>
      <c r="G7" s="2"/>
      <c r="H7" s="2"/>
      <c r="I7" s="2">
        <f>I6+20</f>
        <v>30</v>
      </c>
      <c r="J7" s="2">
        <f>30/B6*C6</f>
        <v>28.888888888888889</v>
      </c>
      <c r="K7" s="2">
        <f>15/B8*C8</f>
        <v>0</v>
      </c>
      <c r="L7" s="2">
        <f>10/B10*C10</f>
        <v>0</v>
      </c>
      <c r="M7" s="2">
        <f>5/B12*C12</f>
        <v>0</v>
      </c>
      <c r="N7" s="2">
        <f>5/B14*C14</f>
        <v>0</v>
      </c>
      <c r="O7" s="2">
        <f>5/B16*C16</f>
        <v>0</v>
      </c>
    </row>
    <row r="8" spans="1:15" x14ac:dyDescent="0.25">
      <c r="B8" s="2">
        <f>C2</f>
        <v>26</v>
      </c>
      <c r="C8" s="2">
        <v>0</v>
      </c>
      <c r="E8">
        <f>(100/B12)*C12</f>
        <v>0</v>
      </c>
    </row>
    <row r="9" spans="1:15" x14ac:dyDescent="0.25">
      <c r="A9" t="s">
        <v>132</v>
      </c>
      <c r="B9" t="s">
        <v>129</v>
      </c>
      <c r="C9" t="s">
        <v>130</v>
      </c>
      <c r="E9">
        <f>(100/B14)*C14</f>
        <v>0</v>
      </c>
    </row>
    <row r="10" spans="1:15" x14ac:dyDescent="0.25">
      <c r="B10" s="2">
        <f>C2</f>
        <v>26</v>
      </c>
      <c r="C10" s="2">
        <v>0</v>
      </c>
      <c r="E10">
        <f>(100/B16)*C16</f>
        <v>0</v>
      </c>
    </row>
    <row r="11" spans="1:15" x14ac:dyDescent="0.25">
      <c r="A11" t="s">
        <v>124</v>
      </c>
      <c r="B11" t="s">
        <v>129</v>
      </c>
      <c r="C11" t="s">
        <v>130</v>
      </c>
    </row>
    <row r="12" spans="1:15" x14ac:dyDescent="0.25">
      <c r="B12" s="2">
        <f>C2</f>
        <v>26</v>
      </c>
      <c r="C12" s="2">
        <v>0</v>
      </c>
      <c r="F12" s="2"/>
      <c r="G12" s="2" t="s">
        <v>127</v>
      </c>
      <c r="H12" s="2" t="s">
        <v>133</v>
      </c>
      <c r="L12" t="s">
        <v>134</v>
      </c>
    </row>
    <row r="13" spans="1:15" ht="30" x14ac:dyDescent="0.25">
      <c r="A13" s="4" t="s">
        <v>125</v>
      </c>
      <c r="B13" t="s">
        <v>129</v>
      </c>
      <c r="C13" t="s">
        <v>130</v>
      </c>
      <c r="F13" s="2" t="s">
        <v>135</v>
      </c>
      <c r="G13" s="2">
        <f>I6</f>
        <v>10</v>
      </c>
      <c r="H13" s="2">
        <f>I7</f>
        <v>30</v>
      </c>
      <c r="L13" t="s">
        <v>134</v>
      </c>
    </row>
    <row r="14" spans="1:15" x14ac:dyDescent="0.25">
      <c r="B14" s="2">
        <f>C2</f>
        <v>26</v>
      </c>
      <c r="C14" s="2">
        <v>0</v>
      </c>
      <c r="F14" s="2" t="s">
        <v>136</v>
      </c>
      <c r="G14" s="2">
        <f>J6</f>
        <v>38.518518518518519</v>
      </c>
      <c r="H14" s="2">
        <f>J7</f>
        <v>28.888888888888889</v>
      </c>
    </row>
    <row r="15" spans="1:15" x14ac:dyDescent="0.25">
      <c r="A15" t="s">
        <v>126</v>
      </c>
      <c r="B15" t="s">
        <v>129</v>
      </c>
      <c r="C15" t="s">
        <v>130</v>
      </c>
      <c r="F15" s="2" t="s">
        <v>122</v>
      </c>
      <c r="G15" s="2">
        <f>K6</f>
        <v>0</v>
      </c>
      <c r="H15" s="2">
        <f>K7</f>
        <v>0</v>
      </c>
    </row>
    <row r="16" spans="1:15" x14ac:dyDescent="0.25">
      <c r="B16" s="2">
        <f>C2</f>
        <v>26</v>
      </c>
      <c r="C16" s="2">
        <v>0</v>
      </c>
      <c r="F16" s="2" t="s">
        <v>123</v>
      </c>
      <c r="G16" s="2">
        <f>L6</f>
        <v>0</v>
      </c>
      <c r="H16" s="2">
        <f>L7</f>
        <v>0</v>
      </c>
    </row>
    <row r="17" spans="5:8" x14ac:dyDescent="0.25">
      <c r="F17" s="2" t="s">
        <v>124</v>
      </c>
      <c r="G17" s="2">
        <f>M6</f>
        <v>0</v>
      </c>
      <c r="H17" s="2">
        <f>M7</f>
        <v>0</v>
      </c>
    </row>
    <row r="18" spans="5:8" ht="30" x14ac:dyDescent="0.25">
      <c r="F18" s="5" t="s">
        <v>125</v>
      </c>
      <c r="G18" s="2">
        <f>N6</f>
        <v>0</v>
      </c>
      <c r="H18" s="2">
        <f>N7</f>
        <v>0</v>
      </c>
    </row>
    <row r="19" spans="5:8" x14ac:dyDescent="0.25">
      <c r="F19" s="2" t="s">
        <v>126</v>
      </c>
      <c r="G19" s="2">
        <f>O6</f>
        <v>0</v>
      </c>
      <c r="H19" s="2">
        <f>O7</f>
        <v>0</v>
      </c>
    </row>
    <row r="20" spans="5:8" x14ac:dyDescent="0.25">
      <c r="F20" s="2" t="s">
        <v>137</v>
      </c>
      <c r="G20" s="7">
        <f>(G13+G14+G15+G16+G17+G18+G19)/100</f>
        <v>0.48518518518518516</v>
      </c>
      <c r="H20" s="7">
        <f>(H13+H14+H15+H16+H17+H18+H19)/100</f>
        <v>0.58888888888888891</v>
      </c>
    </row>
    <row r="21" spans="5:8" x14ac:dyDescent="0.25">
      <c r="E21"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G20" sqref="G20:H20"/>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112</v>
      </c>
      <c r="B2" s="1" t="s">
        <v>113</v>
      </c>
      <c r="C2" s="1">
        <v>27</v>
      </c>
    </row>
    <row r="3" spans="1:15" x14ac:dyDescent="0.25">
      <c r="B3" t="s">
        <v>114</v>
      </c>
      <c r="C3" t="s">
        <v>115</v>
      </c>
    </row>
    <row r="4" spans="1:15" x14ac:dyDescent="0.25">
      <c r="A4" t="s">
        <v>116</v>
      </c>
      <c r="B4" s="2">
        <v>10</v>
      </c>
      <c r="C4" s="2">
        <v>10</v>
      </c>
      <c r="E4">
        <f>(100/B4)*C4</f>
        <v>100</v>
      </c>
    </row>
    <row r="5" spans="1:15" x14ac:dyDescent="0.25">
      <c r="A5" t="s">
        <v>117</v>
      </c>
      <c r="B5" t="s">
        <v>118</v>
      </c>
      <c r="C5" t="s">
        <v>119</v>
      </c>
      <c r="E5">
        <f>(100/B6)*C6</f>
        <v>85.714285714285722</v>
      </c>
      <c r="I5" s="2" t="s">
        <v>120</v>
      </c>
      <c r="J5" s="2" t="s">
        <v>121</v>
      </c>
      <c r="K5" s="2" t="s">
        <v>122</v>
      </c>
      <c r="L5" s="2" t="s">
        <v>123</v>
      </c>
      <c r="M5" s="2" t="s">
        <v>124</v>
      </c>
      <c r="N5" s="2" t="s">
        <v>125</v>
      </c>
      <c r="O5" s="2" t="s">
        <v>126</v>
      </c>
    </row>
    <row r="6" spans="1:15" x14ac:dyDescent="0.25">
      <c r="B6" s="2">
        <f>C2+1</f>
        <v>28</v>
      </c>
      <c r="C6" s="2">
        <v>24</v>
      </c>
      <c r="E6">
        <f>(100/B8)*C8</f>
        <v>0</v>
      </c>
      <c r="F6" s="3" t="s">
        <v>127</v>
      </c>
      <c r="I6" s="3">
        <f>C4</f>
        <v>10</v>
      </c>
      <c r="J6" s="3">
        <f>40/B6*C6</f>
        <v>34.285714285714285</v>
      </c>
      <c r="K6" s="3">
        <f>15/B8*C8</f>
        <v>0</v>
      </c>
      <c r="L6" s="3">
        <f>10/B10*C10</f>
        <v>0</v>
      </c>
      <c r="M6" s="3">
        <f>10/B12*C12</f>
        <v>0</v>
      </c>
      <c r="N6" s="3">
        <f>5/B14*C14</f>
        <v>0</v>
      </c>
      <c r="O6" s="3">
        <f>5/B16*C16</f>
        <v>0</v>
      </c>
    </row>
    <row r="7" spans="1:15" x14ac:dyDescent="0.25">
      <c r="A7" t="s">
        <v>128</v>
      </c>
      <c r="B7" t="s">
        <v>129</v>
      </c>
      <c r="C7" t="s">
        <v>130</v>
      </c>
      <c r="E7">
        <f>(100/B10)*C10</f>
        <v>0</v>
      </c>
      <c r="F7" s="2" t="s">
        <v>131</v>
      </c>
      <c r="G7" s="2"/>
      <c r="H7" s="2"/>
      <c r="I7" s="2">
        <f>I6+20</f>
        <v>30</v>
      </c>
      <c r="J7" s="2">
        <f>30/B6*C6</f>
        <v>25.714285714285715</v>
      </c>
      <c r="K7" s="2">
        <f>15/B8*C8</f>
        <v>0</v>
      </c>
      <c r="L7" s="2">
        <f>10/B10*C10</f>
        <v>0</v>
      </c>
      <c r="M7" s="2">
        <f>5/B12*C12</f>
        <v>0</v>
      </c>
      <c r="N7" s="2">
        <f>5/B14*C14</f>
        <v>0</v>
      </c>
      <c r="O7" s="2">
        <f>5/B16*C16</f>
        <v>0</v>
      </c>
    </row>
    <row r="8" spans="1:15" x14ac:dyDescent="0.25">
      <c r="B8" s="2">
        <f>C2</f>
        <v>27</v>
      </c>
      <c r="C8" s="2">
        <v>0</v>
      </c>
      <c r="E8">
        <f>(100/B12)*C12</f>
        <v>0</v>
      </c>
    </row>
    <row r="9" spans="1:15" x14ac:dyDescent="0.25">
      <c r="A9" t="s">
        <v>132</v>
      </c>
      <c r="B9" t="s">
        <v>129</v>
      </c>
      <c r="C9" t="s">
        <v>130</v>
      </c>
      <c r="E9">
        <f>(100/B14)*C14</f>
        <v>0</v>
      </c>
    </row>
    <row r="10" spans="1:15" x14ac:dyDescent="0.25">
      <c r="B10" s="2">
        <f>C2</f>
        <v>27</v>
      </c>
      <c r="C10" s="2">
        <v>0</v>
      </c>
      <c r="E10">
        <f>(100/B16)*C16</f>
        <v>0</v>
      </c>
    </row>
    <row r="11" spans="1:15" x14ac:dyDescent="0.25">
      <c r="A11" t="s">
        <v>124</v>
      </c>
      <c r="B11" t="s">
        <v>129</v>
      </c>
      <c r="C11" t="s">
        <v>130</v>
      </c>
    </row>
    <row r="12" spans="1:15" x14ac:dyDescent="0.25">
      <c r="B12" s="2">
        <f>C2</f>
        <v>27</v>
      </c>
      <c r="C12" s="2">
        <v>0</v>
      </c>
      <c r="F12" s="2"/>
      <c r="G12" s="2" t="s">
        <v>127</v>
      </c>
      <c r="H12" s="2" t="s">
        <v>133</v>
      </c>
      <c r="L12" t="s">
        <v>134</v>
      </c>
    </row>
    <row r="13" spans="1:15" ht="30" x14ac:dyDescent="0.25">
      <c r="A13" s="4" t="s">
        <v>125</v>
      </c>
      <c r="B13" t="s">
        <v>129</v>
      </c>
      <c r="C13" t="s">
        <v>130</v>
      </c>
      <c r="F13" s="2" t="s">
        <v>135</v>
      </c>
      <c r="G13" s="2">
        <f>I6</f>
        <v>10</v>
      </c>
      <c r="H13" s="2">
        <f>I7</f>
        <v>30</v>
      </c>
      <c r="L13" t="s">
        <v>134</v>
      </c>
    </row>
    <row r="14" spans="1:15" x14ac:dyDescent="0.25">
      <c r="B14" s="2">
        <f>C2</f>
        <v>27</v>
      </c>
      <c r="C14" s="2">
        <v>0</v>
      </c>
      <c r="F14" s="2" t="s">
        <v>136</v>
      </c>
      <c r="G14" s="2">
        <f>J6</f>
        <v>34.285714285714285</v>
      </c>
      <c r="H14" s="2">
        <f>J7</f>
        <v>25.714285714285715</v>
      </c>
    </row>
    <row r="15" spans="1:15" x14ac:dyDescent="0.25">
      <c r="A15" t="s">
        <v>126</v>
      </c>
      <c r="B15" t="s">
        <v>129</v>
      </c>
      <c r="C15" t="s">
        <v>130</v>
      </c>
      <c r="F15" s="2" t="s">
        <v>122</v>
      </c>
      <c r="G15" s="2">
        <f>K6</f>
        <v>0</v>
      </c>
      <c r="H15" s="2">
        <f>K7</f>
        <v>0</v>
      </c>
    </row>
    <row r="16" spans="1:15" x14ac:dyDescent="0.25">
      <c r="B16" s="2">
        <f>C2</f>
        <v>27</v>
      </c>
      <c r="C16" s="2">
        <v>0</v>
      </c>
      <c r="F16" s="2" t="s">
        <v>123</v>
      </c>
      <c r="G16" s="2">
        <f>L6</f>
        <v>0</v>
      </c>
      <c r="H16" s="2">
        <f>L7</f>
        <v>0</v>
      </c>
    </row>
    <row r="17" spans="5:8" x14ac:dyDescent="0.25">
      <c r="F17" s="2" t="s">
        <v>124</v>
      </c>
      <c r="G17" s="2">
        <f>M6</f>
        <v>0</v>
      </c>
      <c r="H17" s="2">
        <f>M7</f>
        <v>0</v>
      </c>
    </row>
    <row r="18" spans="5:8" ht="30" x14ac:dyDescent="0.25">
      <c r="F18" s="5" t="s">
        <v>125</v>
      </c>
      <c r="G18" s="2">
        <f>N6</f>
        <v>0</v>
      </c>
      <c r="H18" s="2">
        <f>N7</f>
        <v>0</v>
      </c>
    </row>
    <row r="19" spans="5:8" x14ac:dyDescent="0.25">
      <c r="F19" s="2" t="s">
        <v>126</v>
      </c>
      <c r="G19" s="2">
        <f>O6</f>
        <v>0</v>
      </c>
      <c r="H19" s="2">
        <f>O7</f>
        <v>0</v>
      </c>
    </row>
    <row r="20" spans="5:8" x14ac:dyDescent="0.25">
      <c r="F20" s="2" t="s">
        <v>137</v>
      </c>
      <c r="G20" s="7">
        <f>(G13+G14+G15+G16+G17+G18+G19)/100</f>
        <v>0.44285714285714284</v>
      </c>
      <c r="H20" s="7">
        <f>(H13+H14+H15+H16+H17+H18+H19)/100</f>
        <v>0.55714285714285716</v>
      </c>
    </row>
    <row r="21" spans="5:8" x14ac:dyDescent="0.25">
      <c r="E2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T1</vt:lpstr>
      <vt:lpstr>T2</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2025-07-05T11:05:49Z</cp:lastPrinted>
  <dcterms:created xsi:type="dcterms:W3CDTF">2010-11-23T11:42:48Z</dcterms:created>
  <dcterms:modified xsi:type="dcterms:W3CDTF">2025-07-07T12:55:22Z</dcterms:modified>
</cp:coreProperties>
</file>