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3" r:id="rId1"/>
    <sheet name="Construction table" sheetId="4" r:id="rId2"/>
  </sheets>
  <definedNames>
    <definedName name="_xlnm.Print_Area" localSheetId="0">Report!$A$1:$H$511</definedName>
  </definedNames>
  <calcPr calcId="152511"/>
</workbook>
</file>

<file path=xl/calcChain.xml><?xml version="1.0" encoding="utf-8"?>
<calcChain xmlns="http://schemas.openxmlformats.org/spreadsheetml/2006/main">
  <c r="I2" i="3" l="1"/>
  <c r="A77" i="3" l="1"/>
  <c r="A61" i="3"/>
  <c r="J87" i="3"/>
  <c r="J86" i="3"/>
  <c r="J85" i="3"/>
  <c r="J84" i="3"/>
  <c r="J71" i="3"/>
  <c r="J70" i="3"/>
  <c r="J69" i="3"/>
  <c r="J68" i="3"/>
  <c r="H78" i="3"/>
  <c r="H62" i="3"/>
  <c r="D90" i="3" l="1"/>
  <c r="D89" i="3"/>
  <c r="D85" i="3"/>
  <c r="D88" i="3"/>
  <c r="D84" i="3"/>
  <c r="J80" i="3"/>
  <c r="D87" i="3"/>
  <c r="D83" i="3"/>
  <c r="J81" i="3"/>
  <c r="C80" i="3" s="1"/>
  <c r="D80" i="3" s="1"/>
  <c r="J79" i="3"/>
  <c r="D91" i="3"/>
  <c r="J82" i="3"/>
  <c r="D86" i="3"/>
  <c r="D82" i="3"/>
  <c r="D73" i="3"/>
  <c r="D69" i="3"/>
  <c r="D72" i="3"/>
  <c r="D68" i="3"/>
  <c r="J64" i="3"/>
  <c r="D71" i="3"/>
  <c r="D67" i="3"/>
  <c r="J66" i="3"/>
  <c r="D74" i="3"/>
  <c r="D66" i="3"/>
  <c r="J63" i="3"/>
  <c r="D75" i="3"/>
  <c r="D70" i="3"/>
  <c r="J65" i="3"/>
  <c r="J124" i="3"/>
  <c r="K174" i="3"/>
  <c r="K175" i="3" s="1"/>
  <c r="J83" i="3" l="1"/>
  <c r="J88" i="3" s="1"/>
  <c r="J89" i="3" s="1"/>
  <c r="C64" i="3"/>
  <c r="D64" i="3" s="1"/>
  <c r="J67" i="3"/>
  <c r="J72" i="3" s="1"/>
  <c r="D81" i="3"/>
  <c r="E80" i="3"/>
  <c r="D369" i="3"/>
  <c r="D367" i="3"/>
  <c r="G115" i="3"/>
  <c r="G114" i="3"/>
  <c r="F327" i="3"/>
  <c r="E327" i="3"/>
  <c r="F326" i="3"/>
  <c r="E326" i="3"/>
  <c r="F325" i="3"/>
  <c r="E325" i="3"/>
  <c r="F324" i="3"/>
  <c r="E324" i="3"/>
  <c r="F323" i="3"/>
  <c r="E323" i="3"/>
  <c r="F322" i="3"/>
  <c r="E322" i="3"/>
  <c r="F320" i="3"/>
  <c r="E320" i="3"/>
  <c r="F319" i="3"/>
  <c r="E319" i="3"/>
  <c r="F318" i="3"/>
  <c r="E318" i="3"/>
  <c r="F317" i="3"/>
  <c r="E317" i="3"/>
  <c r="F316" i="3"/>
  <c r="E316" i="3"/>
  <c r="F315" i="3"/>
  <c r="E315" i="3"/>
  <c r="F314" i="3"/>
  <c r="E314" i="3"/>
  <c r="F313" i="3"/>
  <c r="E313" i="3"/>
  <c r="F312" i="3"/>
  <c r="E312" i="3"/>
  <c r="F311" i="3"/>
  <c r="E311" i="3"/>
  <c r="F310" i="3"/>
  <c r="E310" i="3"/>
  <c r="F309" i="3"/>
  <c r="E309" i="3"/>
  <c r="F307" i="3"/>
  <c r="E307" i="3"/>
  <c r="F306" i="3"/>
  <c r="E306" i="3"/>
  <c r="F305" i="3"/>
  <c r="E305" i="3"/>
  <c r="F304" i="3"/>
  <c r="E304" i="3"/>
  <c r="F303" i="3"/>
  <c r="E303" i="3"/>
  <c r="F302" i="3"/>
  <c r="E302" i="3"/>
  <c r="F301" i="3"/>
  <c r="E301" i="3"/>
  <c r="F300" i="3"/>
  <c r="E300" i="3"/>
  <c r="F299" i="3"/>
  <c r="E299" i="3"/>
  <c r="F298" i="3"/>
  <c r="E298" i="3"/>
  <c r="F297" i="3"/>
  <c r="E297" i="3"/>
  <c r="F296" i="3"/>
  <c r="E296" i="3"/>
  <c r="F295" i="3"/>
  <c r="E295" i="3"/>
  <c r="F294" i="3"/>
  <c r="E294" i="3"/>
  <c r="F293" i="3"/>
  <c r="H293" i="3" s="1"/>
  <c r="E293" i="3"/>
  <c r="F292" i="3"/>
  <c r="E292" i="3"/>
  <c r="F291" i="3"/>
  <c r="E291" i="3"/>
  <c r="F290" i="3"/>
  <c r="E290" i="3"/>
  <c r="F289" i="3"/>
  <c r="E289" i="3"/>
  <c r="F287" i="3"/>
  <c r="E287" i="3"/>
  <c r="F286" i="3"/>
  <c r="E286" i="3"/>
  <c r="F285" i="3"/>
  <c r="E285" i="3"/>
  <c r="F284" i="3"/>
  <c r="E284" i="3"/>
  <c r="F283" i="3"/>
  <c r="E283" i="3"/>
  <c r="F282" i="3"/>
  <c r="E282" i="3"/>
  <c r="F281" i="3"/>
  <c r="E281" i="3"/>
  <c r="F277" i="3"/>
  <c r="E277" i="3"/>
  <c r="F276" i="3"/>
  <c r="E276" i="3"/>
  <c r="F275" i="3"/>
  <c r="E275" i="3"/>
  <c r="F274" i="3"/>
  <c r="E274" i="3"/>
  <c r="F273" i="3"/>
  <c r="E273" i="3"/>
  <c r="F272" i="3"/>
  <c r="E272" i="3"/>
  <c r="F271" i="3"/>
  <c r="E271" i="3"/>
  <c r="F270" i="3"/>
  <c r="E270" i="3"/>
  <c r="F269" i="3"/>
  <c r="E269" i="3"/>
  <c r="E248" i="3"/>
  <c r="H248" i="3" s="1"/>
  <c r="E247" i="3"/>
  <c r="H247" i="3" s="1"/>
  <c r="E246" i="3"/>
  <c r="H246" i="3" s="1"/>
  <c r="E245" i="3"/>
  <c r="H245" i="3" s="1"/>
  <c r="E244" i="3"/>
  <c r="H244" i="3" s="1"/>
  <c r="E243" i="3"/>
  <c r="H243" i="3" s="1"/>
  <c r="E242" i="3"/>
  <c r="H242" i="3" s="1"/>
  <c r="E241" i="3"/>
  <c r="E240" i="3"/>
  <c r="H240" i="3" s="1"/>
  <c r="E239" i="3"/>
  <c r="H239" i="3" s="1"/>
  <c r="E238" i="3"/>
  <c r="H238" i="3" s="1"/>
  <c r="E237" i="3"/>
  <c r="H237" i="3" s="1"/>
  <c r="E236" i="3"/>
  <c r="H236" i="3" s="1"/>
  <c r="E235" i="3"/>
  <c r="H235" i="3" s="1"/>
  <c r="E234" i="3"/>
  <c r="H234" i="3" s="1"/>
  <c r="E233" i="3"/>
  <c r="H233" i="3" s="1"/>
  <c r="E232" i="3"/>
  <c r="H232" i="3" s="1"/>
  <c r="E231" i="3"/>
  <c r="H231" i="3" s="1"/>
  <c r="E230" i="3"/>
  <c r="H230" i="3" s="1"/>
  <c r="E229" i="3"/>
  <c r="H229" i="3" s="1"/>
  <c r="E228" i="3"/>
  <c r="H228" i="3" s="1"/>
  <c r="E227" i="3"/>
  <c r="H227" i="3" s="1"/>
  <c r="E266" i="3"/>
  <c r="H266" i="3" s="1"/>
  <c r="E265" i="3"/>
  <c r="H265" i="3" s="1"/>
  <c r="E264" i="3"/>
  <c r="H264" i="3" s="1"/>
  <c r="E263" i="3"/>
  <c r="H263" i="3" s="1"/>
  <c r="E262" i="3"/>
  <c r="H262" i="3" s="1"/>
  <c r="E261" i="3"/>
  <c r="H261" i="3" s="1"/>
  <c r="E260" i="3"/>
  <c r="H260" i="3" s="1"/>
  <c r="E259" i="3"/>
  <c r="H259" i="3" s="1"/>
  <c r="E258" i="3"/>
  <c r="H258" i="3" s="1"/>
  <c r="E257" i="3"/>
  <c r="H257" i="3" s="1"/>
  <c r="E256" i="3"/>
  <c r="H256" i="3" s="1"/>
  <c r="E255" i="3"/>
  <c r="H255" i="3" s="1"/>
  <c r="E254" i="3"/>
  <c r="H254" i="3" s="1"/>
  <c r="E253" i="3"/>
  <c r="E252" i="3"/>
  <c r="H252" i="3" s="1"/>
  <c r="E251" i="3"/>
  <c r="H251" i="3" s="1"/>
  <c r="E250" i="3"/>
  <c r="H250" i="3" s="1"/>
  <c r="F224" i="3"/>
  <c r="E224" i="3"/>
  <c r="F223" i="3"/>
  <c r="E223" i="3"/>
  <c r="F222" i="3"/>
  <c r="E222" i="3"/>
  <c r="F221" i="3"/>
  <c r="E221" i="3"/>
  <c r="F220" i="3"/>
  <c r="E220" i="3"/>
  <c r="F219" i="3"/>
  <c r="E219" i="3"/>
  <c r="F217" i="3"/>
  <c r="E217" i="3"/>
  <c r="F216" i="3"/>
  <c r="E216" i="3"/>
  <c r="F215" i="3"/>
  <c r="E215" i="3"/>
  <c r="F214" i="3"/>
  <c r="E214" i="3"/>
  <c r="F213" i="3"/>
  <c r="E213" i="3"/>
  <c r="F212" i="3"/>
  <c r="E212" i="3"/>
  <c r="F211" i="3"/>
  <c r="E211" i="3"/>
  <c r="F210" i="3"/>
  <c r="E210" i="3"/>
  <c r="F209" i="3"/>
  <c r="E209" i="3"/>
  <c r="F208" i="3"/>
  <c r="E208" i="3"/>
  <c r="F207" i="3"/>
  <c r="E207" i="3"/>
  <c r="F206" i="3"/>
  <c r="E206" i="3"/>
  <c r="F204" i="3"/>
  <c r="E204" i="3"/>
  <c r="F203" i="3"/>
  <c r="E203" i="3"/>
  <c r="F202" i="3"/>
  <c r="E202" i="3"/>
  <c r="F201" i="3"/>
  <c r="E201" i="3"/>
  <c r="F200" i="3"/>
  <c r="E200" i="3"/>
  <c r="F199" i="3"/>
  <c r="E199" i="3"/>
  <c r="F198" i="3"/>
  <c r="E198" i="3"/>
  <c r="F197" i="3"/>
  <c r="E197" i="3"/>
  <c r="F196" i="3"/>
  <c r="E196" i="3"/>
  <c r="F195" i="3"/>
  <c r="E195" i="3"/>
  <c r="F194" i="3"/>
  <c r="E194" i="3"/>
  <c r="F193" i="3"/>
  <c r="E193" i="3"/>
  <c r="F192" i="3"/>
  <c r="E192" i="3"/>
  <c r="F191" i="3"/>
  <c r="E191" i="3"/>
  <c r="F190" i="3"/>
  <c r="E190" i="3"/>
  <c r="F189" i="3"/>
  <c r="E189" i="3"/>
  <c r="F188" i="3"/>
  <c r="E188" i="3"/>
  <c r="F187" i="3"/>
  <c r="E187" i="3"/>
  <c r="F186" i="3"/>
  <c r="E186" i="3"/>
  <c r="F184" i="3"/>
  <c r="E184" i="3"/>
  <c r="F183" i="3"/>
  <c r="E183" i="3"/>
  <c r="F182" i="3"/>
  <c r="E182" i="3"/>
  <c r="F181" i="3"/>
  <c r="E181" i="3"/>
  <c r="F180" i="3"/>
  <c r="E180" i="3"/>
  <c r="F179" i="3"/>
  <c r="E179" i="3"/>
  <c r="F178" i="3"/>
  <c r="E178" i="3"/>
  <c r="F174" i="3"/>
  <c r="E174" i="3"/>
  <c r="F173" i="3"/>
  <c r="E173" i="3"/>
  <c r="F172" i="3"/>
  <c r="E172" i="3"/>
  <c r="F171" i="3"/>
  <c r="E171" i="3"/>
  <c r="F170" i="3"/>
  <c r="E170" i="3"/>
  <c r="F169" i="3"/>
  <c r="E169" i="3"/>
  <c r="F168" i="3"/>
  <c r="E168" i="3"/>
  <c r="F167" i="3"/>
  <c r="E167" i="3"/>
  <c r="F166" i="3"/>
  <c r="E166" i="3"/>
  <c r="E163" i="3"/>
  <c r="H163" i="3" s="1"/>
  <c r="E162" i="3"/>
  <c r="H162" i="3" s="1"/>
  <c r="E161" i="3"/>
  <c r="H161" i="3" s="1"/>
  <c r="E160" i="3"/>
  <c r="H160" i="3" s="1"/>
  <c r="E159" i="3"/>
  <c r="H159" i="3" s="1"/>
  <c r="E158" i="3"/>
  <c r="H158" i="3" s="1"/>
  <c r="E157" i="3"/>
  <c r="H157" i="3" s="1"/>
  <c r="E156" i="3"/>
  <c r="H156" i="3" s="1"/>
  <c r="E155" i="3"/>
  <c r="H155" i="3" s="1"/>
  <c r="E154" i="3"/>
  <c r="H154" i="3" s="1"/>
  <c r="E153" i="3"/>
  <c r="H153" i="3" s="1"/>
  <c r="E152" i="3"/>
  <c r="H152" i="3" s="1"/>
  <c r="E151" i="3"/>
  <c r="H151" i="3" s="1"/>
  <c r="E150" i="3"/>
  <c r="H150" i="3" s="1"/>
  <c r="E149" i="3"/>
  <c r="H149" i="3" s="1"/>
  <c r="E147" i="3"/>
  <c r="H147" i="3" s="1"/>
  <c r="E146" i="3"/>
  <c r="H146" i="3" s="1"/>
  <c r="E145" i="3"/>
  <c r="H145" i="3" s="1"/>
  <c r="E144" i="3"/>
  <c r="H144" i="3" s="1"/>
  <c r="E143" i="3"/>
  <c r="H143" i="3" s="1"/>
  <c r="E142" i="3"/>
  <c r="H142" i="3" s="1"/>
  <c r="E141" i="3"/>
  <c r="H141" i="3" s="1"/>
  <c r="E140" i="3"/>
  <c r="H140" i="3" s="1"/>
  <c r="E139" i="3"/>
  <c r="H139" i="3" s="1"/>
  <c r="E138" i="3"/>
  <c r="H138" i="3" s="1"/>
  <c r="E137" i="3"/>
  <c r="H137" i="3" s="1"/>
  <c r="E136" i="3"/>
  <c r="H136" i="3" s="1"/>
  <c r="E135" i="3"/>
  <c r="E134" i="3"/>
  <c r="H134" i="3" s="1"/>
  <c r="E133" i="3"/>
  <c r="H133" i="3" s="1"/>
  <c r="J130" i="3"/>
  <c r="I198" i="3"/>
  <c r="I282" i="3"/>
  <c r="I281" i="3"/>
  <c r="J166" i="3"/>
  <c r="J167" i="3"/>
  <c r="I167" i="3"/>
  <c r="I166" i="3"/>
  <c r="H253" i="3"/>
  <c r="H241" i="3"/>
  <c r="H135" i="3"/>
  <c r="V289" i="3"/>
  <c r="V309" i="3"/>
  <c r="V186" i="3"/>
  <c r="U186" i="3"/>
  <c r="U309" i="3"/>
  <c r="V206" i="3"/>
  <c r="U289" i="3"/>
  <c r="U206" i="3"/>
  <c r="I77" i="3" l="1"/>
  <c r="G80" i="3" s="1"/>
  <c r="H196" i="3"/>
  <c r="H295" i="3"/>
  <c r="J73" i="3"/>
  <c r="D65" i="3"/>
  <c r="E64" i="3"/>
  <c r="H276" i="3"/>
  <c r="H304" i="3"/>
  <c r="H181" i="3"/>
  <c r="H292" i="3"/>
  <c r="H298" i="3"/>
  <c r="H306" i="3"/>
  <c r="H309" i="3"/>
  <c r="H315" i="3"/>
  <c r="H319" i="3"/>
  <c r="H324" i="3"/>
  <c r="H303" i="3"/>
  <c r="H318" i="3"/>
  <c r="H325" i="3"/>
  <c r="H327" i="3"/>
  <c r="G119" i="3"/>
  <c r="G120" i="3"/>
  <c r="E119" i="3"/>
  <c r="E120" i="3"/>
  <c r="H312" i="3"/>
  <c r="H320" i="3"/>
  <c r="H207" i="3"/>
  <c r="H216" i="3"/>
  <c r="H314" i="3"/>
  <c r="H208" i="3"/>
  <c r="H182" i="3"/>
  <c r="H271" i="3"/>
  <c r="J271" i="3" s="1"/>
  <c r="H198" i="3"/>
  <c r="H290" i="3"/>
  <c r="H323" i="3"/>
  <c r="H275" i="3"/>
  <c r="H192" i="3"/>
  <c r="H291" i="3"/>
  <c r="H310" i="3"/>
  <c r="H202" i="3"/>
  <c r="H302" i="3"/>
  <c r="H311" i="3"/>
  <c r="H294" i="3"/>
  <c r="H305" i="3"/>
  <c r="H289" i="3"/>
  <c r="H277" i="3"/>
  <c r="H189" i="3"/>
  <c r="H274" i="3"/>
  <c r="H300" i="3"/>
  <c r="H307" i="3"/>
  <c r="H184" i="3"/>
  <c r="H282" i="3"/>
  <c r="H286" i="3"/>
  <c r="H272" i="3"/>
  <c r="H199" i="3"/>
  <c r="H179" i="3"/>
  <c r="H270" i="3"/>
  <c r="J270" i="3" s="1"/>
  <c r="H273" i="3"/>
  <c r="H299" i="3"/>
  <c r="H326" i="3"/>
  <c r="H317" i="3"/>
  <c r="H322" i="3"/>
  <c r="H313" i="3"/>
  <c r="H316" i="3"/>
  <c r="H301" i="3"/>
  <c r="H297" i="3"/>
  <c r="H296" i="3"/>
  <c r="H201" i="3"/>
  <c r="H285" i="3"/>
  <c r="H187" i="3"/>
  <c r="I187" i="3" s="1"/>
  <c r="H195" i="3"/>
  <c r="H194" i="3"/>
  <c r="H283" i="3"/>
  <c r="H200" i="3"/>
  <c r="H190" i="3"/>
  <c r="H269" i="3"/>
  <c r="H209" i="3"/>
  <c r="H217" i="3"/>
  <c r="H191" i="3"/>
  <c r="H188" i="3"/>
  <c r="H213" i="3"/>
  <c r="H222" i="3"/>
  <c r="T309" i="3"/>
  <c r="U310" i="3"/>
  <c r="V310" i="3"/>
  <c r="V311" i="3" s="1"/>
  <c r="V312" i="3" s="1"/>
  <c r="V313" i="3" s="1"/>
  <c r="V314" i="3" s="1"/>
  <c r="V315" i="3" s="1"/>
  <c r="V316" i="3" s="1"/>
  <c r="V317" i="3" s="1"/>
  <c r="V318" i="3" s="1"/>
  <c r="V319" i="3" s="1"/>
  <c r="V320" i="3" s="1"/>
  <c r="V321" i="3" s="1"/>
  <c r="V322" i="3" s="1"/>
  <c r="V323" i="3" s="1"/>
  <c r="V324" i="3" s="1"/>
  <c r="V325" i="3" s="1"/>
  <c r="V326" i="3" s="1"/>
  <c r="V327" i="3" s="1"/>
  <c r="H203" i="3"/>
  <c r="T289" i="3"/>
  <c r="U290" i="3"/>
  <c r="V290" i="3"/>
  <c r="V291" i="3" s="1"/>
  <c r="V292" i="3" s="1"/>
  <c r="V293" i="3" s="1"/>
  <c r="V294" i="3" s="1"/>
  <c r="V295" i="3" s="1"/>
  <c r="V296" i="3" s="1"/>
  <c r="V297" i="3" s="1"/>
  <c r="V298" i="3" s="1"/>
  <c r="V299" i="3" s="1"/>
  <c r="V300" i="3" s="1"/>
  <c r="V301" i="3" s="1"/>
  <c r="V302" i="3" s="1"/>
  <c r="V303" i="3" s="1"/>
  <c r="V304" i="3" s="1"/>
  <c r="V305" i="3" s="1"/>
  <c r="V306" i="3" s="1"/>
  <c r="V307" i="3" s="1"/>
  <c r="H186" i="3"/>
  <c r="H204" i="3"/>
  <c r="H206" i="3"/>
  <c r="H214" i="3"/>
  <c r="H223" i="3"/>
  <c r="H215" i="3"/>
  <c r="H224" i="3"/>
  <c r="H197" i="3"/>
  <c r="H219" i="3"/>
  <c r="H220" i="3"/>
  <c r="H221" i="3"/>
  <c r="H210" i="3"/>
  <c r="H211" i="3"/>
  <c r="H212" i="3"/>
  <c r="H193" i="3"/>
  <c r="H284" i="3"/>
  <c r="H178" i="3"/>
  <c r="H281" i="3"/>
  <c r="H287" i="3"/>
  <c r="T206" i="3"/>
  <c r="U207" i="3"/>
  <c r="V207" i="3"/>
  <c r="V208" i="3" s="1"/>
  <c r="V209" i="3" s="1"/>
  <c r="V210" i="3" s="1"/>
  <c r="V211" i="3" s="1"/>
  <c r="V212" i="3" s="1"/>
  <c r="V213" i="3" s="1"/>
  <c r="V214" i="3" s="1"/>
  <c r="V215" i="3" s="1"/>
  <c r="V216" i="3" s="1"/>
  <c r="V217" i="3" s="1"/>
  <c r="V218" i="3" s="1"/>
  <c r="V219" i="3" s="1"/>
  <c r="V220" i="3" s="1"/>
  <c r="V221" i="3" s="1"/>
  <c r="V222" i="3" s="1"/>
  <c r="V223" i="3" s="1"/>
  <c r="V224" i="3" s="1"/>
  <c r="T186" i="3"/>
  <c r="U187" i="3"/>
  <c r="V187" i="3"/>
  <c r="V188" i="3" s="1"/>
  <c r="V189" i="3" s="1"/>
  <c r="V190" i="3" s="1"/>
  <c r="V191" i="3" s="1"/>
  <c r="V192" i="3" s="1"/>
  <c r="V193" i="3" s="1"/>
  <c r="V194" i="3" s="1"/>
  <c r="V195" i="3" s="1"/>
  <c r="V196" i="3" s="1"/>
  <c r="V197" i="3" s="1"/>
  <c r="V198" i="3" s="1"/>
  <c r="V199" i="3" s="1"/>
  <c r="V200" i="3" s="1"/>
  <c r="V201" i="3" s="1"/>
  <c r="V202" i="3" s="1"/>
  <c r="V203" i="3" s="1"/>
  <c r="V204" i="3" s="1"/>
  <c r="H180" i="3"/>
  <c r="H183" i="3"/>
  <c r="H174" i="3"/>
  <c r="C26" i="3"/>
  <c r="C18" i="3"/>
  <c r="H354" i="3"/>
  <c r="H353" i="3"/>
  <c r="H352" i="3"/>
  <c r="H351" i="3"/>
  <c r="H350" i="3"/>
  <c r="H349" i="3"/>
  <c r="H348" i="3"/>
  <c r="H347" i="3"/>
  <c r="H345" i="3"/>
  <c r="H344" i="3"/>
  <c r="H343" i="3"/>
  <c r="H342" i="3"/>
  <c r="H341" i="3"/>
  <c r="H340" i="3"/>
  <c r="H339" i="3"/>
  <c r="H338" i="3"/>
  <c r="H336" i="3"/>
  <c r="H335" i="3"/>
  <c r="H334" i="3"/>
  <c r="H333" i="3"/>
  <c r="H332" i="3"/>
  <c r="H331" i="3"/>
  <c r="H330" i="3"/>
  <c r="H329" i="3"/>
  <c r="H167" i="3"/>
  <c r="H168" i="3"/>
  <c r="H169" i="3"/>
  <c r="H170" i="3"/>
  <c r="H171" i="3"/>
  <c r="H172" i="3"/>
  <c r="H173" i="3"/>
  <c r="H166" i="3"/>
  <c r="I61" i="3" l="1"/>
  <c r="G64" i="3" s="1"/>
  <c r="G108" i="3"/>
  <c r="G125" i="3"/>
  <c r="E125" i="3"/>
  <c r="G124" i="3"/>
  <c r="E124" i="3"/>
  <c r="G121" i="3"/>
  <c r="E121" i="3"/>
  <c r="U311" i="3"/>
  <c r="T310" i="3"/>
  <c r="U291" i="3"/>
  <c r="T290" i="3"/>
  <c r="U208" i="3"/>
  <c r="T207" i="3"/>
  <c r="T187" i="3"/>
  <c r="U188" i="3"/>
  <c r="A93" i="3"/>
  <c r="D94" i="3" s="1"/>
  <c r="J103" i="3" s="1"/>
  <c r="E126" i="3" l="1"/>
  <c r="E127" i="3" s="1"/>
  <c r="G126" i="3"/>
  <c r="G127" i="3" s="1"/>
  <c r="T311" i="3"/>
  <c r="U312" i="3"/>
  <c r="T291" i="3"/>
  <c r="U292" i="3"/>
  <c r="T208" i="3"/>
  <c r="U209" i="3"/>
  <c r="T188" i="3"/>
  <c r="U189" i="3"/>
  <c r="J102"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T312" i="3"/>
  <c r="U313" i="3"/>
  <c r="T292" i="3"/>
  <c r="U293" i="3"/>
  <c r="T209" i="3"/>
  <c r="U210" i="3"/>
  <c r="U190" i="3"/>
  <c r="T189" i="3"/>
  <c r="E18" i="4"/>
  <c r="E15" i="4"/>
  <c r="E17" i="4"/>
  <c r="E11" i="4"/>
  <c r="K6" i="4"/>
  <c r="E9" i="4"/>
  <c r="K8" i="4"/>
  <c r="C7" i="4" s="1"/>
  <c r="E14" i="4"/>
  <c r="E12" i="4"/>
  <c r="E16" i="4"/>
  <c r="E10" i="4"/>
  <c r="K9" i="4"/>
  <c r="K10" i="4" s="1"/>
  <c r="K11" i="4" s="1"/>
  <c r="E13" i="4"/>
  <c r="K7" i="4"/>
  <c r="U314" i="3" l="1"/>
  <c r="T313" i="3"/>
  <c r="T293" i="3"/>
  <c r="U294" i="3"/>
  <c r="U211" i="3"/>
  <c r="T210" i="3"/>
  <c r="T190" i="3"/>
  <c r="U191" i="3"/>
  <c r="K12" i="4"/>
  <c r="K16" i="4" s="1"/>
  <c r="C8" i="4" s="1"/>
  <c r="E8" i="4" s="1"/>
  <c r="E7" i="4"/>
  <c r="T314" i="3" l="1"/>
  <c r="U315" i="3"/>
  <c r="T294" i="3"/>
  <c r="U295" i="3"/>
  <c r="T211" i="3"/>
  <c r="U212" i="3"/>
  <c r="T191" i="3"/>
  <c r="U192" i="3"/>
  <c r="F7" i="4"/>
  <c r="J4" i="4" s="1"/>
  <c r="H7" i="4" s="1"/>
  <c r="T315" i="3" l="1"/>
  <c r="U316" i="3"/>
  <c r="U296" i="3"/>
  <c r="T295" i="3"/>
  <c r="U213" i="3"/>
  <c r="T212" i="3"/>
  <c r="U193" i="3"/>
  <c r="T192" i="3"/>
  <c r="G4" i="3"/>
  <c r="T316" i="3" l="1"/>
  <c r="U317" i="3"/>
  <c r="T296" i="3"/>
  <c r="U297" i="3"/>
  <c r="T213" i="3"/>
  <c r="U214" i="3"/>
  <c r="T193" i="3"/>
  <c r="U194" i="3"/>
  <c r="T317" i="3" l="1"/>
  <c r="U318" i="3"/>
  <c r="T297" i="3"/>
  <c r="U298" i="3"/>
  <c r="U215" i="3"/>
  <c r="T214" i="3"/>
  <c r="T194" i="3"/>
  <c r="U195" i="3"/>
  <c r="D368" i="3"/>
  <c r="G116" i="3"/>
  <c r="U319" i="3" l="1"/>
  <c r="T318" i="3"/>
  <c r="U299" i="3"/>
  <c r="T298" i="3"/>
  <c r="T215" i="3"/>
  <c r="U216" i="3"/>
  <c r="U196" i="3"/>
  <c r="T195" i="3"/>
  <c r="T319" i="3" l="1"/>
  <c r="U320" i="3"/>
  <c r="T299" i="3"/>
  <c r="U300" i="3"/>
  <c r="T216" i="3"/>
  <c r="U217" i="3"/>
  <c r="T196" i="3"/>
  <c r="U197" i="3"/>
  <c r="U321" i="3" l="1"/>
  <c r="T320" i="3"/>
  <c r="U301" i="3"/>
  <c r="T300" i="3"/>
  <c r="T217" i="3"/>
  <c r="U218" i="3"/>
  <c r="U198" i="3"/>
  <c r="T197" i="3"/>
  <c r="H94" i="3"/>
  <c r="T321" i="3" l="1"/>
  <c r="U322" i="3"/>
  <c r="T301" i="3"/>
  <c r="U302" i="3"/>
  <c r="T218" i="3"/>
  <c r="U219" i="3"/>
  <c r="T198" i="3"/>
  <c r="U199" i="3"/>
  <c r="D107" i="3"/>
  <c r="D106" i="3"/>
  <c r="D100" i="3"/>
  <c r="J97" i="3"/>
  <c r="C96" i="3" s="1"/>
  <c r="D102" i="3"/>
  <c r="D101" i="3"/>
  <c r="J95" i="3"/>
  <c r="D105" i="3"/>
  <c r="D99" i="3"/>
  <c r="J98" i="3"/>
  <c r="J99" i="3" s="1"/>
  <c r="J100" i="3" s="1"/>
  <c r="J101" i="3" s="1"/>
  <c r="D104" i="3"/>
  <c r="D98" i="3"/>
  <c r="J96" i="3"/>
  <c r="D103" i="3"/>
  <c r="T322" i="3" l="1"/>
  <c r="U323" i="3"/>
  <c r="T302" i="3"/>
  <c r="U303" i="3"/>
  <c r="T219" i="3"/>
  <c r="U220" i="3"/>
  <c r="U200" i="3"/>
  <c r="T199" i="3"/>
  <c r="J104" i="3"/>
  <c r="J105" i="3" s="1"/>
  <c r="C97" i="3" s="1"/>
  <c r="D97" i="3" s="1"/>
  <c r="D96" i="3"/>
  <c r="V347" i="3"/>
  <c r="U347" i="3"/>
  <c r="U329" i="3"/>
  <c r="U338" i="3"/>
  <c r="V338" i="3"/>
  <c r="V329" i="3"/>
  <c r="T323" i="3" l="1"/>
  <c r="U324" i="3"/>
  <c r="T303" i="3"/>
  <c r="U304" i="3"/>
  <c r="U221" i="3"/>
  <c r="T220" i="3"/>
  <c r="T200" i="3"/>
  <c r="U201" i="3"/>
  <c r="E96" i="3"/>
  <c r="I93" i="3" s="1"/>
  <c r="G96" i="3" s="1"/>
  <c r="T347" i="3"/>
  <c r="U348" i="3"/>
  <c r="V348" i="3"/>
  <c r="V349" i="3" s="1"/>
  <c r="V350" i="3" s="1"/>
  <c r="V351" i="3" s="1"/>
  <c r="V352" i="3" s="1"/>
  <c r="V353" i="3" s="1"/>
  <c r="V354" i="3" s="1"/>
  <c r="T338" i="3"/>
  <c r="U339" i="3"/>
  <c r="V339" i="3"/>
  <c r="V340" i="3" s="1"/>
  <c r="V341" i="3" s="1"/>
  <c r="V342" i="3" s="1"/>
  <c r="V343" i="3" s="1"/>
  <c r="V344" i="3" s="1"/>
  <c r="V345" i="3" s="1"/>
  <c r="V330" i="3"/>
  <c r="V331" i="3" s="1"/>
  <c r="V332" i="3" s="1"/>
  <c r="V333" i="3" s="1"/>
  <c r="V334" i="3" s="1"/>
  <c r="V335" i="3" s="1"/>
  <c r="V336" i="3" s="1"/>
  <c r="U330" i="3"/>
  <c r="T329" i="3"/>
  <c r="U325" i="3" l="1"/>
  <c r="T324" i="3"/>
  <c r="U305" i="3"/>
  <c r="T304" i="3"/>
  <c r="T221" i="3"/>
  <c r="U222" i="3"/>
  <c r="T201" i="3"/>
  <c r="U202" i="3"/>
  <c r="A347" i="3"/>
  <c r="A338" i="3"/>
  <c r="A329" i="3"/>
  <c r="T348" i="3"/>
  <c r="A348" i="3" s="1"/>
  <c r="U349" i="3"/>
  <c r="T349" i="3" s="1"/>
  <c r="T339" i="3"/>
  <c r="A339" i="3" s="1"/>
  <c r="U340" i="3"/>
  <c r="T340" i="3" s="1"/>
  <c r="U331" i="3"/>
  <c r="T330" i="3"/>
  <c r="A330" i="3" s="1"/>
  <c r="T325" i="3" l="1"/>
  <c r="U326" i="3"/>
  <c r="T305" i="3"/>
  <c r="U306" i="3"/>
  <c r="U223" i="3"/>
  <c r="T222" i="3"/>
  <c r="T202" i="3"/>
  <c r="U203" i="3"/>
  <c r="A349" i="3"/>
  <c r="A340" i="3"/>
  <c r="U350" i="3"/>
  <c r="T350" i="3" s="1"/>
  <c r="U341" i="3"/>
  <c r="T341" i="3" s="1"/>
  <c r="U332" i="3"/>
  <c r="T331" i="3"/>
  <c r="A331" i="3" s="1"/>
  <c r="T326" i="3" l="1"/>
  <c r="U327" i="3"/>
  <c r="T327" i="3" s="1"/>
  <c r="U307" i="3"/>
  <c r="T307" i="3" s="1"/>
  <c r="T306" i="3"/>
  <c r="U224" i="3"/>
  <c r="T224" i="3" s="1"/>
  <c r="T223" i="3"/>
  <c r="U204" i="3"/>
  <c r="T204" i="3" s="1"/>
  <c r="T203" i="3"/>
  <c r="A350" i="3"/>
  <c r="A341" i="3"/>
  <c r="U351" i="3"/>
  <c r="T351" i="3" s="1"/>
  <c r="U342" i="3"/>
  <c r="T342" i="3" s="1"/>
  <c r="U333" i="3"/>
  <c r="T332" i="3"/>
  <c r="A332" i="3" s="1"/>
  <c r="A351" i="3" l="1"/>
  <c r="A342" i="3"/>
  <c r="U352" i="3"/>
  <c r="T352" i="3" s="1"/>
  <c r="U343" i="3"/>
  <c r="T343" i="3" s="1"/>
  <c r="U334" i="3"/>
  <c r="T333" i="3"/>
  <c r="A333" i="3" s="1"/>
  <c r="A352" i="3" l="1"/>
  <c r="A343" i="3"/>
  <c r="U353" i="3"/>
  <c r="T353" i="3" s="1"/>
  <c r="U344" i="3"/>
  <c r="T344" i="3" s="1"/>
  <c r="U335" i="3"/>
  <c r="T334" i="3"/>
  <c r="A334" i="3" s="1"/>
  <c r="A353" i="3" l="1"/>
  <c r="A344" i="3"/>
  <c r="U354" i="3"/>
  <c r="T354" i="3" s="1"/>
  <c r="U345" i="3"/>
  <c r="T345" i="3" s="1"/>
  <c r="U336" i="3"/>
  <c r="T335" i="3"/>
  <c r="A335" i="3" s="1"/>
  <c r="A354" i="3" l="1"/>
  <c r="A345" i="3"/>
  <c r="T336" i="3"/>
  <c r="A336"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sharedStrings.xml><?xml version="1.0" encoding="utf-8"?>
<sst xmlns="http://schemas.openxmlformats.org/spreadsheetml/2006/main" count="1060" uniqueCount="423">
  <si>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</si>
  <si>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</si>
  <si>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</si>
  <si>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</si>
  <si>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</si>
  <si>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</si>
  <si>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</si>
  <si>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</si>
  <si>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</si>
  <si>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</si>
  <si>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</si>
  <si>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</si>
  <si>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</si>
  <si>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</si>
  <si>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</si>
  <si>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</si>
  <si>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</si>
  <si>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</si>
  <si>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</si>
  <si>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</si>
  <si>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</si>
  <si>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</si>
  <si>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</si>
  <si>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</si>
  <si>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</si>
  <si>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</si>
  <si>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</si>
  <si>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</si>
  <si>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</si>
  <si>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</si>
  <si>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</si>
  <si>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</si>
  <si>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</si>
  <si>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</si>
  <si>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</si>
  <si>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</si>
  <si>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</si>
  <si>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</si>
  <si>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</si>
  <si>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</si>
  <si>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</si>
  <si>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</si>
  <si>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</si>
  <si>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</si>
  <si>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</si>
  <si>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</si>
  <si>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</si>
  <si>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</si>
  <si>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</si>
  <si>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</si>
  <si>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</si>
  <si>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</si>
  <si>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</si>
  <si>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</si>
  <si>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</si>
  <si>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</si>
  <si>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</si>
  <si>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</si>
  <si>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</si>
  <si>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</si>
  <si>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</si>
  <si>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</si>
  <si>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</si>
  <si>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</si>
  <si>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</si>
  <si>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</si>
  <si>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</si>
  <si>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</si>
  <si>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</si>
  <si>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</si>
  <si>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</si>
  <si>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</si>
  <si>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</si>
  <si>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</si>
  <si>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</si>
  <si>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</si>
  <si>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</si>
  <si>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</si>
  <si>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</si>
  <si>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</si>
  <si>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</si>
  <si>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</si>
  <si>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</si>
  <si>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</si>
  <si>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</si>
  <si>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</si>
  <si>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</si>
  <si>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</si>
  <si>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</si>
  <si>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</si>
  <si>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</si>
  <si>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</si>
  <si>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</si>
  <si>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</si>
  <si>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</si>
  <si>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</si>
  <si>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</si>
  <si>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</si>
  <si>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</si>
  <si>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</si>
  <si>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</si>
  <si>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</si>
  <si>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</si>
  <si>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</si>
  <si>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</si>
  <si>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</si>
  <si>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</si>
  <si>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</si>
  <si>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</si>
  <si>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</si>
  <si>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</si>
  <si>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</si>
  <si>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</si>
  <si>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</si>
  <si>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</si>
  <si>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</si>
  <si>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</si>
  <si>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</si>
  <si>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</si>
  <si>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</si>
  <si>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</si>
  <si>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</si>
  <si>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</si>
  <si>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</si>
  <si>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</si>
  <si>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</si>
  <si>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</si>
  <si>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</si>
  <si>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</si>
  <si>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</si>
  <si>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</si>
  <si>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</si>
  <si>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</si>
  <si>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</si>
  <si>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</si>
  <si>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</si>
  <si>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</si>
  <si>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</si>
  <si>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</si>
  <si>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</si>
  <si>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</si>
  <si>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</si>
  <si>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</si>
  <si>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</si>
  <si>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</si>
  <si>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</si>
  <si>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</si>
  <si>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</si>
  <si>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</si>
  <si>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</si>
  <si>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</si>
  <si>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</si>
  <si>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</si>
  <si>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</si>
  <si>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</si>
  <si>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</si>
  <si>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</si>
  <si>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</si>
  <si>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</si>
  <si>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</si>
  <si>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</si>
  <si>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</si>
  <si>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</si>
  <si>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</si>
  <si>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</si>
  <si>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</si>
  <si>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</si>
  <si>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</si>
  <si>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</si>
  <si>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</si>
  <si>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</si>
  <si>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</si>
  <si>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</si>
  <si>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</si>
  <si>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</si>
  <si>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</si>
  <si>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</si>
  <si>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</si>
  <si>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</si>
  <si>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</si>
  <si>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</si>
  <si>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</si>
  <si>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</si>
  <si>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</si>
  <si>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</si>
  <si>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</si>
  <si>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</si>
  <si>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</si>
  <si>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</si>
  <si>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</si>
  <si>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</si>
  <si>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</si>
  <si>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</si>
  <si>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</si>
  <si>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</si>
  <si>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</si>
  <si>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</si>
  <si>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</si>
  <si>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</si>
  <si>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</si>
  <si>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</si>
  <si>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</si>
  <si>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</si>
  <si>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</si>
  <si>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</si>
  <si>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</si>
  <si>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</si>
  <si>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</si>
  <si>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</si>
  <si>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</si>
  <si>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</si>
  <si>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</si>
  <si>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</si>
  <si>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</si>
  <si>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</si>
  <si>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</si>
  <si>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</si>
  <si>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</si>
  <si>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</si>
  <si>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</si>
  <si>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</si>
  <si>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</si>
  <si>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</si>
  <si>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</si>
  <si>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</si>
  <si>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</si>
  <si>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</si>
  <si>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</si>
  <si>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</si>
  <si>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</si>
  <si>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</si>
  <si>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</si>
  <si>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</si>
  <si>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</si>
  <si>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</si>
  <si>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</si>
  <si>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</si>
  <si>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</si>
  <si>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</si>
  <si>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</si>
  <si>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</si>
  <si>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</si>
  <si>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</si>
  <si>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</si>
  <si>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</si>
  <si>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</si>
  <si>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</si>
  <si>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Grand Total</t>
  </si>
  <si>
    <t>Squarefeet group</t>
  </si>
  <si>
    <t>309, 310, 311, 312, Centrum, Near Satkar Hotel, Opp. Raila Devi Lake, Wagle Estate, Thane, Maharashtra 400604</t>
  </si>
  <si>
    <t xml:space="preserve">Shree Mallinath Enterprise LLP
</t>
  </si>
  <si>
    <t xml:space="preserve">Y Square, New Survey No.37/1, 37/2, 37/3, 37/4, 37/5, 37/6, 37/7, 37/8, 37/9, 37/10, 37/11, 37/12, 37/13 - 283 - A (Old), New Survey No. 38/1, 38/2 - 283 - B(Old), New Survey No. 36/1, 36/2A, 36/2B - 146/1, 146/2(Pt), 146/2(Pt) (Old), New Survey No. 10/2 - 147/2 (Old), New Survey No. 27/2A, 27/2B - 163/2, near Blossom English High School, Kolshet Road, Dhokali Pada, Dhokali, Thane West, Thane, Thane  - 400607. 
</t>
  </si>
  <si>
    <t xml:space="preserve">Y Square, New Survey No.37/1, 37/2, 37/3, 37/4, 37/5, 37/6, 37/7, 37/8, 37/9, 37/10, 37/11, 37/12, 37/13 - 283 - A (Old), New Survey No. 38/1, 38/2 - 283 - B(Old), New Survey No. 36/1, 36/2A, 36/2B - 146/1, 146/2(Pt), 146/2(Pt) (Old), New Survey No. 10/2 - 147/2 (Old), New Survey No. 27/2A, 27/2B - 163/2, near Blossom English High School, Kolshet Road, Dhokali Pada, Dhokali, Thane West, Thane, Thane  - 400607. </t>
  </si>
  <si>
    <t>Thane Muncipal Cooperation (TMC)</t>
  </si>
  <si>
    <t>P51700015652</t>
  </si>
  <si>
    <t>ICICI BANK LTD
IFSC Code ICIC0004815</t>
  </si>
  <si>
    <t>393+393</t>
  </si>
  <si>
    <t>Blossom English High School</t>
  </si>
  <si>
    <t>https://maps.app.goo.gl/oLiSBHMcstjcT53v7</t>
  </si>
  <si>
    <t>40 m</t>
  </si>
  <si>
    <t>30 M from Everest World Bus Stop</t>
  </si>
  <si>
    <t>About 1 KM from SBJ English School</t>
  </si>
  <si>
    <t>About 210 M form Navjeevan Hospital</t>
  </si>
  <si>
    <t>1. Approx. 550 M from Low Price Super Market.
2. Approx. 900 M from D Mart.</t>
  </si>
  <si>
    <t xml:space="preserve">5.2 KM from Thane Railway Station
</t>
  </si>
  <si>
    <t>Other Plot</t>
  </si>
  <si>
    <t>Adj S.No. 145</t>
  </si>
  <si>
    <t>40 M W Road</t>
  </si>
  <si>
    <t>Kolshet Road</t>
  </si>
  <si>
    <t>Building</t>
  </si>
  <si>
    <t>SPS House</t>
  </si>
  <si>
    <t>Wing A</t>
  </si>
  <si>
    <t>Wing B</t>
  </si>
  <si>
    <t>G/St + 1st to 23rd Floors</t>
  </si>
  <si>
    <t>S05/01505/16/TMC/TD-DP/TPS/0112/ (P/C)/2024/ Auto dCR</t>
  </si>
  <si>
    <t>S05/01505/16/TMCB/TDD/0112/ (P/C)/2024/ Auto DCR</t>
  </si>
  <si>
    <t xml:space="preserve">CC Details
Valid Up to: </t>
  </si>
  <si>
    <t>Building No. 21(Wing A) = G/St + 1st(Retail) Pt/ Podium Pt + 2nd Podium / Service floor + 3rd floor + 4th to 23rd floors
Building No. 21(Wing B) = G/St + 1st(Retail) Pt/ Podium Pt + 2nd Podium / Service floor + 3rd floor + 4th to 7th floors</t>
  </si>
  <si>
    <t xml:space="preserve">Building No. 21 (Wing A) </t>
  </si>
  <si>
    <t xml:space="preserve">Building No. 21 (Wing B) </t>
  </si>
  <si>
    <t>Building No. 21</t>
  </si>
  <si>
    <t>Ground Floor For Commercial, Meter Room, Drivers Room &amp; Praking</t>
  </si>
  <si>
    <t>G1</t>
  </si>
  <si>
    <t>G2</t>
  </si>
  <si>
    <t>G3</t>
  </si>
  <si>
    <t>G4</t>
  </si>
  <si>
    <t>G5</t>
  </si>
  <si>
    <t>G6</t>
  </si>
  <si>
    <t>G7</t>
  </si>
  <si>
    <t>G8</t>
  </si>
  <si>
    <t>G9</t>
  </si>
  <si>
    <t>G10</t>
  </si>
  <si>
    <t>G11</t>
  </si>
  <si>
    <t>G12</t>
  </si>
  <si>
    <t>G13</t>
  </si>
  <si>
    <t>G14</t>
  </si>
  <si>
    <t>G15</t>
  </si>
  <si>
    <t>Shop</t>
  </si>
  <si>
    <t>Ground Floor For Commercial, Meter Room &amp; Praking</t>
  </si>
  <si>
    <t>G16</t>
  </si>
  <si>
    <t>G17</t>
  </si>
  <si>
    <t>G18</t>
  </si>
  <si>
    <t>G19</t>
  </si>
  <si>
    <t>G20</t>
  </si>
  <si>
    <t>G21</t>
  </si>
  <si>
    <t>G22</t>
  </si>
  <si>
    <t>G23</t>
  </si>
  <si>
    <t>G24</t>
  </si>
  <si>
    <t>G25</t>
  </si>
  <si>
    <t>G26</t>
  </si>
  <si>
    <t>G27</t>
  </si>
  <si>
    <t>G28</t>
  </si>
  <si>
    <t>G29</t>
  </si>
  <si>
    <t>G30</t>
  </si>
  <si>
    <t>G31</t>
  </si>
  <si>
    <t>G32</t>
  </si>
  <si>
    <t>G33</t>
  </si>
  <si>
    <t>G34</t>
  </si>
  <si>
    <t>G35</t>
  </si>
  <si>
    <t>G36</t>
  </si>
  <si>
    <t>G37</t>
  </si>
  <si>
    <t>F1</t>
  </si>
  <si>
    <t>F2</t>
  </si>
  <si>
    <t>F3</t>
  </si>
  <si>
    <t>F4</t>
  </si>
  <si>
    <t>F5</t>
  </si>
  <si>
    <t>F6</t>
  </si>
  <si>
    <t>F7</t>
  </si>
  <si>
    <t>F8</t>
  </si>
  <si>
    <t>F9</t>
  </si>
  <si>
    <t>F10</t>
  </si>
  <si>
    <t>F11</t>
  </si>
  <si>
    <t>F12</t>
  </si>
  <si>
    <t>F13</t>
  </si>
  <si>
    <t>F14</t>
  </si>
  <si>
    <t>F15</t>
  </si>
  <si>
    <t>2nd Podium Floor For Service &amp; Parking</t>
  </si>
  <si>
    <t>A1</t>
  </si>
  <si>
    <t>A2</t>
  </si>
  <si>
    <t>A3</t>
  </si>
  <si>
    <t>A4</t>
  </si>
  <si>
    <t>A5</t>
  </si>
  <si>
    <t>A6</t>
  </si>
  <si>
    <t>A7</t>
  </si>
  <si>
    <t>A8</t>
  </si>
  <si>
    <t>A9</t>
  </si>
  <si>
    <t>A10</t>
  </si>
  <si>
    <t>A11</t>
  </si>
  <si>
    <t>A12</t>
  </si>
  <si>
    <t>A13</t>
  </si>
  <si>
    <t>A14</t>
  </si>
  <si>
    <t>A15</t>
  </si>
  <si>
    <t>A16</t>
  </si>
  <si>
    <t>A17</t>
  </si>
  <si>
    <t>A18</t>
  </si>
  <si>
    <t>1BHK</t>
  </si>
  <si>
    <t>2BHK</t>
  </si>
  <si>
    <t>A19</t>
  </si>
  <si>
    <t>3rd Floor For Residential, Society Office, Creche &amp; Fitness Center</t>
  </si>
  <si>
    <t>B1</t>
  </si>
  <si>
    <t>B2</t>
  </si>
  <si>
    <t>B3</t>
  </si>
  <si>
    <t>B4</t>
  </si>
  <si>
    <t>B5</t>
  </si>
  <si>
    <t>B6</t>
  </si>
  <si>
    <t>B7</t>
  </si>
  <si>
    <t>B8</t>
  </si>
  <si>
    <t>B9</t>
  </si>
  <si>
    <t>B10</t>
  </si>
  <si>
    <t>B11</t>
  </si>
  <si>
    <t>B12</t>
  </si>
  <si>
    <t>B13</t>
  </si>
  <si>
    <t>B14</t>
  </si>
  <si>
    <t>B15</t>
  </si>
  <si>
    <t>B16</t>
  </si>
  <si>
    <t>B17</t>
  </si>
  <si>
    <t>B18</t>
  </si>
  <si>
    <t>B19</t>
  </si>
  <si>
    <t>F16</t>
  </si>
  <si>
    <t>F17</t>
  </si>
  <si>
    <t>F18</t>
  </si>
  <si>
    <t>F19</t>
  </si>
  <si>
    <t>F20</t>
  </si>
  <si>
    <t>F21</t>
  </si>
  <si>
    <t>F22</t>
  </si>
  <si>
    <t>F23</t>
  </si>
  <si>
    <t>F24</t>
  </si>
  <si>
    <t>F25</t>
  </si>
  <si>
    <t>F26</t>
  </si>
  <si>
    <t>F27</t>
  </si>
  <si>
    <t>F28</t>
  </si>
  <si>
    <t>F29</t>
  </si>
  <si>
    <t>F30</t>
  </si>
  <si>
    <t>F31</t>
  </si>
  <si>
    <t>F32</t>
  </si>
  <si>
    <t>9th, 14th &amp; 19th Floor (Part Refuge Area)</t>
  </si>
  <si>
    <t>Refuge Area</t>
  </si>
  <si>
    <t>1st Podium Floor for Commercial, Electrical Room &amp; Parking</t>
  </si>
  <si>
    <t>Unit Details, Nomenclature and Area Details (Commercial) Building No.21</t>
  </si>
  <si>
    <t>Unit Details, Nomenclature and Area Details (Flats) Building No.21</t>
  </si>
  <si>
    <t>As per RERA Site Flats =786, Shop = 0</t>
  </si>
  <si>
    <t>Sensory Gardens, Sports and recreation Zone, Creative Art Zone, Creche Centre, Kids Play Area, Story time Corners, Gym and Fitness Centre, Squash Court, Swimming Pool , Multipurpose Court, Outdoor recreation Areas, Indoor Games Area, Spa and Wellness Centre, Yoga and Meditation Pavilion, etc.</t>
  </si>
  <si>
    <r>
      <rPr>
        <b/>
        <sz val="16"/>
        <rFont val="Times New Roman"/>
        <family val="1"/>
      </rPr>
      <t>Y Square, Building No.21 (Wing A &amp; B)</t>
    </r>
    <r>
      <rPr>
        <sz val="16"/>
        <rFont val="Times New Roman"/>
        <family val="1"/>
      </rPr>
      <t xml:space="preserve">
</t>
    </r>
  </si>
  <si>
    <t xml:space="preserve">We considered Gross carpet area = Net carpet + Enclose balcony + Balcony
</t>
  </si>
  <si>
    <t>Mr.Ajay Songare</t>
  </si>
  <si>
    <t>19.2297274,72.9842089</t>
  </si>
  <si>
    <t>Y Square" Opp Tribe Restaurant, Next To Blossom School, Kolshet Rd, Dhokali, Thane(W) - 400607</t>
  </si>
  <si>
    <t>We have taken approved plans &amp; CC from Rera.</t>
  </si>
  <si>
    <t>RERA certificate</t>
  </si>
  <si>
    <t>Concrete</t>
  </si>
  <si>
    <t>We have not drafted the 8th, 13th, and 18th floors as the approved floor plan is missing. Provide an approved plan for the 8th, 13th, and 18th floors.</t>
  </si>
  <si>
    <t>In the approved plan, on Floors 9th, 14th, and 19th, these refuge floors are repeated in the non-refuge floor plan.</t>
  </si>
  <si>
    <t>Fitness Center</t>
  </si>
  <si>
    <t>4th to 7th , 10th to 12th, 15th to 17th &amp; 20th to 23rd Floor</t>
  </si>
  <si>
    <t>Flats =  672    &amp; 
Shop = 69</t>
  </si>
  <si>
    <t>17000 to 18000</t>
  </si>
  <si>
    <t>SEIAA-EC-0000002164
New Survey No.37/1, 37/2, 37/3, 37/4, 37/5, 37/6, 37/7, 37/8, 37/9, 37/10, 37/11, 37/12, 37/13 - 283 - A (Old), New Survey No. 38/1, 38/2 - 283 - B(Old), New Survey No. 36/1, 36/2A, 36/2B - 146/1, 146/2(Pt), 146/2(Pt) (Old), New Survey No. 10/2 - 147/2 (Old), New Survey No. 27/2A, 27/2B - 163/2</t>
  </si>
  <si>
    <t>Please Check for Fire Noc.</t>
  </si>
  <si>
    <t>Construction work is in process at the time of visit.</t>
  </si>
  <si>
    <t>Old Int Date</t>
  </si>
  <si>
    <t>&lt; 90</t>
  </si>
  <si>
    <t>04/07/2025 at 11:19AM</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</si>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</sst>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8"/>
      <color theme="10"/>
      <name val="Calibri"/>
      <family val="2"/>
    </font>
    <font>
      <sz val="18"/>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6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3" fillId="0" borderId="0" xfId="0" applyNumberFormat="1" applyFont="1" applyAlignment="1">
      <alignment horizontal="center" vertical="top"/>
    </xf>
    <xf numFmtId="0" fontId="4" fillId="4" borderId="1" xfId="1" applyFont="1" applyFill="1" applyBorder="1" applyAlignment="1">
      <alignment horizontal="center" vertical="center" wrapText="1"/>
    </xf>
    <xf numFmtId="1" fontId="3" fillId="4" borderId="1" xfId="0" applyNumberFormat="1" applyFont="1" applyFill="1" applyBorder="1" applyAlignment="1">
      <alignment horizontal="center" vertical="top"/>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4" fontId="9" fillId="4" borderId="1" xfId="0" applyNumberFormat="1" applyFont="1" applyFill="1" applyBorder="1" applyAlignment="1">
      <alignment vertical="top" wrapText="1"/>
    </xf>
    <xf numFmtId="0" fontId="3" fillId="0" borderId="0" xfId="0" applyFont="1" applyAlignment="1">
      <alignment horizontal="righ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9" fillId="4" borderId="2"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23" fillId="4" borderId="1" xfId="2" applyFont="1" applyFill="1" applyBorder="1" applyAlignment="1">
      <alignment horizontal="left" vertical="top" wrapText="1"/>
    </xf>
    <xf numFmtId="0" fontId="24"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0" borderId="3" xfId="0" applyFont="1" applyBorder="1" applyAlignment="1">
      <alignment horizontal="left"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EF2E8"/>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8</xdr:col>
      <xdr:colOff>217714</xdr:colOff>
      <xdr:row>91</xdr:row>
      <xdr:rowOff>0</xdr:rowOff>
    </xdr:from>
    <xdr:to>
      <xdr:col>22</xdr:col>
      <xdr:colOff>464262</xdr:colOff>
      <xdr:row>117</xdr:row>
      <xdr:rowOff>44454</xdr:rowOff>
    </xdr:to>
    <xdr:grpSp>
      <xdr:nvGrpSpPr>
        <xdr:cNvPr id="6" name="Group 5">
          <a:extLst>
            <a:ext uri="{FF2B5EF4-FFF2-40B4-BE49-F238E27FC236}">
              <a16:creationId xmlns:a16="http://schemas.microsoft.com/office/drawing/2014/main" xmlns="" id="{00000000-0008-0000-0000-000006000000}"/>
            </a:ext>
          </a:extLst>
        </xdr:cNvPr>
        <xdr:cNvGrpSpPr/>
      </xdr:nvGrpSpPr>
      <xdr:grpSpPr>
        <a:xfrm>
          <a:off x="9630655" y="37517294"/>
          <a:ext cx="9087989" cy="3574307"/>
          <a:chOff x="9606643" y="3728358"/>
          <a:chExt cx="8819048" cy="3609524"/>
        </a:xfrm>
      </xdr:grpSpPr>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606643" y="3728358"/>
            <a:ext cx="8819048" cy="3609524"/>
          </a:xfrm>
          <a:prstGeom prst="rect">
            <a:avLst/>
          </a:prstGeom>
        </xdr:spPr>
      </xdr:pic>
      <xdr:cxnSp macro="">
        <xdr:nvCxnSpPr>
          <xdr:cNvPr id="4" name="Straight Connector 3">
            <a:extLst>
              <a:ext uri="{FF2B5EF4-FFF2-40B4-BE49-F238E27FC236}">
                <a16:creationId xmlns:a16="http://schemas.microsoft.com/office/drawing/2014/main" xmlns="" id="{00000000-0008-0000-0000-000004000000}"/>
              </a:ext>
            </a:extLst>
          </xdr:cNvPr>
          <xdr:cNvCxnSpPr/>
        </xdr:nvCxnSpPr>
        <xdr:spPr>
          <a:xfrm flipV="1">
            <a:off x="10450286" y="6477001"/>
            <a:ext cx="1265464" cy="13606"/>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81643</xdr:colOff>
      <xdr:row>413</xdr:row>
      <xdr:rowOff>231322</xdr:rowOff>
    </xdr:from>
    <xdr:to>
      <xdr:col>6</xdr:col>
      <xdr:colOff>14225</xdr:colOff>
      <xdr:row>432</xdr:row>
      <xdr:rowOff>117941</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a:stretch>
          <a:fillRect/>
        </a:stretch>
      </xdr:blipFill>
      <xdr:spPr>
        <a:xfrm>
          <a:off x="2422072" y="109659965"/>
          <a:ext cx="4613439" cy="4798800"/>
        </a:xfrm>
        <a:prstGeom prst="rect">
          <a:avLst/>
        </a:prstGeom>
        <a:ln>
          <a:solidFill>
            <a:schemeClr val="tx1"/>
          </a:solidFill>
        </a:ln>
      </xdr:spPr>
    </xdr:pic>
    <xdr:clientData/>
  </xdr:twoCellAnchor>
  <xdr:twoCellAnchor>
    <xdr:from>
      <xdr:col>1</xdr:col>
      <xdr:colOff>435430</xdr:colOff>
      <xdr:row>433</xdr:row>
      <xdr:rowOff>81643</xdr:rowOff>
    </xdr:from>
    <xdr:to>
      <xdr:col>6</xdr:col>
      <xdr:colOff>790599</xdr:colOff>
      <xdr:row>455</xdr:row>
      <xdr:rowOff>153857</xdr:rowOff>
    </xdr:to>
    <xdr:grpSp>
      <xdr:nvGrpSpPr>
        <xdr:cNvPr id="17" name="Group 16">
          <a:extLst>
            <a:ext uri="{FF2B5EF4-FFF2-40B4-BE49-F238E27FC236}">
              <a16:creationId xmlns:a16="http://schemas.microsoft.com/office/drawing/2014/main" xmlns="" id="{00000000-0008-0000-0000-000011000000}"/>
            </a:ext>
          </a:extLst>
        </xdr:cNvPr>
        <xdr:cNvGrpSpPr/>
      </xdr:nvGrpSpPr>
      <xdr:grpSpPr>
        <a:xfrm>
          <a:off x="1612048" y="116891761"/>
          <a:ext cx="6238257" cy="5742390"/>
          <a:chOff x="1592037" y="114653786"/>
          <a:chExt cx="6206241" cy="5760000"/>
        </a:xfrm>
      </xdr:grpSpPr>
      <xdr:grpSp>
        <xdr:nvGrpSpPr>
          <xdr:cNvPr id="13" name="Group 12">
            <a:extLst>
              <a:ext uri="{FF2B5EF4-FFF2-40B4-BE49-F238E27FC236}">
                <a16:creationId xmlns:a16="http://schemas.microsoft.com/office/drawing/2014/main" xmlns="" id="{00000000-0008-0000-0000-00000D000000}"/>
              </a:ext>
            </a:extLst>
          </xdr:cNvPr>
          <xdr:cNvGrpSpPr/>
        </xdr:nvGrpSpPr>
        <xdr:grpSpPr>
          <a:xfrm>
            <a:off x="1592037" y="114653786"/>
            <a:ext cx="6206241" cy="5760000"/>
            <a:chOff x="1592037" y="114653786"/>
            <a:chExt cx="6206241" cy="5760000"/>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592037" y="114653786"/>
              <a:ext cx="6206241" cy="5760000"/>
            </a:xfrm>
            <a:prstGeom prst="rect">
              <a:avLst/>
            </a:prstGeom>
            <a:ln>
              <a:solidFill>
                <a:schemeClr val="tx1"/>
              </a:solidFill>
            </a:ln>
          </xdr:spPr>
        </xdr:pic>
        <xdr:sp macro="" textlink="">
          <xdr:nvSpPr>
            <xdr:cNvPr id="9" name="Rectangle 8">
              <a:extLst>
                <a:ext uri="{FF2B5EF4-FFF2-40B4-BE49-F238E27FC236}">
                  <a16:creationId xmlns:a16="http://schemas.microsoft.com/office/drawing/2014/main" xmlns="" id="{00000000-0008-0000-0000-000009000000}"/>
                </a:ext>
              </a:extLst>
            </xdr:cNvPr>
            <xdr:cNvSpPr/>
          </xdr:nvSpPr>
          <xdr:spPr>
            <a:xfrm rot="1630880">
              <a:off x="5043653" y="118471055"/>
              <a:ext cx="925286" cy="17844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5796643" y="119742857"/>
              <a:ext cx="925285"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Wing A </a:t>
              </a:r>
            </a:p>
          </xdr:txBody>
        </xdr:sp>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a:off x="6123214" y="119089714"/>
              <a:ext cx="925285"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Wing B</a:t>
              </a:r>
            </a:p>
          </xdr:txBody>
        </xdr:sp>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3932465" y="118735928"/>
              <a:ext cx="1387929"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002060"/>
                  </a:solidFill>
                </a:rPr>
                <a:t>Bldg</a:t>
              </a:r>
              <a:r>
                <a:rPr lang="en-IN" sz="1800" b="1" baseline="0">
                  <a:solidFill>
                    <a:srgbClr val="002060"/>
                  </a:solidFill>
                </a:rPr>
                <a:t> No. 21</a:t>
              </a:r>
              <a:endParaRPr lang="en-IN" sz="1800" b="1">
                <a:solidFill>
                  <a:srgbClr val="002060"/>
                </a:solidFill>
              </a:endParaRPr>
            </a:p>
          </xdr:txBody>
        </xdr:sp>
      </xdr:grpSp>
      <xdr:cxnSp macro="">
        <xdr:nvCxnSpPr>
          <xdr:cNvPr id="15" name="Straight Arrow Connector 14">
            <a:extLst>
              <a:ext uri="{FF2B5EF4-FFF2-40B4-BE49-F238E27FC236}">
                <a16:creationId xmlns:a16="http://schemas.microsoft.com/office/drawing/2014/main" xmlns="" id="{00000000-0008-0000-0000-00000F000000}"/>
              </a:ext>
            </a:extLst>
          </xdr:cNvPr>
          <xdr:cNvCxnSpPr/>
        </xdr:nvCxnSpPr>
        <xdr:spPr>
          <a:xfrm flipH="1" flipV="1">
            <a:off x="2109107" y="115238893"/>
            <a:ext cx="340178" cy="39460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1850571" y="114925929"/>
            <a:ext cx="4626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N</a:t>
            </a:r>
          </a:p>
        </xdr:txBody>
      </xdr:sp>
    </xdr:grpSp>
    <xdr:clientData/>
  </xdr:twoCellAnchor>
  <xdr:twoCellAnchor>
    <xdr:from>
      <xdr:col>1</xdr:col>
      <xdr:colOff>435429</xdr:colOff>
      <xdr:row>463</xdr:row>
      <xdr:rowOff>40823</xdr:rowOff>
    </xdr:from>
    <xdr:to>
      <xdr:col>6</xdr:col>
      <xdr:colOff>200357</xdr:colOff>
      <xdr:row>495</xdr:row>
      <xdr:rowOff>11680</xdr:rowOff>
    </xdr:to>
    <xdr:grpSp>
      <xdr:nvGrpSpPr>
        <xdr:cNvPr id="3" name="Group 2">
          <a:extLst>
            <a:ext uri="{FF2B5EF4-FFF2-40B4-BE49-F238E27FC236}">
              <a16:creationId xmlns:a16="http://schemas.microsoft.com/office/drawing/2014/main" xmlns="" id="{00000000-0008-0000-0000-000003000000}"/>
            </a:ext>
          </a:extLst>
        </xdr:cNvPr>
        <xdr:cNvGrpSpPr/>
      </xdr:nvGrpSpPr>
      <xdr:grpSpPr>
        <a:xfrm>
          <a:off x="1612047" y="124582999"/>
          <a:ext cx="5648016" cy="7948972"/>
          <a:chOff x="1605642" y="126165430"/>
          <a:chExt cx="6467639" cy="9920111"/>
        </a:xfrm>
      </xdr:grpSpPr>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a:stretch>
            <a:fillRect/>
          </a:stretch>
        </xdr:blipFill>
        <xdr:spPr>
          <a:xfrm>
            <a:off x="2052342" y="126165430"/>
            <a:ext cx="5667692" cy="5040000"/>
          </a:xfrm>
          <a:prstGeom prst="rect">
            <a:avLst/>
          </a:prstGeom>
          <a:ln>
            <a:solidFill>
              <a:schemeClr val="tx1"/>
            </a:solidFill>
          </a:ln>
        </xdr:spPr>
      </xdr:pic>
      <xdr:grpSp>
        <xdr:nvGrpSpPr>
          <xdr:cNvPr id="25" name="Group 24">
            <a:extLst>
              <a:ext uri="{FF2B5EF4-FFF2-40B4-BE49-F238E27FC236}">
                <a16:creationId xmlns:a16="http://schemas.microsoft.com/office/drawing/2014/main" xmlns="" id="{00000000-0008-0000-0000-000019000000}"/>
              </a:ext>
            </a:extLst>
          </xdr:cNvPr>
          <xdr:cNvGrpSpPr/>
        </xdr:nvGrpSpPr>
        <xdr:grpSpPr>
          <a:xfrm>
            <a:off x="1605642" y="131405540"/>
            <a:ext cx="6467639" cy="4680001"/>
            <a:chOff x="1605642" y="128847398"/>
            <a:chExt cx="6467639" cy="4680000"/>
          </a:xfrm>
        </xdr:grpSpPr>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5"/>
            <a:stretch>
              <a:fillRect/>
            </a:stretch>
          </xdr:blipFill>
          <xdr:spPr>
            <a:xfrm>
              <a:off x="1605642" y="128847398"/>
              <a:ext cx="6467639" cy="4680000"/>
            </a:xfrm>
            <a:prstGeom prst="rect">
              <a:avLst/>
            </a:prstGeom>
            <a:ln>
              <a:solidFill>
                <a:schemeClr val="tx1"/>
              </a:solidFill>
            </a:ln>
          </xdr:spPr>
        </xdr:pic>
        <xdr:sp macro="" textlink="">
          <xdr:nvSpPr>
            <xdr:cNvPr id="24" name="Rectangle 23">
              <a:extLst>
                <a:ext uri="{FF2B5EF4-FFF2-40B4-BE49-F238E27FC236}">
                  <a16:creationId xmlns:a16="http://schemas.microsoft.com/office/drawing/2014/main" xmlns="" id="{00000000-0008-0000-0000-000018000000}"/>
                </a:ext>
              </a:extLst>
            </xdr:cNvPr>
            <xdr:cNvSpPr/>
          </xdr:nvSpPr>
          <xdr:spPr>
            <a:xfrm rot="3156682">
              <a:off x="3479485" y="130075048"/>
              <a:ext cx="1332364" cy="257752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8</xdr:col>
      <xdr:colOff>358589</xdr:colOff>
      <xdr:row>369</xdr:row>
      <xdr:rowOff>224117</xdr:rowOff>
    </xdr:from>
    <xdr:to>
      <xdr:col>23</xdr:col>
      <xdr:colOff>44280</xdr:colOff>
      <xdr:row>398</xdr:row>
      <xdr:rowOff>134558</xdr:rowOff>
    </xdr:to>
    <xdr:grpSp>
      <xdr:nvGrpSpPr>
        <xdr:cNvPr id="20" name="Group 19">
          <a:extLst>
            <a:ext uri="{FF2B5EF4-FFF2-40B4-BE49-F238E27FC236}">
              <a16:creationId xmlns:a16="http://schemas.microsoft.com/office/drawing/2014/main" xmlns="" id="{5431FDD3-3C51-4415-8DE8-9E7325C75799}"/>
            </a:ext>
          </a:extLst>
        </xdr:cNvPr>
        <xdr:cNvGrpSpPr/>
      </xdr:nvGrpSpPr>
      <xdr:grpSpPr>
        <a:xfrm>
          <a:off x="9771530" y="100539176"/>
          <a:ext cx="9132250" cy="7384764"/>
          <a:chOff x="168089" y="100102147"/>
          <a:chExt cx="9132250" cy="7384764"/>
        </a:xfrm>
      </xdr:grpSpPr>
      <xdr:grpSp>
        <xdr:nvGrpSpPr>
          <xdr:cNvPr id="14" name="Group 13">
            <a:extLst>
              <a:ext uri="{FF2B5EF4-FFF2-40B4-BE49-F238E27FC236}">
                <a16:creationId xmlns:a16="http://schemas.microsoft.com/office/drawing/2014/main" xmlns="" id="{5BD5BBE2-873D-4112-AC32-0E1906B5AAFF}"/>
              </a:ext>
            </a:extLst>
          </xdr:cNvPr>
          <xdr:cNvGrpSpPr/>
        </xdr:nvGrpSpPr>
        <xdr:grpSpPr>
          <a:xfrm>
            <a:off x="168089" y="100102147"/>
            <a:ext cx="9132250" cy="7384764"/>
            <a:chOff x="168089" y="100102147"/>
            <a:chExt cx="9132250" cy="7384764"/>
          </a:xfrm>
        </xdr:grpSpPr>
        <xdr:pic>
          <xdr:nvPicPr>
            <xdr:cNvPr id="26" name="Picture 25">
              <a:extLst>
                <a:ext uri="{FF2B5EF4-FFF2-40B4-BE49-F238E27FC236}">
                  <a16:creationId xmlns:a16="http://schemas.microsoft.com/office/drawing/2014/main" xmlns="" id="{3AEE60DC-897E-40D6-930F-1C290C933CA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8089" y="100113353"/>
              <a:ext cx="5754666" cy="4320000"/>
            </a:xfrm>
            <a:prstGeom prst="rect">
              <a:avLst/>
            </a:prstGeom>
            <a:ln>
              <a:solidFill>
                <a:schemeClr val="tx1"/>
              </a:solidFill>
            </a:ln>
          </xdr:spPr>
        </xdr:pic>
        <xdr:pic>
          <xdr:nvPicPr>
            <xdr:cNvPr id="27" name="Picture 26">
              <a:extLst>
                <a:ext uri="{FF2B5EF4-FFF2-40B4-BE49-F238E27FC236}">
                  <a16:creationId xmlns:a16="http://schemas.microsoft.com/office/drawing/2014/main" xmlns="" id="{2D3779B8-5303-4A04-8ECE-9B876D6E0BB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063714" y="100102147"/>
              <a:ext cx="3236625" cy="4320000"/>
            </a:xfrm>
            <a:prstGeom prst="rect">
              <a:avLst/>
            </a:prstGeom>
            <a:ln>
              <a:solidFill>
                <a:schemeClr val="tx1"/>
              </a:solidFill>
            </a:ln>
          </xdr:spPr>
        </xdr:pic>
        <xdr:pic>
          <xdr:nvPicPr>
            <xdr:cNvPr id="28" name="Picture 27">
              <a:extLst>
                <a:ext uri="{FF2B5EF4-FFF2-40B4-BE49-F238E27FC236}">
                  <a16:creationId xmlns:a16="http://schemas.microsoft.com/office/drawing/2014/main" xmlns="" id="{0564A004-7542-408F-A69A-AA7A4241FFA7}"/>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888403" y="104606911"/>
              <a:ext cx="2157750" cy="2880000"/>
            </a:xfrm>
            <a:prstGeom prst="rect">
              <a:avLst/>
            </a:prstGeom>
            <a:ln>
              <a:solidFill>
                <a:schemeClr val="tx1"/>
              </a:solidFill>
            </a:ln>
          </xdr:spPr>
        </xdr:pic>
        <xdr:pic>
          <xdr:nvPicPr>
            <xdr:cNvPr id="29" name="Picture 28">
              <a:extLst>
                <a:ext uri="{FF2B5EF4-FFF2-40B4-BE49-F238E27FC236}">
                  <a16:creationId xmlns:a16="http://schemas.microsoft.com/office/drawing/2014/main" xmlns="" id="{40E4C5F9-0EEE-4171-AB5A-4C529394093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190316" y="104606911"/>
              <a:ext cx="3836444" cy="2880000"/>
            </a:xfrm>
            <a:prstGeom prst="rect">
              <a:avLst/>
            </a:prstGeom>
            <a:ln>
              <a:solidFill>
                <a:schemeClr val="tx1"/>
              </a:solidFill>
            </a:ln>
          </xdr:spPr>
        </xdr:pic>
      </xdr:grpSp>
      <xdr:sp macro="" textlink="">
        <xdr:nvSpPr>
          <xdr:cNvPr id="5" name="TextBox 4">
            <a:extLst>
              <a:ext uri="{FF2B5EF4-FFF2-40B4-BE49-F238E27FC236}">
                <a16:creationId xmlns:a16="http://schemas.microsoft.com/office/drawing/2014/main" xmlns="" id="{2FB711D3-33C4-445F-803C-0AB7A173885F}"/>
              </a:ext>
            </a:extLst>
          </xdr:cNvPr>
          <xdr:cNvSpPr txBox="1"/>
        </xdr:nvSpPr>
        <xdr:spPr>
          <a:xfrm>
            <a:off x="829235" y="101189118"/>
            <a:ext cx="87594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Wing</a:t>
            </a:r>
            <a:r>
              <a:rPr lang="en-IN" sz="1800" b="1" baseline="0">
                <a:solidFill>
                  <a:srgbClr val="FF0000"/>
                </a:solidFill>
              </a:rPr>
              <a:t> A</a:t>
            </a:r>
            <a:endParaRPr lang="en-IN" sz="1800" b="1">
              <a:solidFill>
                <a:srgbClr val="FF0000"/>
              </a:solidFill>
            </a:endParaRPr>
          </a:p>
        </xdr:txBody>
      </xdr:sp>
      <xdr:sp macro="" textlink="">
        <xdr:nvSpPr>
          <xdr:cNvPr id="30" name="TextBox 29">
            <a:extLst>
              <a:ext uri="{FF2B5EF4-FFF2-40B4-BE49-F238E27FC236}">
                <a16:creationId xmlns:a16="http://schemas.microsoft.com/office/drawing/2014/main" xmlns="" id="{D6340958-D387-4C10-8CD8-C69BF08B0D85}"/>
              </a:ext>
            </a:extLst>
          </xdr:cNvPr>
          <xdr:cNvSpPr txBox="1"/>
        </xdr:nvSpPr>
        <xdr:spPr>
          <a:xfrm>
            <a:off x="7279340" y="103112047"/>
            <a:ext cx="86549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Wing</a:t>
            </a:r>
            <a:r>
              <a:rPr lang="en-IN" sz="1800" b="1" baseline="0">
                <a:solidFill>
                  <a:srgbClr val="FF0000"/>
                </a:solidFill>
              </a:rPr>
              <a:t> B</a:t>
            </a:r>
            <a:endParaRPr lang="en-IN" sz="1800" b="1">
              <a:solidFill>
                <a:srgbClr val="FF0000"/>
              </a:solidFill>
            </a:endParaRPr>
          </a:p>
        </xdr:txBody>
      </xdr:sp>
    </xdr:grpSp>
    <xdr:clientData/>
  </xdr:twoCellAnchor>
  <xdr:twoCellAnchor>
    <xdr:from>
      <xdr:col>8</xdr:col>
      <xdr:colOff>582707</xdr:colOff>
      <xdr:row>369</xdr:row>
      <xdr:rowOff>224116</xdr:rowOff>
    </xdr:from>
    <xdr:to>
      <xdr:col>23</xdr:col>
      <xdr:colOff>212913</xdr:colOff>
      <xdr:row>401</xdr:row>
      <xdr:rowOff>100852</xdr:rowOff>
    </xdr:to>
    <xdr:grpSp>
      <xdr:nvGrpSpPr>
        <xdr:cNvPr id="31" name="Group 30">
          <a:extLst>
            <a:ext uri="{FF2B5EF4-FFF2-40B4-BE49-F238E27FC236}">
              <a16:creationId xmlns:a16="http://schemas.microsoft.com/office/drawing/2014/main" xmlns="" id="{95447179-6B43-4096-BBFF-CCEB7A2AAA4B}"/>
            </a:ext>
          </a:extLst>
        </xdr:cNvPr>
        <xdr:cNvGrpSpPr/>
      </xdr:nvGrpSpPr>
      <xdr:grpSpPr>
        <a:xfrm>
          <a:off x="9995648" y="100539175"/>
          <a:ext cx="9076765" cy="8124265"/>
          <a:chOff x="7146" y="914400"/>
          <a:chExt cx="6850854" cy="5904001"/>
        </a:xfrm>
      </xdr:grpSpPr>
      <xdr:grpSp>
        <xdr:nvGrpSpPr>
          <xdr:cNvPr id="32" name="Group 31">
            <a:extLst>
              <a:ext uri="{FF2B5EF4-FFF2-40B4-BE49-F238E27FC236}">
                <a16:creationId xmlns:a16="http://schemas.microsoft.com/office/drawing/2014/main" xmlns="" id="{8B43E66C-33C7-4F89-A80F-4D27442E07CF}"/>
              </a:ext>
            </a:extLst>
          </xdr:cNvPr>
          <xdr:cNvGrpSpPr/>
        </xdr:nvGrpSpPr>
        <xdr:grpSpPr>
          <a:xfrm>
            <a:off x="7146" y="914400"/>
            <a:ext cx="6850854" cy="5904001"/>
            <a:chOff x="3573" y="0"/>
            <a:chExt cx="6850854" cy="5904001"/>
          </a:xfrm>
        </xdr:grpSpPr>
        <xdr:pic>
          <xdr:nvPicPr>
            <xdr:cNvPr id="36" name="Picture 35">
              <a:extLst>
                <a:ext uri="{FF2B5EF4-FFF2-40B4-BE49-F238E27FC236}">
                  <a16:creationId xmlns:a16="http://schemas.microsoft.com/office/drawing/2014/main" xmlns="" id="{BA46A8CE-CEB2-4B25-943F-1880A4B07A2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538428" y="0"/>
              <a:ext cx="4315999" cy="3240000"/>
            </a:xfrm>
            <a:prstGeom prst="rect">
              <a:avLst/>
            </a:prstGeom>
            <a:ln>
              <a:solidFill>
                <a:schemeClr val="tx1"/>
              </a:solidFill>
            </a:ln>
          </xdr:spPr>
        </xdr:pic>
        <xdr:pic>
          <xdr:nvPicPr>
            <xdr:cNvPr id="37" name="Picture 36">
              <a:extLst>
                <a:ext uri="{FF2B5EF4-FFF2-40B4-BE49-F238E27FC236}">
                  <a16:creationId xmlns:a16="http://schemas.microsoft.com/office/drawing/2014/main" xmlns="" id="{97A20FAF-D252-41F0-BBE0-420B68CCC52C}"/>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573" y="0"/>
              <a:ext cx="2427469" cy="3240000"/>
            </a:xfrm>
            <a:prstGeom prst="rect">
              <a:avLst/>
            </a:prstGeom>
            <a:ln>
              <a:solidFill>
                <a:schemeClr val="tx1"/>
              </a:solidFill>
            </a:ln>
          </xdr:spPr>
        </xdr:pic>
        <xdr:pic>
          <xdr:nvPicPr>
            <xdr:cNvPr id="38" name="Picture 37">
              <a:extLst>
                <a:ext uri="{FF2B5EF4-FFF2-40B4-BE49-F238E27FC236}">
                  <a16:creationId xmlns:a16="http://schemas.microsoft.com/office/drawing/2014/main" xmlns="" id="{96D71218-85CA-49E1-9AE0-66C50B1B0042}"/>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03754" y="3384001"/>
              <a:ext cx="1888031" cy="2520000"/>
            </a:xfrm>
            <a:prstGeom prst="rect">
              <a:avLst/>
            </a:prstGeom>
            <a:ln>
              <a:solidFill>
                <a:schemeClr val="tx1"/>
              </a:solidFill>
            </a:ln>
          </xdr:spPr>
        </xdr:pic>
        <xdr:pic>
          <xdr:nvPicPr>
            <xdr:cNvPr id="39" name="Picture 38">
              <a:extLst>
                <a:ext uri="{FF2B5EF4-FFF2-40B4-BE49-F238E27FC236}">
                  <a16:creationId xmlns:a16="http://schemas.microsoft.com/office/drawing/2014/main" xmlns="" id="{DA1638B1-A802-474E-88AE-2655FE0FED5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3384001"/>
              <a:ext cx="1888031" cy="2520000"/>
            </a:xfrm>
            <a:prstGeom prst="rect">
              <a:avLst/>
            </a:prstGeom>
            <a:ln>
              <a:solidFill>
                <a:schemeClr val="tx1"/>
              </a:solidFill>
            </a:ln>
          </xdr:spPr>
        </xdr:pic>
      </xdr:grpSp>
      <xdr:sp macro="" textlink="">
        <xdr:nvSpPr>
          <xdr:cNvPr id="33" name="TextBox 160">
            <a:extLst>
              <a:ext uri="{FF2B5EF4-FFF2-40B4-BE49-F238E27FC236}">
                <a16:creationId xmlns:a16="http://schemas.microsoft.com/office/drawing/2014/main" xmlns="" id="{16557E15-F4E6-4764-841C-F942CB5F5037}"/>
              </a:ext>
            </a:extLst>
          </xdr:cNvPr>
          <xdr:cNvSpPr txBox="1"/>
        </xdr:nvSpPr>
        <xdr:spPr>
          <a:xfrm>
            <a:off x="4453680" y="1241988"/>
            <a:ext cx="124425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B</a:t>
            </a:r>
            <a:endParaRPr lang="en-IN" sz="2800" b="1">
              <a:solidFill>
                <a:srgbClr val="FF0000"/>
              </a:solidFill>
            </a:endParaRPr>
          </a:p>
        </xdr:txBody>
      </xdr:sp>
      <xdr:sp macro="" textlink="">
        <xdr:nvSpPr>
          <xdr:cNvPr id="34" name="TextBox 161">
            <a:extLst>
              <a:ext uri="{FF2B5EF4-FFF2-40B4-BE49-F238E27FC236}">
                <a16:creationId xmlns:a16="http://schemas.microsoft.com/office/drawing/2014/main" xmlns="" id="{4694E8E7-706A-45A4-9F70-F5D8CCDB4A7A}"/>
              </a:ext>
            </a:extLst>
          </xdr:cNvPr>
          <xdr:cNvSpPr txBox="1"/>
        </xdr:nvSpPr>
        <xdr:spPr>
          <a:xfrm>
            <a:off x="1407327" y="4298401"/>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A</a:t>
            </a:r>
            <a:endParaRPr lang="en-IN" sz="2800" b="1">
              <a:solidFill>
                <a:srgbClr val="FF0000"/>
              </a:solidFill>
            </a:endParaRPr>
          </a:p>
        </xdr:txBody>
      </xdr:sp>
      <xdr:sp macro="" textlink="">
        <xdr:nvSpPr>
          <xdr:cNvPr id="35" name="TextBox 162">
            <a:extLst>
              <a:ext uri="{FF2B5EF4-FFF2-40B4-BE49-F238E27FC236}">
                <a16:creationId xmlns:a16="http://schemas.microsoft.com/office/drawing/2014/main" xmlns="" id="{C4999E62-4C2F-42D6-BC4E-74DC0C78DCC9}"/>
              </a:ext>
            </a:extLst>
          </xdr:cNvPr>
          <xdr:cNvSpPr txBox="1"/>
        </xdr:nvSpPr>
        <xdr:spPr>
          <a:xfrm>
            <a:off x="495064" y="1175819"/>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A</a:t>
            </a:r>
            <a:endParaRPr lang="en-IN" sz="2800" b="1">
              <a:solidFill>
                <a:srgbClr val="FF0000"/>
              </a:solidFill>
            </a:endParaRPr>
          </a:p>
        </xdr:txBody>
      </xdr:sp>
    </xdr:grpSp>
    <xdr:clientData/>
  </xdr:twoCellAnchor>
  <xdr:twoCellAnchor>
    <xdr:from>
      <xdr:col>0</xdr:col>
      <xdr:colOff>212913</xdr:colOff>
      <xdr:row>370</xdr:row>
      <xdr:rowOff>89647</xdr:rowOff>
    </xdr:from>
    <xdr:to>
      <xdr:col>7</xdr:col>
      <xdr:colOff>997323</xdr:colOff>
      <xdr:row>399</xdr:row>
      <xdr:rowOff>100853</xdr:rowOff>
    </xdr:to>
    <xdr:grpSp>
      <xdr:nvGrpSpPr>
        <xdr:cNvPr id="40" name="Group 39">
          <a:extLst>
            <a:ext uri="{FF2B5EF4-FFF2-40B4-BE49-F238E27FC236}">
              <a16:creationId xmlns:a16="http://schemas.microsoft.com/office/drawing/2014/main" xmlns="" id="{655B708A-D8DB-4161-A782-215372341082}"/>
            </a:ext>
          </a:extLst>
        </xdr:cNvPr>
        <xdr:cNvGrpSpPr/>
      </xdr:nvGrpSpPr>
      <xdr:grpSpPr>
        <a:xfrm>
          <a:off x="212913" y="100662441"/>
          <a:ext cx="9020734" cy="7485530"/>
          <a:chOff x="-657362" y="896470"/>
          <a:chExt cx="7761835" cy="6388942"/>
        </a:xfrm>
      </xdr:grpSpPr>
      <xdr:grpSp>
        <xdr:nvGrpSpPr>
          <xdr:cNvPr id="41" name="Group 40">
            <a:extLst>
              <a:ext uri="{FF2B5EF4-FFF2-40B4-BE49-F238E27FC236}">
                <a16:creationId xmlns:a16="http://schemas.microsoft.com/office/drawing/2014/main" xmlns="" id="{69BC2807-EAB2-44F4-88EB-8BCADA286ACD}"/>
              </a:ext>
            </a:extLst>
          </xdr:cNvPr>
          <xdr:cNvGrpSpPr/>
        </xdr:nvGrpSpPr>
        <xdr:grpSpPr>
          <a:xfrm>
            <a:off x="-657362" y="896470"/>
            <a:ext cx="7761835" cy="6388942"/>
            <a:chOff x="-424279" y="0"/>
            <a:chExt cx="7761835" cy="6388942"/>
          </a:xfrm>
        </xdr:grpSpPr>
        <xdr:pic>
          <xdr:nvPicPr>
            <xdr:cNvPr id="46" name="Picture 45">
              <a:extLst>
                <a:ext uri="{FF2B5EF4-FFF2-40B4-BE49-F238E27FC236}">
                  <a16:creationId xmlns:a16="http://schemas.microsoft.com/office/drawing/2014/main" xmlns="" id="{1640D7C2-3700-4C02-80A4-B1315AA1BAE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24279" y="0"/>
              <a:ext cx="2697188" cy="3600000"/>
            </a:xfrm>
            <a:prstGeom prst="rect">
              <a:avLst/>
            </a:prstGeom>
            <a:ln>
              <a:solidFill>
                <a:schemeClr val="tx1"/>
              </a:solidFill>
            </a:ln>
          </xdr:spPr>
        </xdr:pic>
        <xdr:pic>
          <xdr:nvPicPr>
            <xdr:cNvPr id="47" name="Picture 46">
              <a:extLst>
                <a:ext uri="{FF2B5EF4-FFF2-40B4-BE49-F238E27FC236}">
                  <a16:creationId xmlns:a16="http://schemas.microsoft.com/office/drawing/2014/main" xmlns="" id="{2F1966DB-4B84-4DCF-9AD0-487A3327DE6E}"/>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542000" y="0"/>
              <a:ext cx="4795556" cy="3600000"/>
            </a:xfrm>
            <a:prstGeom prst="rect">
              <a:avLst/>
            </a:prstGeom>
            <a:ln>
              <a:solidFill>
                <a:schemeClr val="tx1"/>
              </a:solidFill>
            </a:ln>
          </xdr:spPr>
        </xdr:pic>
        <xdr:pic>
          <xdr:nvPicPr>
            <xdr:cNvPr id="48" name="Picture 47">
              <a:extLst>
                <a:ext uri="{FF2B5EF4-FFF2-40B4-BE49-F238E27FC236}">
                  <a16:creationId xmlns:a16="http://schemas.microsoft.com/office/drawing/2014/main" xmlns="" id="{2E6F86C6-EE7B-44C8-8694-CDE3FD80C19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89811" y="3854824"/>
              <a:ext cx="1888031" cy="2520000"/>
            </a:xfrm>
            <a:prstGeom prst="rect">
              <a:avLst/>
            </a:prstGeom>
            <a:ln>
              <a:solidFill>
                <a:schemeClr val="tx1"/>
              </a:solidFill>
            </a:ln>
          </xdr:spPr>
        </xdr:pic>
        <xdr:pic>
          <xdr:nvPicPr>
            <xdr:cNvPr id="49" name="Picture 48">
              <a:extLst>
                <a:ext uri="{FF2B5EF4-FFF2-40B4-BE49-F238E27FC236}">
                  <a16:creationId xmlns:a16="http://schemas.microsoft.com/office/drawing/2014/main" xmlns="" id="{56B94BAD-4470-4A5F-BDFE-F3903F584259}"/>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788101" y="3868942"/>
              <a:ext cx="3356889" cy="2520000"/>
            </a:xfrm>
            <a:prstGeom prst="rect">
              <a:avLst/>
            </a:prstGeom>
            <a:ln>
              <a:solidFill>
                <a:schemeClr val="tx1"/>
              </a:solidFill>
            </a:ln>
          </xdr:spPr>
        </xdr:pic>
        <xdr:pic>
          <xdr:nvPicPr>
            <xdr:cNvPr id="50" name="Picture 49">
              <a:extLst>
                <a:ext uri="{FF2B5EF4-FFF2-40B4-BE49-F238E27FC236}">
                  <a16:creationId xmlns:a16="http://schemas.microsoft.com/office/drawing/2014/main" xmlns="" id="{4D565F46-AF75-41E7-AEF1-03EEFA0D7D2F}"/>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5334871" y="3854824"/>
              <a:ext cx="1888031" cy="2520000"/>
            </a:xfrm>
            <a:prstGeom prst="rect">
              <a:avLst/>
            </a:prstGeom>
            <a:ln>
              <a:solidFill>
                <a:schemeClr val="tx1"/>
              </a:solidFill>
            </a:ln>
          </xdr:spPr>
        </xdr:pic>
      </xdr:grpSp>
      <xdr:sp macro="" textlink="">
        <xdr:nvSpPr>
          <xdr:cNvPr id="42" name="TextBox 26">
            <a:extLst>
              <a:ext uri="{FF2B5EF4-FFF2-40B4-BE49-F238E27FC236}">
                <a16:creationId xmlns:a16="http://schemas.microsoft.com/office/drawing/2014/main" xmlns="" id="{18ACF16A-0E2E-471D-AE31-905286B134DB}"/>
              </a:ext>
            </a:extLst>
          </xdr:cNvPr>
          <xdr:cNvSpPr txBox="1"/>
        </xdr:nvSpPr>
        <xdr:spPr>
          <a:xfrm>
            <a:off x="-522894" y="1090940"/>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A</a:t>
            </a:r>
            <a:endParaRPr lang="en-IN" sz="2800" b="1">
              <a:solidFill>
                <a:srgbClr val="FF0000"/>
              </a:solidFill>
            </a:endParaRPr>
          </a:p>
        </xdr:txBody>
      </xdr:sp>
      <xdr:sp macro="" textlink="">
        <xdr:nvSpPr>
          <xdr:cNvPr id="43" name="TextBox 28">
            <a:extLst>
              <a:ext uri="{FF2B5EF4-FFF2-40B4-BE49-F238E27FC236}">
                <a16:creationId xmlns:a16="http://schemas.microsoft.com/office/drawing/2014/main" xmlns="" id="{C683141E-E921-4982-9202-C64021DAD674}"/>
              </a:ext>
            </a:extLst>
          </xdr:cNvPr>
          <xdr:cNvSpPr txBox="1"/>
        </xdr:nvSpPr>
        <xdr:spPr>
          <a:xfrm>
            <a:off x="2643614" y="1282226"/>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A</a:t>
            </a:r>
            <a:endParaRPr lang="en-IN" sz="2800" b="1">
              <a:solidFill>
                <a:srgbClr val="FF0000"/>
              </a:solidFill>
            </a:endParaRPr>
          </a:p>
        </xdr:txBody>
      </xdr:sp>
      <xdr:sp macro="" textlink="">
        <xdr:nvSpPr>
          <xdr:cNvPr id="44" name="TextBox 29">
            <a:extLst>
              <a:ext uri="{FF2B5EF4-FFF2-40B4-BE49-F238E27FC236}">
                <a16:creationId xmlns:a16="http://schemas.microsoft.com/office/drawing/2014/main" xmlns="" id="{F430C049-347E-4577-AF47-EFEDC0A86CAD}"/>
              </a:ext>
            </a:extLst>
          </xdr:cNvPr>
          <xdr:cNvSpPr txBox="1"/>
        </xdr:nvSpPr>
        <xdr:spPr>
          <a:xfrm>
            <a:off x="5472373" y="1685121"/>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B</a:t>
            </a:r>
            <a:endParaRPr lang="en-IN" sz="2800" b="1">
              <a:solidFill>
                <a:srgbClr val="FF0000"/>
              </a:solidFill>
            </a:endParaRPr>
          </a:p>
        </xdr:txBody>
      </xdr:sp>
      <xdr:sp macro="" textlink="">
        <xdr:nvSpPr>
          <xdr:cNvPr id="45" name="TextBox 30">
            <a:extLst>
              <a:ext uri="{FF2B5EF4-FFF2-40B4-BE49-F238E27FC236}">
                <a16:creationId xmlns:a16="http://schemas.microsoft.com/office/drawing/2014/main" xmlns="" id="{A968188B-60E5-4C11-8CDA-4BE919DBB627}"/>
              </a:ext>
            </a:extLst>
          </xdr:cNvPr>
          <xdr:cNvSpPr txBox="1"/>
        </xdr:nvSpPr>
        <xdr:spPr>
          <a:xfrm>
            <a:off x="-421379" y="4765412"/>
            <a:ext cx="1260281"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Wing B</a:t>
            </a:r>
            <a:endParaRPr lang="en-IN" sz="2800"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367392</xdr:colOff>
      <xdr:row>21</xdr:row>
      <xdr:rowOff>163285</xdr:rowOff>
    </xdr:from>
    <xdr:to>
      <xdr:col>25</xdr:col>
      <xdr:colOff>150773</xdr:colOff>
      <xdr:row>47</xdr:row>
      <xdr:rowOff>184143</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1008178" y="5837464"/>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oLiSBHMcstjcT53v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511"/>
  <sheetViews>
    <sheetView tabSelected="1" view="pageBreakPreview" topLeftCell="A60" zoomScale="85" zoomScaleNormal="85" zoomScaleSheetLayoutView="85" zoomScalePageLayoutView="70" workbookViewId="0">
      <selection activeCell="L69" sqref="L6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7.140625" style="1" bestFit="1" customWidth="1"/>
    <col min="11" max="19" width="9.140625" style="1"/>
    <col min="20" max="22" width="0" style="1" hidden="1" customWidth="1"/>
    <col min="23" max="25" width="9.140625" style="1"/>
    <col min="26" max="26" width="7.85546875" style="1" customWidth="1"/>
    <col min="27" max="16384" width="9.140625" style="1"/>
  </cols>
  <sheetData>
    <row r="1" spans="1:10" ht="20.25" x14ac:dyDescent="0.25">
      <c r="A1" s="86" t="s">
        <v>38</v>
      </c>
      <c r="B1" s="87"/>
      <c r="C1" s="87"/>
      <c r="D1" s="87"/>
      <c r="E1" s="87"/>
      <c r="F1" s="87"/>
      <c r="G1" s="87"/>
      <c r="H1" s="88"/>
    </row>
    <row r="2" spans="1:10" ht="42" customHeight="1" x14ac:dyDescent="0.25">
      <c r="A2" s="79" t="s">
        <v>10</v>
      </c>
      <c r="B2" s="79"/>
      <c r="C2" s="77" t="s">
        <v>87</v>
      </c>
      <c r="D2" s="77"/>
      <c r="E2" s="79" t="s">
        <v>12</v>
      </c>
      <c r="F2" s="79"/>
      <c r="G2" s="85">
        <v>45840</v>
      </c>
      <c r="H2" s="85"/>
      <c r="I2" s="63">
        <f>G2-I3</f>
        <v>70</v>
      </c>
      <c r="J2" s="1" t="s">
        <v>420</v>
      </c>
    </row>
    <row r="3" spans="1:10" ht="42.75" customHeight="1" x14ac:dyDescent="0.25">
      <c r="A3" s="79" t="s">
        <v>39</v>
      </c>
      <c r="B3" s="79"/>
      <c r="C3" s="77" t="s">
        <v>402</v>
      </c>
      <c r="D3" s="77"/>
      <c r="E3" s="79" t="s">
        <v>160</v>
      </c>
      <c r="F3" s="79"/>
      <c r="G3" s="85" t="s">
        <v>421</v>
      </c>
      <c r="H3" s="85"/>
      <c r="I3" s="62">
        <v>45770</v>
      </c>
      <c r="J3" s="1" t="s">
        <v>419</v>
      </c>
    </row>
    <row r="4" spans="1:10" ht="43.5" customHeight="1" x14ac:dyDescent="0.25">
      <c r="A4" s="79" t="s">
        <v>36</v>
      </c>
      <c r="B4" s="79"/>
      <c r="C4" s="77" t="s">
        <v>149</v>
      </c>
      <c r="D4" s="77"/>
      <c r="E4" s="79" t="s">
        <v>33</v>
      </c>
      <c r="F4" s="79"/>
      <c r="G4" s="77" t="str">
        <f ca="1">TEXT(TODAY(),"DD/MM/YYYY")</f>
        <v>07/07/2025</v>
      </c>
      <c r="H4" s="77"/>
    </row>
    <row r="5" spans="1:10" ht="20.25" x14ac:dyDescent="0.25">
      <c r="A5" s="93" t="s">
        <v>40</v>
      </c>
      <c r="B5" s="93"/>
      <c r="C5" s="93"/>
      <c r="D5" s="93"/>
      <c r="E5" s="93"/>
      <c r="F5" s="93"/>
      <c r="G5" s="93"/>
      <c r="H5" s="93"/>
    </row>
    <row r="6" spans="1:10" ht="43.5" customHeight="1" x14ac:dyDescent="0.25">
      <c r="A6" s="79" t="s">
        <v>29</v>
      </c>
      <c r="B6" s="79"/>
      <c r="C6" s="77" t="s">
        <v>93</v>
      </c>
      <c r="D6" s="77"/>
      <c r="E6" s="79" t="s">
        <v>35</v>
      </c>
      <c r="F6" s="79"/>
      <c r="G6" s="77" t="s">
        <v>422</v>
      </c>
      <c r="H6" s="77"/>
    </row>
    <row r="7" spans="1:10" ht="42" customHeight="1" x14ac:dyDescent="0.25">
      <c r="A7" s="79" t="s">
        <v>42</v>
      </c>
      <c r="B7" s="79"/>
      <c r="C7" s="77" t="s">
        <v>250</v>
      </c>
      <c r="D7" s="77"/>
      <c r="E7" s="79" t="s">
        <v>43</v>
      </c>
      <c r="F7" s="79"/>
      <c r="G7" s="77" t="s">
        <v>248</v>
      </c>
      <c r="H7" s="77"/>
    </row>
    <row r="8" spans="1:10" ht="42" customHeight="1" x14ac:dyDescent="0.25">
      <c r="A8" s="79" t="s">
        <v>44</v>
      </c>
      <c r="B8" s="79"/>
      <c r="C8" s="77" t="s">
        <v>249</v>
      </c>
      <c r="D8" s="77"/>
      <c r="E8" s="77"/>
      <c r="F8" s="77"/>
      <c r="G8" s="77"/>
      <c r="H8" s="77"/>
    </row>
    <row r="9" spans="1:10" ht="45" customHeight="1" x14ac:dyDescent="0.25">
      <c r="A9" s="84" t="s">
        <v>151</v>
      </c>
      <c r="B9" s="36" t="s">
        <v>41</v>
      </c>
      <c r="C9" s="77" t="s">
        <v>406</v>
      </c>
      <c r="D9" s="77"/>
      <c r="E9" s="77"/>
      <c r="F9" s="77"/>
      <c r="G9" s="77"/>
      <c r="H9" s="77"/>
    </row>
    <row r="10" spans="1:10" ht="122.25" customHeight="1" x14ac:dyDescent="0.25">
      <c r="A10" s="84"/>
      <c r="B10" s="36" t="s">
        <v>11</v>
      </c>
      <c r="C10" s="77" t="s">
        <v>251</v>
      </c>
      <c r="D10" s="77"/>
      <c r="E10" s="77"/>
      <c r="F10" s="77"/>
      <c r="G10" s="77"/>
      <c r="H10" s="77"/>
    </row>
    <row r="11" spans="1:10" ht="122.25" customHeight="1" x14ac:dyDescent="0.25">
      <c r="A11" s="84"/>
      <c r="B11" s="36" t="s">
        <v>5</v>
      </c>
      <c r="C11" s="77" t="s">
        <v>252</v>
      </c>
      <c r="D11" s="77"/>
      <c r="E11" s="77"/>
      <c r="F11" s="77"/>
      <c r="G11" s="77"/>
      <c r="H11" s="77"/>
    </row>
    <row r="12" spans="1:10" ht="40.5" customHeight="1" x14ac:dyDescent="0.25">
      <c r="A12" s="79" t="s">
        <v>34</v>
      </c>
      <c r="B12" s="79"/>
      <c r="C12" s="77" t="s">
        <v>408</v>
      </c>
      <c r="D12" s="77"/>
      <c r="E12" s="77"/>
      <c r="F12" s="77"/>
      <c r="G12" s="77"/>
      <c r="H12" s="77"/>
    </row>
    <row r="13" spans="1:10" ht="20.100000000000001" customHeight="1" x14ac:dyDescent="0.25">
      <c r="A13" s="93" t="s">
        <v>45</v>
      </c>
      <c r="B13" s="93"/>
      <c r="C13" s="93"/>
      <c r="D13" s="93"/>
      <c r="E13" s="93"/>
      <c r="F13" s="93"/>
      <c r="G13" s="93"/>
      <c r="H13" s="93"/>
    </row>
    <row r="14" spans="1:10" ht="41.25" customHeight="1" x14ac:dyDescent="0.25">
      <c r="A14" s="79" t="s">
        <v>27</v>
      </c>
      <c r="B14" s="79" t="s">
        <v>4</v>
      </c>
      <c r="C14" s="77" t="s">
        <v>88</v>
      </c>
      <c r="D14" s="77"/>
      <c r="E14" s="79" t="s">
        <v>46</v>
      </c>
      <c r="F14" s="79" t="s">
        <v>4</v>
      </c>
      <c r="G14" s="77" t="s">
        <v>253</v>
      </c>
      <c r="H14" s="77"/>
    </row>
    <row r="15" spans="1:10" ht="41.25" customHeight="1" x14ac:dyDescent="0.25">
      <c r="A15" s="79" t="s">
        <v>47</v>
      </c>
      <c r="B15" s="79" t="s">
        <v>4</v>
      </c>
      <c r="C15" s="77" t="s">
        <v>254</v>
      </c>
      <c r="D15" s="77"/>
      <c r="E15" s="79" t="s">
        <v>48</v>
      </c>
      <c r="F15" s="79" t="s">
        <v>4</v>
      </c>
      <c r="G15" s="85">
        <v>45716</v>
      </c>
      <c r="H15" s="77"/>
    </row>
    <row r="16" spans="1:10" ht="41.25" customHeight="1" x14ac:dyDescent="0.25">
      <c r="A16" s="79" t="s">
        <v>49</v>
      </c>
      <c r="B16" s="79" t="s">
        <v>4</v>
      </c>
      <c r="C16" s="85">
        <v>43174</v>
      </c>
      <c r="D16" s="77"/>
      <c r="E16" s="79" t="s">
        <v>50</v>
      </c>
      <c r="F16" s="79" t="s">
        <v>4</v>
      </c>
      <c r="G16" s="103">
        <v>43174</v>
      </c>
      <c r="H16" s="77"/>
    </row>
    <row r="17" spans="1:9" ht="41.25" customHeight="1" x14ac:dyDescent="0.25">
      <c r="A17" s="79" t="s">
        <v>51</v>
      </c>
      <c r="B17" s="79" t="s">
        <v>4</v>
      </c>
      <c r="C17" s="85">
        <v>45716</v>
      </c>
      <c r="D17" s="77"/>
      <c r="E17" s="79" t="s">
        <v>52</v>
      </c>
      <c r="F17" s="79" t="s">
        <v>4</v>
      </c>
      <c r="G17" s="77" t="s">
        <v>255</v>
      </c>
      <c r="H17" s="77"/>
    </row>
    <row r="18" spans="1:9" ht="41.25" customHeight="1" x14ac:dyDescent="0.25">
      <c r="A18" s="79" t="s">
        <v>53</v>
      </c>
      <c r="B18" s="79" t="s">
        <v>4</v>
      </c>
      <c r="C18" s="7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77"/>
      <c r="E18" s="79" t="s">
        <v>96</v>
      </c>
      <c r="F18" s="79" t="s">
        <v>4</v>
      </c>
      <c r="G18" s="77">
        <v>90607.52</v>
      </c>
      <c r="H18" s="77"/>
    </row>
    <row r="19" spans="1:9" ht="41.25" customHeight="1" x14ac:dyDescent="0.25">
      <c r="A19" s="79" t="s">
        <v>54</v>
      </c>
      <c r="B19" s="79" t="s">
        <v>4</v>
      </c>
      <c r="C19" s="77">
        <v>1.1000000000000001</v>
      </c>
      <c r="D19" s="77"/>
      <c r="E19" s="79" t="s">
        <v>246</v>
      </c>
      <c r="F19" s="79" t="s">
        <v>4</v>
      </c>
      <c r="G19" s="77">
        <v>66133.09</v>
      </c>
      <c r="H19" s="77"/>
    </row>
    <row r="20" spans="1:9" ht="41.25" customHeight="1" x14ac:dyDescent="0.25">
      <c r="A20" s="79" t="s">
        <v>94</v>
      </c>
      <c r="B20" s="79" t="s">
        <v>4</v>
      </c>
      <c r="C20" s="77">
        <v>120785.22</v>
      </c>
      <c r="D20" s="77"/>
      <c r="E20" s="79" t="s">
        <v>95</v>
      </c>
      <c r="F20" s="79" t="s">
        <v>4</v>
      </c>
      <c r="G20" s="77">
        <v>120782.81</v>
      </c>
      <c r="H20" s="77"/>
    </row>
    <row r="21" spans="1:9" ht="41.25" customHeight="1" x14ac:dyDescent="0.25">
      <c r="A21" s="79" t="s">
        <v>56</v>
      </c>
      <c r="B21" s="79" t="s">
        <v>4</v>
      </c>
      <c r="C21" s="77" t="s">
        <v>414</v>
      </c>
      <c r="D21" s="77"/>
      <c r="E21" s="79" t="s">
        <v>55</v>
      </c>
      <c r="F21" s="79" t="s">
        <v>4</v>
      </c>
      <c r="G21" s="77" t="s">
        <v>400</v>
      </c>
      <c r="H21" s="77"/>
      <c r="I21" s="1" t="s">
        <v>256</v>
      </c>
    </row>
    <row r="22" spans="1:9" ht="41.25" customHeight="1" x14ac:dyDescent="0.25">
      <c r="A22" s="79" t="s">
        <v>164</v>
      </c>
      <c r="B22" s="79" t="s">
        <v>4</v>
      </c>
      <c r="C22" s="77" t="s">
        <v>405</v>
      </c>
      <c r="D22" s="77"/>
      <c r="E22" s="79" t="s">
        <v>165</v>
      </c>
      <c r="F22" s="79" t="s">
        <v>4</v>
      </c>
      <c r="G22" s="77" t="s">
        <v>257</v>
      </c>
      <c r="H22" s="77"/>
    </row>
    <row r="23" spans="1:9" ht="23.25" x14ac:dyDescent="0.25">
      <c r="A23" s="79" t="s">
        <v>162</v>
      </c>
      <c r="B23" s="79" t="s">
        <v>4</v>
      </c>
      <c r="C23" s="133" t="s">
        <v>258</v>
      </c>
      <c r="D23" s="134"/>
      <c r="E23" s="134"/>
      <c r="F23" s="134"/>
      <c r="G23" s="134"/>
      <c r="H23" s="134"/>
    </row>
    <row r="24" spans="1:9" ht="88.5" customHeight="1" x14ac:dyDescent="0.25">
      <c r="A24" s="79" t="s">
        <v>25</v>
      </c>
      <c r="B24" s="79" t="s">
        <v>4</v>
      </c>
      <c r="C24" s="77" t="s">
        <v>401</v>
      </c>
      <c r="D24" s="77"/>
      <c r="E24" s="77"/>
      <c r="F24" s="77"/>
      <c r="G24" s="77"/>
      <c r="H24" s="77"/>
    </row>
    <row r="25" spans="1:9" ht="24" customHeight="1" x14ac:dyDescent="0.25">
      <c r="A25" s="93" t="s">
        <v>20</v>
      </c>
      <c r="B25" s="93"/>
      <c r="C25" s="93"/>
      <c r="D25" s="93"/>
      <c r="E25" s="93"/>
      <c r="F25" s="93"/>
      <c r="G25" s="93"/>
      <c r="H25" s="93"/>
    </row>
    <row r="26" spans="1:9" ht="43.5" customHeight="1" x14ac:dyDescent="0.25">
      <c r="A26" s="79" t="s">
        <v>26</v>
      </c>
      <c r="B26" s="79" t="s">
        <v>4</v>
      </c>
      <c r="C26" s="77" t="str">
        <f>IF(AND(G26="Upper"),"Developed","Developing")</f>
        <v>Developing</v>
      </c>
      <c r="D26" s="77"/>
      <c r="E26" s="79" t="s">
        <v>13</v>
      </c>
      <c r="F26" s="79" t="s">
        <v>4</v>
      </c>
      <c r="G26" s="77" t="s">
        <v>166</v>
      </c>
      <c r="H26" s="77"/>
    </row>
    <row r="27" spans="1:9" ht="43.5" customHeight="1" x14ac:dyDescent="0.25">
      <c r="A27" s="79" t="s">
        <v>14</v>
      </c>
      <c r="B27" s="79" t="s">
        <v>4</v>
      </c>
      <c r="C27" s="77" t="s">
        <v>409</v>
      </c>
      <c r="D27" s="77"/>
      <c r="E27" s="79" t="s">
        <v>152</v>
      </c>
      <c r="F27" s="79" t="s">
        <v>4</v>
      </c>
      <c r="G27" s="77" t="s">
        <v>259</v>
      </c>
      <c r="H27" s="77"/>
    </row>
    <row r="28" spans="1:9" ht="43.5" customHeight="1" x14ac:dyDescent="0.25">
      <c r="A28" s="79" t="s">
        <v>23</v>
      </c>
      <c r="B28" s="79" t="s">
        <v>4</v>
      </c>
      <c r="C28" s="77" t="s">
        <v>98</v>
      </c>
      <c r="D28" s="77"/>
      <c r="E28" s="79" t="s">
        <v>16</v>
      </c>
      <c r="F28" s="79" t="s">
        <v>4</v>
      </c>
      <c r="G28" s="77" t="s">
        <v>260</v>
      </c>
      <c r="H28" s="77"/>
    </row>
    <row r="29" spans="1:9" ht="43.5" customHeight="1" x14ac:dyDescent="0.25">
      <c r="A29" s="79" t="s">
        <v>107</v>
      </c>
      <c r="B29" s="79" t="s">
        <v>4</v>
      </c>
      <c r="C29" s="77" t="s">
        <v>261</v>
      </c>
      <c r="D29" s="77"/>
      <c r="E29" s="79" t="s">
        <v>108</v>
      </c>
      <c r="F29" s="79" t="s">
        <v>4</v>
      </c>
      <c r="G29" s="77" t="s">
        <v>262</v>
      </c>
      <c r="H29" s="77"/>
    </row>
    <row r="30" spans="1:9" ht="84" customHeight="1" x14ac:dyDescent="0.25">
      <c r="A30" s="79" t="s">
        <v>17</v>
      </c>
      <c r="B30" s="79" t="s">
        <v>4</v>
      </c>
      <c r="C30" s="77" t="s">
        <v>263</v>
      </c>
      <c r="D30" s="77"/>
      <c r="E30" s="79" t="s">
        <v>15</v>
      </c>
      <c r="F30" s="79" t="s">
        <v>4</v>
      </c>
      <c r="G30" s="77" t="s">
        <v>264</v>
      </c>
      <c r="H30" s="77"/>
    </row>
    <row r="31" spans="1:9" ht="20.25" x14ac:dyDescent="0.25">
      <c r="A31" s="79" t="s">
        <v>113</v>
      </c>
      <c r="B31" s="79" t="s">
        <v>4</v>
      </c>
      <c r="C31" s="77" t="s">
        <v>114</v>
      </c>
      <c r="D31" s="77"/>
      <c r="E31" s="79" t="s">
        <v>115</v>
      </c>
      <c r="F31" s="79" t="s">
        <v>4</v>
      </c>
      <c r="G31" s="77" t="s">
        <v>114</v>
      </c>
      <c r="H31" s="77"/>
    </row>
    <row r="32" spans="1:9" ht="21.75" customHeight="1" x14ac:dyDescent="0.25">
      <c r="A32" s="79" t="s">
        <v>116</v>
      </c>
      <c r="B32" s="79" t="s">
        <v>4</v>
      </c>
      <c r="C32" s="77" t="s">
        <v>114</v>
      </c>
      <c r="D32" s="77"/>
      <c r="E32" s="77"/>
      <c r="F32" s="77"/>
      <c r="G32" s="77"/>
      <c r="H32" s="77"/>
    </row>
    <row r="33" spans="1:15" ht="20.25" x14ac:dyDescent="0.25">
      <c r="A33" s="106" t="s">
        <v>37</v>
      </c>
      <c r="B33" s="106"/>
      <c r="C33" s="106"/>
      <c r="D33" s="106"/>
      <c r="E33" s="106"/>
      <c r="F33" s="106"/>
      <c r="G33" s="106"/>
      <c r="H33" s="106"/>
    </row>
    <row r="34" spans="1:15" ht="43.5" customHeight="1" x14ac:dyDescent="0.25">
      <c r="A34" s="79" t="s">
        <v>18</v>
      </c>
      <c r="B34" s="79"/>
      <c r="C34" s="77" t="s">
        <v>99</v>
      </c>
      <c r="D34" s="77"/>
      <c r="E34" s="79" t="s">
        <v>19</v>
      </c>
      <c r="F34" s="79" t="s">
        <v>4</v>
      </c>
      <c r="G34" s="77" t="s">
        <v>100</v>
      </c>
      <c r="H34" s="77"/>
    </row>
    <row r="35" spans="1:15" ht="43.5" customHeight="1" x14ac:dyDescent="0.25">
      <c r="A35" s="79" t="s">
        <v>22</v>
      </c>
      <c r="B35" s="79"/>
      <c r="C35" s="77" t="s">
        <v>100</v>
      </c>
      <c r="D35" s="77"/>
      <c r="E35" s="79" t="s">
        <v>32</v>
      </c>
      <c r="F35" s="79" t="s">
        <v>4</v>
      </c>
      <c r="G35" s="77" t="s">
        <v>100</v>
      </c>
      <c r="H35" s="77"/>
    </row>
    <row r="36" spans="1:15" ht="20.25" x14ac:dyDescent="0.25">
      <c r="A36" s="79" t="s">
        <v>31</v>
      </c>
      <c r="B36" s="79"/>
      <c r="C36" s="77" t="s">
        <v>101</v>
      </c>
      <c r="D36" s="77"/>
      <c r="E36" s="79" t="s">
        <v>21</v>
      </c>
      <c r="F36" s="79" t="s">
        <v>4</v>
      </c>
      <c r="G36" s="77" t="s">
        <v>102</v>
      </c>
      <c r="H36" s="77"/>
    </row>
    <row r="37" spans="1:15" ht="20.25" x14ac:dyDescent="0.25">
      <c r="A37" s="93" t="s">
        <v>0</v>
      </c>
      <c r="B37" s="93"/>
      <c r="C37" s="93"/>
      <c r="D37" s="93"/>
      <c r="E37" s="93"/>
      <c r="F37" s="93"/>
      <c r="G37" s="93"/>
      <c r="H37" s="93"/>
    </row>
    <row r="38" spans="1:15" ht="20.25" x14ac:dyDescent="0.25">
      <c r="A38" s="82" t="s">
        <v>0</v>
      </c>
      <c r="B38" s="82"/>
      <c r="C38" s="82" t="s">
        <v>231</v>
      </c>
      <c r="D38" s="82"/>
      <c r="E38" s="82"/>
      <c r="F38" s="82" t="s">
        <v>7</v>
      </c>
      <c r="G38" s="82"/>
      <c r="H38" s="82"/>
      <c r="J38" s="80" t="s">
        <v>1</v>
      </c>
      <c r="K38" s="81"/>
      <c r="L38" s="2" t="s">
        <v>6</v>
      </c>
      <c r="M38" s="80" t="s">
        <v>2</v>
      </c>
      <c r="N38" s="81"/>
      <c r="O38" s="2" t="s">
        <v>3</v>
      </c>
    </row>
    <row r="39" spans="1:15" ht="20.25" x14ac:dyDescent="0.25">
      <c r="A39" s="84" t="s">
        <v>2</v>
      </c>
      <c r="B39" s="84"/>
      <c r="C39" s="83" t="s">
        <v>266</v>
      </c>
      <c r="D39" s="83"/>
      <c r="E39" s="83"/>
      <c r="F39" s="83" t="s">
        <v>257</v>
      </c>
      <c r="G39" s="83"/>
      <c r="H39" s="83"/>
    </row>
    <row r="40" spans="1:15" ht="20.25" x14ac:dyDescent="0.25">
      <c r="A40" s="84" t="s">
        <v>3</v>
      </c>
      <c r="B40" s="84"/>
      <c r="C40" s="83" t="s">
        <v>265</v>
      </c>
      <c r="D40" s="83"/>
      <c r="E40" s="83"/>
      <c r="F40" s="83" t="s">
        <v>270</v>
      </c>
      <c r="G40" s="83"/>
      <c r="H40" s="83"/>
    </row>
    <row r="41" spans="1:15" ht="20.25" x14ac:dyDescent="0.25">
      <c r="A41" s="84" t="s">
        <v>1</v>
      </c>
      <c r="B41" s="84"/>
      <c r="C41" s="83" t="s">
        <v>265</v>
      </c>
      <c r="D41" s="83"/>
      <c r="E41" s="83"/>
      <c r="F41" s="83" t="s">
        <v>269</v>
      </c>
      <c r="G41" s="83"/>
      <c r="H41" s="83"/>
    </row>
    <row r="42" spans="1:15" ht="20.25" x14ac:dyDescent="0.25">
      <c r="A42" s="84" t="s">
        <v>6</v>
      </c>
      <c r="B42" s="84"/>
      <c r="C42" s="83" t="s">
        <v>267</v>
      </c>
      <c r="D42" s="83"/>
      <c r="E42" s="83"/>
      <c r="F42" s="83" t="s">
        <v>268</v>
      </c>
      <c r="G42" s="83"/>
      <c r="H42" s="83"/>
    </row>
    <row r="43" spans="1:15" ht="20.25" x14ac:dyDescent="0.25">
      <c r="A43" s="79" t="s">
        <v>232</v>
      </c>
      <c r="B43" s="79"/>
      <c r="C43" s="77" t="s">
        <v>98</v>
      </c>
      <c r="D43" s="77"/>
      <c r="E43" s="77"/>
      <c r="F43" s="77"/>
      <c r="G43" s="77"/>
      <c r="H43" s="77"/>
    </row>
    <row r="44" spans="1:15" ht="20.25" x14ac:dyDescent="0.25">
      <c r="A44" s="93" t="s">
        <v>57</v>
      </c>
      <c r="B44" s="93"/>
      <c r="C44" s="93"/>
      <c r="D44" s="93"/>
      <c r="E44" s="93"/>
      <c r="F44" s="93"/>
      <c r="G44" s="93"/>
      <c r="H44" s="93"/>
    </row>
    <row r="45" spans="1:15" ht="21" customHeight="1" x14ac:dyDescent="0.25">
      <c r="A45" s="82" t="s">
        <v>58</v>
      </c>
      <c r="B45" s="82"/>
      <c r="C45" s="2" t="s">
        <v>59</v>
      </c>
      <c r="D45" s="82" t="s">
        <v>150</v>
      </c>
      <c r="E45" s="82"/>
      <c r="F45" s="82"/>
      <c r="G45" s="82" t="s">
        <v>60</v>
      </c>
      <c r="H45" s="82"/>
    </row>
    <row r="46" spans="1:15" ht="20.25" x14ac:dyDescent="0.25">
      <c r="A46" s="78" t="s">
        <v>278</v>
      </c>
      <c r="B46" s="78"/>
      <c r="C46" s="35" t="s">
        <v>89</v>
      </c>
      <c r="D46" s="83" t="s">
        <v>273</v>
      </c>
      <c r="E46" s="83"/>
      <c r="F46" s="83"/>
      <c r="G46" s="83" t="s">
        <v>273</v>
      </c>
      <c r="H46" s="83"/>
    </row>
    <row r="47" spans="1:15" ht="20.25" x14ac:dyDescent="0.25">
      <c r="A47" s="78" t="s">
        <v>279</v>
      </c>
      <c r="B47" s="78"/>
      <c r="C47" s="35" t="s">
        <v>89</v>
      </c>
      <c r="D47" s="83" t="s">
        <v>273</v>
      </c>
      <c r="E47" s="83"/>
      <c r="F47" s="83"/>
      <c r="G47" s="83" t="s">
        <v>273</v>
      </c>
      <c r="H47" s="83"/>
    </row>
    <row r="48" spans="1:15" ht="20.25" hidden="1" x14ac:dyDescent="0.25">
      <c r="A48" s="78" t="s">
        <v>233</v>
      </c>
      <c r="B48" s="78"/>
      <c r="C48" s="35" t="s">
        <v>89</v>
      </c>
      <c r="D48" s="77"/>
      <c r="E48" s="77"/>
      <c r="F48" s="77"/>
      <c r="G48" s="77"/>
      <c r="H48" s="77"/>
    </row>
    <row r="49" spans="1:10" ht="20.25" hidden="1" x14ac:dyDescent="0.25">
      <c r="A49" s="78" t="s">
        <v>234</v>
      </c>
      <c r="B49" s="78"/>
      <c r="C49" s="35" t="s">
        <v>89</v>
      </c>
      <c r="D49" s="77"/>
      <c r="E49" s="77"/>
      <c r="F49" s="77"/>
      <c r="G49" s="77"/>
      <c r="H49" s="77"/>
    </row>
    <row r="50" spans="1:10" ht="20.25" x14ac:dyDescent="0.25">
      <c r="A50" s="93" t="s">
        <v>61</v>
      </c>
      <c r="B50" s="93"/>
      <c r="C50" s="93"/>
      <c r="D50" s="93"/>
      <c r="E50" s="93"/>
      <c r="F50" s="93"/>
      <c r="G50" s="93"/>
      <c r="H50" s="93"/>
    </row>
    <row r="51" spans="1:10" ht="42.75" customHeight="1" x14ac:dyDescent="0.25">
      <c r="A51" s="79" t="s">
        <v>62</v>
      </c>
      <c r="B51" s="79" t="s">
        <v>4</v>
      </c>
      <c r="C51" s="77" t="s">
        <v>98</v>
      </c>
      <c r="D51" s="77"/>
      <c r="E51" s="77"/>
      <c r="F51" s="77"/>
      <c r="G51" s="77"/>
      <c r="H51" s="77"/>
    </row>
    <row r="52" spans="1:10" ht="44.25" customHeight="1" x14ac:dyDescent="0.25">
      <c r="A52" s="79" t="s">
        <v>63</v>
      </c>
      <c r="B52" s="79" t="s">
        <v>4</v>
      </c>
      <c r="C52" s="77" t="s">
        <v>274</v>
      </c>
      <c r="D52" s="77"/>
      <c r="E52" s="77"/>
      <c r="F52" s="77"/>
      <c r="G52" s="51" t="s">
        <v>235</v>
      </c>
      <c r="H52" s="56">
        <v>45390</v>
      </c>
    </row>
    <row r="53" spans="1:10" ht="44.25" customHeight="1" x14ac:dyDescent="0.25">
      <c r="A53" s="79" t="s">
        <v>64</v>
      </c>
      <c r="B53" s="79" t="s">
        <v>4</v>
      </c>
      <c r="C53" s="77" t="s">
        <v>274</v>
      </c>
      <c r="D53" s="77"/>
      <c r="E53" s="77"/>
      <c r="F53" s="77"/>
      <c r="G53" s="51" t="s">
        <v>235</v>
      </c>
      <c r="H53" s="56">
        <v>45390</v>
      </c>
    </row>
    <row r="54" spans="1:10" ht="24.75" customHeight="1" x14ac:dyDescent="0.25">
      <c r="A54" s="79" t="s">
        <v>276</v>
      </c>
      <c r="B54" s="79"/>
      <c r="C54" s="77" t="s">
        <v>275</v>
      </c>
      <c r="D54" s="77"/>
      <c r="E54" s="77"/>
      <c r="F54" s="77"/>
      <c r="G54" s="51" t="s">
        <v>235</v>
      </c>
      <c r="H54" s="56">
        <v>45390</v>
      </c>
    </row>
    <row r="55" spans="1:10" ht="85.5" customHeight="1" x14ac:dyDescent="0.25">
      <c r="A55" s="79"/>
      <c r="B55" s="79"/>
      <c r="C55" s="66" t="s">
        <v>277</v>
      </c>
      <c r="D55" s="67"/>
      <c r="E55" s="67"/>
      <c r="F55" s="67"/>
      <c r="G55" s="67"/>
      <c r="H55" s="68"/>
    </row>
    <row r="56" spans="1:10" ht="146.25" customHeight="1" x14ac:dyDescent="0.25">
      <c r="A56" s="79" t="s">
        <v>65</v>
      </c>
      <c r="B56" s="79" t="s">
        <v>4</v>
      </c>
      <c r="C56" s="77" t="s">
        <v>416</v>
      </c>
      <c r="D56" s="77"/>
      <c r="E56" s="77"/>
      <c r="F56" s="77"/>
      <c r="G56" s="51" t="s">
        <v>236</v>
      </c>
      <c r="H56" s="56">
        <v>43892</v>
      </c>
    </row>
    <row r="57" spans="1:10" ht="45" hidden="1" customHeight="1" x14ac:dyDescent="0.25">
      <c r="A57" s="79" t="s">
        <v>67</v>
      </c>
      <c r="B57" s="79" t="s">
        <v>4</v>
      </c>
      <c r="C57" s="77"/>
      <c r="D57" s="77"/>
      <c r="E57" s="77"/>
      <c r="F57" s="77"/>
      <c r="G57" s="51" t="s">
        <v>236</v>
      </c>
      <c r="H57" s="55"/>
    </row>
    <row r="58" spans="1:10" ht="46.5" hidden="1" customHeight="1" x14ac:dyDescent="0.25">
      <c r="A58" s="79" t="s">
        <v>66</v>
      </c>
      <c r="B58" s="79" t="s">
        <v>4</v>
      </c>
      <c r="C58" s="77"/>
      <c r="D58" s="77"/>
      <c r="E58" s="77"/>
      <c r="F58" s="77"/>
      <c r="G58" s="51" t="s">
        <v>236</v>
      </c>
      <c r="H58" s="55"/>
    </row>
    <row r="59" spans="1:10" ht="45" hidden="1" customHeight="1" x14ac:dyDescent="0.25">
      <c r="A59" s="79" t="s">
        <v>68</v>
      </c>
      <c r="B59" s="79" t="s">
        <v>4</v>
      </c>
      <c r="C59" s="77"/>
      <c r="D59" s="77"/>
      <c r="E59" s="77"/>
      <c r="F59" s="77"/>
      <c r="G59" s="51" t="s">
        <v>236</v>
      </c>
      <c r="H59" s="55"/>
    </row>
    <row r="60" spans="1:10" ht="21" thickBot="1" x14ac:dyDescent="0.3">
      <c r="A60" s="93" t="s">
        <v>69</v>
      </c>
      <c r="B60" s="93"/>
      <c r="C60" s="93"/>
      <c r="D60" s="93"/>
      <c r="E60" s="93"/>
      <c r="F60" s="93"/>
      <c r="G60" s="93"/>
      <c r="H60" s="93"/>
    </row>
    <row r="61" spans="1:10" ht="20.25" customHeight="1" x14ac:dyDescent="0.3">
      <c r="A61" s="132" t="str">
        <f>CONCATENATE((IF(OR(A46="",A46="NA"),"",A46)),"= ",(IF(OR(D46="",D46="NA"),"",D46)),".")</f>
        <v>Building No. 21 (Wing A) = G/St + 1st to 23rd Floors.</v>
      </c>
      <c r="B61" s="132"/>
      <c r="C61" s="132"/>
      <c r="D61" s="30" t="s">
        <v>117</v>
      </c>
      <c r="E61" s="124" t="s">
        <v>104</v>
      </c>
      <c r="F61" s="124"/>
      <c r="G61" s="30" t="s">
        <v>118</v>
      </c>
      <c r="H61" s="30" t="s">
        <v>119</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10 Slab, Brickwork upto 4 Floor, Internal Plaster upto 3 Floor, External Plaster upto 3 Floor Completed</v>
      </c>
      <c r="J61" s="17"/>
    </row>
    <row r="62" spans="1:10" ht="20.25" x14ac:dyDescent="0.3">
      <c r="A62" s="132"/>
      <c r="B62" s="132"/>
      <c r="C62" s="132"/>
      <c r="D62" s="30">
        <v>0</v>
      </c>
      <c r="E62" s="124">
        <v>1</v>
      </c>
      <c r="F62" s="124"/>
      <c r="G62" s="30">
        <v>0</v>
      </c>
      <c r="H62" s="30">
        <f ca="1">--TRIM(RIGHT(SUBSTITUTE(LEFT(A61,_xlfn.AGGREGATE(16,6,FIND({0,1,2,3,4,5,6,7,8,9},A61,ROW(INDIRECT("1:"&amp;LEN(A61)))),1))," ",REPT(" ",LEN(A61))),LEN(A61)))</f>
        <v>23</v>
      </c>
      <c r="I62" s="16" t="s">
        <v>123</v>
      </c>
      <c r="J62" s="17"/>
    </row>
    <row r="63" spans="1:10" ht="20.25" customHeight="1" x14ac:dyDescent="0.3">
      <c r="A63" s="125" t="s">
        <v>121</v>
      </c>
      <c r="B63" s="125"/>
      <c r="C63" s="31" t="s">
        <v>134</v>
      </c>
      <c r="D63" s="31" t="s">
        <v>135</v>
      </c>
      <c r="E63" s="125" t="s">
        <v>122</v>
      </c>
      <c r="F63" s="125"/>
      <c r="G63" s="27" t="s">
        <v>120</v>
      </c>
      <c r="H63" s="27"/>
      <c r="I63" s="19" t="s">
        <v>136</v>
      </c>
      <c r="J63" s="18">
        <f ca="1">H62*25%</f>
        <v>5.75</v>
      </c>
    </row>
    <row r="64" spans="1:10" ht="20.25" customHeight="1" x14ac:dyDescent="0.3">
      <c r="A64" s="70" t="s">
        <v>137</v>
      </c>
      <c r="B64" s="70"/>
      <c r="C64" s="30">
        <f ca="1">J65</f>
        <v>23</v>
      </c>
      <c r="D64" s="29">
        <f ca="1">((100/H62)*C64)/100</f>
        <v>1</v>
      </c>
      <c r="E64" s="135">
        <f ca="1">(((C64/H62*10)+(C65/H62*15)+(25/(E62+G62+H62)*C66)+(5/(H62)*C67)+(2.5/(H62)*C68)+(2.5/(H62)*C69)+(5/H62*C70)+(10/H62*C71)+(2.5/H62*C72)+(2.5/H62*C73)+(10/H62*C74)+(10/H62*C75))/100)</f>
        <v>0.36938405797101459</v>
      </c>
      <c r="F64" s="136"/>
      <c r="G64" s="70" t="str">
        <f ca="1">I61</f>
        <v>Excavation work Completed. Plinth work completed, RCC upto 10 Slab, Brickwork upto 4 Floor, Internal Plaster upto 3 Floor, External Plaster upto 3 Floor Completed</v>
      </c>
      <c r="H64" s="70"/>
      <c r="I64" s="19" t="s">
        <v>124</v>
      </c>
      <c r="J64" s="23">
        <f ca="1">H62*50%</f>
        <v>11.5</v>
      </c>
    </row>
    <row r="65" spans="1:10" ht="20.25" x14ac:dyDescent="0.3">
      <c r="A65" s="70" t="s">
        <v>105</v>
      </c>
      <c r="B65" s="70"/>
      <c r="C65" s="32">
        <v>23</v>
      </c>
      <c r="D65" s="29">
        <f ca="1">((100/H62)*C65)/100</f>
        <v>1</v>
      </c>
      <c r="E65" s="137"/>
      <c r="F65" s="138"/>
      <c r="G65" s="70"/>
      <c r="H65" s="70"/>
      <c r="I65" s="19" t="s">
        <v>125</v>
      </c>
      <c r="J65" s="23">
        <f ca="1">H62</f>
        <v>23</v>
      </c>
    </row>
    <row r="66" spans="1:10" ht="21" customHeight="1" x14ac:dyDescent="0.35">
      <c r="A66" s="70" t="s">
        <v>138</v>
      </c>
      <c r="B66" s="70"/>
      <c r="C66" s="30">
        <v>10</v>
      </c>
      <c r="D66" s="29">
        <f ca="1">((100/(E62+G62+H62))*C66)/100</f>
        <v>0.41666666666666674</v>
      </c>
      <c r="E66" s="137"/>
      <c r="F66" s="138"/>
      <c r="G66" s="70"/>
      <c r="H66" s="70"/>
      <c r="I66" s="19" t="s">
        <v>126</v>
      </c>
      <c r="J66" s="24">
        <f ca="1">(IF(D62&gt;1,(H62/(D62+2)),H62/4))</f>
        <v>5.75</v>
      </c>
    </row>
    <row r="67" spans="1:10" ht="21" customHeight="1" x14ac:dyDescent="0.35">
      <c r="A67" s="70" t="s">
        <v>139</v>
      </c>
      <c r="B67" s="70"/>
      <c r="C67" s="30">
        <v>4</v>
      </c>
      <c r="D67" s="29">
        <f ca="1">((100/H62)*C67)/100</f>
        <v>0.17391304347826086</v>
      </c>
      <c r="E67" s="137"/>
      <c r="F67" s="138"/>
      <c r="G67" s="70"/>
      <c r="H67" s="70"/>
      <c r="I67" s="19" t="s">
        <v>127</v>
      </c>
      <c r="J67" s="24">
        <f ca="1">(IF(D62&gt;1,(H62/(D62+2)+J66),H62/4+J66))</f>
        <v>11.5</v>
      </c>
    </row>
    <row r="68" spans="1:10" ht="21" customHeight="1" x14ac:dyDescent="0.35">
      <c r="A68" s="71" t="s">
        <v>140</v>
      </c>
      <c r="B68" s="72"/>
      <c r="C68" s="30">
        <v>3</v>
      </c>
      <c r="D68" s="29">
        <f ca="1">((100/H62)*C68)/100</f>
        <v>0.13043478260869565</v>
      </c>
      <c r="E68" s="137"/>
      <c r="F68" s="138"/>
      <c r="G68" s="70"/>
      <c r="H68" s="70"/>
      <c r="I68" s="19" t="s">
        <v>141</v>
      </c>
      <c r="J68" s="24">
        <f>(IF(D62&gt;1,(H62/(D62+2)+J67),0))</f>
        <v>0</v>
      </c>
    </row>
    <row r="69" spans="1:10" ht="21" customHeight="1" x14ac:dyDescent="0.35">
      <c r="A69" s="71" t="s">
        <v>172</v>
      </c>
      <c r="B69" s="72"/>
      <c r="C69" s="61">
        <v>3</v>
      </c>
      <c r="D69" s="29">
        <f ca="1">((100/H62)*C69)/100</f>
        <v>0.13043478260869565</v>
      </c>
      <c r="E69" s="137"/>
      <c r="F69" s="138"/>
      <c r="G69" s="70"/>
      <c r="H69" s="70"/>
      <c r="I69" s="19" t="s">
        <v>142</v>
      </c>
      <c r="J69" s="24">
        <f>(IF(D62&gt;2,(H62/(D62+2)+J68),0))</f>
        <v>0</v>
      </c>
    </row>
    <row r="70" spans="1:10" ht="57.75" customHeight="1" x14ac:dyDescent="0.35">
      <c r="A70" s="71" t="s">
        <v>169</v>
      </c>
      <c r="B70" s="72"/>
      <c r="C70" s="30">
        <v>0</v>
      </c>
      <c r="D70" s="29">
        <f ca="1">((100/(H62))*C70)/100</f>
        <v>0</v>
      </c>
      <c r="E70" s="137"/>
      <c r="F70" s="138"/>
      <c r="G70" s="70"/>
      <c r="H70" s="70"/>
      <c r="I70" s="19" t="s">
        <v>144</v>
      </c>
      <c r="J70" s="25">
        <f>(IF(D62&gt;3,(H62/(D62+2)+J69),0))</f>
        <v>0</v>
      </c>
    </row>
    <row r="71" spans="1:10" ht="21" x14ac:dyDescent="0.35">
      <c r="A71" s="70" t="s">
        <v>143</v>
      </c>
      <c r="B71" s="70"/>
      <c r="C71" s="30">
        <v>0</v>
      </c>
      <c r="D71" s="29">
        <f ca="1">((100/(H62))*C71)/100</f>
        <v>0</v>
      </c>
      <c r="E71" s="137"/>
      <c r="F71" s="138"/>
      <c r="G71" s="70"/>
      <c r="H71" s="70"/>
      <c r="I71" s="19" t="s">
        <v>145</v>
      </c>
      <c r="J71" s="24">
        <f>(IF(D62&gt;4,(H62/(D62+2)+J70),0))</f>
        <v>0</v>
      </c>
    </row>
    <row r="72" spans="1:10" ht="21" customHeight="1" x14ac:dyDescent="0.35">
      <c r="A72" s="70" t="s">
        <v>171</v>
      </c>
      <c r="B72" s="70"/>
      <c r="C72" s="30">
        <v>0</v>
      </c>
      <c r="D72" s="29">
        <f ca="1">((100/H62)*C72)/100</f>
        <v>0</v>
      </c>
      <c r="E72" s="137"/>
      <c r="F72" s="138"/>
      <c r="G72" s="70"/>
      <c r="H72" s="70"/>
      <c r="I72" s="19" t="s">
        <v>128</v>
      </c>
      <c r="J72" s="24">
        <f ca="1">(IF(D62=1,(H62/(D62+3)+J67),IF(D62=0,(H62/4+J67),IF(D62&gt;1,0))))</f>
        <v>17.25</v>
      </c>
    </row>
    <row r="73" spans="1:10" ht="21.75" thickBot="1" x14ac:dyDescent="0.4">
      <c r="A73" s="70" t="s">
        <v>170</v>
      </c>
      <c r="B73" s="70"/>
      <c r="C73" s="30">
        <v>0</v>
      </c>
      <c r="D73" s="29">
        <f ca="1">((100/H62)*C73)/100</f>
        <v>0</v>
      </c>
      <c r="E73" s="137"/>
      <c r="F73" s="138"/>
      <c r="G73" s="70"/>
      <c r="H73" s="70"/>
      <c r="I73" s="21" t="s">
        <v>129</v>
      </c>
      <c r="J73" s="26">
        <f ca="1">(IF(D62&gt;1.5,(H62/(D62+2)+J66+MAX(0,J67-J66)+MAX(0,J68-J67)+MAX(0,J69-J68)+MAX(0,J70-J69)+MAX(0,J71-J70)),IF(D62=1,(H62/(D62+3)+J72),IF(D62=0,H62/4+J72))))</f>
        <v>23</v>
      </c>
    </row>
    <row r="74" spans="1:10" ht="20.25" x14ac:dyDescent="0.25">
      <c r="A74" s="70" t="s">
        <v>146</v>
      </c>
      <c r="B74" s="70"/>
      <c r="C74" s="30">
        <v>0</v>
      </c>
      <c r="D74" s="29">
        <f ca="1">((100/(H62))*C74)/100</f>
        <v>0</v>
      </c>
      <c r="E74" s="137"/>
      <c r="F74" s="138"/>
      <c r="G74" s="70"/>
      <c r="H74" s="70"/>
    </row>
    <row r="75" spans="1:10" ht="20.25" x14ac:dyDescent="0.25">
      <c r="A75" s="70" t="s">
        <v>147</v>
      </c>
      <c r="B75" s="70"/>
      <c r="C75" s="30">
        <v>0</v>
      </c>
      <c r="D75" s="29">
        <f ca="1">((100/(H62))*C75)/100</f>
        <v>0</v>
      </c>
      <c r="E75" s="139"/>
      <c r="F75" s="140"/>
      <c r="G75" s="70"/>
      <c r="H75" s="70"/>
    </row>
    <row r="76" spans="1:10" ht="21" thickBot="1" x14ac:dyDescent="0.3">
      <c r="A76" s="93" t="s">
        <v>69</v>
      </c>
      <c r="B76" s="93"/>
      <c r="C76" s="93"/>
      <c r="D76" s="93"/>
      <c r="E76" s="93"/>
      <c r="F76" s="93"/>
      <c r="G76" s="93"/>
      <c r="H76" s="93"/>
    </row>
    <row r="77" spans="1:10" ht="20.25" customHeight="1" x14ac:dyDescent="0.3">
      <c r="A77" s="132" t="str">
        <f>CONCATENATE((IF(OR(A47="",A47="NA"),"",A47)),"= ",(IF(OR(D47="",D47="NA"),"",D47)),".")</f>
        <v>Building No. 21 (Wing B) = G/St + 1st to 23rd Floors.</v>
      </c>
      <c r="B77" s="132"/>
      <c r="C77" s="132"/>
      <c r="D77" s="30" t="s">
        <v>117</v>
      </c>
      <c r="E77" s="124" t="s">
        <v>104</v>
      </c>
      <c r="F77" s="124"/>
      <c r="G77" s="30" t="s">
        <v>118</v>
      </c>
      <c r="H77" s="30" t="s">
        <v>119</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4 Slab, Brickwork upto 1 Floor, Internal Plaster upto 1 Floor Completed</v>
      </c>
      <c r="J77" s="17"/>
    </row>
    <row r="78" spans="1:10" ht="20.25" x14ac:dyDescent="0.3">
      <c r="A78" s="132"/>
      <c r="B78" s="132"/>
      <c r="C78" s="132"/>
      <c r="D78" s="30">
        <v>0</v>
      </c>
      <c r="E78" s="124">
        <v>1</v>
      </c>
      <c r="F78" s="124"/>
      <c r="G78" s="30">
        <v>0</v>
      </c>
      <c r="H78" s="30">
        <f ca="1">--TRIM(RIGHT(SUBSTITUTE(LEFT(A77,_xlfn.AGGREGATE(16,6,FIND({0,1,2,3,4,5,6,7,8,9},A77,ROW(INDIRECT("1:"&amp;LEN(A77)))),1))," ",REPT(" ",LEN(A77))),LEN(A77)))</f>
        <v>23</v>
      </c>
      <c r="I78" s="16" t="s">
        <v>123</v>
      </c>
      <c r="J78" s="17"/>
    </row>
    <row r="79" spans="1:10" ht="20.25" customHeight="1" x14ac:dyDescent="0.3">
      <c r="A79" s="125" t="s">
        <v>121</v>
      </c>
      <c r="B79" s="125"/>
      <c r="C79" s="31" t="s">
        <v>134</v>
      </c>
      <c r="D79" s="31" t="s">
        <v>135</v>
      </c>
      <c r="E79" s="125" t="s">
        <v>122</v>
      </c>
      <c r="F79" s="125"/>
      <c r="G79" s="27" t="s">
        <v>120</v>
      </c>
      <c r="H79" s="27"/>
      <c r="I79" s="19" t="s">
        <v>136</v>
      </c>
      <c r="J79" s="18">
        <f ca="1">H78*25%</f>
        <v>5.75</v>
      </c>
    </row>
    <row r="80" spans="1:10" ht="20.25" customHeight="1" x14ac:dyDescent="0.3">
      <c r="A80" s="70" t="s">
        <v>137</v>
      </c>
      <c r="B80" s="70"/>
      <c r="C80" s="30">
        <f ca="1">J81</f>
        <v>23</v>
      </c>
      <c r="D80" s="29">
        <f ca="1">((100/H78)*C80)/100</f>
        <v>1</v>
      </c>
      <c r="E80" s="135">
        <f ca="1">(((C80/H78*10)+(C81/H78*15)+(25/(E78+G78+H78)*C82)+(5/(H78)*C83)+(2.5/(H78)*C84)+(2.5/(H78)*C85)+(5/H78*C86)+(10/H78*C87)+(2.5/H78*C88)+(2.5/H78*C89)+(10/H78*C90)+(10/H78*C91))/100)</f>
        <v>0.29492753623188406</v>
      </c>
      <c r="F80" s="136"/>
      <c r="G80" s="70" t="str">
        <f ca="1">I77</f>
        <v>Excavation work Completed. Plinth work completed, RCC upto 4 Slab, Brickwork upto 1 Floor, Internal Plaster upto 1 Floor Completed</v>
      </c>
      <c r="H80" s="70"/>
      <c r="I80" s="19" t="s">
        <v>124</v>
      </c>
      <c r="J80" s="23">
        <f ca="1">H78*50%</f>
        <v>11.5</v>
      </c>
    </row>
    <row r="81" spans="1:10" ht="20.25" x14ac:dyDescent="0.3">
      <c r="A81" s="70" t="s">
        <v>105</v>
      </c>
      <c r="B81" s="70"/>
      <c r="C81" s="32">
        <v>23</v>
      </c>
      <c r="D81" s="29">
        <f ca="1">((100/H78)*C81)/100</f>
        <v>1</v>
      </c>
      <c r="E81" s="137"/>
      <c r="F81" s="138"/>
      <c r="G81" s="70"/>
      <c r="H81" s="70"/>
      <c r="I81" s="19" t="s">
        <v>125</v>
      </c>
      <c r="J81" s="23">
        <f ca="1">H78</f>
        <v>23</v>
      </c>
    </row>
    <row r="82" spans="1:10" ht="21" customHeight="1" x14ac:dyDescent="0.35">
      <c r="A82" s="70" t="s">
        <v>138</v>
      </c>
      <c r="B82" s="70"/>
      <c r="C82" s="30">
        <v>4</v>
      </c>
      <c r="D82" s="29">
        <f ca="1">((100/(E78+G78+H78))*C82)/100</f>
        <v>0.16666666666666669</v>
      </c>
      <c r="E82" s="137"/>
      <c r="F82" s="138"/>
      <c r="G82" s="70"/>
      <c r="H82" s="70"/>
      <c r="I82" s="19" t="s">
        <v>126</v>
      </c>
      <c r="J82" s="24">
        <f ca="1">(IF(D78&gt;1,(H78/(D78+2)),H78/4))</f>
        <v>5.75</v>
      </c>
    </row>
    <row r="83" spans="1:10" ht="21" customHeight="1" x14ac:dyDescent="0.35">
      <c r="A83" s="70" t="s">
        <v>139</v>
      </c>
      <c r="B83" s="70"/>
      <c r="C83" s="30">
        <v>1</v>
      </c>
      <c r="D83" s="29">
        <f ca="1">((100/H78)*C83)/100</f>
        <v>4.3478260869565216E-2</v>
      </c>
      <c r="E83" s="137"/>
      <c r="F83" s="138"/>
      <c r="G83" s="70"/>
      <c r="H83" s="70"/>
      <c r="I83" s="19" t="s">
        <v>127</v>
      </c>
      <c r="J83" s="24">
        <f ca="1">(IF(D78&gt;1,(H78/(D78+2)+J82),H78/4+J82))</f>
        <v>11.5</v>
      </c>
    </row>
    <row r="84" spans="1:10" ht="21" customHeight="1" x14ac:dyDescent="0.35">
      <c r="A84" s="71" t="s">
        <v>140</v>
      </c>
      <c r="B84" s="72"/>
      <c r="C84" s="30">
        <v>1</v>
      </c>
      <c r="D84" s="29">
        <f ca="1">((100/H78)*C84)/100</f>
        <v>4.3478260869565216E-2</v>
      </c>
      <c r="E84" s="137"/>
      <c r="F84" s="138"/>
      <c r="G84" s="70"/>
      <c r="H84" s="70"/>
      <c r="I84" s="19" t="s">
        <v>141</v>
      </c>
      <c r="J84" s="24">
        <f>(IF(D78&gt;1,(H78/(D78+2)+J83),0))</f>
        <v>0</v>
      </c>
    </row>
    <row r="85" spans="1:10" ht="21" customHeight="1" x14ac:dyDescent="0.35">
      <c r="A85" s="71" t="s">
        <v>172</v>
      </c>
      <c r="B85" s="72"/>
      <c r="C85" s="30">
        <v>0</v>
      </c>
      <c r="D85" s="29">
        <f ca="1">((100/H78)*C85)/100</f>
        <v>0</v>
      </c>
      <c r="E85" s="137"/>
      <c r="F85" s="138"/>
      <c r="G85" s="70"/>
      <c r="H85" s="70"/>
      <c r="I85" s="19" t="s">
        <v>142</v>
      </c>
      <c r="J85" s="24">
        <f>(IF(D78&gt;2,(H78/(D78+2)+J84),0))</f>
        <v>0</v>
      </c>
    </row>
    <row r="86" spans="1:10" ht="59.25" customHeight="1" x14ac:dyDescent="0.35">
      <c r="A86" s="71" t="s">
        <v>169</v>
      </c>
      <c r="B86" s="72"/>
      <c r="C86" s="30">
        <v>0</v>
      </c>
      <c r="D86" s="29">
        <f ca="1">((100/(H78))*C86)/100</f>
        <v>0</v>
      </c>
      <c r="E86" s="137"/>
      <c r="F86" s="138"/>
      <c r="G86" s="70"/>
      <c r="H86" s="70"/>
      <c r="I86" s="19" t="s">
        <v>144</v>
      </c>
      <c r="J86" s="25">
        <f>(IF(D78&gt;3,(H78/(D78+2)+J85),0))</f>
        <v>0</v>
      </c>
    </row>
    <row r="87" spans="1:10" ht="21" x14ac:dyDescent="0.35">
      <c r="A87" s="70" t="s">
        <v>143</v>
      </c>
      <c r="B87" s="70"/>
      <c r="C87" s="30">
        <v>0</v>
      </c>
      <c r="D87" s="29">
        <f ca="1">((100/(H78))*C87)/100</f>
        <v>0</v>
      </c>
      <c r="E87" s="137"/>
      <c r="F87" s="138"/>
      <c r="G87" s="70"/>
      <c r="H87" s="70"/>
      <c r="I87" s="19" t="s">
        <v>145</v>
      </c>
      <c r="J87" s="24">
        <f>(IF(D78&gt;4,(H78/(D78+2)+J86),0))</f>
        <v>0</v>
      </c>
    </row>
    <row r="88" spans="1:10" ht="21" customHeight="1" x14ac:dyDescent="0.35">
      <c r="A88" s="70" t="s">
        <v>171</v>
      </c>
      <c r="B88" s="70"/>
      <c r="C88" s="30">
        <v>0</v>
      </c>
      <c r="D88" s="29">
        <f ca="1">((100/H78)*C88)/100</f>
        <v>0</v>
      </c>
      <c r="E88" s="137"/>
      <c r="F88" s="138"/>
      <c r="G88" s="70"/>
      <c r="H88" s="70"/>
      <c r="I88" s="19" t="s">
        <v>128</v>
      </c>
      <c r="J88" s="24">
        <f ca="1">(IF(D78=1,(H78/(D78+3)+J83),IF(D78=0,(H78/4+J83),IF(D78&gt;1,0))))</f>
        <v>17.25</v>
      </c>
    </row>
    <row r="89" spans="1:10" ht="21.75" thickBot="1" x14ac:dyDescent="0.4">
      <c r="A89" s="70" t="s">
        <v>170</v>
      </c>
      <c r="B89" s="70"/>
      <c r="C89" s="30">
        <v>0</v>
      </c>
      <c r="D89" s="29">
        <f ca="1">((100/H78)*C89)/100</f>
        <v>0</v>
      </c>
      <c r="E89" s="137"/>
      <c r="F89" s="138"/>
      <c r="G89" s="70"/>
      <c r="H89" s="70"/>
      <c r="I89" s="21" t="s">
        <v>129</v>
      </c>
      <c r="J89" s="26">
        <f ca="1">(IF(D78&gt;1.5,(H78/(D78+2)+J82+MAX(0,J83-J82)+MAX(0,J84-J83)+MAX(0,J85-J84)+MAX(0,J86-J85)+MAX(0,J87-J86)),IF(D78=1,(H78/(D78+3)+J88),IF(D78=0,H78/4+J88))))</f>
        <v>23</v>
      </c>
    </row>
    <row r="90" spans="1:10" ht="20.25" x14ac:dyDescent="0.25">
      <c r="A90" s="70" t="s">
        <v>146</v>
      </c>
      <c r="B90" s="70"/>
      <c r="C90" s="30">
        <v>0</v>
      </c>
      <c r="D90" s="29">
        <f ca="1">((100/(H78))*C90)/100</f>
        <v>0</v>
      </c>
      <c r="E90" s="137"/>
      <c r="F90" s="138"/>
      <c r="G90" s="70"/>
      <c r="H90" s="70"/>
    </row>
    <row r="91" spans="1:10" ht="20.25" x14ac:dyDescent="0.25">
      <c r="A91" s="70" t="s">
        <v>147</v>
      </c>
      <c r="B91" s="70"/>
      <c r="C91" s="30">
        <v>0</v>
      </c>
      <c r="D91" s="29">
        <f ca="1">((100/(H78))*C91)/100</f>
        <v>0</v>
      </c>
      <c r="E91" s="139"/>
      <c r="F91" s="140"/>
      <c r="G91" s="70"/>
      <c r="H91" s="70"/>
    </row>
    <row r="92" spans="1:10" ht="21" hidden="1" thickBot="1" x14ac:dyDescent="0.3">
      <c r="A92" s="93" t="s">
        <v>69</v>
      </c>
      <c r="B92" s="93"/>
      <c r="C92" s="93"/>
      <c r="D92" s="93"/>
      <c r="E92" s="93"/>
      <c r="F92" s="93"/>
      <c r="G92" s="93"/>
      <c r="H92" s="93"/>
    </row>
    <row r="93" spans="1:10" ht="20.25" hidden="1" customHeight="1" x14ac:dyDescent="0.3">
      <c r="A93" s="132" t="str">
        <f>CONCATENATE((IF(OR(A48="",A48="NA"),"",A48)),"= ",(IF(OR(D48="",D48="NA"),"",D48)),".")</f>
        <v>Tower 3= .</v>
      </c>
      <c r="B93" s="132"/>
      <c r="C93" s="132"/>
      <c r="D93" s="30" t="s">
        <v>117</v>
      </c>
      <c r="E93" s="124" t="s">
        <v>104</v>
      </c>
      <c r="F93" s="124"/>
      <c r="G93" s="30" t="s">
        <v>118</v>
      </c>
      <c r="H93" s="30" t="s">
        <v>119</v>
      </c>
      <c r="I93" s="15"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7"/>
    </row>
    <row r="94" spans="1:10" ht="20.25" hidden="1" x14ac:dyDescent="0.3">
      <c r="A94" s="132"/>
      <c r="B94" s="132"/>
      <c r="C94" s="132"/>
      <c r="D94" s="52">
        <f>IF(AND(ISNUMBER(SEARCH("1B",A93))),1,IF(AND(ISNUMBER(SEARCH("2B",A93))),2,IF(AND(ISNUMBER(SEARCH("3B",A93))),3,IF(AND(ISNUMBER(SEARCH("4B",A93))),4,IF(ISNUMBER(SEARCH("5B",A93)),5,0)))))</f>
        <v>0</v>
      </c>
      <c r="E94" s="124">
        <v>1</v>
      </c>
      <c r="F94" s="124"/>
      <c r="G94" s="52">
        <v>0</v>
      </c>
      <c r="H94" s="30">
        <f ca="1">--TRIM(RIGHT(SUBSTITUTE(LEFT(A93,_xlfn.AGGREGATE(16,6,FIND({0,1,2,3,4,5,6,7,8,9},A93,ROW(INDIRECT("1:"&amp;LEN(A93)))),1))," ",REPT(" ",LEN(A93))),LEN(A93)))</f>
        <v>3</v>
      </c>
      <c r="I94" s="16" t="s">
        <v>123</v>
      </c>
      <c r="J94" s="17"/>
    </row>
    <row r="95" spans="1:10" ht="20.25" hidden="1" customHeight="1" x14ac:dyDescent="0.3">
      <c r="A95" s="125" t="s">
        <v>121</v>
      </c>
      <c r="B95" s="125"/>
      <c r="C95" s="31" t="s">
        <v>134</v>
      </c>
      <c r="D95" s="31" t="s">
        <v>135</v>
      </c>
      <c r="E95" s="125" t="s">
        <v>122</v>
      </c>
      <c r="F95" s="125"/>
      <c r="G95" s="27" t="s">
        <v>120</v>
      </c>
      <c r="H95" s="27"/>
      <c r="I95" s="19" t="s">
        <v>136</v>
      </c>
      <c r="J95" s="18">
        <f ca="1">H94*25%</f>
        <v>0.75</v>
      </c>
    </row>
    <row r="96" spans="1:10" ht="20.25" hidden="1" customHeight="1" x14ac:dyDescent="0.3">
      <c r="A96" s="70" t="s">
        <v>137</v>
      </c>
      <c r="B96" s="70"/>
      <c r="C96" s="30">
        <f ca="1">J97</f>
        <v>3</v>
      </c>
      <c r="D96" s="29">
        <f ca="1">((100/H94)*C96)/100</f>
        <v>1</v>
      </c>
      <c r="E96" s="70">
        <f ca="1">(((C96/H94*10)+(C97/H94*25)+(25/(E94+G94+H94)*C98)+(5/(H94)*C99)+(2.5/(H94)*C100)+(2.5/(H94)*C101)+(5/H94*C102)+(2.5/H94*C103)+(2.5/H94*C104)+(5/H94*C105)+(10/H94*C106)+(5/H94*C107))/100)</f>
        <v>0.35</v>
      </c>
      <c r="F96" s="70"/>
      <c r="G96" s="70" t="str">
        <f ca="1">I93</f>
        <v>Excavation work Completed. Plinth work completed</v>
      </c>
      <c r="H96" s="70"/>
      <c r="I96" s="19" t="s">
        <v>124</v>
      </c>
      <c r="J96" s="23">
        <f ca="1">H94*50%</f>
        <v>1.5</v>
      </c>
    </row>
    <row r="97" spans="1:11" ht="20.25" hidden="1" x14ac:dyDescent="0.3">
      <c r="A97" s="70" t="s">
        <v>105</v>
      </c>
      <c r="B97" s="70"/>
      <c r="C97" s="32">
        <f ca="1">J105</f>
        <v>3</v>
      </c>
      <c r="D97" s="29">
        <f ca="1">((100/H94)*C97)/100</f>
        <v>1</v>
      </c>
      <c r="E97" s="70"/>
      <c r="F97" s="70"/>
      <c r="G97" s="70"/>
      <c r="H97" s="70"/>
      <c r="I97" s="19" t="s">
        <v>125</v>
      </c>
      <c r="J97" s="23">
        <f ca="1">H94</f>
        <v>3</v>
      </c>
    </row>
    <row r="98" spans="1:11" ht="21" hidden="1" customHeight="1" x14ac:dyDescent="0.35">
      <c r="A98" s="70" t="s">
        <v>138</v>
      </c>
      <c r="B98" s="70"/>
      <c r="C98" s="30">
        <v>0</v>
      </c>
      <c r="D98" s="29">
        <f ca="1">((100/(E94+G94+H94))*C98)/100</f>
        <v>0</v>
      </c>
      <c r="E98" s="70"/>
      <c r="F98" s="70"/>
      <c r="G98" s="70"/>
      <c r="H98" s="70"/>
      <c r="I98" s="19" t="s">
        <v>126</v>
      </c>
      <c r="J98" s="24">
        <f ca="1">(IF(D94&gt;1,(H94/(D94+2)),H94*0.2))</f>
        <v>0.60000000000000009</v>
      </c>
    </row>
    <row r="99" spans="1:11" ht="21" hidden="1" customHeight="1" x14ac:dyDescent="0.35">
      <c r="A99" s="70" t="s">
        <v>139</v>
      </c>
      <c r="B99" s="70"/>
      <c r="C99" s="30">
        <v>0</v>
      </c>
      <c r="D99" s="29">
        <f ca="1">((100/H94)*C99)/100</f>
        <v>0</v>
      </c>
      <c r="E99" s="70"/>
      <c r="F99" s="70"/>
      <c r="G99" s="70"/>
      <c r="H99" s="70"/>
      <c r="I99" s="19" t="s">
        <v>127</v>
      </c>
      <c r="J99" s="24">
        <f ca="1">(IF(D94&gt;1,(H94/(D94+2)+J98),H94*0.2+J98))</f>
        <v>1.2000000000000002</v>
      </c>
    </row>
    <row r="100" spans="1:11" ht="21" hidden="1" customHeight="1" x14ac:dyDescent="0.35">
      <c r="A100" s="71" t="s">
        <v>140</v>
      </c>
      <c r="B100" s="72"/>
      <c r="C100" s="30">
        <v>0</v>
      </c>
      <c r="D100" s="29">
        <f ca="1">((100/H94)*C100)/100</f>
        <v>0</v>
      </c>
      <c r="E100" s="70"/>
      <c r="F100" s="70"/>
      <c r="G100" s="70"/>
      <c r="H100" s="70"/>
      <c r="I100" s="19" t="s">
        <v>141</v>
      </c>
      <c r="J100" s="24">
        <f>(IF(D94&gt;1,(H94/(D94+2)+J99),0))</f>
        <v>0</v>
      </c>
    </row>
    <row r="101" spans="1:11" ht="21" hidden="1" customHeight="1" x14ac:dyDescent="0.35">
      <c r="A101" s="71" t="s">
        <v>172</v>
      </c>
      <c r="B101" s="72"/>
      <c r="C101" s="30">
        <v>0</v>
      </c>
      <c r="D101" s="29">
        <f ca="1">((100/H94)*C101)/100</f>
        <v>0</v>
      </c>
      <c r="E101" s="70"/>
      <c r="F101" s="70"/>
      <c r="G101" s="70"/>
      <c r="H101" s="70"/>
      <c r="I101" s="19" t="s">
        <v>142</v>
      </c>
      <c r="J101" s="24">
        <f>(IF(D94&gt;2,(H94/(D94+2)+J100),0))</f>
        <v>0</v>
      </c>
    </row>
    <row r="102" spans="1:11" ht="57.75" hidden="1" customHeight="1" x14ac:dyDescent="0.35">
      <c r="A102" s="71" t="s">
        <v>169</v>
      </c>
      <c r="B102" s="72"/>
      <c r="C102" s="30">
        <v>0</v>
      </c>
      <c r="D102" s="29">
        <f ca="1">((100/(H94))*C102)/100</f>
        <v>0</v>
      </c>
      <c r="E102" s="70"/>
      <c r="F102" s="70"/>
      <c r="G102" s="70"/>
      <c r="H102" s="70"/>
      <c r="I102" s="19" t="s">
        <v>144</v>
      </c>
      <c r="J102" s="25">
        <f>(IF(D94&gt;3,(H94/(D94+2)+J101),0))</f>
        <v>0</v>
      </c>
    </row>
    <row r="103" spans="1:11" ht="21" hidden="1" x14ac:dyDescent="0.35">
      <c r="A103" s="70" t="s">
        <v>143</v>
      </c>
      <c r="B103" s="70"/>
      <c r="C103" s="30">
        <v>0</v>
      </c>
      <c r="D103" s="29">
        <f ca="1">((100/(H94))*C103)/100</f>
        <v>0</v>
      </c>
      <c r="E103" s="70"/>
      <c r="F103" s="70"/>
      <c r="G103" s="70"/>
      <c r="H103" s="70"/>
      <c r="I103" s="19" t="s">
        <v>145</v>
      </c>
      <c r="J103" s="24">
        <f>(IF(D94&gt;4,(H94/(D94+2)+J102),0))</f>
        <v>0</v>
      </c>
    </row>
    <row r="104" spans="1:11" ht="21" hidden="1" customHeight="1" x14ac:dyDescent="0.35">
      <c r="A104" s="70" t="s">
        <v>171</v>
      </c>
      <c r="B104" s="70"/>
      <c r="C104" s="30">
        <v>0</v>
      </c>
      <c r="D104" s="29">
        <f ca="1">((100/H94)*C104)/100</f>
        <v>0</v>
      </c>
      <c r="E104" s="70"/>
      <c r="F104" s="70"/>
      <c r="G104" s="70"/>
      <c r="H104" s="70"/>
      <c r="I104" s="19" t="s">
        <v>128</v>
      </c>
      <c r="J104" s="24">
        <f ca="1">(IF(D94=1,(H94/(D94+3)+J99),IF(D94=0,(H94*0.3+J99),IF(D94&gt;1,0))))</f>
        <v>2.1</v>
      </c>
    </row>
    <row r="105" spans="1:11" ht="21.75" hidden="1" thickBot="1" x14ac:dyDescent="0.4">
      <c r="A105" s="70" t="s">
        <v>170</v>
      </c>
      <c r="B105" s="70"/>
      <c r="C105" s="30">
        <v>0</v>
      </c>
      <c r="D105" s="29">
        <f ca="1">((100/H94)*C105)/100</f>
        <v>0</v>
      </c>
      <c r="E105" s="70"/>
      <c r="F105" s="70"/>
      <c r="G105" s="70"/>
      <c r="H105" s="70"/>
      <c r="I105" s="21" t="s">
        <v>129</v>
      </c>
      <c r="J105" s="26">
        <f ca="1">(IF(D94&gt;1.5,(H94/(D94+2)+J99+MAX(0,J100-J99)+MAX(0,J101-J100)+MAX(0,J102-J101)+MAX(0,J103-J102)+MAX(0,J104-J103)),IF(D94=1,(H94/(D94+3)+J104),IF(D94=0,H94*0.3+J104))))</f>
        <v>3</v>
      </c>
    </row>
    <row r="106" spans="1:11" ht="20.25" hidden="1" x14ac:dyDescent="0.25">
      <c r="A106" s="70" t="s">
        <v>146</v>
      </c>
      <c r="B106" s="70"/>
      <c r="C106" s="30">
        <v>0</v>
      </c>
      <c r="D106" s="29">
        <f ca="1">((100/(H94))*C106)/100</f>
        <v>0</v>
      </c>
      <c r="E106" s="70"/>
      <c r="F106" s="70"/>
      <c r="G106" s="70"/>
      <c r="H106" s="70"/>
    </row>
    <row r="107" spans="1:11" ht="20.25" hidden="1" x14ac:dyDescent="0.25">
      <c r="A107" s="70" t="s">
        <v>147</v>
      </c>
      <c r="B107" s="70"/>
      <c r="C107" s="30">
        <v>0</v>
      </c>
      <c r="D107" s="29">
        <f ca="1">((100/(H94))*C107)/100</f>
        <v>0</v>
      </c>
      <c r="E107" s="70"/>
      <c r="F107" s="70"/>
      <c r="G107" s="70"/>
      <c r="H107" s="70"/>
    </row>
    <row r="108" spans="1:11" ht="36.75" customHeight="1" x14ac:dyDescent="0.3">
      <c r="A108" s="130" t="s">
        <v>130</v>
      </c>
      <c r="B108" s="131"/>
      <c r="C108" s="131"/>
      <c r="D108" s="131"/>
      <c r="E108" s="131"/>
      <c r="F108" s="131"/>
      <c r="G108" s="122">
        <f ca="1">AVERAGE(E64,E80)</f>
        <v>0.33215579710144932</v>
      </c>
      <c r="H108" s="123"/>
      <c r="I108" s="19"/>
      <c r="J108" s="20"/>
      <c r="K108" s="20"/>
    </row>
    <row r="109" spans="1:11" ht="20.25" x14ac:dyDescent="0.25">
      <c r="A109" s="86" t="s">
        <v>73</v>
      </c>
      <c r="B109" s="87"/>
      <c r="C109" s="87"/>
      <c r="D109" s="87"/>
      <c r="E109" s="87"/>
      <c r="F109" s="87"/>
      <c r="G109" s="87"/>
      <c r="H109" s="88"/>
    </row>
    <row r="110" spans="1:11" ht="54.75" customHeight="1" x14ac:dyDescent="0.25">
      <c r="A110" s="64" t="s">
        <v>74</v>
      </c>
      <c r="B110" s="65"/>
      <c r="C110" s="74" t="s">
        <v>109</v>
      </c>
      <c r="D110" s="75"/>
      <c r="E110" s="64" t="s">
        <v>148</v>
      </c>
      <c r="F110" s="65" t="s">
        <v>4</v>
      </c>
      <c r="G110" s="89" t="s">
        <v>161</v>
      </c>
      <c r="H110" s="89"/>
    </row>
    <row r="111" spans="1:11" ht="44.25" customHeight="1" x14ac:dyDescent="0.25">
      <c r="A111" s="64" t="s">
        <v>158</v>
      </c>
      <c r="B111" s="65"/>
      <c r="C111" s="74" t="s">
        <v>415</v>
      </c>
      <c r="D111" s="75"/>
      <c r="E111" s="64" t="s">
        <v>159</v>
      </c>
      <c r="F111" s="65" t="s">
        <v>4</v>
      </c>
      <c r="G111" s="77" t="s">
        <v>149</v>
      </c>
      <c r="H111" s="77"/>
    </row>
    <row r="112" spans="1:11" ht="20.25" x14ac:dyDescent="0.25">
      <c r="A112" s="64" t="s">
        <v>75</v>
      </c>
      <c r="B112" s="65"/>
      <c r="C112" s="66">
        <v>500000</v>
      </c>
      <c r="D112" s="68"/>
      <c r="E112" s="64" t="s">
        <v>103</v>
      </c>
      <c r="F112" s="65" t="s">
        <v>4</v>
      </c>
      <c r="G112" s="74" t="s">
        <v>110</v>
      </c>
      <c r="H112" s="75"/>
    </row>
    <row r="113" spans="1:150 16226:16383" ht="20.25" x14ac:dyDescent="0.25">
      <c r="A113" s="86" t="s">
        <v>72</v>
      </c>
      <c r="B113" s="87"/>
      <c r="C113" s="87"/>
      <c r="D113" s="87"/>
      <c r="E113" s="87"/>
      <c r="F113" s="87"/>
      <c r="G113" s="87"/>
      <c r="H113" s="88"/>
    </row>
    <row r="114" spans="1:150 16226:16383" ht="20.25" customHeight="1" x14ac:dyDescent="0.25">
      <c r="A114" s="64" t="s">
        <v>8</v>
      </c>
      <c r="B114" s="141"/>
      <c r="C114" s="141"/>
      <c r="D114" s="141"/>
      <c r="E114" s="141"/>
      <c r="F114" s="65"/>
      <c r="G114" s="126">
        <f>47700/10.764</f>
        <v>4431.4381270903014</v>
      </c>
      <c r="H114" s="127"/>
    </row>
    <row r="115" spans="1:150 16226:16383" ht="20.25" customHeight="1" x14ac:dyDescent="0.25">
      <c r="A115" s="64" t="s">
        <v>28</v>
      </c>
      <c r="B115" s="141"/>
      <c r="C115" s="141"/>
      <c r="D115" s="141"/>
      <c r="E115" s="141"/>
      <c r="F115" s="65" t="s">
        <v>4</v>
      </c>
      <c r="G115" s="76">
        <f>118200/10.764</f>
        <v>10981.047937569678</v>
      </c>
      <c r="H115" s="76"/>
    </row>
    <row r="116" spans="1:150 16226:16383" ht="20.25" customHeight="1" x14ac:dyDescent="0.25">
      <c r="A116" s="64" t="s">
        <v>111</v>
      </c>
      <c r="B116" s="141"/>
      <c r="C116" s="141"/>
      <c r="D116" s="141"/>
      <c r="E116" s="141"/>
      <c r="F116" s="65" t="s">
        <v>4</v>
      </c>
      <c r="G116" s="76">
        <f>G114*0.8</f>
        <v>3545.1505016722413</v>
      </c>
      <c r="H116" s="76"/>
    </row>
    <row r="117" spans="1:150 16226:16383" ht="20.25" x14ac:dyDescent="0.25">
      <c r="A117" s="119" t="s">
        <v>398</v>
      </c>
      <c r="B117" s="120"/>
      <c r="C117" s="120"/>
      <c r="D117" s="120"/>
      <c r="E117" s="120"/>
      <c r="F117" s="120"/>
      <c r="G117" s="120"/>
      <c r="H117" s="121"/>
    </row>
    <row r="118" spans="1:150 16226:16383" s="3" customFormat="1" ht="20.25" x14ac:dyDescent="0.25">
      <c r="A118" s="94" t="s">
        <v>155</v>
      </c>
      <c r="B118" s="95"/>
      <c r="C118" s="94" t="s">
        <v>156</v>
      </c>
      <c r="D118" s="95"/>
      <c r="E118" s="94" t="s">
        <v>154</v>
      </c>
      <c r="F118" s="95"/>
      <c r="G118" s="94" t="s">
        <v>167</v>
      </c>
      <c r="H118" s="9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04" t="s">
        <v>271</v>
      </c>
      <c r="B119" s="105"/>
      <c r="C119" s="104" t="s">
        <v>97</v>
      </c>
      <c r="D119" s="105"/>
      <c r="E119" s="104">
        <f>COUNT(H133:H147)+COUNT(H149:H163)</f>
        <v>30</v>
      </c>
      <c r="F119" s="105"/>
      <c r="G119" s="104">
        <f>SUM(H133:H147)+SUM(H149:H163)</f>
        <v>7602.7951116000004</v>
      </c>
      <c r="H119" s="10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04" t="s">
        <v>272</v>
      </c>
      <c r="B120" s="105"/>
      <c r="C120" s="104" t="s">
        <v>97</v>
      </c>
      <c r="D120" s="105"/>
      <c r="E120" s="104">
        <f>COUNT(H227:H248)+COUNT(H250:H266)</f>
        <v>39</v>
      </c>
      <c r="F120" s="105"/>
      <c r="G120" s="104">
        <f>SUM(H227:H248)+SUM(H250:H266)</f>
        <v>12515.843152799998</v>
      </c>
      <c r="H120" s="10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94" t="s">
        <v>157</v>
      </c>
      <c r="B121" s="95"/>
      <c r="C121" s="94" t="s">
        <v>97</v>
      </c>
      <c r="D121" s="95"/>
      <c r="E121" s="94">
        <f>SUM(E119:F120)</f>
        <v>69</v>
      </c>
      <c r="F121" s="95"/>
      <c r="G121" s="94">
        <f>SUM(G119:H120)</f>
        <v>20118.638264399997</v>
      </c>
      <c r="H121" s="9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19" t="s">
        <v>399</v>
      </c>
      <c r="B122" s="120"/>
      <c r="C122" s="120"/>
      <c r="D122" s="120"/>
      <c r="E122" s="120"/>
      <c r="F122" s="120"/>
      <c r="G122" s="120"/>
      <c r="H122" s="121"/>
    </row>
    <row r="123" spans="1:150 16226:16383" s="3" customFormat="1" ht="20.25" x14ac:dyDescent="0.25">
      <c r="A123" s="94" t="s">
        <v>155</v>
      </c>
      <c r="B123" s="95"/>
      <c r="C123" s="94" t="s">
        <v>156</v>
      </c>
      <c r="D123" s="95"/>
      <c r="E123" s="94" t="s">
        <v>154</v>
      </c>
      <c r="F123" s="95"/>
      <c r="G123" s="94" t="s">
        <v>167</v>
      </c>
      <c r="H123" s="9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04" t="s">
        <v>271</v>
      </c>
      <c r="B124" s="105"/>
      <c r="C124" s="94" t="s">
        <v>97</v>
      </c>
      <c r="D124" s="95"/>
      <c r="E124" s="104">
        <f>COUNT(H166:H174,H178:H184)+COUNT(H186:H204)*14+COUNT(H206:H217,H219:H224)*3</f>
        <v>336</v>
      </c>
      <c r="F124" s="105"/>
      <c r="G124" s="104">
        <f>SUM(H166:H174,H178:H184)+SUM(H186:H204)*14+SUM(H206:H217,H219:H224)*3</f>
        <v>133304.55137999996</v>
      </c>
      <c r="H124" s="105"/>
      <c r="I124" s="1"/>
      <c r="J124" s="1">
        <f>14+3+1</f>
        <v>18</v>
      </c>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04" t="s">
        <v>272</v>
      </c>
      <c r="B125" s="105"/>
      <c r="C125" s="94" t="s">
        <v>97</v>
      </c>
      <c r="D125" s="95"/>
      <c r="E125" s="104">
        <f>COUNT(H269:H287)+COUNT(H289:H307)*14+COUNT(H309:H320,H322:H327)*3</f>
        <v>336</v>
      </c>
      <c r="F125" s="105"/>
      <c r="G125" s="104">
        <f>SUM(H269:H287)+SUM(H289:H307)*14+SUM(H309:H320,H322:H327)*3</f>
        <v>130889.80943999997</v>
      </c>
      <c r="H125" s="10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94" t="s">
        <v>157</v>
      </c>
      <c r="B126" s="95"/>
      <c r="C126" s="94" t="s">
        <v>97</v>
      </c>
      <c r="D126" s="95"/>
      <c r="E126" s="94">
        <f>SUM(E124:F125)</f>
        <v>672</v>
      </c>
      <c r="F126" s="95"/>
      <c r="G126" s="94">
        <f>SUM(G124:H125)</f>
        <v>264194.36081999994</v>
      </c>
      <c r="H126" s="9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94" t="s">
        <v>247</v>
      </c>
      <c r="B127" s="95"/>
      <c r="C127" s="94" t="s">
        <v>97</v>
      </c>
      <c r="D127" s="95"/>
      <c r="E127" s="94">
        <f>SUM(E121+E126)</f>
        <v>741</v>
      </c>
      <c r="F127" s="95"/>
      <c r="G127" s="94">
        <f>SUM(G121+G126)</f>
        <v>284312.99908439995</v>
      </c>
      <c r="H127" s="9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28" t="s">
        <v>153</v>
      </c>
      <c r="B128" s="129"/>
      <c r="C128" s="129"/>
      <c r="D128" s="129"/>
      <c r="E128" s="129"/>
      <c r="F128" s="129"/>
      <c r="G128" s="129"/>
      <c r="H128" s="121"/>
    </row>
    <row r="129" spans="1:150 16226:16383" ht="66" customHeight="1" x14ac:dyDescent="0.25">
      <c r="A129" s="53" t="s">
        <v>237</v>
      </c>
      <c r="B129" s="28" t="s">
        <v>238</v>
      </c>
      <c r="C129" s="34" t="s">
        <v>239</v>
      </c>
      <c r="D129" s="28" t="s">
        <v>90</v>
      </c>
      <c r="E129" s="28" t="s">
        <v>168</v>
      </c>
      <c r="F129" s="34" t="s">
        <v>240</v>
      </c>
      <c r="G129" s="28" t="s">
        <v>92</v>
      </c>
      <c r="H129" s="28" t="s">
        <v>91</v>
      </c>
    </row>
    <row r="130" spans="1:150 16226:16383" s="3" customFormat="1" ht="20.25" x14ac:dyDescent="0.25">
      <c r="A130" s="96" t="s">
        <v>280</v>
      </c>
      <c r="B130" s="97"/>
      <c r="C130" s="97"/>
      <c r="D130" s="97"/>
      <c r="E130" s="97"/>
      <c r="F130" s="97"/>
      <c r="G130" s="97"/>
      <c r="H130" s="98"/>
      <c r="I130" s="1"/>
      <c r="J130" s="5">
        <f>10.764</f>
        <v>10.763999999999999</v>
      </c>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96" t="s">
        <v>271</v>
      </c>
      <c r="B131" s="97"/>
      <c r="C131" s="97"/>
      <c r="D131" s="97"/>
      <c r="E131" s="97"/>
      <c r="F131" s="97"/>
      <c r="G131" s="97"/>
      <c r="H131" s="98"/>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96" t="s">
        <v>281</v>
      </c>
      <c r="B132" s="97"/>
      <c r="C132" s="97"/>
      <c r="D132" s="97"/>
      <c r="E132" s="97"/>
      <c r="F132" s="97"/>
      <c r="G132" s="97"/>
      <c r="H132" s="98"/>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73" t="s">
        <v>282</v>
      </c>
      <c r="B133" s="73"/>
      <c r="C133" s="54" t="s">
        <v>97</v>
      </c>
      <c r="D133" s="54" t="s">
        <v>297</v>
      </c>
      <c r="E133" s="59">
        <f>(3.1*7.34)*(10.764)</f>
        <v>244.92405600000001</v>
      </c>
      <c r="F133" s="5">
        <v>0</v>
      </c>
      <c r="G133" s="5">
        <v>0</v>
      </c>
      <c r="H133" s="5">
        <f>E133+F133+(IF(G133&lt;101,G133,IF(G133&lt;201,G133/2,IF(G133&lt;=301,G133/3,G133/4))))</f>
        <v>244.92405600000001</v>
      </c>
      <c r="I133" s="4"/>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73" t="s">
        <v>283</v>
      </c>
      <c r="B134" s="73"/>
      <c r="C134" s="54" t="s">
        <v>97</v>
      </c>
      <c r="D134" s="54" t="s">
        <v>297</v>
      </c>
      <c r="E134" s="59">
        <f>(2.7*7.34)*(10.764)</f>
        <v>213.32095200000001</v>
      </c>
      <c r="F134" s="5">
        <v>0</v>
      </c>
      <c r="G134" s="5">
        <v>0</v>
      </c>
      <c r="H134" s="5">
        <f t="shared" ref="H134:H140" si="0">E134+F134+(IF(G134&lt;101,G134,IF(G134&lt;201,G134/2,IF(G134&lt;=301,G134/3,G134/4))))</f>
        <v>213.32095200000001</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73" t="s">
        <v>284</v>
      </c>
      <c r="B135" s="73"/>
      <c r="C135" s="54" t="s">
        <v>97</v>
      </c>
      <c r="D135" s="54" t="s">
        <v>297</v>
      </c>
      <c r="E135" s="59">
        <f>(2.8*7.34)*(10.764)</f>
        <v>221.22172799999998</v>
      </c>
      <c r="F135" s="5">
        <v>0</v>
      </c>
      <c r="G135" s="5">
        <v>0</v>
      </c>
      <c r="H135" s="5">
        <f t="shared" si="0"/>
        <v>221.22172799999998</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73" t="s">
        <v>285</v>
      </c>
      <c r="B136" s="73"/>
      <c r="C136" s="54" t="s">
        <v>97</v>
      </c>
      <c r="D136" s="54" t="s">
        <v>297</v>
      </c>
      <c r="E136" s="59">
        <f>(2.96*7.34)*(10.764)</f>
        <v>233.86296959999996</v>
      </c>
      <c r="F136" s="5">
        <v>0</v>
      </c>
      <c r="G136" s="5">
        <v>0</v>
      </c>
      <c r="H136" s="5">
        <f t="shared" si="0"/>
        <v>233.86296959999996</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73" t="s">
        <v>286</v>
      </c>
      <c r="B137" s="73"/>
      <c r="C137" s="54" t="s">
        <v>97</v>
      </c>
      <c r="D137" s="54" t="s">
        <v>297</v>
      </c>
      <c r="E137" s="59">
        <f>(2.65*7.34)*(10.764)</f>
        <v>209.370564</v>
      </c>
      <c r="F137" s="5">
        <v>0</v>
      </c>
      <c r="G137" s="5">
        <v>0</v>
      </c>
      <c r="H137" s="5">
        <f t="shared" si="0"/>
        <v>209.370564</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73" t="s">
        <v>287</v>
      </c>
      <c r="B138" s="73"/>
      <c r="C138" s="54" t="s">
        <v>97</v>
      </c>
      <c r="D138" s="54" t="s">
        <v>297</v>
      </c>
      <c r="E138" s="59">
        <f>(2.85*7.34)*(10.764)</f>
        <v>225.17211599999999</v>
      </c>
      <c r="F138" s="5">
        <v>0</v>
      </c>
      <c r="G138" s="5">
        <v>0</v>
      </c>
      <c r="H138" s="5">
        <f t="shared" si="0"/>
        <v>225.17211599999999</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73" t="s">
        <v>288</v>
      </c>
      <c r="B139" s="73"/>
      <c r="C139" s="54" t="s">
        <v>97</v>
      </c>
      <c r="D139" s="54" t="s">
        <v>297</v>
      </c>
      <c r="E139" s="59">
        <f>(2.96*7.34)*(10.764)</f>
        <v>233.86296959999996</v>
      </c>
      <c r="F139" s="5">
        <v>0</v>
      </c>
      <c r="G139" s="5">
        <v>0</v>
      </c>
      <c r="H139" s="5">
        <f t="shared" si="0"/>
        <v>233.86296959999996</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73" t="s">
        <v>289</v>
      </c>
      <c r="B140" s="73"/>
      <c r="C140" s="54" t="s">
        <v>97</v>
      </c>
      <c r="D140" s="54" t="s">
        <v>297</v>
      </c>
      <c r="E140" s="59">
        <f>(3.15*7.29)*(10.764)</f>
        <v>247.17911399999997</v>
      </c>
      <c r="F140" s="5">
        <v>0</v>
      </c>
      <c r="G140" s="5">
        <v>0</v>
      </c>
      <c r="H140" s="5">
        <f t="shared" si="0"/>
        <v>247.17911399999997</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73" t="s">
        <v>290</v>
      </c>
      <c r="B141" s="73"/>
      <c r="C141" s="54" t="s">
        <v>97</v>
      </c>
      <c r="D141" s="54" t="s">
        <v>297</v>
      </c>
      <c r="E141" s="59">
        <f>(2.7*7.42+3.62*3.15)*(10.764)</f>
        <v>338.38786800000003</v>
      </c>
      <c r="F141" s="5">
        <v>0</v>
      </c>
      <c r="G141" s="5">
        <v>0</v>
      </c>
      <c r="H141" s="5">
        <f t="shared" ref="H141:H145" si="1">E141+F141+(IF(G141&lt;101,G141,IF(G141&lt;201,G141/2,IF(G141&lt;=301,G141/3,G141/4))))</f>
        <v>338.38786800000003</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73" t="s">
        <v>291</v>
      </c>
      <c r="B142" s="73"/>
      <c r="C142" s="54" t="s">
        <v>97</v>
      </c>
      <c r="D142" s="54" t="s">
        <v>297</v>
      </c>
      <c r="E142" s="59">
        <f>(2.86*10.57)*(10.764)</f>
        <v>325.39787279999996</v>
      </c>
      <c r="F142" s="5">
        <v>0</v>
      </c>
      <c r="G142" s="5">
        <v>0</v>
      </c>
      <c r="H142" s="5">
        <f t="shared" si="1"/>
        <v>325.39787279999996</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73" t="s">
        <v>292</v>
      </c>
      <c r="B143" s="73"/>
      <c r="C143" s="54" t="s">
        <v>97</v>
      </c>
      <c r="D143" s="54" t="s">
        <v>297</v>
      </c>
      <c r="E143" s="59">
        <f>(2.96*7.42+3.47*3.15)*(10.764)</f>
        <v>354.06778680000002</v>
      </c>
      <c r="F143" s="5">
        <v>0</v>
      </c>
      <c r="G143" s="5">
        <v>0</v>
      </c>
      <c r="H143" s="5">
        <f t="shared" si="1"/>
        <v>354.06778680000002</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73" t="s">
        <v>293</v>
      </c>
      <c r="B144" s="73"/>
      <c r="C144" s="54" t="s">
        <v>97</v>
      </c>
      <c r="D144" s="54" t="s">
        <v>297</v>
      </c>
      <c r="E144" s="59">
        <f>(3.15*7.29+2.65*3.28)*(10.764)</f>
        <v>340.73980199999994</v>
      </c>
      <c r="F144" s="5">
        <v>0</v>
      </c>
      <c r="G144" s="5">
        <v>0</v>
      </c>
      <c r="H144" s="5">
        <f t="shared" si="1"/>
        <v>340.73980199999994</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73" t="s">
        <v>294</v>
      </c>
      <c r="B145" s="73"/>
      <c r="C145" s="54" t="s">
        <v>97</v>
      </c>
      <c r="D145" s="54" t="s">
        <v>297</v>
      </c>
      <c r="E145" s="59">
        <f>(2.83*7.94+3.66*2.63)*(10.764)</f>
        <v>345.48134400000004</v>
      </c>
      <c r="F145" s="5">
        <v>0</v>
      </c>
      <c r="G145" s="5">
        <v>0</v>
      </c>
      <c r="H145" s="5">
        <f t="shared" si="1"/>
        <v>345.48134400000004</v>
      </c>
      <c r="I145" s="4"/>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73" t="s">
        <v>295</v>
      </c>
      <c r="B146" s="73"/>
      <c r="C146" s="54" t="s">
        <v>97</v>
      </c>
      <c r="D146" s="54" t="s">
        <v>297</v>
      </c>
      <c r="E146" s="59">
        <f>(2.83*7.29+1.99*3.2)*(10.764)</f>
        <v>290.61400679999997</v>
      </c>
      <c r="F146" s="5">
        <v>0</v>
      </c>
      <c r="G146" s="5">
        <v>0</v>
      </c>
      <c r="H146" s="5">
        <f t="shared" ref="H146:H147" si="2">E146+F146+(IF(G146&lt;101,G146,IF(G146&lt;201,G146/2,IF(G146&lt;=301,G146/3,G146/4))))</f>
        <v>290.61400679999997</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73" t="s">
        <v>296</v>
      </c>
      <c r="B147" s="73"/>
      <c r="C147" s="54" t="s">
        <v>97</v>
      </c>
      <c r="D147" s="54" t="s">
        <v>297</v>
      </c>
      <c r="E147" s="59">
        <f>(2.86*10.57)*(10.764)</f>
        <v>325.39787279999996</v>
      </c>
      <c r="F147" s="5">
        <v>0</v>
      </c>
      <c r="G147" s="5">
        <v>0</v>
      </c>
      <c r="H147" s="5">
        <f t="shared" si="2"/>
        <v>325.39787279999996</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96" t="s">
        <v>397</v>
      </c>
      <c r="B148" s="97"/>
      <c r="C148" s="97"/>
      <c r="D148" s="97"/>
      <c r="E148" s="97"/>
      <c r="F148" s="97"/>
      <c r="G148" s="97"/>
      <c r="H148" s="98"/>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73" t="s">
        <v>321</v>
      </c>
      <c r="B149" s="73"/>
      <c r="C149" s="54" t="s">
        <v>97</v>
      </c>
      <c r="D149" s="54" t="s">
        <v>297</v>
      </c>
      <c r="E149" s="59">
        <f>(3.1*5.69)*(10.764)</f>
        <v>189.86619600000003</v>
      </c>
      <c r="F149" s="5">
        <v>0</v>
      </c>
      <c r="G149" s="5">
        <v>0</v>
      </c>
      <c r="H149" s="5">
        <f>E149+F149+(IF(G149&lt;101,G149,IF(G149&lt;201,G149/2,IF(G149&lt;=301,G149/3,G149/4))))</f>
        <v>189.86619600000003</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73" t="s">
        <v>322</v>
      </c>
      <c r="B150" s="73"/>
      <c r="C150" s="54" t="s">
        <v>97</v>
      </c>
      <c r="D150" s="54" t="s">
        <v>297</v>
      </c>
      <c r="E150" s="59">
        <f>(2.7*5.69)*(10.764)</f>
        <v>165.367332</v>
      </c>
      <c r="F150" s="5">
        <v>0</v>
      </c>
      <c r="G150" s="5">
        <v>0</v>
      </c>
      <c r="H150" s="5">
        <f t="shared" ref="H150:H156" si="3">E150+F150+(IF(G150&lt;101,G150,IF(G150&lt;201,G150/2,IF(G150&lt;=301,G150/3,G150/4))))</f>
        <v>165.367332</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73" t="s">
        <v>323</v>
      </c>
      <c r="B151" s="73"/>
      <c r="C151" s="54" t="s">
        <v>97</v>
      </c>
      <c r="D151" s="54" t="s">
        <v>297</v>
      </c>
      <c r="E151" s="59">
        <f>(2.88*5.69)*(10.764)</f>
        <v>176.39182079999998</v>
      </c>
      <c r="F151" s="5">
        <v>0</v>
      </c>
      <c r="G151" s="5">
        <v>0</v>
      </c>
      <c r="H151" s="5">
        <f t="shared" si="3"/>
        <v>176.39182079999998</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73" t="s">
        <v>324</v>
      </c>
      <c r="B152" s="73"/>
      <c r="C152" s="54" t="s">
        <v>97</v>
      </c>
      <c r="D152" s="54" t="s">
        <v>297</v>
      </c>
      <c r="E152" s="59">
        <f>(2.98*5.69)*(10.764)</f>
        <v>182.51653680000001</v>
      </c>
      <c r="F152" s="5">
        <v>0</v>
      </c>
      <c r="G152" s="5">
        <v>0</v>
      </c>
      <c r="H152" s="5">
        <f t="shared" si="3"/>
        <v>182.51653680000001</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73" t="s">
        <v>325</v>
      </c>
      <c r="B153" s="73"/>
      <c r="C153" s="54" t="s">
        <v>97</v>
      </c>
      <c r="D153" s="54" t="s">
        <v>297</v>
      </c>
      <c r="E153" s="59">
        <f>(2.65*5.69)*(10.764)</f>
        <v>162.30497399999999</v>
      </c>
      <c r="F153" s="5">
        <v>0</v>
      </c>
      <c r="G153" s="5">
        <v>0</v>
      </c>
      <c r="H153" s="5">
        <f t="shared" si="3"/>
        <v>162.30497399999999</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73" t="s">
        <v>326</v>
      </c>
      <c r="B154" s="73"/>
      <c r="C154" s="54" t="s">
        <v>97</v>
      </c>
      <c r="D154" s="54" t="s">
        <v>297</v>
      </c>
      <c r="E154" s="59">
        <f>(2.88*5.69)*(10.764)</f>
        <v>176.39182079999998</v>
      </c>
      <c r="F154" s="5">
        <v>0</v>
      </c>
      <c r="G154" s="5">
        <v>0</v>
      </c>
      <c r="H154" s="5">
        <f t="shared" si="3"/>
        <v>176.39182079999998</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73" t="s">
        <v>327</v>
      </c>
      <c r="B155" s="73"/>
      <c r="C155" s="54" t="s">
        <v>97</v>
      </c>
      <c r="D155" s="54" t="s">
        <v>297</v>
      </c>
      <c r="E155" s="59">
        <f>(2.98*5.69)*(10.764)</f>
        <v>182.51653680000001</v>
      </c>
      <c r="F155" s="5">
        <v>0</v>
      </c>
      <c r="G155" s="5">
        <v>0</v>
      </c>
      <c r="H155" s="5">
        <f t="shared" si="3"/>
        <v>182.51653680000001</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73" t="s">
        <v>328</v>
      </c>
      <c r="B156" s="73"/>
      <c r="C156" s="54" t="s">
        <v>97</v>
      </c>
      <c r="D156" s="54" t="s">
        <v>297</v>
      </c>
      <c r="E156" s="59">
        <f>(3.15*5.69)*(10.764)</f>
        <v>192.92855399999999</v>
      </c>
      <c r="F156" s="5">
        <v>0</v>
      </c>
      <c r="G156" s="5">
        <v>0</v>
      </c>
      <c r="H156" s="5">
        <f t="shared" si="3"/>
        <v>192.92855399999999</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73" t="s">
        <v>329</v>
      </c>
      <c r="B157" s="73"/>
      <c r="C157" s="54" t="s">
        <v>97</v>
      </c>
      <c r="D157" s="54" t="s">
        <v>297</v>
      </c>
      <c r="E157" s="59">
        <f>(2.7*5.82+3.62*3.15)*(10.764)</f>
        <v>291.88738800000004</v>
      </c>
      <c r="F157" s="5">
        <v>0</v>
      </c>
      <c r="G157" s="5">
        <v>0</v>
      </c>
      <c r="H157" s="5">
        <f t="shared" ref="H157:H161" si="4">E157+F157+(IF(G157&lt;101,G157,IF(G157&lt;201,G157/2,IF(G157&lt;=301,G157/3,G157/4))))</f>
        <v>291.88738800000004</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73" t="s">
        <v>330</v>
      </c>
      <c r="B158" s="73"/>
      <c r="C158" s="54" t="s">
        <v>97</v>
      </c>
      <c r="D158" s="54" t="s">
        <v>297</v>
      </c>
      <c r="E158" s="59">
        <f>(2.88*8.97)*(10.764)</f>
        <v>278.0728704</v>
      </c>
      <c r="F158" s="5">
        <v>0</v>
      </c>
      <c r="G158" s="5">
        <v>0</v>
      </c>
      <c r="H158" s="5">
        <f t="shared" si="4"/>
        <v>278.0728704</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73" t="s">
        <v>331</v>
      </c>
      <c r="B159" s="73"/>
      <c r="C159" s="54" t="s">
        <v>97</v>
      </c>
      <c r="D159" s="54" t="s">
        <v>297</v>
      </c>
      <c r="E159" s="59">
        <f>(2.98*5.82+3.47*3.15)*(10.764)</f>
        <v>304.3424124</v>
      </c>
      <c r="F159" s="5">
        <v>0</v>
      </c>
      <c r="G159" s="5">
        <v>0</v>
      </c>
      <c r="H159" s="5">
        <f t="shared" si="4"/>
        <v>304.3424124</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73" t="s">
        <v>332</v>
      </c>
      <c r="B160" s="73"/>
      <c r="C160" s="54" t="s">
        <v>97</v>
      </c>
      <c r="D160" s="54" t="s">
        <v>297</v>
      </c>
      <c r="E160" s="59">
        <f>(3.15*5.69+2.66*3.28)*(10.764)</f>
        <v>286.84230119999995</v>
      </c>
      <c r="F160" s="5">
        <v>0</v>
      </c>
      <c r="G160" s="5">
        <v>0</v>
      </c>
      <c r="H160" s="5">
        <f t="shared" si="4"/>
        <v>286.84230119999995</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73" t="s">
        <v>333</v>
      </c>
      <c r="B161" s="73"/>
      <c r="C161" s="54" t="s">
        <v>97</v>
      </c>
      <c r="D161" s="54" t="s">
        <v>297</v>
      </c>
      <c r="E161" s="59">
        <f>(2.83*6.34+3.66*3.28)*(10.764)</f>
        <v>322.34950799999996</v>
      </c>
      <c r="F161" s="5">
        <v>0</v>
      </c>
      <c r="G161" s="5">
        <v>0</v>
      </c>
      <c r="H161" s="5">
        <f t="shared" si="4"/>
        <v>322.34950799999996</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73" t="s">
        <v>334</v>
      </c>
      <c r="B162" s="73"/>
      <c r="C162" s="54" t="s">
        <v>97</v>
      </c>
      <c r="D162" s="54" t="s">
        <v>297</v>
      </c>
      <c r="E162" s="59">
        <f>(2.83*5.69+1.99*3.48)*(10.764)</f>
        <v>247.87231560000001</v>
      </c>
      <c r="F162" s="5">
        <v>0</v>
      </c>
      <c r="G162" s="5">
        <v>0</v>
      </c>
      <c r="H162" s="5">
        <f t="shared" ref="H162:H163" si="5">E162+F162+(IF(G162&lt;101,G162,IF(G162&lt;201,G162/2,IF(G162&lt;=301,G162/3,G162/4))))</f>
        <v>247.87231560000001</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73" t="s">
        <v>335</v>
      </c>
      <c r="B163" s="73"/>
      <c r="C163" s="54" t="s">
        <v>97</v>
      </c>
      <c r="D163" s="54" t="s">
        <v>297</v>
      </c>
      <c r="E163" s="59">
        <f>(2.98*9.17)*(10.764)</f>
        <v>294.14352239999999</v>
      </c>
      <c r="F163" s="5">
        <v>0</v>
      </c>
      <c r="G163" s="5">
        <v>0</v>
      </c>
      <c r="H163" s="5">
        <f t="shared" si="5"/>
        <v>294.14352239999999</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96" t="s">
        <v>336</v>
      </c>
      <c r="B164" s="97"/>
      <c r="C164" s="97"/>
      <c r="D164" s="97"/>
      <c r="E164" s="97"/>
      <c r="F164" s="97"/>
      <c r="G164" s="97"/>
      <c r="H164" s="98"/>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96" t="s">
        <v>358</v>
      </c>
      <c r="B165" s="97"/>
      <c r="C165" s="97"/>
      <c r="D165" s="97"/>
      <c r="E165" s="97"/>
      <c r="F165" s="97"/>
      <c r="G165" s="97"/>
      <c r="H165" s="9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73" t="s">
        <v>337</v>
      </c>
      <c r="B166" s="73"/>
      <c r="C166" s="54" t="s">
        <v>97</v>
      </c>
      <c r="D166" s="54" t="s">
        <v>355</v>
      </c>
      <c r="E166" s="59">
        <f>(29.72)*(10.764)</f>
        <v>319.90607999999997</v>
      </c>
      <c r="F166" s="59">
        <f>(1.05*3.05)*(10.764)</f>
        <v>34.471710000000002</v>
      </c>
      <c r="G166" s="5">
        <v>0</v>
      </c>
      <c r="H166" s="5">
        <f>E166+F166+(IF(G166&lt;101,G166,IF(G166&lt;201,G166/2,IF(G166&lt;=301,G166/3,G166/4))))</f>
        <v>354.37779</v>
      </c>
      <c r="I166" s="57">
        <f>(3.05*2.64+1.9*3.05+2.9*2.75+1.99*1.2+1.99*1.35+1.6*0.6+1.05*0.66)</f>
        <v>28.549499999999995</v>
      </c>
      <c r="J166" s="57">
        <f>1.05*3.05</f>
        <v>3.2025000000000001</v>
      </c>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73" t="s">
        <v>338</v>
      </c>
      <c r="B167" s="73"/>
      <c r="C167" s="54" t="s">
        <v>97</v>
      </c>
      <c r="D167" s="54" t="s">
        <v>356</v>
      </c>
      <c r="E167" s="59">
        <f>(43.77)*(10.764)</f>
        <v>471.14028000000002</v>
      </c>
      <c r="F167" s="59">
        <f>(0.3*3+0.65*4.3)*(10.764)</f>
        <v>39.772979999999997</v>
      </c>
      <c r="G167" s="5">
        <v>0</v>
      </c>
      <c r="H167" s="5">
        <f t="shared" ref="H167:H173" si="6">E167+F167+(IF(G167&lt;101,G167,IF(G167&lt;201,G167/2,IF(G167&lt;=301,G167/3,G167/4))))</f>
        <v>510.91326000000004</v>
      </c>
      <c r="I167" s="57">
        <f>(3.1*2.79+2*2.1+3*2.95+2.75*2.9+1.35*1.99+1.2*2.09+1.4*0.9+0.9*1.57+0.9*0.8+1.5*1.05+1.6*0.6)</f>
        <v>40.796500000000002</v>
      </c>
      <c r="J167" s="57">
        <f>0.3*3+0.65*4.3</f>
        <v>3.6949999999999998</v>
      </c>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73" t="s">
        <v>339</v>
      </c>
      <c r="B168" s="73"/>
      <c r="C168" s="54" t="s">
        <v>97</v>
      </c>
      <c r="D168" s="54" t="s">
        <v>355</v>
      </c>
      <c r="E168" s="59">
        <f>(29.19)*(10.764)</f>
        <v>314.20116000000002</v>
      </c>
      <c r="F168" s="59">
        <f>(1.05*3.05)*(10.764)</f>
        <v>34.471710000000002</v>
      </c>
      <c r="G168" s="5">
        <v>0</v>
      </c>
      <c r="H168" s="5">
        <f t="shared" si="6"/>
        <v>348.67286999999999</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73" t="s">
        <v>340</v>
      </c>
      <c r="B169" s="73"/>
      <c r="C169" s="54" t="s">
        <v>97</v>
      </c>
      <c r="D169" s="54" t="s">
        <v>355</v>
      </c>
      <c r="E169" s="59">
        <f>(29.19)*(10.764)</f>
        <v>314.20116000000002</v>
      </c>
      <c r="F169" s="59">
        <f>(1.05*3.05)*(10.764)</f>
        <v>34.471710000000002</v>
      </c>
      <c r="G169" s="5">
        <v>0</v>
      </c>
      <c r="H169" s="5">
        <f t="shared" si="6"/>
        <v>348.67286999999999</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73" t="s">
        <v>341</v>
      </c>
      <c r="B170" s="73"/>
      <c r="C170" s="54" t="s">
        <v>97</v>
      </c>
      <c r="D170" s="54" t="s">
        <v>355</v>
      </c>
      <c r="E170" s="59">
        <f>(29.57)*(10.764)</f>
        <v>318.29147999999998</v>
      </c>
      <c r="F170" s="59">
        <f>(1.05*3.05+0.65*4.3)*(10.764)</f>
        <v>64.557090000000002</v>
      </c>
      <c r="G170" s="5">
        <v>0</v>
      </c>
      <c r="H170" s="5">
        <f t="shared" si="6"/>
        <v>382.84857</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73" t="s">
        <v>342</v>
      </c>
      <c r="B171" s="73"/>
      <c r="C171" s="54" t="s">
        <v>97</v>
      </c>
      <c r="D171" s="54" t="s">
        <v>355</v>
      </c>
      <c r="E171" s="59">
        <f>(29.44)*(10.764)</f>
        <v>316.89215999999999</v>
      </c>
      <c r="F171" s="59">
        <f>(1.05*3.05+0.65*4.3)*(10.764)</f>
        <v>64.557090000000002</v>
      </c>
      <c r="G171" s="5">
        <v>0</v>
      </c>
      <c r="H171" s="5">
        <f t="shared" si="6"/>
        <v>381.44925000000001</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73" t="s">
        <v>343</v>
      </c>
      <c r="B172" s="73"/>
      <c r="C172" s="54" t="s">
        <v>97</v>
      </c>
      <c r="D172" s="54" t="s">
        <v>355</v>
      </c>
      <c r="E172" s="59">
        <f>(29.44)*(10.764)</f>
        <v>316.89215999999999</v>
      </c>
      <c r="F172" s="59">
        <f>(1.05*3.05+0.65*4.3)*(10.764)</f>
        <v>64.557090000000002</v>
      </c>
      <c r="G172" s="5">
        <v>0</v>
      </c>
      <c r="H172" s="5">
        <f t="shared" si="6"/>
        <v>381.44925000000001</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73" t="s">
        <v>344</v>
      </c>
      <c r="B173" s="73"/>
      <c r="C173" s="54" t="s">
        <v>97</v>
      </c>
      <c r="D173" s="54" t="s">
        <v>355</v>
      </c>
      <c r="E173" s="59">
        <f>(29.44)*(10.764)</f>
        <v>316.89215999999999</v>
      </c>
      <c r="F173" s="59">
        <f>(1.05*3.05+0.65*4.3)*(10.764)</f>
        <v>64.557090000000002</v>
      </c>
      <c r="G173" s="5">
        <v>0</v>
      </c>
      <c r="H173" s="5">
        <f t="shared" si="6"/>
        <v>381.44925000000001</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73" t="s">
        <v>345</v>
      </c>
      <c r="B174" s="73"/>
      <c r="C174" s="54" t="s">
        <v>97</v>
      </c>
      <c r="D174" s="54" t="s">
        <v>355</v>
      </c>
      <c r="E174" s="59">
        <f>(29.44)*(10.764)</f>
        <v>316.89215999999999</v>
      </c>
      <c r="F174" s="59">
        <f>(1.05*3.05+0.65*4.3)*(10.764)</f>
        <v>64.557090000000002</v>
      </c>
      <c r="G174" s="5">
        <v>0</v>
      </c>
      <c r="H174" s="5">
        <f t="shared" ref="H174" si="7">E174+F174+(IF(G174&lt;101,G174,IF(G174&lt;201,G174/2,IF(G174&lt;=301,G174/3,G174/4))))</f>
        <v>381.44925000000001</v>
      </c>
      <c r="I174" s="1"/>
      <c r="J174" s="1"/>
      <c r="K174" s="1">
        <f>20*19-3*3-3</f>
        <v>368</v>
      </c>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73" t="s">
        <v>346</v>
      </c>
      <c r="B175" s="73"/>
      <c r="C175" s="54" t="s">
        <v>97</v>
      </c>
      <c r="D175" s="145" t="s">
        <v>412</v>
      </c>
      <c r="E175" s="146"/>
      <c r="F175" s="146"/>
      <c r="G175" s="146"/>
      <c r="H175" s="147"/>
      <c r="I175" s="1"/>
      <c r="J175" s="1"/>
      <c r="K175" s="1">
        <f>K174+K174</f>
        <v>736</v>
      </c>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73" t="s">
        <v>347</v>
      </c>
      <c r="B176" s="73"/>
      <c r="C176" s="54" t="s">
        <v>97</v>
      </c>
      <c r="D176" s="148"/>
      <c r="E176" s="149"/>
      <c r="F176" s="149"/>
      <c r="G176" s="149"/>
      <c r="H176" s="15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73" t="s">
        <v>348</v>
      </c>
      <c r="B177" s="73"/>
      <c r="C177" s="54" t="s">
        <v>97</v>
      </c>
      <c r="D177" s="151"/>
      <c r="E177" s="152"/>
      <c r="F177" s="152"/>
      <c r="G177" s="152"/>
      <c r="H177" s="15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73" t="s">
        <v>349</v>
      </c>
      <c r="B178" s="73"/>
      <c r="C178" s="54" t="s">
        <v>97</v>
      </c>
      <c r="D178" s="54" t="s">
        <v>356</v>
      </c>
      <c r="E178" s="59">
        <f>(42.94)*(10.764)</f>
        <v>462.20615999999995</v>
      </c>
      <c r="F178" s="59">
        <f>(0.6*2.95+0.65*2.95)*(10.764)</f>
        <v>39.692249999999994</v>
      </c>
      <c r="G178" s="5">
        <v>0</v>
      </c>
      <c r="H178" s="5">
        <f t="shared" ref="H178:H180" si="8">E178+F178+(IF(G178&lt;101,G178,IF(G178&lt;201,G178/2,IF(G178&lt;=301,G178/3,G178/4))))</f>
        <v>501.89840999999996</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73" t="s">
        <v>350</v>
      </c>
      <c r="B179" s="73"/>
      <c r="C179" s="54" t="s">
        <v>97</v>
      </c>
      <c r="D179" s="54" t="s">
        <v>355</v>
      </c>
      <c r="E179" s="59">
        <f>(29.44)*(10.764)</f>
        <v>316.89215999999999</v>
      </c>
      <c r="F179" s="59">
        <f>(1.05*3.05+0.65*4.3)*(10.764)</f>
        <v>64.557090000000002</v>
      </c>
      <c r="G179" s="5">
        <v>0</v>
      </c>
      <c r="H179" s="5">
        <f t="shared" si="8"/>
        <v>381.44925000000001</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73" t="s">
        <v>351</v>
      </c>
      <c r="B180" s="73"/>
      <c r="C180" s="54" t="s">
        <v>97</v>
      </c>
      <c r="D180" s="54" t="s">
        <v>355</v>
      </c>
      <c r="E180" s="59">
        <f>(29.44)*(10.764)</f>
        <v>316.89215999999999</v>
      </c>
      <c r="F180" s="59">
        <f>(1.05*3.05+0.65*4.3)*(10.764)</f>
        <v>64.557090000000002</v>
      </c>
      <c r="G180" s="5">
        <v>0</v>
      </c>
      <c r="H180" s="5">
        <f t="shared" si="8"/>
        <v>381.44925000000001</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73" t="s">
        <v>352</v>
      </c>
      <c r="B181" s="73"/>
      <c r="C181" s="54" t="s">
        <v>97</v>
      </c>
      <c r="D181" s="54" t="s">
        <v>355</v>
      </c>
      <c r="E181" s="59">
        <f>(29.44)*(10.764)</f>
        <v>316.89215999999999</v>
      </c>
      <c r="F181" s="59">
        <f>(1.05*3.05+0.65*4.3)*(10.764)</f>
        <v>64.557090000000002</v>
      </c>
      <c r="G181" s="5">
        <v>0</v>
      </c>
      <c r="H181" s="5">
        <f t="shared" ref="H181:H183" si="9">E181+F181+(IF(G181&lt;101,G181,IF(G181&lt;201,G181/2,IF(G181&lt;=301,G181/3,G181/4))))</f>
        <v>381.44925000000001</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73" t="s">
        <v>353</v>
      </c>
      <c r="B182" s="73"/>
      <c r="C182" s="54" t="s">
        <v>97</v>
      </c>
      <c r="D182" s="54" t="s">
        <v>355</v>
      </c>
      <c r="E182" s="59">
        <f>(29.44)*(10.764)</f>
        <v>316.89215999999999</v>
      </c>
      <c r="F182" s="59">
        <f>(1.05*3.05+0.65*4.3)*(10.764)</f>
        <v>64.557090000000002</v>
      </c>
      <c r="G182" s="5">
        <v>0</v>
      </c>
      <c r="H182" s="5">
        <f t="shared" si="9"/>
        <v>381.44925000000001</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73" t="s">
        <v>354</v>
      </c>
      <c r="B183" s="73"/>
      <c r="C183" s="54" t="s">
        <v>97</v>
      </c>
      <c r="D183" s="54" t="s">
        <v>355</v>
      </c>
      <c r="E183" s="59">
        <f>(29.44)*(10.764)</f>
        <v>316.89215999999999</v>
      </c>
      <c r="F183" s="59">
        <f>(1.05*3.05+0.65*4.3)*(10.764)</f>
        <v>64.557090000000002</v>
      </c>
      <c r="G183" s="5">
        <v>0</v>
      </c>
      <c r="H183" s="5">
        <f t="shared" si="9"/>
        <v>381.44925000000001</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73" t="s">
        <v>357</v>
      </c>
      <c r="B184" s="73"/>
      <c r="C184" s="54" t="s">
        <v>97</v>
      </c>
      <c r="D184" s="54" t="s">
        <v>355</v>
      </c>
      <c r="E184" s="59">
        <f>(29.72)*(10.764)</f>
        <v>319.90607999999997</v>
      </c>
      <c r="F184" s="59">
        <f>(1.05*3.05)*(10.764)</f>
        <v>34.471710000000002</v>
      </c>
      <c r="G184" s="5">
        <v>0</v>
      </c>
      <c r="H184" s="5">
        <f t="shared" ref="H184" si="10">E184+F184+(IF(G184&lt;101,G184,IF(G184&lt;201,G184/2,IF(G184&lt;=301,G184/3,G184/4))))</f>
        <v>354.37779</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90" t="s">
        <v>413</v>
      </c>
      <c r="B185" s="91"/>
      <c r="C185" s="91"/>
      <c r="D185" s="91"/>
      <c r="E185" s="91"/>
      <c r="F185" s="91"/>
      <c r="G185" s="91"/>
      <c r="H185" s="92"/>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73" t="s">
        <v>337</v>
      </c>
      <c r="B186" s="73"/>
      <c r="C186" s="54" t="s">
        <v>97</v>
      </c>
      <c r="D186" s="54" t="s">
        <v>355</v>
      </c>
      <c r="E186" s="59">
        <f>(29.98)*(10.764)</f>
        <v>322.70472000000001</v>
      </c>
      <c r="F186" s="59">
        <f>(1.05*3.05+0.65*4.3)*(10.764)</f>
        <v>64.557090000000002</v>
      </c>
      <c r="G186" s="5">
        <v>0</v>
      </c>
      <c r="H186" s="5">
        <f>E186+F186+(IF(G186&lt;101,G186,IF(G186&lt;201,G186/2,IF(G186&lt;=301,G186/3,G186/4))))</f>
        <v>387.26181000000003</v>
      </c>
      <c r="I186" s="57"/>
      <c r="J186" s="1"/>
      <c r="K186" s="1"/>
      <c r="L186" s="1"/>
      <c r="M186" s="1"/>
      <c r="N186" s="1"/>
      <c r="O186" s="1"/>
      <c r="P186" s="1"/>
      <c r="Q186" s="1"/>
      <c r="R186" s="1"/>
      <c r="S186" s="1"/>
      <c r="T186" s="22" t="str">
        <f t="shared" ref="T186:T193" ca="1" si="11">U186&amp;""&amp;",..,"&amp;""&amp;V186</f>
        <v>4701,..,2301</v>
      </c>
      <c r="U186" s="22">
        <f ca="1">(SUMPRODUCT(MID(0&amp;(LEFT(A185,SUM(LEN(A185)-LEN(SUBSTITUTE(A185,{"0","1","2","3"},""))))), LARGE(INDEX(ISNUMBER(--MID((LEFT(A185,SUM(LEN(A185)-LEN(SUBSTITUTE(A185,{"0","1","2","3"},""))))), ROW(INDIRECT("1:"&amp;LEN((LEFT(A185,SUM(LEN(A185)-LEN(SUBSTITUTE(A185,{"0","1","2","3"},"")))))))), 1)) * ROW(INDIRECT("1:"&amp;LEN((LEFT(A185,SUM(LEN(A185)-LEN(SUBSTITUTE(A185,{"0","1","2","3"},"")))))))), 0), ROW(INDIRECT("1:"&amp;LEN((LEFT(A185,SUM(LEN(A185)-LEN(SUBSTITUTE(A185,{"0","1","2","3"},"")))))))))+1, 1) * 10^ROW(INDIRECT("1:"&amp;LEN((LEFT(A185,SUM(LEN(A185)-LEN(SUBSTITUTE(A185,{"0","1","2","3"},""))))))))/10))*100+1</f>
        <v>4701</v>
      </c>
      <c r="V186" s="22">
        <f ca="1">(SUMPRODUCT(MID(0&amp;(--TRIM(RIGHT(SUBSTITUTE(LEFT(A185,_xlfn.AGGREGATE(16,6,FIND({0,1,2,3,4,5,6,7,8,9},A185,ROW(INDIRECT("1:"&amp;LEN(A185)))),1)),"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",LEN(A185))),LEN(A185)))))))/10))*100+1</f>
        <v>2301</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73" t="s">
        <v>338</v>
      </c>
      <c r="B187" s="73"/>
      <c r="C187" s="54" t="s">
        <v>97</v>
      </c>
      <c r="D187" s="54" t="s">
        <v>356</v>
      </c>
      <c r="E187" s="59">
        <f>(44.13)*(10.764)</f>
        <v>475.01531999999997</v>
      </c>
      <c r="F187" s="59">
        <f>(0.5*3+0.65*3+1.1*0.65)*(10.764)</f>
        <v>44.832059999999998</v>
      </c>
      <c r="G187" s="5">
        <v>0</v>
      </c>
      <c r="H187" s="5">
        <f t="shared" ref="H187:H193" si="12">E187+F187+(IF(G187&lt;101,G187,IF(G187&lt;201,G187/2,IF(G187&lt;=301,G187/3,G187/4))))</f>
        <v>519.84737999999993</v>
      </c>
      <c r="I187" s="57">
        <f>95000000/H187</f>
        <v>182745.94362676216</v>
      </c>
      <c r="J187" s="1"/>
      <c r="K187" s="1"/>
      <c r="L187" s="1"/>
      <c r="M187" s="1"/>
      <c r="N187" s="1"/>
      <c r="O187" s="1"/>
      <c r="P187" s="1"/>
      <c r="Q187" s="1"/>
      <c r="R187" s="1"/>
      <c r="S187" s="1"/>
      <c r="T187" s="22" t="str">
        <f t="shared" ca="1" si="11"/>
        <v>4702,..,2302</v>
      </c>
      <c r="U187" s="22">
        <f ca="1">U186+1</f>
        <v>4702</v>
      </c>
      <c r="V187" s="22">
        <f ca="1">V186+1</f>
        <v>2302</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73" t="s">
        <v>339</v>
      </c>
      <c r="B188" s="73"/>
      <c r="C188" s="54" t="s">
        <v>97</v>
      </c>
      <c r="D188" s="54" t="s">
        <v>355</v>
      </c>
      <c r="E188" s="59">
        <f>(29.44)*(10.764)</f>
        <v>316.89215999999999</v>
      </c>
      <c r="F188" s="59">
        <f t="shared" ref="F188:F197" si="13">(1.05*3.05+0.65*4.3)*(10.764)</f>
        <v>64.557090000000002</v>
      </c>
      <c r="G188" s="5">
        <v>0</v>
      </c>
      <c r="H188" s="5">
        <f t="shared" si="12"/>
        <v>381.44925000000001</v>
      </c>
      <c r="I188" s="1"/>
      <c r="J188" s="1"/>
      <c r="K188" s="1"/>
      <c r="L188" s="1"/>
      <c r="M188" s="1"/>
      <c r="N188" s="1"/>
      <c r="O188" s="1"/>
      <c r="P188" s="1"/>
      <c r="Q188" s="1"/>
      <c r="R188" s="1"/>
      <c r="S188" s="1"/>
      <c r="T188" s="22" t="str">
        <f t="shared" ca="1" si="11"/>
        <v>4703,..,2303</v>
      </c>
      <c r="U188" s="22">
        <f t="shared" ref="U188:V193" ca="1" si="14">U187+1</f>
        <v>4703</v>
      </c>
      <c r="V188" s="22">
        <f t="shared" ca="1" si="14"/>
        <v>2303</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73" t="s">
        <v>340</v>
      </c>
      <c r="B189" s="73"/>
      <c r="C189" s="54" t="s">
        <v>97</v>
      </c>
      <c r="D189" s="54" t="s">
        <v>355</v>
      </c>
      <c r="E189" s="59">
        <f>(29.44)*(10.764)</f>
        <v>316.89215999999999</v>
      </c>
      <c r="F189" s="59">
        <f t="shared" si="13"/>
        <v>64.557090000000002</v>
      </c>
      <c r="G189" s="5">
        <v>0</v>
      </c>
      <c r="H189" s="5">
        <f t="shared" si="12"/>
        <v>381.44925000000001</v>
      </c>
      <c r="I189" s="1"/>
      <c r="J189" s="1"/>
      <c r="K189" s="1"/>
      <c r="L189" s="1"/>
      <c r="M189" s="1"/>
      <c r="N189" s="1"/>
      <c r="O189" s="1"/>
      <c r="P189" s="1"/>
      <c r="Q189" s="1"/>
      <c r="R189" s="1"/>
      <c r="S189" s="1"/>
      <c r="T189" s="22" t="str">
        <f t="shared" ca="1" si="11"/>
        <v>4704,..,2304</v>
      </c>
      <c r="U189" s="22">
        <f t="shared" ca="1" si="14"/>
        <v>4704</v>
      </c>
      <c r="V189" s="22">
        <f t="shared" ca="1" si="14"/>
        <v>2304</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73" t="s">
        <v>341</v>
      </c>
      <c r="B190" s="73"/>
      <c r="C190" s="54" t="s">
        <v>97</v>
      </c>
      <c r="D190" s="54" t="s">
        <v>355</v>
      </c>
      <c r="E190" s="59">
        <f>(29.67)*(10.764)</f>
        <v>319.36788000000001</v>
      </c>
      <c r="F190" s="59">
        <f t="shared" si="13"/>
        <v>64.557090000000002</v>
      </c>
      <c r="G190" s="5">
        <v>0</v>
      </c>
      <c r="H190" s="5">
        <f t="shared" si="12"/>
        <v>383.92497000000003</v>
      </c>
      <c r="I190" s="1"/>
      <c r="J190" s="1"/>
      <c r="K190" s="1"/>
      <c r="L190" s="1"/>
      <c r="M190" s="1"/>
      <c r="N190" s="1"/>
      <c r="O190" s="1"/>
      <c r="P190" s="1"/>
      <c r="Q190" s="1"/>
      <c r="R190" s="1"/>
      <c r="S190" s="1"/>
      <c r="T190" s="22" t="str">
        <f t="shared" ca="1" si="11"/>
        <v>4705,..,2305</v>
      </c>
      <c r="U190" s="22">
        <f t="shared" ca="1" si="14"/>
        <v>4705</v>
      </c>
      <c r="V190" s="22">
        <f t="shared" ca="1" si="14"/>
        <v>2305</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73" t="s">
        <v>342</v>
      </c>
      <c r="B191" s="73"/>
      <c r="C191" s="54" t="s">
        <v>97</v>
      </c>
      <c r="D191" s="54" t="s">
        <v>355</v>
      </c>
      <c r="E191" s="59">
        <f t="shared" ref="E191:E196" si="15">(29.44)*(10.764)</f>
        <v>316.89215999999999</v>
      </c>
      <c r="F191" s="59">
        <f t="shared" si="13"/>
        <v>64.557090000000002</v>
      </c>
      <c r="G191" s="5">
        <v>0</v>
      </c>
      <c r="H191" s="5">
        <f t="shared" si="12"/>
        <v>381.44925000000001</v>
      </c>
      <c r="I191" s="1"/>
      <c r="J191" s="1"/>
      <c r="K191" s="1"/>
      <c r="L191" s="1"/>
      <c r="M191" s="1"/>
      <c r="N191" s="1"/>
      <c r="O191" s="1"/>
      <c r="P191" s="1"/>
      <c r="Q191" s="1"/>
      <c r="R191" s="1"/>
      <c r="S191" s="1"/>
      <c r="T191" s="22" t="str">
        <f t="shared" ca="1" si="11"/>
        <v>4706,..,2306</v>
      </c>
      <c r="U191" s="22">
        <f t="shared" ca="1" si="14"/>
        <v>4706</v>
      </c>
      <c r="V191" s="22">
        <f t="shared" ca="1" si="14"/>
        <v>2306</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73" t="s">
        <v>343</v>
      </c>
      <c r="B192" s="73"/>
      <c r="C192" s="54" t="s">
        <v>97</v>
      </c>
      <c r="D192" s="54" t="s">
        <v>355</v>
      </c>
      <c r="E192" s="59">
        <f t="shared" si="15"/>
        <v>316.89215999999999</v>
      </c>
      <c r="F192" s="59">
        <f t="shared" si="13"/>
        <v>64.557090000000002</v>
      </c>
      <c r="G192" s="5">
        <v>0</v>
      </c>
      <c r="H192" s="5">
        <f t="shared" si="12"/>
        <v>381.44925000000001</v>
      </c>
      <c r="I192" s="1"/>
      <c r="J192" s="1"/>
      <c r="K192" s="1"/>
      <c r="L192" s="1"/>
      <c r="M192" s="1"/>
      <c r="N192" s="1"/>
      <c r="O192" s="1"/>
      <c r="P192" s="1"/>
      <c r="Q192" s="1"/>
      <c r="R192" s="1"/>
      <c r="S192" s="1"/>
      <c r="T192" s="22" t="str">
        <f t="shared" ca="1" si="11"/>
        <v>4707,..,2307</v>
      </c>
      <c r="U192" s="22">
        <f t="shared" ca="1" si="14"/>
        <v>4707</v>
      </c>
      <c r="V192" s="22">
        <f t="shared" ca="1" si="14"/>
        <v>2307</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73" t="s">
        <v>344</v>
      </c>
      <c r="B193" s="73"/>
      <c r="C193" s="54" t="s">
        <v>97</v>
      </c>
      <c r="D193" s="54" t="s">
        <v>355</v>
      </c>
      <c r="E193" s="59">
        <f t="shared" si="15"/>
        <v>316.89215999999999</v>
      </c>
      <c r="F193" s="59">
        <f t="shared" si="13"/>
        <v>64.557090000000002</v>
      </c>
      <c r="G193" s="5">
        <v>0</v>
      </c>
      <c r="H193" s="5">
        <f t="shared" si="12"/>
        <v>381.44925000000001</v>
      </c>
      <c r="I193" s="1"/>
      <c r="J193" s="1"/>
      <c r="K193" s="1"/>
      <c r="L193" s="1"/>
      <c r="M193" s="1"/>
      <c r="N193" s="1"/>
      <c r="O193" s="1"/>
      <c r="P193" s="1"/>
      <c r="Q193" s="1"/>
      <c r="R193" s="1"/>
      <c r="S193" s="1"/>
      <c r="T193" s="22" t="str">
        <f t="shared" ca="1" si="11"/>
        <v>4708,..,2308</v>
      </c>
      <c r="U193" s="22">
        <f t="shared" ca="1" si="14"/>
        <v>4708</v>
      </c>
      <c r="V193" s="22">
        <f t="shared" ca="1" si="14"/>
        <v>2308</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73" t="s">
        <v>345</v>
      </c>
      <c r="B194" s="73"/>
      <c r="C194" s="54" t="s">
        <v>97</v>
      </c>
      <c r="D194" s="54" t="s">
        <v>355</v>
      </c>
      <c r="E194" s="59">
        <f t="shared" si="15"/>
        <v>316.89215999999999</v>
      </c>
      <c r="F194" s="59">
        <f t="shared" si="13"/>
        <v>64.557090000000002</v>
      </c>
      <c r="G194" s="5">
        <v>0</v>
      </c>
      <c r="H194" s="5">
        <f t="shared" ref="H194:H200" si="16">E194+F194+(IF(G194&lt;101,G194,IF(G194&lt;201,G194/2,IF(G194&lt;=301,G194/3,G194/4))))</f>
        <v>381.44925000000001</v>
      </c>
      <c r="I194" s="1"/>
      <c r="J194" s="1"/>
      <c r="K194" s="1"/>
      <c r="L194" s="1"/>
      <c r="M194" s="1"/>
      <c r="N194" s="1"/>
      <c r="O194" s="1"/>
      <c r="P194" s="1"/>
      <c r="Q194" s="1"/>
      <c r="R194" s="1"/>
      <c r="S194" s="1"/>
      <c r="T194" s="22" t="str">
        <f t="shared" ref="T194:T200" ca="1" si="17">U194&amp;""&amp;",..,"&amp;""&amp;V194</f>
        <v>4709,..,2309</v>
      </c>
      <c r="U194" s="22">
        <f ca="1">U193+1</f>
        <v>4709</v>
      </c>
      <c r="V194" s="22">
        <f ca="1">V193+1</f>
        <v>2309</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73" t="s">
        <v>346</v>
      </c>
      <c r="B195" s="73"/>
      <c r="C195" s="54" t="s">
        <v>97</v>
      </c>
      <c r="D195" s="54" t="s">
        <v>355</v>
      </c>
      <c r="E195" s="59">
        <f t="shared" si="15"/>
        <v>316.89215999999999</v>
      </c>
      <c r="F195" s="59">
        <f t="shared" si="13"/>
        <v>64.557090000000002</v>
      </c>
      <c r="G195" s="5">
        <v>0</v>
      </c>
      <c r="H195" s="5">
        <f t="shared" si="16"/>
        <v>381.44925000000001</v>
      </c>
      <c r="I195" s="1"/>
      <c r="J195" s="1"/>
      <c r="K195" s="1"/>
      <c r="L195" s="1"/>
      <c r="M195" s="1"/>
      <c r="N195" s="1"/>
      <c r="O195" s="1"/>
      <c r="P195" s="1"/>
      <c r="Q195" s="1"/>
      <c r="R195" s="1"/>
      <c r="S195" s="1"/>
      <c r="T195" s="22" t="str">
        <f t="shared" ca="1" si="17"/>
        <v>4710,..,2310</v>
      </c>
      <c r="U195" s="22">
        <f t="shared" ref="U195:V195" ca="1" si="18">U194+1</f>
        <v>4710</v>
      </c>
      <c r="V195" s="22">
        <f t="shared" ca="1" si="18"/>
        <v>2310</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73" t="s">
        <v>347</v>
      </c>
      <c r="B196" s="73"/>
      <c r="C196" s="54" t="s">
        <v>97</v>
      </c>
      <c r="D196" s="54" t="s">
        <v>355</v>
      </c>
      <c r="E196" s="59">
        <f t="shared" si="15"/>
        <v>316.89215999999999</v>
      </c>
      <c r="F196" s="59">
        <f t="shared" si="13"/>
        <v>64.557090000000002</v>
      </c>
      <c r="G196" s="5">
        <v>0</v>
      </c>
      <c r="H196" s="5">
        <f t="shared" si="16"/>
        <v>381.44925000000001</v>
      </c>
      <c r="I196" s="1"/>
      <c r="J196" s="1"/>
      <c r="K196" s="1"/>
      <c r="L196" s="1"/>
      <c r="M196" s="1"/>
      <c r="N196" s="1"/>
      <c r="O196" s="1"/>
      <c r="P196" s="1"/>
      <c r="Q196" s="1"/>
      <c r="R196" s="1"/>
      <c r="S196" s="1"/>
      <c r="T196" s="22" t="str">
        <f t="shared" ca="1" si="17"/>
        <v>4711,..,2311</v>
      </c>
      <c r="U196" s="22">
        <f t="shared" ref="U196:V196" ca="1" si="19">U195+1</f>
        <v>4711</v>
      </c>
      <c r="V196" s="22">
        <f t="shared" ca="1" si="19"/>
        <v>2311</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73" t="s">
        <v>348</v>
      </c>
      <c r="B197" s="73"/>
      <c r="C197" s="54" t="s">
        <v>97</v>
      </c>
      <c r="D197" s="54" t="s">
        <v>355</v>
      </c>
      <c r="E197" s="59">
        <f>(29.98)*(10.764)</f>
        <v>322.70472000000001</v>
      </c>
      <c r="F197" s="59">
        <f t="shared" si="13"/>
        <v>64.557090000000002</v>
      </c>
      <c r="G197" s="5">
        <v>0</v>
      </c>
      <c r="H197" s="5">
        <f t="shared" si="16"/>
        <v>387.26181000000003</v>
      </c>
      <c r="I197" s="1"/>
      <c r="J197" s="1"/>
      <c r="K197" s="1"/>
      <c r="L197" s="1"/>
      <c r="M197" s="1"/>
      <c r="N197" s="1"/>
      <c r="O197" s="1"/>
      <c r="P197" s="1"/>
      <c r="Q197" s="1"/>
      <c r="R197" s="1"/>
      <c r="S197" s="1"/>
      <c r="T197" s="22" t="str">
        <f t="shared" ca="1" si="17"/>
        <v>4712,..,2312</v>
      </c>
      <c r="U197" s="22">
        <f t="shared" ref="U197:V197" ca="1" si="20">U196+1</f>
        <v>4712</v>
      </c>
      <c r="V197" s="22">
        <f t="shared" ca="1" si="20"/>
        <v>2312</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73" t="s">
        <v>349</v>
      </c>
      <c r="B198" s="73"/>
      <c r="C198" s="54" t="s">
        <v>97</v>
      </c>
      <c r="D198" s="54" t="s">
        <v>356</v>
      </c>
      <c r="E198" s="59">
        <f>(43.6)*(10.764)</f>
        <v>469.31039999999996</v>
      </c>
      <c r="F198" s="59">
        <f>(0.65*4.3+0.6*2.95+0.65*2.95+1.1*0.65)*(10.764)</f>
        <v>77.473889999999997</v>
      </c>
      <c r="G198" s="5">
        <v>0</v>
      </c>
      <c r="H198" s="5">
        <f t="shared" si="16"/>
        <v>546.78428999999994</v>
      </c>
      <c r="I198" s="57">
        <f>(3.1*2.95+2*2.1+2.95*2.7+2.75*2.9+1.35*1.99+1.2*2.09+1.4*0.9+0.9*0.45+1.5*1.05+1*1.85+1.6*0.6)</f>
        <v>40.529500000000006</v>
      </c>
      <c r="J198" s="1"/>
      <c r="K198" s="1"/>
      <c r="L198" s="1"/>
      <c r="M198" s="1"/>
      <c r="N198" s="1"/>
      <c r="O198" s="1"/>
      <c r="P198" s="1"/>
      <c r="Q198" s="1"/>
      <c r="R198" s="1"/>
      <c r="S198" s="1"/>
      <c r="T198" s="22" t="str">
        <f t="shared" ca="1" si="17"/>
        <v>4713,..,2313</v>
      </c>
      <c r="U198" s="22">
        <f t="shared" ref="U198:V198" ca="1" si="21">U197+1</f>
        <v>4713</v>
      </c>
      <c r="V198" s="22">
        <f t="shared" ca="1" si="21"/>
        <v>2313</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73" t="s">
        <v>350</v>
      </c>
      <c r="B199" s="73"/>
      <c r="C199" s="54" t="s">
        <v>97</v>
      </c>
      <c r="D199" s="54" t="s">
        <v>355</v>
      </c>
      <c r="E199" s="59">
        <f>(29.44)*(10.764)</f>
        <v>316.89215999999999</v>
      </c>
      <c r="F199" s="59">
        <f t="shared" ref="F199:F204" si="22">(1.05*3.05+0.65*4.3)*(10.764)</f>
        <v>64.557090000000002</v>
      </c>
      <c r="G199" s="5">
        <v>0</v>
      </c>
      <c r="H199" s="5">
        <f t="shared" si="16"/>
        <v>381.44925000000001</v>
      </c>
      <c r="I199" s="1"/>
      <c r="J199" s="1"/>
      <c r="K199" s="1"/>
      <c r="L199" s="1"/>
      <c r="M199" s="1"/>
      <c r="N199" s="1"/>
      <c r="O199" s="1"/>
      <c r="P199" s="1"/>
      <c r="Q199" s="1"/>
      <c r="R199" s="1"/>
      <c r="S199" s="1"/>
      <c r="T199" s="22" t="str">
        <f t="shared" ca="1" si="17"/>
        <v>4714,..,2314</v>
      </c>
      <c r="U199" s="22">
        <f t="shared" ref="U199:V199" ca="1" si="23">U198+1</f>
        <v>4714</v>
      </c>
      <c r="V199" s="22">
        <f t="shared" ca="1" si="23"/>
        <v>2314</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73" t="s">
        <v>351</v>
      </c>
      <c r="B200" s="73"/>
      <c r="C200" s="54" t="s">
        <v>97</v>
      </c>
      <c r="D200" s="54" t="s">
        <v>355</v>
      </c>
      <c r="E200" s="59">
        <f>(29.44)*(10.764)</f>
        <v>316.89215999999999</v>
      </c>
      <c r="F200" s="59">
        <f t="shared" si="22"/>
        <v>64.557090000000002</v>
      </c>
      <c r="G200" s="5">
        <v>0</v>
      </c>
      <c r="H200" s="5">
        <f t="shared" si="16"/>
        <v>381.44925000000001</v>
      </c>
      <c r="I200" s="1"/>
      <c r="J200" s="1"/>
      <c r="K200" s="1"/>
      <c r="L200" s="1"/>
      <c r="M200" s="1"/>
      <c r="N200" s="1"/>
      <c r="O200" s="1"/>
      <c r="P200" s="1"/>
      <c r="Q200" s="1"/>
      <c r="R200" s="1"/>
      <c r="S200" s="1"/>
      <c r="T200" s="22" t="str">
        <f t="shared" ca="1" si="17"/>
        <v>4715,..,2315</v>
      </c>
      <c r="U200" s="22">
        <f t="shared" ref="U200:V200" ca="1" si="24">U199+1</f>
        <v>4715</v>
      </c>
      <c r="V200" s="22">
        <f t="shared" ca="1" si="24"/>
        <v>2315</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73" t="s">
        <v>352</v>
      </c>
      <c r="B201" s="73"/>
      <c r="C201" s="54" t="s">
        <v>97</v>
      </c>
      <c r="D201" s="54" t="s">
        <v>355</v>
      </c>
      <c r="E201" s="59">
        <f>(29.44)*(10.764)</f>
        <v>316.89215999999999</v>
      </c>
      <c r="F201" s="59">
        <f t="shared" si="22"/>
        <v>64.557090000000002</v>
      </c>
      <c r="G201" s="5">
        <v>0</v>
      </c>
      <c r="H201" s="5">
        <f t="shared" ref="H201:H204" si="25">E201+F201+(IF(G201&lt;101,G201,IF(G201&lt;201,G201/2,IF(G201&lt;=301,G201/3,G201/4))))</f>
        <v>381.44925000000001</v>
      </c>
      <c r="I201" s="1"/>
      <c r="J201" s="1"/>
      <c r="K201" s="1"/>
      <c r="L201" s="1"/>
      <c r="M201" s="1"/>
      <c r="N201" s="1"/>
      <c r="O201" s="1"/>
      <c r="P201" s="1"/>
      <c r="Q201" s="1"/>
      <c r="R201" s="1"/>
      <c r="S201" s="1"/>
      <c r="T201" s="22" t="str">
        <f t="shared" ref="T201:T204" ca="1" si="26">U201&amp;""&amp;",..,"&amp;""&amp;V201</f>
        <v>4716,..,2316</v>
      </c>
      <c r="U201" s="22">
        <f t="shared" ref="U201:V201" ca="1" si="27">U200+1</f>
        <v>4716</v>
      </c>
      <c r="V201" s="22">
        <f t="shared" ca="1" si="27"/>
        <v>2316</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73" t="s">
        <v>353</v>
      </c>
      <c r="B202" s="73"/>
      <c r="C202" s="54" t="s">
        <v>97</v>
      </c>
      <c r="D202" s="54" t="s">
        <v>355</v>
      </c>
      <c r="E202" s="59">
        <f>(29.44)*(10.764)</f>
        <v>316.89215999999999</v>
      </c>
      <c r="F202" s="59">
        <f t="shared" si="22"/>
        <v>64.557090000000002</v>
      </c>
      <c r="G202" s="5">
        <v>0</v>
      </c>
      <c r="H202" s="5">
        <f t="shared" si="25"/>
        <v>381.44925000000001</v>
      </c>
      <c r="I202" s="1"/>
      <c r="J202" s="1"/>
      <c r="K202" s="1"/>
      <c r="L202" s="1"/>
      <c r="M202" s="1"/>
      <c r="N202" s="1"/>
      <c r="O202" s="1"/>
      <c r="P202" s="1"/>
      <c r="Q202" s="1"/>
      <c r="R202" s="1"/>
      <c r="S202" s="1"/>
      <c r="T202" s="22" t="str">
        <f t="shared" ca="1" si="26"/>
        <v>4717,..,2317</v>
      </c>
      <c r="U202" s="22">
        <f t="shared" ref="U202:V202" ca="1" si="28">U201+1</f>
        <v>4717</v>
      </c>
      <c r="V202" s="22">
        <f t="shared" ca="1" si="28"/>
        <v>2317</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73" t="s">
        <v>354</v>
      </c>
      <c r="B203" s="73"/>
      <c r="C203" s="54" t="s">
        <v>97</v>
      </c>
      <c r="D203" s="54" t="s">
        <v>355</v>
      </c>
      <c r="E203" s="59">
        <f>(29.44)*(10.764)</f>
        <v>316.89215999999999</v>
      </c>
      <c r="F203" s="59">
        <f t="shared" si="22"/>
        <v>64.557090000000002</v>
      </c>
      <c r="G203" s="5">
        <v>0</v>
      </c>
      <c r="H203" s="5">
        <f t="shared" si="25"/>
        <v>381.44925000000001</v>
      </c>
      <c r="I203" s="1"/>
      <c r="J203" s="1"/>
      <c r="K203" s="1"/>
      <c r="L203" s="1"/>
      <c r="M203" s="1"/>
      <c r="N203" s="1"/>
      <c r="O203" s="1"/>
      <c r="P203" s="1"/>
      <c r="Q203" s="1"/>
      <c r="R203" s="1"/>
      <c r="S203" s="1"/>
      <c r="T203" s="22" t="str">
        <f t="shared" ca="1" si="26"/>
        <v>4718,..,2318</v>
      </c>
      <c r="U203" s="22">
        <f t="shared" ref="U203:V203" ca="1" si="29">U202+1</f>
        <v>4718</v>
      </c>
      <c r="V203" s="22">
        <f t="shared" ca="1" si="29"/>
        <v>2318</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73" t="s">
        <v>357</v>
      </c>
      <c r="B204" s="73"/>
      <c r="C204" s="54" t="s">
        <v>97</v>
      </c>
      <c r="D204" s="54" t="s">
        <v>355</v>
      </c>
      <c r="E204" s="59">
        <f>(29.98)*(10.764)</f>
        <v>322.70472000000001</v>
      </c>
      <c r="F204" s="59">
        <f t="shared" si="22"/>
        <v>64.557090000000002</v>
      </c>
      <c r="G204" s="5">
        <v>0</v>
      </c>
      <c r="H204" s="5">
        <f t="shared" si="25"/>
        <v>387.26181000000003</v>
      </c>
      <c r="I204" s="1"/>
      <c r="J204" s="1"/>
      <c r="K204" s="1"/>
      <c r="L204" s="1"/>
      <c r="M204" s="1"/>
      <c r="N204" s="1"/>
      <c r="O204" s="1"/>
      <c r="P204" s="1"/>
      <c r="Q204" s="1"/>
      <c r="R204" s="1"/>
      <c r="S204" s="1"/>
      <c r="T204" s="22" t="str">
        <f t="shared" ca="1" si="26"/>
        <v>4719,..,2319</v>
      </c>
      <c r="U204" s="22">
        <f t="shared" ref="U204:V204" ca="1" si="30">U203+1</f>
        <v>4719</v>
      </c>
      <c r="V204" s="22">
        <f t="shared" ca="1" si="30"/>
        <v>2319</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90" t="s">
        <v>395</v>
      </c>
      <c r="B205" s="91"/>
      <c r="C205" s="91"/>
      <c r="D205" s="91"/>
      <c r="E205" s="91"/>
      <c r="F205" s="91"/>
      <c r="G205" s="91"/>
      <c r="H205" s="9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73" t="s">
        <v>337</v>
      </c>
      <c r="B206" s="73"/>
      <c r="C206" s="54" t="s">
        <v>97</v>
      </c>
      <c r="D206" s="54" t="s">
        <v>355</v>
      </c>
      <c r="E206" s="59">
        <f>(29.98)*(10.764)</f>
        <v>322.70472000000001</v>
      </c>
      <c r="F206" s="59">
        <f>(1.05*3.05+0.65*4.3)*(10.764)</f>
        <v>64.557090000000002</v>
      </c>
      <c r="G206" s="5">
        <v>0</v>
      </c>
      <c r="H206" s="5">
        <f>E206+F206+(IF(G206&lt;101,G206,IF(G206&lt;201,G206/2,IF(G206&lt;=301,G206/3,G206/4))))</f>
        <v>387.26181000000003</v>
      </c>
      <c r="I206" s="1"/>
      <c r="J206" s="1"/>
      <c r="K206" s="1"/>
      <c r="L206" s="1"/>
      <c r="M206" s="1"/>
      <c r="N206" s="1"/>
      <c r="O206" s="1"/>
      <c r="P206" s="1"/>
      <c r="Q206" s="1"/>
      <c r="R206" s="1"/>
      <c r="S206" s="1"/>
      <c r="T206" s="22" t="str">
        <f t="shared" ref="T206:T224" ca="1" si="31">U206&amp;""&amp;",..,"&amp;""&amp;V206</f>
        <v>901,..,1901</v>
      </c>
      <c r="U206" s="22">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901</v>
      </c>
      <c r="V206" s="22">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1901</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73" t="s">
        <v>338</v>
      </c>
      <c r="B207" s="73"/>
      <c r="C207" s="54" t="s">
        <v>97</v>
      </c>
      <c r="D207" s="54" t="s">
        <v>356</v>
      </c>
      <c r="E207" s="59">
        <f>(44.13)*(10.764)</f>
        <v>475.01531999999997</v>
      </c>
      <c r="F207" s="59">
        <f>(0.5*3+0.65*3+1.1*0.65)*(10.764)</f>
        <v>44.832059999999998</v>
      </c>
      <c r="G207" s="5">
        <v>0</v>
      </c>
      <c r="H207" s="5">
        <f t="shared" ref="H207:H224" si="32">E207+F207+(IF(G207&lt;101,G207,IF(G207&lt;201,G207/2,IF(G207&lt;=301,G207/3,G207/4))))</f>
        <v>519.84737999999993</v>
      </c>
      <c r="I207" s="1"/>
      <c r="J207" s="1"/>
      <c r="K207" s="1"/>
      <c r="L207" s="1"/>
      <c r="M207" s="1"/>
      <c r="N207" s="1"/>
      <c r="O207" s="1"/>
      <c r="P207" s="1"/>
      <c r="Q207" s="1"/>
      <c r="R207" s="1"/>
      <c r="S207" s="1"/>
      <c r="T207" s="22" t="str">
        <f t="shared" ca="1" si="31"/>
        <v>902,..,1902</v>
      </c>
      <c r="U207" s="22">
        <f ca="1">U206+1</f>
        <v>902</v>
      </c>
      <c r="V207" s="22">
        <f ca="1">V206+1</f>
        <v>1902</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73" t="s">
        <v>339</v>
      </c>
      <c r="B208" s="73"/>
      <c r="C208" s="54" t="s">
        <v>97</v>
      </c>
      <c r="D208" s="54" t="s">
        <v>355</v>
      </c>
      <c r="E208" s="59">
        <f>(29.44)*(10.764)</f>
        <v>316.89215999999999</v>
      </c>
      <c r="F208" s="59">
        <f t="shared" ref="F208:F217" si="33">(1.05*3.05+0.65*4.3)*(10.764)</f>
        <v>64.557090000000002</v>
      </c>
      <c r="G208" s="5">
        <v>0</v>
      </c>
      <c r="H208" s="5">
        <f t="shared" si="32"/>
        <v>381.44925000000001</v>
      </c>
      <c r="I208" s="1"/>
      <c r="J208" s="1"/>
      <c r="K208" s="1"/>
      <c r="L208" s="1"/>
      <c r="M208" s="1"/>
      <c r="N208" s="1"/>
      <c r="O208" s="1"/>
      <c r="P208" s="1"/>
      <c r="Q208" s="1"/>
      <c r="R208" s="1"/>
      <c r="S208" s="1"/>
      <c r="T208" s="22" t="str">
        <f t="shared" ca="1" si="31"/>
        <v>903,..,1903</v>
      </c>
      <c r="U208" s="22">
        <f t="shared" ref="U208:V208" ca="1" si="34">U207+1</f>
        <v>903</v>
      </c>
      <c r="V208" s="22">
        <f t="shared" ca="1" si="34"/>
        <v>1903</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73" t="s">
        <v>340</v>
      </c>
      <c r="B209" s="73"/>
      <c r="C209" s="54" t="s">
        <v>97</v>
      </c>
      <c r="D209" s="54" t="s">
        <v>355</v>
      </c>
      <c r="E209" s="59">
        <f>(29.44)*(10.764)</f>
        <v>316.89215999999999</v>
      </c>
      <c r="F209" s="59">
        <f t="shared" si="33"/>
        <v>64.557090000000002</v>
      </c>
      <c r="G209" s="5">
        <v>0</v>
      </c>
      <c r="H209" s="5">
        <f t="shared" si="32"/>
        <v>381.44925000000001</v>
      </c>
      <c r="I209" s="1"/>
      <c r="J209" s="1"/>
      <c r="K209" s="1"/>
      <c r="L209" s="1"/>
      <c r="M209" s="1"/>
      <c r="N209" s="1"/>
      <c r="O209" s="1"/>
      <c r="P209" s="1"/>
      <c r="Q209" s="1"/>
      <c r="R209" s="1"/>
      <c r="S209" s="1"/>
      <c r="T209" s="22" t="str">
        <f t="shared" ca="1" si="31"/>
        <v>904,..,1904</v>
      </c>
      <c r="U209" s="22">
        <f t="shared" ref="U209:V209" ca="1" si="35">U208+1</f>
        <v>904</v>
      </c>
      <c r="V209" s="22">
        <f t="shared" ca="1" si="35"/>
        <v>1904</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73" t="s">
        <v>341</v>
      </c>
      <c r="B210" s="73"/>
      <c r="C210" s="54" t="s">
        <v>97</v>
      </c>
      <c r="D210" s="54" t="s">
        <v>355</v>
      </c>
      <c r="E210" s="59">
        <f>(29.67)*(10.764)</f>
        <v>319.36788000000001</v>
      </c>
      <c r="F210" s="59">
        <f t="shared" si="33"/>
        <v>64.557090000000002</v>
      </c>
      <c r="G210" s="5">
        <v>0</v>
      </c>
      <c r="H210" s="5">
        <f t="shared" si="32"/>
        <v>383.92497000000003</v>
      </c>
      <c r="I210" s="1"/>
      <c r="J210" s="1"/>
      <c r="K210" s="1"/>
      <c r="L210" s="1"/>
      <c r="M210" s="1"/>
      <c r="N210" s="1"/>
      <c r="O210" s="1"/>
      <c r="P210" s="1"/>
      <c r="Q210" s="1"/>
      <c r="R210" s="1"/>
      <c r="S210" s="1"/>
      <c r="T210" s="22" t="str">
        <f t="shared" ca="1" si="31"/>
        <v>905,..,1905</v>
      </c>
      <c r="U210" s="22">
        <f t="shared" ref="U210:V210" ca="1" si="36">U209+1</f>
        <v>905</v>
      </c>
      <c r="V210" s="22">
        <f t="shared" ca="1" si="36"/>
        <v>1905</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73" t="s">
        <v>342</v>
      </c>
      <c r="B211" s="73"/>
      <c r="C211" s="54" t="s">
        <v>97</v>
      </c>
      <c r="D211" s="54" t="s">
        <v>355</v>
      </c>
      <c r="E211" s="59">
        <f t="shared" ref="E211:E216" si="37">(29.44)*(10.764)</f>
        <v>316.89215999999999</v>
      </c>
      <c r="F211" s="59">
        <f t="shared" si="33"/>
        <v>64.557090000000002</v>
      </c>
      <c r="G211" s="5">
        <v>0</v>
      </c>
      <c r="H211" s="5">
        <f t="shared" si="32"/>
        <v>381.44925000000001</v>
      </c>
      <c r="I211" s="1"/>
      <c r="J211" s="1"/>
      <c r="K211" s="1"/>
      <c r="L211" s="1"/>
      <c r="M211" s="1"/>
      <c r="N211" s="1"/>
      <c r="O211" s="1"/>
      <c r="P211" s="1"/>
      <c r="Q211" s="1"/>
      <c r="R211" s="1"/>
      <c r="S211" s="1"/>
      <c r="T211" s="22" t="str">
        <f t="shared" ca="1" si="31"/>
        <v>906,..,1906</v>
      </c>
      <c r="U211" s="22">
        <f t="shared" ref="U211:V211" ca="1" si="38">U210+1</f>
        <v>906</v>
      </c>
      <c r="V211" s="22">
        <f t="shared" ca="1" si="38"/>
        <v>1906</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73" t="s">
        <v>343</v>
      </c>
      <c r="B212" s="73"/>
      <c r="C212" s="54" t="s">
        <v>97</v>
      </c>
      <c r="D212" s="54" t="s">
        <v>355</v>
      </c>
      <c r="E212" s="59">
        <f t="shared" si="37"/>
        <v>316.89215999999999</v>
      </c>
      <c r="F212" s="59">
        <f t="shared" si="33"/>
        <v>64.557090000000002</v>
      </c>
      <c r="G212" s="5">
        <v>0</v>
      </c>
      <c r="H212" s="5">
        <f t="shared" si="32"/>
        <v>381.44925000000001</v>
      </c>
      <c r="I212" s="1"/>
      <c r="J212" s="1"/>
      <c r="K212" s="1"/>
      <c r="L212" s="1"/>
      <c r="M212" s="1"/>
      <c r="N212" s="1"/>
      <c r="O212" s="1"/>
      <c r="P212" s="1"/>
      <c r="Q212" s="1"/>
      <c r="R212" s="1"/>
      <c r="S212" s="1"/>
      <c r="T212" s="22" t="str">
        <f t="shared" ca="1" si="31"/>
        <v>907,..,1907</v>
      </c>
      <c r="U212" s="22">
        <f t="shared" ref="U212:V212" ca="1" si="39">U211+1</f>
        <v>907</v>
      </c>
      <c r="V212" s="22">
        <f t="shared" ca="1" si="39"/>
        <v>1907</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73" t="s">
        <v>344</v>
      </c>
      <c r="B213" s="73"/>
      <c r="C213" s="54" t="s">
        <v>97</v>
      </c>
      <c r="D213" s="54" t="s">
        <v>355</v>
      </c>
      <c r="E213" s="59">
        <f t="shared" si="37"/>
        <v>316.89215999999999</v>
      </c>
      <c r="F213" s="59">
        <f t="shared" si="33"/>
        <v>64.557090000000002</v>
      </c>
      <c r="G213" s="5">
        <v>0</v>
      </c>
      <c r="H213" s="5">
        <f t="shared" si="32"/>
        <v>381.44925000000001</v>
      </c>
      <c r="I213" s="1"/>
      <c r="J213" s="1"/>
      <c r="K213" s="1"/>
      <c r="L213" s="1"/>
      <c r="M213" s="1"/>
      <c r="N213" s="1"/>
      <c r="O213" s="1"/>
      <c r="P213" s="1"/>
      <c r="Q213" s="1"/>
      <c r="R213" s="1"/>
      <c r="S213" s="1"/>
      <c r="T213" s="22" t="str">
        <f t="shared" ca="1" si="31"/>
        <v>908,..,1908</v>
      </c>
      <c r="U213" s="22">
        <f t="shared" ref="U213:V213" ca="1" si="40">U212+1</f>
        <v>908</v>
      </c>
      <c r="V213" s="22">
        <f t="shared" ca="1" si="40"/>
        <v>1908</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73" t="s">
        <v>345</v>
      </c>
      <c r="B214" s="73"/>
      <c r="C214" s="54" t="s">
        <v>97</v>
      </c>
      <c r="D214" s="54" t="s">
        <v>355</v>
      </c>
      <c r="E214" s="59">
        <f t="shared" si="37"/>
        <v>316.89215999999999</v>
      </c>
      <c r="F214" s="59">
        <f t="shared" si="33"/>
        <v>64.557090000000002</v>
      </c>
      <c r="G214" s="5">
        <v>0</v>
      </c>
      <c r="H214" s="5">
        <f t="shared" si="32"/>
        <v>381.44925000000001</v>
      </c>
      <c r="I214" s="1"/>
      <c r="J214" s="1"/>
      <c r="K214" s="1"/>
      <c r="L214" s="1"/>
      <c r="M214" s="1"/>
      <c r="N214" s="1"/>
      <c r="O214" s="1"/>
      <c r="P214" s="1"/>
      <c r="Q214" s="1"/>
      <c r="R214" s="1"/>
      <c r="S214" s="1"/>
      <c r="T214" s="22" t="str">
        <f t="shared" ca="1" si="31"/>
        <v>909,..,1909</v>
      </c>
      <c r="U214" s="22">
        <f ca="1">U213+1</f>
        <v>909</v>
      </c>
      <c r="V214" s="22">
        <f ca="1">V213+1</f>
        <v>1909</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73" t="s">
        <v>346</v>
      </c>
      <c r="B215" s="73"/>
      <c r="C215" s="54" t="s">
        <v>97</v>
      </c>
      <c r="D215" s="54" t="s">
        <v>355</v>
      </c>
      <c r="E215" s="59">
        <f t="shared" si="37"/>
        <v>316.89215999999999</v>
      </c>
      <c r="F215" s="59">
        <f t="shared" si="33"/>
        <v>64.557090000000002</v>
      </c>
      <c r="G215" s="5">
        <v>0</v>
      </c>
      <c r="H215" s="5">
        <f t="shared" si="32"/>
        <v>381.44925000000001</v>
      </c>
      <c r="I215" s="1"/>
      <c r="J215" s="1"/>
      <c r="K215" s="1"/>
      <c r="L215" s="1"/>
      <c r="M215" s="1"/>
      <c r="N215" s="1"/>
      <c r="O215" s="1"/>
      <c r="P215" s="1"/>
      <c r="Q215" s="1"/>
      <c r="R215" s="1"/>
      <c r="S215" s="1"/>
      <c r="T215" s="22" t="str">
        <f t="shared" ca="1" si="31"/>
        <v>910,..,1910</v>
      </c>
      <c r="U215" s="22">
        <f t="shared" ref="U215:V215" ca="1" si="41">U214+1</f>
        <v>910</v>
      </c>
      <c r="V215" s="22">
        <f t="shared" ca="1" si="41"/>
        <v>1910</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73" t="s">
        <v>347</v>
      </c>
      <c r="B216" s="73"/>
      <c r="C216" s="54" t="s">
        <v>97</v>
      </c>
      <c r="D216" s="54" t="s">
        <v>355</v>
      </c>
      <c r="E216" s="59">
        <f t="shared" si="37"/>
        <v>316.89215999999999</v>
      </c>
      <c r="F216" s="59">
        <f t="shared" si="33"/>
        <v>64.557090000000002</v>
      </c>
      <c r="G216" s="5">
        <v>0</v>
      </c>
      <c r="H216" s="5">
        <f t="shared" si="32"/>
        <v>381.44925000000001</v>
      </c>
      <c r="I216" s="1"/>
      <c r="J216" s="1"/>
      <c r="K216" s="1"/>
      <c r="L216" s="1"/>
      <c r="M216" s="1"/>
      <c r="N216" s="1"/>
      <c r="O216" s="1"/>
      <c r="P216" s="1"/>
      <c r="Q216" s="1"/>
      <c r="R216" s="1"/>
      <c r="S216" s="1"/>
      <c r="T216" s="22" t="str">
        <f t="shared" ca="1" si="31"/>
        <v>911,..,1911</v>
      </c>
      <c r="U216" s="22">
        <f t="shared" ref="U216:V216" ca="1" si="42">U215+1</f>
        <v>911</v>
      </c>
      <c r="V216" s="22">
        <f t="shared" ca="1" si="42"/>
        <v>1911</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73" t="s">
        <v>348</v>
      </c>
      <c r="B217" s="73"/>
      <c r="C217" s="54" t="s">
        <v>97</v>
      </c>
      <c r="D217" s="54" t="s">
        <v>355</v>
      </c>
      <c r="E217" s="59">
        <f>(29.98)*(10.764)</f>
        <v>322.70472000000001</v>
      </c>
      <c r="F217" s="59">
        <f t="shared" si="33"/>
        <v>64.557090000000002</v>
      </c>
      <c r="G217" s="5">
        <v>0</v>
      </c>
      <c r="H217" s="5">
        <f t="shared" si="32"/>
        <v>387.26181000000003</v>
      </c>
      <c r="I217" s="1"/>
      <c r="J217" s="1"/>
      <c r="K217" s="1"/>
      <c r="L217" s="1"/>
      <c r="M217" s="1"/>
      <c r="N217" s="1"/>
      <c r="O217" s="1"/>
      <c r="P217" s="1"/>
      <c r="Q217" s="1"/>
      <c r="R217" s="1"/>
      <c r="S217" s="1"/>
      <c r="T217" s="22" t="str">
        <f t="shared" ca="1" si="31"/>
        <v>912,..,1912</v>
      </c>
      <c r="U217" s="22">
        <f t="shared" ref="U217:V217" ca="1" si="43">U216+1</f>
        <v>912</v>
      </c>
      <c r="V217" s="22">
        <f t="shared" ca="1" si="43"/>
        <v>1912</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73" t="s">
        <v>349</v>
      </c>
      <c r="B218" s="73"/>
      <c r="C218" s="142" t="s">
        <v>396</v>
      </c>
      <c r="D218" s="143"/>
      <c r="E218" s="143"/>
      <c r="F218" s="143"/>
      <c r="G218" s="143"/>
      <c r="H218" s="144"/>
      <c r="I218" s="1"/>
      <c r="J218" s="1"/>
      <c r="K218" s="1"/>
      <c r="L218" s="1"/>
      <c r="M218" s="1"/>
      <c r="N218" s="1"/>
      <c r="O218" s="1"/>
      <c r="P218" s="1"/>
      <c r="Q218" s="1"/>
      <c r="R218" s="1"/>
      <c r="S218" s="1"/>
      <c r="T218" s="22" t="str">
        <f t="shared" ca="1" si="31"/>
        <v>913,..,1913</v>
      </c>
      <c r="U218" s="22">
        <f t="shared" ref="U218:V218" ca="1" si="44">U217+1</f>
        <v>913</v>
      </c>
      <c r="V218" s="22">
        <f t="shared" ca="1" si="44"/>
        <v>1913</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73" t="s">
        <v>350</v>
      </c>
      <c r="B219" s="73"/>
      <c r="C219" s="54" t="s">
        <v>97</v>
      </c>
      <c r="D219" s="54" t="s">
        <v>355</v>
      </c>
      <c r="E219" s="59">
        <f>(29.44)*(10.764)</f>
        <v>316.89215999999999</v>
      </c>
      <c r="F219" s="59">
        <f t="shared" ref="F219:F224" si="45">(1.05*3.05+0.65*4.3)*(10.764)</f>
        <v>64.557090000000002</v>
      </c>
      <c r="G219" s="5">
        <v>0</v>
      </c>
      <c r="H219" s="5">
        <f t="shared" si="32"/>
        <v>381.44925000000001</v>
      </c>
      <c r="I219" s="1"/>
      <c r="J219" s="1"/>
      <c r="K219" s="1"/>
      <c r="L219" s="1"/>
      <c r="M219" s="1"/>
      <c r="N219" s="1"/>
      <c r="O219" s="1"/>
      <c r="P219" s="1"/>
      <c r="Q219" s="1"/>
      <c r="R219" s="1"/>
      <c r="S219" s="1"/>
      <c r="T219" s="22" t="str">
        <f t="shared" ca="1" si="31"/>
        <v>914,..,1914</v>
      </c>
      <c r="U219" s="22">
        <f t="shared" ref="U219:V219" ca="1" si="46">U218+1</f>
        <v>914</v>
      </c>
      <c r="V219" s="22">
        <f t="shared" ca="1" si="46"/>
        <v>1914</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73" t="s">
        <v>351</v>
      </c>
      <c r="B220" s="73"/>
      <c r="C220" s="54" t="s">
        <v>97</v>
      </c>
      <c r="D220" s="54" t="s">
        <v>355</v>
      </c>
      <c r="E220" s="59">
        <f>(29.44)*(10.764)</f>
        <v>316.89215999999999</v>
      </c>
      <c r="F220" s="59">
        <f t="shared" si="45"/>
        <v>64.557090000000002</v>
      </c>
      <c r="G220" s="5">
        <v>0</v>
      </c>
      <c r="H220" s="5">
        <f t="shared" si="32"/>
        <v>381.44925000000001</v>
      </c>
      <c r="I220" s="1"/>
      <c r="J220" s="1"/>
      <c r="K220" s="1"/>
      <c r="L220" s="1"/>
      <c r="M220" s="1"/>
      <c r="N220" s="1"/>
      <c r="O220" s="1"/>
      <c r="P220" s="1"/>
      <c r="Q220" s="1"/>
      <c r="R220" s="1"/>
      <c r="S220" s="1"/>
      <c r="T220" s="22" t="str">
        <f t="shared" ca="1" si="31"/>
        <v>915,..,1915</v>
      </c>
      <c r="U220" s="22">
        <f t="shared" ref="U220:V220" ca="1" si="47">U219+1</f>
        <v>915</v>
      </c>
      <c r="V220" s="22">
        <f t="shared" ca="1" si="47"/>
        <v>1915</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73" t="s">
        <v>352</v>
      </c>
      <c r="B221" s="73"/>
      <c r="C221" s="54" t="s">
        <v>97</v>
      </c>
      <c r="D221" s="54" t="s">
        <v>355</v>
      </c>
      <c r="E221" s="59">
        <f>(29.44)*(10.764)</f>
        <v>316.89215999999999</v>
      </c>
      <c r="F221" s="59">
        <f t="shared" si="45"/>
        <v>64.557090000000002</v>
      </c>
      <c r="G221" s="5">
        <v>0</v>
      </c>
      <c r="H221" s="5">
        <f t="shared" si="32"/>
        <v>381.44925000000001</v>
      </c>
      <c r="I221" s="1"/>
      <c r="J221" s="1"/>
      <c r="K221" s="1"/>
      <c r="L221" s="1"/>
      <c r="M221" s="1"/>
      <c r="N221" s="1"/>
      <c r="O221" s="1"/>
      <c r="P221" s="1"/>
      <c r="Q221" s="1"/>
      <c r="R221" s="1"/>
      <c r="S221" s="1"/>
      <c r="T221" s="22" t="str">
        <f t="shared" ca="1" si="31"/>
        <v>916,..,1916</v>
      </c>
      <c r="U221" s="22">
        <f t="shared" ref="U221:V221" ca="1" si="48">U220+1</f>
        <v>916</v>
      </c>
      <c r="V221" s="22">
        <f t="shared" ca="1" si="48"/>
        <v>1916</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73" t="s">
        <v>353</v>
      </c>
      <c r="B222" s="73"/>
      <c r="C222" s="54" t="s">
        <v>97</v>
      </c>
      <c r="D222" s="54" t="s">
        <v>355</v>
      </c>
      <c r="E222" s="59">
        <f>(29.44)*(10.764)</f>
        <v>316.89215999999999</v>
      </c>
      <c r="F222" s="59">
        <f t="shared" si="45"/>
        <v>64.557090000000002</v>
      </c>
      <c r="G222" s="5">
        <v>0</v>
      </c>
      <c r="H222" s="5">
        <f t="shared" si="32"/>
        <v>381.44925000000001</v>
      </c>
      <c r="I222" s="1"/>
      <c r="J222" s="1"/>
      <c r="K222" s="1"/>
      <c r="L222" s="1"/>
      <c r="M222" s="1"/>
      <c r="N222" s="1"/>
      <c r="O222" s="1"/>
      <c r="P222" s="1"/>
      <c r="Q222" s="1"/>
      <c r="R222" s="1"/>
      <c r="S222" s="1"/>
      <c r="T222" s="22" t="str">
        <f t="shared" ca="1" si="31"/>
        <v>917,..,1917</v>
      </c>
      <c r="U222" s="22">
        <f t="shared" ref="U222:V222" ca="1" si="49">U221+1</f>
        <v>917</v>
      </c>
      <c r="V222" s="22">
        <f t="shared" ca="1" si="49"/>
        <v>1917</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73" t="s">
        <v>354</v>
      </c>
      <c r="B223" s="73"/>
      <c r="C223" s="54" t="s">
        <v>97</v>
      </c>
      <c r="D223" s="54" t="s">
        <v>355</v>
      </c>
      <c r="E223" s="59">
        <f>(29.44)*(10.764)</f>
        <v>316.89215999999999</v>
      </c>
      <c r="F223" s="59">
        <f t="shared" si="45"/>
        <v>64.557090000000002</v>
      </c>
      <c r="G223" s="5">
        <v>0</v>
      </c>
      <c r="H223" s="5">
        <f t="shared" si="32"/>
        <v>381.44925000000001</v>
      </c>
      <c r="I223" s="1"/>
      <c r="J223" s="1"/>
      <c r="K223" s="1"/>
      <c r="L223" s="1"/>
      <c r="M223" s="1"/>
      <c r="N223" s="1"/>
      <c r="O223" s="1"/>
      <c r="P223" s="1"/>
      <c r="Q223" s="1"/>
      <c r="R223" s="1"/>
      <c r="S223" s="1"/>
      <c r="T223" s="22" t="str">
        <f t="shared" ca="1" si="31"/>
        <v>918,..,1918</v>
      </c>
      <c r="U223" s="22">
        <f t="shared" ref="U223:V223" ca="1" si="50">U222+1</f>
        <v>918</v>
      </c>
      <c r="V223" s="22">
        <f t="shared" ca="1" si="50"/>
        <v>1918</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73" t="s">
        <v>357</v>
      </c>
      <c r="B224" s="73"/>
      <c r="C224" s="54" t="s">
        <v>97</v>
      </c>
      <c r="D224" s="54" t="s">
        <v>355</v>
      </c>
      <c r="E224" s="59">
        <f>(29.98)*(10.764)</f>
        <v>322.70472000000001</v>
      </c>
      <c r="F224" s="59">
        <f t="shared" si="45"/>
        <v>64.557090000000002</v>
      </c>
      <c r="G224" s="5">
        <v>0</v>
      </c>
      <c r="H224" s="5">
        <f t="shared" si="32"/>
        <v>387.26181000000003</v>
      </c>
      <c r="I224" s="1"/>
      <c r="J224" s="1"/>
      <c r="K224" s="1"/>
      <c r="L224" s="1"/>
      <c r="M224" s="1"/>
      <c r="N224" s="1"/>
      <c r="O224" s="1"/>
      <c r="P224" s="1"/>
      <c r="Q224" s="1"/>
      <c r="R224" s="1"/>
      <c r="S224" s="1"/>
      <c r="T224" s="22" t="str">
        <f t="shared" ca="1" si="31"/>
        <v>919,..,1919</v>
      </c>
      <c r="U224" s="22">
        <f t="shared" ref="U224:V224" ca="1" si="51">U223+1</f>
        <v>919</v>
      </c>
      <c r="V224" s="22">
        <f t="shared" ca="1" si="51"/>
        <v>1919</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96" t="s">
        <v>272</v>
      </c>
      <c r="B225" s="97"/>
      <c r="C225" s="97"/>
      <c r="D225" s="97"/>
      <c r="E225" s="97"/>
      <c r="F225" s="97"/>
      <c r="G225" s="97"/>
      <c r="H225" s="98"/>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96" t="s">
        <v>298</v>
      </c>
      <c r="B226" s="97"/>
      <c r="C226" s="97"/>
      <c r="D226" s="97"/>
      <c r="E226" s="97"/>
      <c r="F226" s="97"/>
      <c r="G226" s="97"/>
      <c r="H226" s="98"/>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73" t="s">
        <v>299</v>
      </c>
      <c r="B227" s="73"/>
      <c r="C227" s="54" t="s">
        <v>97</v>
      </c>
      <c r="D227" s="54" t="s">
        <v>297</v>
      </c>
      <c r="E227" s="5">
        <f>(2.65*7.29)*(10.764)</f>
        <v>207.944334</v>
      </c>
      <c r="F227" s="5">
        <v>0</v>
      </c>
      <c r="G227" s="5">
        <v>0</v>
      </c>
      <c r="H227" s="5">
        <f>E227+F227+(IF(G227&lt;101,G227,IF(G227&lt;201,G227/2,IF(G227&lt;=301,G227/3,G227/4))))</f>
        <v>207.944334</v>
      </c>
      <c r="I227" s="4"/>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73" t="s">
        <v>300</v>
      </c>
      <c r="B228" s="73"/>
      <c r="C228" s="54" t="s">
        <v>97</v>
      </c>
      <c r="D228" s="54" t="s">
        <v>297</v>
      </c>
      <c r="E228" s="5">
        <f>(2.7*7.34)*(10.764)</f>
        <v>213.32095200000001</v>
      </c>
      <c r="F228" s="5">
        <v>0</v>
      </c>
      <c r="G228" s="5">
        <v>0</v>
      </c>
      <c r="H228" s="5">
        <f t="shared" ref="H228:H241" si="52">E228+F228+(IF(G228&lt;101,G228,IF(G228&lt;201,G228/2,IF(G228&lt;=301,G228/3,G228/4))))</f>
        <v>213.32095200000001</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x14ac:dyDescent="0.25">
      <c r="A229" s="73" t="s">
        <v>301</v>
      </c>
      <c r="B229" s="73"/>
      <c r="C229" s="54" t="s">
        <v>97</v>
      </c>
      <c r="D229" s="54" t="s">
        <v>297</v>
      </c>
      <c r="E229" s="5">
        <f>(2.96*7.34)*(10.764)</f>
        <v>233.86296959999996</v>
      </c>
      <c r="F229" s="5">
        <v>0</v>
      </c>
      <c r="G229" s="5">
        <v>0</v>
      </c>
      <c r="H229" s="5">
        <f t="shared" si="52"/>
        <v>233.86296959999996</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73" t="s">
        <v>302</v>
      </c>
      <c r="B230" s="73"/>
      <c r="C230" s="54" t="s">
        <v>97</v>
      </c>
      <c r="D230" s="54" t="s">
        <v>297</v>
      </c>
      <c r="E230" s="5">
        <f>(3.15*10.05)*(10.764)</f>
        <v>340.76132999999999</v>
      </c>
      <c r="F230" s="5">
        <v>0</v>
      </c>
      <c r="G230" s="5">
        <v>0</v>
      </c>
      <c r="H230" s="5">
        <f t="shared" si="52"/>
        <v>340.76132999999999</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73" t="s">
        <v>303</v>
      </c>
      <c r="B231" s="73"/>
      <c r="C231" s="54" t="s">
        <v>97</v>
      </c>
      <c r="D231" s="54" t="s">
        <v>297</v>
      </c>
      <c r="E231" s="5">
        <f>(2.7*10.05)*(10.764)</f>
        <v>292.08114000000006</v>
      </c>
      <c r="F231" s="5">
        <v>0</v>
      </c>
      <c r="G231" s="5">
        <v>0</v>
      </c>
      <c r="H231" s="5">
        <f t="shared" si="52"/>
        <v>292.08114000000006</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73" t="s">
        <v>304</v>
      </c>
      <c r="B232" s="73"/>
      <c r="C232" s="54" t="s">
        <v>97</v>
      </c>
      <c r="D232" s="54" t="s">
        <v>297</v>
      </c>
      <c r="E232" s="5">
        <f>(2.8*10.52)*(10.764)</f>
        <v>317.06438399999996</v>
      </c>
      <c r="F232" s="5">
        <v>0</v>
      </c>
      <c r="G232" s="5">
        <v>0</v>
      </c>
      <c r="H232" s="5">
        <f t="shared" si="52"/>
        <v>317.06438399999996</v>
      </c>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73" t="s">
        <v>305</v>
      </c>
      <c r="B233" s="73"/>
      <c r="C233" s="54" t="s">
        <v>97</v>
      </c>
      <c r="D233" s="54" t="s">
        <v>297</v>
      </c>
      <c r="E233" s="5">
        <f>(3.15*10.52)*(10.764)</f>
        <v>356.69743199999994</v>
      </c>
      <c r="F233" s="5">
        <v>0</v>
      </c>
      <c r="G233" s="5">
        <v>0</v>
      </c>
      <c r="H233" s="5">
        <f t="shared" si="52"/>
        <v>356.69743199999994</v>
      </c>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73" t="s">
        <v>306</v>
      </c>
      <c r="B234" s="73"/>
      <c r="C234" s="54" t="s">
        <v>97</v>
      </c>
      <c r="D234" s="54" t="s">
        <v>297</v>
      </c>
      <c r="E234" s="5">
        <f>(2.95*10.52)*(10.764)</f>
        <v>334.04997599999996</v>
      </c>
      <c r="F234" s="5">
        <v>0</v>
      </c>
      <c r="G234" s="5">
        <v>0</v>
      </c>
      <c r="H234" s="5">
        <f t="shared" si="52"/>
        <v>334.04997599999996</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73" t="s">
        <v>307</v>
      </c>
      <c r="B235" s="73"/>
      <c r="C235" s="54" t="s">
        <v>97</v>
      </c>
      <c r="D235" s="54" t="s">
        <v>297</v>
      </c>
      <c r="E235" s="5">
        <f>(2.8*10.52)*(10.764)</f>
        <v>317.06438399999996</v>
      </c>
      <c r="F235" s="5">
        <v>0</v>
      </c>
      <c r="G235" s="5">
        <v>0</v>
      </c>
      <c r="H235" s="5">
        <f t="shared" si="52"/>
        <v>317.06438399999996</v>
      </c>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73" t="s">
        <v>308</v>
      </c>
      <c r="B236" s="73"/>
      <c r="C236" s="54" t="s">
        <v>97</v>
      </c>
      <c r="D236" s="54" t="s">
        <v>297</v>
      </c>
      <c r="E236" s="5">
        <f>(2.73*10.52)*(10.764)</f>
        <v>309.13777439999996</v>
      </c>
      <c r="F236" s="5">
        <v>0</v>
      </c>
      <c r="G236" s="5">
        <v>0</v>
      </c>
      <c r="H236" s="5">
        <f t="shared" si="52"/>
        <v>309.13777439999996</v>
      </c>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73" t="s">
        <v>309</v>
      </c>
      <c r="B237" s="73"/>
      <c r="C237" s="54" t="s">
        <v>97</v>
      </c>
      <c r="D237" s="54" t="s">
        <v>297</v>
      </c>
      <c r="E237" s="5">
        <f>(2.95*7.55+3.38*2.57+0.6*2.5)*(10.764)</f>
        <v>349.38975239999996</v>
      </c>
      <c r="F237" s="5">
        <v>0</v>
      </c>
      <c r="G237" s="5">
        <v>0</v>
      </c>
      <c r="H237" s="5">
        <f t="shared" si="52"/>
        <v>349.38975239999996</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73" t="s">
        <v>310</v>
      </c>
      <c r="B238" s="73"/>
      <c r="C238" s="54" t="s">
        <v>97</v>
      </c>
      <c r="D238" s="54" t="s">
        <v>297</v>
      </c>
      <c r="E238" s="5">
        <f>(2.48*5.79+2.55*1.5)*(10.764)</f>
        <v>195.7347288</v>
      </c>
      <c r="F238" s="5">
        <v>0</v>
      </c>
      <c r="G238" s="5">
        <v>0</v>
      </c>
      <c r="H238" s="5">
        <f t="shared" si="52"/>
        <v>195.7347288</v>
      </c>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73" t="s">
        <v>311</v>
      </c>
      <c r="B239" s="73"/>
      <c r="C239" s="54" t="s">
        <v>97</v>
      </c>
      <c r="D239" s="54" t="s">
        <v>297</v>
      </c>
      <c r="E239" s="5">
        <f>(2.78*7.29)*(10.764)</f>
        <v>218.14537679999995</v>
      </c>
      <c r="F239" s="5">
        <v>0</v>
      </c>
      <c r="G239" s="5">
        <v>0</v>
      </c>
      <c r="H239" s="5">
        <f t="shared" si="52"/>
        <v>218.14537679999995</v>
      </c>
      <c r="I239" s="4"/>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73" t="s">
        <v>312</v>
      </c>
      <c r="B240" s="73"/>
      <c r="C240" s="54" t="s">
        <v>97</v>
      </c>
      <c r="D240" s="54" t="s">
        <v>297</v>
      </c>
      <c r="E240" s="5">
        <f>(3.05*4.54+2.51*2.75)*(10.764)</f>
        <v>223.34761799999995</v>
      </c>
      <c r="F240" s="5">
        <v>0</v>
      </c>
      <c r="G240" s="5">
        <v>0</v>
      </c>
      <c r="H240" s="5">
        <f t="shared" si="52"/>
        <v>223.34761799999995</v>
      </c>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25">
      <c r="A241" s="73" t="s">
        <v>313</v>
      </c>
      <c r="B241" s="73"/>
      <c r="C241" s="54" t="s">
        <v>97</v>
      </c>
      <c r="D241" s="54" t="s">
        <v>297</v>
      </c>
      <c r="E241" s="5">
        <f>(10.39*3.65)*(10.764)</f>
        <v>408.20855399999999</v>
      </c>
      <c r="F241" s="5">
        <v>0</v>
      </c>
      <c r="G241" s="5">
        <v>0</v>
      </c>
      <c r="H241" s="5">
        <f t="shared" si="52"/>
        <v>408.20855399999999</v>
      </c>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73" t="s">
        <v>314</v>
      </c>
      <c r="B242" s="73"/>
      <c r="C242" s="54" t="s">
        <v>97</v>
      </c>
      <c r="D242" s="54" t="s">
        <v>297</v>
      </c>
      <c r="E242" s="5">
        <f>(12.22*5.52+6.02*5.95)*(10.764)</f>
        <v>1111.6348775999998</v>
      </c>
      <c r="F242" s="5">
        <v>0</v>
      </c>
      <c r="G242" s="5">
        <v>0</v>
      </c>
      <c r="H242" s="5">
        <f t="shared" ref="H242:H248" si="53">E242+F242+(IF(G242&lt;101,G242,IF(G242&lt;201,G242/2,IF(G242&lt;=301,G242/3,G242/4))))</f>
        <v>1111.6348775999998</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73" t="s">
        <v>315</v>
      </c>
      <c r="B243" s="73"/>
      <c r="C243" s="54" t="s">
        <v>97</v>
      </c>
      <c r="D243" s="54" t="s">
        <v>297</v>
      </c>
      <c r="E243" s="5">
        <f>(2.78*7.29+2.76*2)*(10.764)</f>
        <v>277.56265679999996</v>
      </c>
      <c r="F243" s="5">
        <v>0</v>
      </c>
      <c r="G243" s="5">
        <v>0</v>
      </c>
      <c r="H243" s="5">
        <f t="shared" si="53"/>
        <v>277.56265679999996</v>
      </c>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73" t="s">
        <v>316</v>
      </c>
      <c r="B244" s="73"/>
      <c r="C244" s="54" t="s">
        <v>97</v>
      </c>
      <c r="D244" s="54" t="s">
        <v>297</v>
      </c>
      <c r="E244" s="5">
        <f>(2.7*7.29)*(10.764)</f>
        <v>211.86781199999999</v>
      </c>
      <c r="F244" s="5">
        <v>0</v>
      </c>
      <c r="G244" s="5">
        <v>0</v>
      </c>
      <c r="H244" s="5">
        <f t="shared" si="53"/>
        <v>211.86781199999999</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73" t="s">
        <v>317</v>
      </c>
      <c r="B245" s="73"/>
      <c r="C245" s="54" t="s">
        <v>97</v>
      </c>
      <c r="D245" s="54" t="s">
        <v>297</v>
      </c>
      <c r="E245" s="5">
        <f>(2.88*5.29+2.38*2)*(10.764)</f>
        <v>215.22833279999995</v>
      </c>
      <c r="F245" s="5">
        <v>0</v>
      </c>
      <c r="G245" s="5">
        <v>0</v>
      </c>
      <c r="H245" s="5">
        <f t="shared" si="53"/>
        <v>215.22833279999995</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73" t="s">
        <v>318</v>
      </c>
      <c r="B246" s="73"/>
      <c r="C246" s="54" t="s">
        <v>97</v>
      </c>
      <c r="D246" s="54" t="s">
        <v>297</v>
      </c>
      <c r="E246" s="5">
        <f>(2.98*7.29+2.54*3.76)*(10.764)</f>
        <v>336.63979439999997</v>
      </c>
      <c r="F246" s="5">
        <v>0</v>
      </c>
      <c r="G246" s="5">
        <v>0</v>
      </c>
      <c r="H246" s="5">
        <f t="shared" si="53"/>
        <v>336.63979439999997</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73" t="s">
        <v>319</v>
      </c>
      <c r="B247" s="73"/>
      <c r="C247" s="54" t="s">
        <v>97</v>
      </c>
      <c r="D247" s="54" t="s">
        <v>297</v>
      </c>
      <c r="E247" s="5">
        <f>(3.15*11.07)*(10.764)</f>
        <v>375.34606199999996</v>
      </c>
      <c r="F247" s="5">
        <v>0</v>
      </c>
      <c r="G247" s="5">
        <v>0</v>
      </c>
      <c r="H247" s="5">
        <f t="shared" si="53"/>
        <v>375.34606199999996</v>
      </c>
      <c r="I247" s="4"/>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73" t="s">
        <v>320</v>
      </c>
      <c r="B248" s="73"/>
      <c r="C248" s="54" t="s">
        <v>97</v>
      </c>
      <c r="D248" s="54" t="s">
        <v>297</v>
      </c>
      <c r="E248" s="5">
        <f>(2.95*11.07)*(10.764)</f>
        <v>351.514566</v>
      </c>
      <c r="F248" s="5">
        <v>0</v>
      </c>
      <c r="G248" s="5">
        <v>0</v>
      </c>
      <c r="H248" s="5">
        <f t="shared" si="53"/>
        <v>351.514566</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x14ac:dyDescent="0.25">
      <c r="A249" s="96" t="s">
        <v>397</v>
      </c>
      <c r="B249" s="97"/>
      <c r="C249" s="97"/>
      <c r="D249" s="97"/>
      <c r="E249" s="97"/>
      <c r="F249" s="97"/>
      <c r="G249" s="97"/>
      <c r="H249" s="98"/>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x14ac:dyDescent="0.25">
      <c r="A250" s="73" t="s">
        <v>378</v>
      </c>
      <c r="B250" s="73"/>
      <c r="C250" s="54" t="s">
        <v>97</v>
      </c>
      <c r="D250" s="54" t="s">
        <v>297</v>
      </c>
      <c r="E250" s="5">
        <f>(2.65*5.69)*(10.764)</f>
        <v>162.30497399999999</v>
      </c>
      <c r="F250" s="5">
        <v>0</v>
      </c>
      <c r="G250" s="5">
        <v>0</v>
      </c>
      <c r="H250" s="5">
        <f>E250+F250+(IF(G250&lt;101,G250,IF(G250&lt;201,G250/2,IF(G250&lt;=301,G250/3,G250/4))))</f>
        <v>162.30497399999999</v>
      </c>
      <c r="I250" s="4"/>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x14ac:dyDescent="0.25">
      <c r="A251" s="73" t="s">
        <v>379</v>
      </c>
      <c r="B251" s="73"/>
      <c r="C251" s="54" t="s">
        <v>97</v>
      </c>
      <c r="D251" s="54" t="s">
        <v>297</v>
      </c>
      <c r="E251" s="5">
        <f>(2.7*5.69)*(10.764)</f>
        <v>165.367332</v>
      </c>
      <c r="F251" s="5">
        <v>0</v>
      </c>
      <c r="G251" s="5">
        <v>0</v>
      </c>
      <c r="H251" s="5">
        <f t="shared" ref="H251:H266" si="54">E251+F251+(IF(G251&lt;101,G251,IF(G251&lt;201,G251/2,IF(G251&lt;=301,G251/3,G251/4))))</f>
        <v>165.367332</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73" t="s">
        <v>380</v>
      </c>
      <c r="B252" s="73"/>
      <c r="C252" s="54" t="s">
        <v>97</v>
      </c>
      <c r="D252" s="54" t="s">
        <v>297</v>
      </c>
      <c r="E252" s="5">
        <f>(2.98*5.69)*(10.764)</f>
        <v>182.51653680000001</v>
      </c>
      <c r="F252" s="5">
        <v>0</v>
      </c>
      <c r="G252" s="5">
        <v>0</v>
      </c>
      <c r="H252" s="5">
        <f t="shared" si="54"/>
        <v>182.51653680000001</v>
      </c>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73" t="s">
        <v>381</v>
      </c>
      <c r="B253" s="73"/>
      <c r="C253" s="54" t="s">
        <v>97</v>
      </c>
      <c r="D253" s="54" t="s">
        <v>297</v>
      </c>
      <c r="E253" s="5">
        <f>(3.08*8.4)*(10.764)</f>
        <v>278.48620800000003</v>
      </c>
      <c r="F253" s="5">
        <v>0</v>
      </c>
      <c r="G253" s="5">
        <v>0</v>
      </c>
      <c r="H253" s="5">
        <f t="shared" si="54"/>
        <v>278.48620800000003</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73" t="s">
        <v>382</v>
      </c>
      <c r="B254" s="73"/>
      <c r="C254" s="54" t="s">
        <v>97</v>
      </c>
      <c r="D254" s="54" t="s">
        <v>297</v>
      </c>
      <c r="E254" s="5">
        <f>(2.7*8.4)*(10.764)</f>
        <v>244.12752000000003</v>
      </c>
      <c r="F254" s="5">
        <v>0</v>
      </c>
      <c r="G254" s="5">
        <v>0</v>
      </c>
      <c r="H254" s="5">
        <f t="shared" si="54"/>
        <v>244.12752000000003</v>
      </c>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73" t="s">
        <v>383</v>
      </c>
      <c r="B255" s="73"/>
      <c r="C255" s="54" t="s">
        <v>97</v>
      </c>
      <c r="D255" s="54" t="s">
        <v>297</v>
      </c>
      <c r="E255" s="5">
        <f>(2.8*9.02)*(10.764)</f>
        <v>271.85558399999996</v>
      </c>
      <c r="F255" s="5">
        <v>0</v>
      </c>
      <c r="G255" s="5">
        <v>0</v>
      </c>
      <c r="H255" s="5">
        <f t="shared" si="54"/>
        <v>271.85558399999996</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73" t="s">
        <v>384</v>
      </c>
      <c r="B256" s="73"/>
      <c r="C256" s="54" t="s">
        <v>97</v>
      </c>
      <c r="D256" s="54" t="s">
        <v>297</v>
      </c>
      <c r="E256" s="5">
        <f>(3.15*9.02)*(10.764)</f>
        <v>305.83753199999995</v>
      </c>
      <c r="F256" s="5">
        <v>0</v>
      </c>
      <c r="G256" s="5">
        <v>0</v>
      </c>
      <c r="H256" s="5">
        <f t="shared" si="54"/>
        <v>305.83753199999995</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73" t="s">
        <v>385</v>
      </c>
      <c r="B257" s="73"/>
      <c r="C257" s="54" t="s">
        <v>97</v>
      </c>
      <c r="D257" s="54" t="s">
        <v>297</v>
      </c>
      <c r="E257" s="5">
        <f>(2.98*9.02)*(10.764)</f>
        <v>289.33201439999999</v>
      </c>
      <c r="F257" s="5">
        <v>0</v>
      </c>
      <c r="G257" s="5">
        <v>0</v>
      </c>
      <c r="H257" s="5">
        <f t="shared" si="54"/>
        <v>289.33201439999999</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73" t="s">
        <v>386</v>
      </c>
      <c r="B258" s="73"/>
      <c r="C258" s="54" t="s">
        <v>97</v>
      </c>
      <c r="D258" s="54" t="s">
        <v>297</v>
      </c>
      <c r="E258" s="5">
        <f>(2.88*9.02)*(10.764)</f>
        <v>279.62288639999997</v>
      </c>
      <c r="F258" s="5">
        <v>0</v>
      </c>
      <c r="G258" s="5">
        <v>0</v>
      </c>
      <c r="H258" s="5">
        <f t="shared" si="54"/>
        <v>279.62288639999997</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73" t="s">
        <v>387</v>
      </c>
      <c r="B259" s="73"/>
      <c r="C259" s="54" t="s">
        <v>97</v>
      </c>
      <c r="D259" s="54" t="s">
        <v>297</v>
      </c>
      <c r="E259" s="5">
        <f>(2.73*9.02)*(10.764)</f>
        <v>265.05919439999997</v>
      </c>
      <c r="F259" s="5">
        <v>0</v>
      </c>
      <c r="G259" s="5">
        <v>0</v>
      </c>
      <c r="H259" s="5">
        <f t="shared" si="54"/>
        <v>265.05919439999997</v>
      </c>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73" t="s">
        <v>388</v>
      </c>
      <c r="B260" s="73"/>
      <c r="C260" s="54" t="s">
        <v>97</v>
      </c>
      <c r="D260" s="54" t="s">
        <v>297</v>
      </c>
      <c r="E260" s="5">
        <f>(2.95*6.35+3.38*2.79+6.17*3.06)*(10.764)</f>
        <v>506.36977560000003</v>
      </c>
      <c r="F260" s="5">
        <v>0</v>
      </c>
      <c r="G260" s="5">
        <v>0</v>
      </c>
      <c r="H260" s="5">
        <f t="shared" si="54"/>
        <v>506.36977560000003</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73" t="s">
        <v>389</v>
      </c>
      <c r="B261" s="73"/>
      <c r="C261" s="54" t="s">
        <v>97</v>
      </c>
      <c r="D261" s="54" t="s">
        <v>297</v>
      </c>
      <c r="E261" s="5">
        <f>(2.48*4.19+2.65*1.5)*(10.764)</f>
        <v>154.63777680000001</v>
      </c>
      <c r="F261" s="5">
        <v>0</v>
      </c>
      <c r="G261" s="5">
        <v>0</v>
      </c>
      <c r="H261" s="5">
        <f t="shared" si="54"/>
        <v>154.63777680000001</v>
      </c>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73" t="s">
        <v>390</v>
      </c>
      <c r="B262" s="73"/>
      <c r="C262" s="54" t="s">
        <v>97</v>
      </c>
      <c r="D262" s="54" t="s">
        <v>297</v>
      </c>
      <c r="E262" s="5">
        <f>(2.7*5.69)*(10.764)</f>
        <v>165.367332</v>
      </c>
      <c r="F262" s="5">
        <v>0</v>
      </c>
      <c r="G262" s="5">
        <v>0</v>
      </c>
      <c r="H262" s="5">
        <f t="shared" si="54"/>
        <v>165.367332</v>
      </c>
      <c r="I262" s="4"/>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73" t="s">
        <v>391</v>
      </c>
      <c r="B263" s="73"/>
      <c r="C263" s="54" t="s">
        <v>97</v>
      </c>
      <c r="D263" s="54" t="s">
        <v>297</v>
      </c>
      <c r="E263" s="5">
        <f>(2.93*2.94+2.42*2.75)*(10.764)</f>
        <v>164.3576688</v>
      </c>
      <c r="F263" s="5">
        <v>0</v>
      </c>
      <c r="G263" s="5">
        <v>0</v>
      </c>
      <c r="H263" s="5">
        <f t="shared" si="54"/>
        <v>164.3576688</v>
      </c>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73" t="s">
        <v>392</v>
      </c>
      <c r="B264" s="73"/>
      <c r="C264" s="54" t="s">
        <v>97</v>
      </c>
      <c r="D264" s="54" t="s">
        <v>297</v>
      </c>
      <c r="E264" s="5">
        <f>(8.74*3.65)*(10.764)</f>
        <v>343.382364</v>
      </c>
      <c r="F264" s="5">
        <v>0</v>
      </c>
      <c r="G264" s="5">
        <v>0</v>
      </c>
      <c r="H264" s="5">
        <f t="shared" si="54"/>
        <v>343.382364</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73" t="s">
        <v>393</v>
      </c>
      <c r="B265" s="73"/>
      <c r="C265" s="54" t="s">
        <v>97</v>
      </c>
      <c r="D265" s="54" t="s">
        <v>297</v>
      </c>
      <c r="E265" s="5">
        <f>(8.45*5.52)*(10.764)</f>
        <v>502.07601599999987</v>
      </c>
      <c r="F265" s="5">
        <v>0</v>
      </c>
      <c r="G265" s="5">
        <v>0</v>
      </c>
      <c r="H265" s="5">
        <f t="shared" si="54"/>
        <v>502.07601599999987</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73" t="s">
        <v>394</v>
      </c>
      <c r="B266" s="73"/>
      <c r="C266" s="54" t="s">
        <v>97</v>
      </c>
      <c r="D266" s="54" t="s">
        <v>297</v>
      </c>
      <c r="E266" s="5">
        <f>(9.19*4.89+9.64*1.57+10.17*3.58)*(10.764)</f>
        <v>1038.5376299999998</v>
      </c>
      <c r="F266" s="5">
        <v>0</v>
      </c>
      <c r="G266" s="5">
        <v>0</v>
      </c>
      <c r="H266" s="5">
        <f t="shared" si="54"/>
        <v>1038.5376299999998</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x14ac:dyDescent="0.25">
      <c r="A267" s="96" t="s">
        <v>336</v>
      </c>
      <c r="B267" s="97"/>
      <c r="C267" s="97"/>
      <c r="D267" s="97"/>
      <c r="E267" s="97"/>
      <c r="F267" s="97"/>
      <c r="G267" s="97"/>
      <c r="H267" s="98"/>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96" t="s">
        <v>358</v>
      </c>
      <c r="B268" s="97"/>
      <c r="C268" s="97"/>
      <c r="D268" s="97"/>
      <c r="E268" s="97"/>
      <c r="F268" s="97"/>
      <c r="G268" s="97"/>
      <c r="H268" s="98"/>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73" t="s">
        <v>359</v>
      </c>
      <c r="B269" s="73"/>
      <c r="C269" s="54" t="s">
        <v>97</v>
      </c>
      <c r="D269" s="54" t="s">
        <v>355</v>
      </c>
      <c r="E269" s="5">
        <f>(29.72)*(10.764)</f>
        <v>319.90607999999997</v>
      </c>
      <c r="F269" s="5">
        <f>(1.05*3.05)*(10.764)</f>
        <v>34.471710000000002</v>
      </c>
      <c r="G269" s="5">
        <v>0</v>
      </c>
      <c r="H269" s="5">
        <f>E269+F269+(IF(G269&lt;101,G269,IF(G269&lt;201,G269/2,IF(G269&lt;=301,G269/3,G269/4))))</f>
        <v>354.37779</v>
      </c>
      <c r="I269" s="57"/>
      <c r="J269" s="57"/>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x14ac:dyDescent="0.25">
      <c r="A270" s="73" t="s">
        <v>360</v>
      </c>
      <c r="B270" s="73"/>
      <c r="C270" s="54" t="s">
        <v>97</v>
      </c>
      <c r="D270" s="54" t="s">
        <v>355</v>
      </c>
      <c r="E270" s="5">
        <f t="shared" ref="E270:E277" si="55">(29.44)*(10.764)</f>
        <v>316.89215999999999</v>
      </c>
      <c r="F270" s="5">
        <f t="shared" ref="F270:F286" si="56">(1.05*3.05+0.65*4.3)*(10.764)</f>
        <v>64.557090000000002</v>
      </c>
      <c r="G270" s="5">
        <v>0</v>
      </c>
      <c r="H270" s="5">
        <f t="shared" ref="H270:H287" si="57">E270+F270+(IF(G270&lt;101,G270,IF(G270&lt;201,G270/2,IF(G270&lt;=301,G270/3,G270/4))))</f>
        <v>381.44925000000001</v>
      </c>
      <c r="I270" s="57"/>
      <c r="J270" s="57">
        <f>490000000/H270</f>
        <v>1284574.5534956485</v>
      </c>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73" t="s">
        <v>361</v>
      </c>
      <c r="B271" s="73"/>
      <c r="C271" s="54" t="s">
        <v>97</v>
      </c>
      <c r="D271" s="54" t="s">
        <v>355</v>
      </c>
      <c r="E271" s="5">
        <f t="shared" si="55"/>
        <v>316.89215999999999</v>
      </c>
      <c r="F271" s="5">
        <f t="shared" si="56"/>
        <v>64.557090000000002</v>
      </c>
      <c r="G271" s="5">
        <v>0</v>
      </c>
      <c r="H271" s="5">
        <f t="shared" si="57"/>
        <v>381.44925000000001</v>
      </c>
      <c r="I271" s="1"/>
      <c r="J271" s="1">
        <f>6400000000/H271</f>
        <v>16778116.617086019</v>
      </c>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73" t="s">
        <v>362</v>
      </c>
      <c r="B272" s="73"/>
      <c r="C272" s="54" t="s">
        <v>97</v>
      </c>
      <c r="D272" s="54" t="s">
        <v>355</v>
      </c>
      <c r="E272" s="5">
        <f t="shared" si="55"/>
        <v>316.89215999999999</v>
      </c>
      <c r="F272" s="5">
        <f t="shared" si="56"/>
        <v>64.557090000000002</v>
      </c>
      <c r="G272" s="5">
        <v>0</v>
      </c>
      <c r="H272" s="5">
        <f t="shared" si="57"/>
        <v>381.44925000000001</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73" t="s">
        <v>363</v>
      </c>
      <c r="B273" s="73"/>
      <c r="C273" s="54" t="s">
        <v>97</v>
      </c>
      <c r="D273" s="54" t="s">
        <v>355</v>
      </c>
      <c r="E273" s="5">
        <f t="shared" si="55"/>
        <v>316.89215999999999</v>
      </c>
      <c r="F273" s="5">
        <f t="shared" si="56"/>
        <v>64.557090000000002</v>
      </c>
      <c r="G273" s="5">
        <v>0</v>
      </c>
      <c r="H273" s="5">
        <f t="shared" si="57"/>
        <v>381.44925000000001</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73" t="s">
        <v>364</v>
      </c>
      <c r="B274" s="73"/>
      <c r="C274" s="54" t="s">
        <v>97</v>
      </c>
      <c r="D274" s="54" t="s">
        <v>355</v>
      </c>
      <c r="E274" s="5">
        <f t="shared" si="55"/>
        <v>316.89215999999999</v>
      </c>
      <c r="F274" s="5">
        <f t="shared" si="56"/>
        <v>64.557090000000002</v>
      </c>
      <c r="G274" s="5">
        <v>0</v>
      </c>
      <c r="H274" s="5">
        <f t="shared" si="57"/>
        <v>381.44925000000001</v>
      </c>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73" t="s">
        <v>365</v>
      </c>
      <c r="B275" s="73"/>
      <c r="C275" s="54" t="s">
        <v>97</v>
      </c>
      <c r="D275" s="54" t="s">
        <v>355</v>
      </c>
      <c r="E275" s="5">
        <f t="shared" si="55"/>
        <v>316.89215999999999</v>
      </c>
      <c r="F275" s="5">
        <f t="shared" si="56"/>
        <v>64.557090000000002</v>
      </c>
      <c r="G275" s="5">
        <v>0</v>
      </c>
      <c r="H275" s="5">
        <f t="shared" si="57"/>
        <v>381.44925000000001</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73" t="s">
        <v>366</v>
      </c>
      <c r="B276" s="73"/>
      <c r="C276" s="54" t="s">
        <v>97</v>
      </c>
      <c r="D276" s="54" t="s">
        <v>355</v>
      </c>
      <c r="E276" s="5">
        <f t="shared" si="55"/>
        <v>316.89215999999999</v>
      </c>
      <c r="F276" s="5">
        <f t="shared" si="56"/>
        <v>64.557090000000002</v>
      </c>
      <c r="G276" s="5">
        <v>0</v>
      </c>
      <c r="H276" s="5">
        <f t="shared" si="57"/>
        <v>381.44925000000001</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73" t="s">
        <v>367</v>
      </c>
      <c r="B277" s="73"/>
      <c r="C277" s="54" t="s">
        <v>97</v>
      </c>
      <c r="D277" s="54" t="s">
        <v>355</v>
      </c>
      <c r="E277" s="5">
        <f t="shared" si="55"/>
        <v>316.89215999999999</v>
      </c>
      <c r="F277" s="5">
        <f t="shared" si="56"/>
        <v>64.557090000000002</v>
      </c>
      <c r="G277" s="5">
        <v>0</v>
      </c>
      <c r="H277" s="5">
        <f t="shared" si="57"/>
        <v>381.44925000000001</v>
      </c>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73" t="s">
        <v>368</v>
      </c>
      <c r="B278" s="73"/>
      <c r="C278" s="54" t="s">
        <v>97</v>
      </c>
      <c r="D278" s="145" t="s">
        <v>412</v>
      </c>
      <c r="E278" s="146"/>
      <c r="F278" s="146"/>
      <c r="G278" s="146"/>
      <c r="H278" s="147"/>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73" t="s">
        <v>369</v>
      </c>
      <c r="B279" s="73"/>
      <c r="C279" s="54" t="s">
        <v>97</v>
      </c>
      <c r="D279" s="148"/>
      <c r="E279" s="149"/>
      <c r="F279" s="149"/>
      <c r="G279" s="149"/>
      <c r="H279" s="15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73" t="s">
        <v>370</v>
      </c>
      <c r="B280" s="73"/>
      <c r="C280" s="54" t="s">
        <v>97</v>
      </c>
      <c r="D280" s="151"/>
      <c r="E280" s="152"/>
      <c r="F280" s="152"/>
      <c r="G280" s="152"/>
      <c r="H280" s="153"/>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73" t="s">
        <v>371</v>
      </c>
      <c r="B281" s="73"/>
      <c r="C281" s="54" t="s">
        <v>97</v>
      </c>
      <c r="D281" s="54" t="s">
        <v>356</v>
      </c>
      <c r="E281" s="5">
        <f>(43.09)*(10.764)</f>
        <v>463.82076000000001</v>
      </c>
      <c r="F281" s="5">
        <f t="shared" si="56"/>
        <v>64.557090000000002</v>
      </c>
      <c r="G281" s="5">
        <v>0</v>
      </c>
      <c r="H281" s="5">
        <f t="shared" si="57"/>
        <v>528.37784999999997</v>
      </c>
      <c r="I281" s="57">
        <f>(3.1*3.3+2*2.1+2.95*2.7+2.75*2.9+1.6*0.6+1.35*1.99+1.2*2.09+1.4*0.9+1*1.85+0.9*0.45+1.5*1.05)</f>
        <v>41.614500000000007</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73" t="s">
        <v>372</v>
      </c>
      <c r="B282" s="73"/>
      <c r="C282" s="54" t="s">
        <v>97</v>
      </c>
      <c r="D282" s="54" t="s">
        <v>355</v>
      </c>
      <c r="E282" s="5">
        <f>(29.44)*(10.764)</f>
        <v>316.89215999999999</v>
      </c>
      <c r="F282" s="5">
        <f t="shared" si="56"/>
        <v>64.557090000000002</v>
      </c>
      <c r="G282" s="5">
        <v>0</v>
      </c>
      <c r="H282" s="5">
        <f t="shared" si="57"/>
        <v>381.44925000000001</v>
      </c>
      <c r="I282" s="57">
        <f>(3.05*2.64+3.05*1.9+2.75*2.9+1.6*0.6+1.35*1.99+1.2*1.99)</f>
        <v>27.856499999999997</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25">
      <c r="A283" s="73" t="s">
        <v>373</v>
      </c>
      <c r="B283" s="73"/>
      <c r="C283" s="54" t="s">
        <v>97</v>
      </c>
      <c r="D283" s="54" t="s">
        <v>355</v>
      </c>
      <c r="E283" s="5">
        <f>(29.44)*(10.764)</f>
        <v>316.89215999999999</v>
      </c>
      <c r="F283" s="5">
        <f t="shared" si="56"/>
        <v>64.557090000000002</v>
      </c>
      <c r="G283" s="5">
        <v>0</v>
      </c>
      <c r="H283" s="5">
        <f t="shared" si="57"/>
        <v>381.44925000000001</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73" t="s">
        <v>374</v>
      </c>
      <c r="B284" s="73"/>
      <c r="C284" s="54" t="s">
        <v>97</v>
      </c>
      <c r="D284" s="54" t="s">
        <v>355</v>
      </c>
      <c r="E284" s="5">
        <f>(29.44)*(10.764)</f>
        <v>316.89215999999999</v>
      </c>
      <c r="F284" s="5">
        <f t="shared" si="56"/>
        <v>64.557090000000002</v>
      </c>
      <c r="G284" s="5">
        <v>0</v>
      </c>
      <c r="H284" s="5">
        <f t="shared" si="57"/>
        <v>381.44925000000001</v>
      </c>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73" t="s">
        <v>375</v>
      </c>
      <c r="B285" s="73"/>
      <c r="C285" s="54" t="s">
        <v>97</v>
      </c>
      <c r="D285" s="54" t="s">
        <v>355</v>
      </c>
      <c r="E285" s="5">
        <f>(29.44)*(10.764)</f>
        <v>316.89215999999999</v>
      </c>
      <c r="F285" s="5">
        <f t="shared" si="56"/>
        <v>64.557090000000002</v>
      </c>
      <c r="G285" s="5">
        <v>0</v>
      </c>
      <c r="H285" s="5">
        <f t="shared" si="57"/>
        <v>381.44925000000001</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25">
      <c r="A286" s="73" t="s">
        <v>376</v>
      </c>
      <c r="B286" s="73"/>
      <c r="C286" s="54" t="s">
        <v>97</v>
      </c>
      <c r="D286" s="54" t="s">
        <v>355</v>
      </c>
      <c r="E286" s="5">
        <f>(29.44)*(10.764)</f>
        <v>316.89215999999999</v>
      </c>
      <c r="F286" s="5">
        <f t="shared" si="56"/>
        <v>64.557090000000002</v>
      </c>
      <c r="G286" s="5">
        <v>0</v>
      </c>
      <c r="H286" s="5">
        <f t="shared" si="57"/>
        <v>381.44925000000001</v>
      </c>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73" t="s">
        <v>377</v>
      </c>
      <c r="B287" s="73"/>
      <c r="C287" s="54" t="s">
        <v>97</v>
      </c>
      <c r="D287" s="54" t="s">
        <v>355</v>
      </c>
      <c r="E287" s="5">
        <f>(29.72)*(10.764)</f>
        <v>319.90607999999997</v>
      </c>
      <c r="F287" s="5">
        <f>(1.05*3.05)*(10.764)</f>
        <v>34.471710000000002</v>
      </c>
      <c r="G287" s="5">
        <v>0</v>
      </c>
      <c r="H287" s="5">
        <f t="shared" si="57"/>
        <v>354.37779</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x14ac:dyDescent="0.25">
      <c r="A288" s="90" t="s">
        <v>413</v>
      </c>
      <c r="B288" s="91"/>
      <c r="C288" s="91"/>
      <c r="D288" s="91"/>
      <c r="E288" s="91"/>
      <c r="F288" s="91"/>
      <c r="G288" s="91"/>
      <c r="H288" s="92"/>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73" t="s">
        <v>359</v>
      </c>
      <c r="B289" s="73"/>
      <c r="C289" s="54" t="s">
        <v>97</v>
      </c>
      <c r="D289" s="54" t="s">
        <v>355</v>
      </c>
      <c r="E289" s="5">
        <f>(29.98)*(10.764)</f>
        <v>322.70472000000001</v>
      </c>
      <c r="F289" s="5">
        <f t="shared" ref="F289:F300" si="58">(1.05*3.05+0.65*4.3)*(10.764)</f>
        <v>64.557090000000002</v>
      </c>
      <c r="G289" s="5">
        <v>0</v>
      </c>
      <c r="H289" s="5">
        <f>E289+F289+(IF(G289&lt;101,G289,IF(G289&lt;201,G289/2,IF(G289&lt;=301,G289/3,G289/4))))</f>
        <v>387.26181000000003</v>
      </c>
      <c r="I289" s="1"/>
      <c r="J289" s="1"/>
      <c r="K289" s="1"/>
      <c r="L289" s="1"/>
      <c r="M289" s="1"/>
      <c r="N289" s="1"/>
      <c r="O289" s="1"/>
      <c r="P289" s="1"/>
      <c r="Q289" s="1"/>
      <c r="R289" s="1"/>
      <c r="S289" s="1"/>
      <c r="T289" s="22" t="str">
        <f t="shared" ref="T289:T296" ca="1" si="59">U289&amp;""&amp;",..,"&amp;""&amp;V289</f>
        <v>4701,..,2301</v>
      </c>
      <c r="U289" s="22">
        <f ca="1">(SUMPRODUCT(MID(0&amp;(LEFT(A288,SUM(LEN(A288)-LEN(SUBSTITUTE(A288,{"0","1","2","3"},""))))), LARGE(INDEX(ISNUMBER(--MID((LEFT(A288,SUM(LEN(A288)-LEN(SUBSTITUTE(A288,{"0","1","2","3"},""))))), ROW(INDIRECT("1:"&amp;LEN((LEFT(A288,SUM(LEN(A288)-LEN(SUBSTITUTE(A288,{"0","1","2","3"},"")))))))), 1)) * ROW(INDIRECT("1:"&amp;LEN((LEFT(A288,SUM(LEN(A288)-LEN(SUBSTITUTE(A288,{"0","1","2","3"},"")))))))), 0), ROW(INDIRECT("1:"&amp;LEN((LEFT(A288,SUM(LEN(A288)-LEN(SUBSTITUTE(A288,{"0","1","2","3"},"")))))))))+1, 1) * 10^ROW(INDIRECT("1:"&amp;LEN((LEFT(A288,SUM(LEN(A288)-LEN(SUBSTITUTE(A288,{"0","1","2","3"},""))))))))/10))*100+1</f>
        <v>4701</v>
      </c>
      <c r="V289" s="22">
        <f ca="1">(SUMPRODUCT(MID(0&amp;(--TRIM(RIGHT(SUBSTITUTE(LEFT(A288,_xlfn.AGGREGATE(16,6,FIND({0,1,2,3,4,5,6,7,8,9},A288,ROW(INDIRECT("1:"&amp;LEN(A288)))),1))," ",REPT(" ",LEN(A288))),LEN(A288)))), LARGE(INDEX(ISNUMBER(--MID((--TRIM(RIGHT(SUBSTITUTE(LEFT(A288,_xlfn.AGGREGATE(16,6,FIND({0,1,2,3,4,5,6,7,8,9},A288,ROW(INDIRECT("1:"&amp;LEN(A288)))),1))," ",REPT(" ",LEN(A288))),LEN(A288)))), ROW(INDIRECT("1:"&amp;LEN((--TRIM(RIGHT(SUBSTITUTE(LEFT(A288,_xlfn.AGGREGATE(16,6,FIND({0,1,2,3,4,5,6,7,8,9},A288,ROW(INDIRECT("1:"&amp;LEN(A288)))),1))," ",REPT(" ",LEN(A288))),LEN(A288))))))), 1)) * ROW(INDIRECT("1:"&amp;LEN((--TRIM(RIGHT(SUBSTITUTE(LEFT(A288,_xlfn.AGGREGATE(16,6,FIND({0,1,2,3,4,5,6,7,8,9},A288,ROW(INDIRECT("1:"&amp;LEN(A288)))),1))," ",REPT(" ",LEN(A288))),LEN(A288))))))), 0), ROW(INDIRECT("1:"&amp;LEN((--TRIM(RIGHT(SUBSTITUTE(LEFT(A288,_xlfn.AGGREGATE(16,6,FIND({0,1,2,3,4,5,6,7,8,9},A288,ROW(INDIRECT("1:"&amp;LEN(A288)))),1))," ",REPT(" ",LEN(A288))),LEN(A288))))))))+1, 1) * 10^ROW(INDIRECT("1:"&amp;LEN((--TRIM(RIGHT(SUBSTITUTE(LEFT(A288,_xlfn.AGGREGATE(16,6,FIND({0,1,2,3,4,5,6,7,8,9},A288,ROW(INDIRECT("1:"&amp;LEN(A288)))),1))," ",REPT(" ",LEN(A288))),LEN(A288)))))))/10))*100+1</f>
        <v>2301</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73" t="s">
        <v>360</v>
      </c>
      <c r="B290" s="73"/>
      <c r="C290" s="54" t="s">
        <v>97</v>
      </c>
      <c r="D290" s="54" t="s">
        <v>355</v>
      </c>
      <c r="E290" s="5">
        <f t="shared" ref="E290:E299" si="60">(29.44)*(10.764)</f>
        <v>316.89215999999999</v>
      </c>
      <c r="F290" s="5">
        <f t="shared" si="58"/>
        <v>64.557090000000002</v>
      </c>
      <c r="G290" s="5">
        <v>0</v>
      </c>
      <c r="H290" s="5">
        <f t="shared" ref="H290:H296" si="61">E290+F290+(IF(G290&lt;101,G290,IF(G290&lt;201,G290/2,IF(G290&lt;=301,G290/3,G290/4))))</f>
        <v>381.44925000000001</v>
      </c>
      <c r="I290" s="1"/>
      <c r="J290" s="1"/>
      <c r="K290" s="1"/>
      <c r="L290" s="1"/>
      <c r="M290" s="1"/>
      <c r="N290" s="1"/>
      <c r="O290" s="1"/>
      <c r="P290" s="1"/>
      <c r="Q290" s="1"/>
      <c r="R290" s="1"/>
      <c r="S290" s="1"/>
      <c r="T290" s="22" t="str">
        <f t="shared" ca="1" si="59"/>
        <v>4702,..,2302</v>
      </c>
      <c r="U290" s="22">
        <f ca="1">U289+1</f>
        <v>4702</v>
      </c>
      <c r="V290" s="22">
        <f ca="1">V289+1</f>
        <v>2302</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73" t="s">
        <v>361</v>
      </c>
      <c r="B291" s="73"/>
      <c r="C291" s="54" t="s">
        <v>97</v>
      </c>
      <c r="D291" s="54" t="s">
        <v>355</v>
      </c>
      <c r="E291" s="5">
        <f t="shared" si="60"/>
        <v>316.89215999999999</v>
      </c>
      <c r="F291" s="5">
        <f t="shared" si="58"/>
        <v>64.557090000000002</v>
      </c>
      <c r="G291" s="5">
        <v>0</v>
      </c>
      <c r="H291" s="5">
        <f t="shared" si="61"/>
        <v>381.44925000000001</v>
      </c>
      <c r="I291" s="1"/>
      <c r="J291" s="1"/>
      <c r="K291" s="1"/>
      <c r="L291" s="1"/>
      <c r="M291" s="1"/>
      <c r="N291" s="1"/>
      <c r="O291" s="1"/>
      <c r="P291" s="1"/>
      <c r="Q291" s="1"/>
      <c r="R291" s="1"/>
      <c r="S291" s="1"/>
      <c r="T291" s="22" t="str">
        <f t="shared" ca="1" si="59"/>
        <v>4703,..,2303</v>
      </c>
      <c r="U291" s="22">
        <f t="shared" ref="U291:V296" ca="1" si="62">U290+1</f>
        <v>4703</v>
      </c>
      <c r="V291" s="22">
        <f t="shared" ca="1" si="62"/>
        <v>2303</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73" t="s">
        <v>362</v>
      </c>
      <c r="B292" s="73"/>
      <c r="C292" s="54" t="s">
        <v>97</v>
      </c>
      <c r="D292" s="54" t="s">
        <v>355</v>
      </c>
      <c r="E292" s="5">
        <f t="shared" si="60"/>
        <v>316.89215999999999</v>
      </c>
      <c r="F292" s="5">
        <f t="shared" si="58"/>
        <v>64.557090000000002</v>
      </c>
      <c r="G292" s="5">
        <v>0</v>
      </c>
      <c r="H292" s="5">
        <f t="shared" si="61"/>
        <v>381.44925000000001</v>
      </c>
      <c r="I292" s="1"/>
      <c r="J292" s="1"/>
      <c r="K292" s="1"/>
      <c r="L292" s="1"/>
      <c r="M292" s="1"/>
      <c r="N292" s="1"/>
      <c r="O292" s="1"/>
      <c r="P292" s="1"/>
      <c r="Q292" s="1"/>
      <c r="R292" s="1"/>
      <c r="S292" s="1"/>
      <c r="T292" s="22" t="str">
        <f t="shared" ca="1" si="59"/>
        <v>4704,..,2304</v>
      </c>
      <c r="U292" s="22">
        <f t="shared" ca="1" si="62"/>
        <v>4704</v>
      </c>
      <c r="V292" s="22">
        <f t="shared" ca="1" si="62"/>
        <v>2304</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73" t="s">
        <v>363</v>
      </c>
      <c r="B293" s="73"/>
      <c r="C293" s="54" t="s">
        <v>97</v>
      </c>
      <c r="D293" s="54" t="s">
        <v>355</v>
      </c>
      <c r="E293" s="5">
        <f t="shared" si="60"/>
        <v>316.89215999999999</v>
      </c>
      <c r="F293" s="5">
        <f t="shared" si="58"/>
        <v>64.557090000000002</v>
      </c>
      <c r="G293" s="5">
        <v>0</v>
      </c>
      <c r="H293" s="5">
        <f t="shared" si="61"/>
        <v>381.44925000000001</v>
      </c>
      <c r="I293" s="1"/>
      <c r="J293" s="1"/>
      <c r="K293" s="1"/>
      <c r="L293" s="1"/>
      <c r="M293" s="1"/>
      <c r="N293" s="1"/>
      <c r="O293" s="1"/>
      <c r="P293" s="1"/>
      <c r="Q293" s="1"/>
      <c r="R293" s="1"/>
      <c r="S293" s="1"/>
      <c r="T293" s="22" t="str">
        <f t="shared" ca="1" si="59"/>
        <v>4705,..,2305</v>
      </c>
      <c r="U293" s="22">
        <f t="shared" ca="1" si="62"/>
        <v>4705</v>
      </c>
      <c r="V293" s="22">
        <f t="shared" ca="1" si="62"/>
        <v>2305</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73" t="s">
        <v>364</v>
      </c>
      <c r="B294" s="73"/>
      <c r="C294" s="54" t="s">
        <v>97</v>
      </c>
      <c r="D294" s="54" t="s">
        <v>355</v>
      </c>
      <c r="E294" s="5">
        <f t="shared" si="60"/>
        <v>316.89215999999999</v>
      </c>
      <c r="F294" s="5">
        <f t="shared" si="58"/>
        <v>64.557090000000002</v>
      </c>
      <c r="G294" s="5">
        <v>0</v>
      </c>
      <c r="H294" s="5">
        <f t="shared" si="61"/>
        <v>381.44925000000001</v>
      </c>
      <c r="I294" s="1"/>
      <c r="J294" s="1"/>
      <c r="K294" s="1"/>
      <c r="L294" s="1"/>
      <c r="M294" s="1"/>
      <c r="N294" s="1"/>
      <c r="O294" s="1"/>
      <c r="P294" s="1"/>
      <c r="Q294" s="1"/>
      <c r="R294" s="1"/>
      <c r="S294" s="1"/>
      <c r="T294" s="22" t="str">
        <f t="shared" ca="1" si="59"/>
        <v>4706,..,2306</v>
      </c>
      <c r="U294" s="22">
        <f t="shared" ca="1" si="62"/>
        <v>4706</v>
      </c>
      <c r="V294" s="22">
        <f t="shared" ca="1" si="62"/>
        <v>2306</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73" t="s">
        <v>365</v>
      </c>
      <c r="B295" s="73"/>
      <c r="C295" s="54" t="s">
        <v>97</v>
      </c>
      <c r="D295" s="54" t="s">
        <v>355</v>
      </c>
      <c r="E295" s="5">
        <f t="shared" si="60"/>
        <v>316.89215999999999</v>
      </c>
      <c r="F295" s="5">
        <f t="shared" si="58"/>
        <v>64.557090000000002</v>
      </c>
      <c r="G295" s="5">
        <v>0</v>
      </c>
      <c r="H295" s="5">
        <f t="shared" si="61"/>
        <v>381.44925000000001</v>
      </c>
      <c r="I295" s="1"/>
      <c r="J295" s="1"/>
      <c r="K295" s="1"/>
      <c r="L295" s="1"/>
      <c r="M295" s="1"/>
      <c r="N295" s="1"/>
      <c r="O295" s="1"/>
      <c r="P295" s="1"/>
      <c r="Q295" s="1"/>
      <c r="R295" s="1"/>
      <c r="S295" s="1"/>
      <c r="T295" s="22" t="str">
        <f t="shared" ca="1" si="59"/>
        <v>4707,..,2307</v>
      </c>
      <c r="U295" s="22">
        <f t="shared" ca="1" si="62"/>
        <v>4707</v>
      </c>
      <c r="V295" s="22">
        <f t="shared" ca="1" si="62"/>
        <v>2307</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73" t="s">
        <v>366</v>
      </c>
      <c r="B296" s="73"/>
      <c r="C296" s="54" t="s">
        <v>97</v>
      </c>
      <c r="D296" s="54" t="s">
        <v>355</v>
      </c>
      <c r="E296" s="5">
        <f t="shared" si="60"/>
        <v>316.89215999999999</v>
      </c>
      <c r="F296" s="5">
        <f t="shared" si="58"/>
        <v>64.557090000000002</v>
      </c>
      <c r="G296" s="5">
        <v>0</v>
      </c>
      <c r="H296" s="5">
        <f t="shared" si="61"/>
        <v>381.44925000000001</v>
      </c>
      <c r="I296" s="1"/>
      <c r="J296" s="1"/>
      <c r="K296" s="1"/>
      <c r="L296" s="1"/>
      <c r="M296" s="1"/>
      <c r="N296" s="1"/>
      <c r="O296" s="1"/>
      <c r="P296" s="1"/>
      <c r="Q296" s="1"/>
      <c r="R296" s="1"/>
      <c r="S296" s="1"/>
      <c r="T296" s="22" t="str">
        <f t="shared" ca="1" si="59"/>
        <v>4708,..,2308</v>
      </c>
      <c r="U296" s="22">
        <f t="shared" ca="1" si="62"/>
        <v>4708</v>
      </c>
      <c r="V296" s="22">
        <f t="shared" ca="1" si="62"/>
        <v>2308</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73" t="s">
        <v>367</v>
      </c>
      <c r="B297" s="73"/>
      <c r="C297" s="54" t="s">
        <v>97</v>
      </c>
      <c r="D297" s="54" t="s">
        <v>355</v>
      </c>
      <c r="E297" s="5">
        <f t="shared" si="60"/>
        <v>316.89215999999999</v>
      </c>
      <c r="F297" s="5">
        <f t="shared" si="58"/>
        <v>64.557090000000002</v>
      </c>
      <c r="G297" s="5">
        <v>0</v>
      </c>
      <c r="H297" s="5">
        <f t="shared" ref="H297:H303" si="63">E297+F297+(IF(G297&lt;101,G297,IF(G297&lt;201,G297/2,IF(G297&lt;=301,G297/3,G297/4))))</f>
        <v>381.44925000000001</v>
      </c>
      <c r="I297" s="1"/>
      <c r="J297" s="1"/>
      <c r="K297" s="1"/>
      <c r="L297" s="1"/>
      <c r="M297" s="1"/>
      <c r="N297" s="1"/>
      <c r="O297" s="1"/>
      <c r="P297" s="1"/>
      <c r="Q297" s="1"/>
      <c r="R297" s="1"/>
      <c r="S297" s="1"/>
      <c r="T297" s="22" t="str">
        <f t="shared" ref="T297:T303" ca="1" si="64">U297&amp;""&amp;",..,"&amp;""&amp;V297</f>
        <v>4709,..,2309</v>
      </c>
      <c r="U297" s="22">
        <f ca="1">U296+1</f>
        <v>4709</v>
      </c>
      <c r="V297" s="22">
        <f ca="1">V296+1</f>
        <v>2309</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73" t="s">
        <v>368</v>
      </c>
      <c r="B298" s="73"/>
      <c r="C298" s="54" t="s">
        <v>97</v>
      </c>
      <c r="D298" s="54" t="s">
        <v>355</v>
      </c>
      <c r="E298" s="5">
        <f t="shared" si="60"/>
        <v>316.89215999999999</v>
      </c>
      <c r="F298" s="5">
        <f t="shared" si="58"/>
        <v>64.557090000000002</v>
      </c>
      <c r="G298" s="5">
        <v>0</v>
      </c>
      <c r="H298" s="5">
        <f t="shared" si="63"/>
        <v>381.44925000000001</v>
      </c>
      <c r="I298" s="1"/>
      <c r="J298" s="1"/>
      <c r="K298" s="1"/>
      <c r="L298" s="1"/>
      <c r="M298" s="1"/>
      <c r="N298" s="1"/>
      <c r="O298" s="1"/>
      <c r="P298" s="1"/>
      <c r="Q298" s="1"/>
      <c r="R298" s="1"/>
      <c r="S298" s="1"/>
      <c r="T298" s="22" t="str">
        <f t="shared" ca="1" si="64"/>
        <v>4710,..,2310</v>
      </c>
      <c r="U298" s="22">
        <f t="shared" ref="U298:V298" ca="1" si="65">U297+1</f>
        <v>4710</v>
      </c>
      <c r="V298" s="22">
        <f t="shared" ca="1" si="65"/>
        <v>2310</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73" t="s">
        <v>369</v>
      </c>
      <c r="B299" s="73"/>
      <c r="C299" s="54" t="s">
        <v>97</v>
      </c>
      <c r="D299" s="54" t="s">
        <v>355</v>
      </c>
      <c r="E299" s="5">
        <f t="shared" si="60"/>
        <v>316.89215999999999</v>
      </c>
      <c r="F299" s="5">
        <f t="shared" si="58"/>
        <v>64.557090000000002</v>
      </c>
      <c r="G299" s="5">
        <v>0</v>
      </c>
      <c r="H299" s="5">
        <f t="shared" si="63"/>
        <v>381.44925000000001</v>
      </c>
      <c r="I299" s="1"/>
      <c r="J299" s="1"/>
      <c r="K299" s="1"/>
      <c r="L299" s="1"/>
      <c r="M299" s="1"/>
      <c r="N299" s="1"/>
      <c r="O299" s="1"/>
      <c r="P299" s="1"/>
      <c r="Q299" s="1"/>
      <c r="R299" s="1"/>
      <c r="S299" s="1"/>
      <c r="T299" s="22" t="str">
        <f t="shared" ca="1" si="64"/>
        <v>4711,..,2311</v>
      </c>
      <c r="U299" s="22">
        <f t="shared" ref="U299:V299" ca="1" si="66">U298+1</f>
        <v>4711</v>
      </c>
      <c r="V299" s="22">
        <f t="shared" ca="1" si="66"/>
        <v>2311</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customHeight="1" x14ac:dyDescent="0.25">
      <c r="A300" s="73" t="s">
        <v>370</v>
      </c>
      <c r="B300" s="73"/>
      <c r="C300" s="54" t="s">
        <v>97</v>
      </c>
      <c r="D300" s="54" t="s">
        <v>355</v>
      </c>
      <c r="E300" s="5">
        <f>(29.96)*(10.764)</f>
        <v>322.48944</v>
      </c>
      <c r="F300" s="5">
        <f t="shared" si="58"/>
        <v>64.557090000000002</v>
      </c>
      <c r="G300" s="5">
        <v>0</v>
      </c>
      <c r="H300" s="5">
        <f t="shared" si="63"/>
        <v>387.04653000000002</v>
      </c>
      <c r="I300" s="1"/>
      <c r="J300" s="1"/>
      <c r="K300" s="1"/>
      <c r="L300" s="1"/>
      <c r="M300" s="1"/>
      <c r="N300" s="1"/>
      <c r="O300" s="1"/>
      <c r="P300" s="1"/>
      <c r="Q300" s="1"/>
      <c r="R300" s="1"/>
      <c r="S300" s="1"/>
      <c r="T300" s="22" t="str">
        <f t="shared" ca="1" si="64"/>
        <v>4712,..,2312</v>
      </c>
      <c r="U300" s="22">
        <f t="shared" ref="U300:V300" ca="1" si="67">U299+1</f>
        <v>4712</v>
      </c>
      <c r="V300" s="22">
        <f t="shared" ca="1" si="67"/>
        <v>2312</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customHeight="1" x14ac:dyDescent="0.25">
      <c r="A301" s="73" t="s">
        <v>371</v>
      </c>
      <c r="B301" s="73"/>
      <c r="C301" s="54" t="s">
        <v>97</v>
      </c>
      <c r="D301" s="58" t="s">
        <v>356</v>
      </c>
      <c r="E301" s="5">
        <f>(43.75)*(10.764)</f>
        <v>470.92499999999995</v>
      </c>
      <c r="F301" s="5">
        <f>(0.65*4.3+0.6*2.95+0.65*2.95+1.1*0.65)*(10.764)</f>
        <v>77.473889999999997</v>
      </c>
      <c r="G301" s="5">
        <v>0</v>
      </c>
      <c r="H301" s="5">
        <f t="shared" si="63"/>
        <v>548.39888999999994</v>
      </c>
      <c r="I301" s="1"/>
      <c r="J301" s="1"/>
      <c r="K301" s="1"/>
      <c r="L301" s="1"/>
      <c r="M301" s="1"/>
      <c r="N301" s="1"/>
      <c r="O301" s="1"/>
      <c r="P301" s="1"/>
      <c r="Q301" s="1"/>
      <c r="R301" s="1"/>
      <c r="S301" s="1"/>
      <c r="T301" s="22" t="str">
        <f t="shared" ca="1" si="64"/>
        <v>4713,..,2313</v>
      </c>
      <c r="U301" s="22">
        <f t="shared" ref="U301:V301" ca="1" si="68">U300+1</f>
        <v>4713</v>
      </c>
      <c r="V301" s="22">
        <f t="shared" ca="1" si="68"/>
        <v>2313</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73" t="s">
        <v>372</v>
      </c>
      <c r="B302" s="73"/>
      <c r="C302" s="54" t="s">
        <v>97</v>
      </c>
      <c r="D302" s="54" t="s">
        <v>355</v>
      </c>
      <c r="E302" s="5">
        <f>(29.44)*(10.764)</f>
        <v>316.89215999999999</v>
      </c>
      <c r="F302" s="5">
        <f t="shared" ref="F302:F307" si="69">(1.05*3.05+0.65*4.3)*(10.764)</f>
        <v>64.557090000000002</v>
      </c>
      <c r="G302" s="5">
        <v>0</v>
      </c>
      <c r="H302" s="5">
        <f t="shared" si="63"/>
        <v>381.44925000000001</v>
      </c>
      <c r="I302" s="1"/>
      <c r="J302" s="1"/>
      <c r="K302" s="1"/>
      <c r="L302" s="1"/>
      <c r="M302" s="1"/>
      <c r="N302" s="1"/>
      <c r="O302" s="1"/>
      <c r="P302" s="1"/>
      <c r="Q302" s="1"/>
      <c r="R302" s="1"/>
      <c r="S302" s="1"/>
      <c r="T302" s="22" t="str">
        <f t="shared" ca="1" si="64"/>
        <v>4714,..,2314</v>
      </c>
      <c r="U302" s="22">
        <f t="shared" ref="U302:V302" ca="1" si="70">U301+1</f>
        <v>4714</v>
      </c>
      <c r="V302" s="22">
        <f t="shared" ca="1" si="70"/>
        <v>2314</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73" t="s">
        <v>373</v>
      </c>
      <c r="B303" s="73"/>
      <c r="C303" s="54" t="s">
        <v>97</v>
      </c>
      <c r="D303" s="54" t="s">
        <v>355</v>
      </c>
      <c r="E303" s="5">
        <f>(29.44)*(10.764)</f>
        <v>316.89215999999999</v>
      </c>
      <c r="F303" s="5">
        <f t="shared" si="69"/>
        <v>64.557090000000002</v>
      </c>
      <c r="G303" s="5">
        <v>0</v>
      </c>
      <c r="H303" s="5">
        <f t="shared" si="63"/>
        <v>381.44925000000001</v>
      </c>
      <c r="I303" s="1"/>
      <c r="J303" s="1"/>
      <c r="K303" s="1"/>
      <c r="L303" s="1"/>
      <c r="M303" s="1"/>
      <c r="N303" s="1"/>
      <c r="O303" s="1"/>
      <c r="P303" s="1"/>
      <c r="Q303" s="1"/>
      <c r="R303" s="1"/>
      <c r="S303" s="1"/>
      <c r="T303" s="22" t="str">
        <f t="shared" ca="1" si="64"/>
        <v>4715,..,2315</v>
      </c>
      <c r="U303" s="22">
        <f t="shared" ref="U303:V303" ca="1" si="71">U302+1</f>
        <v>4715</v>
      </c>
      <c r="V303" s="22">
        <f t="shared" ca="1" si="71"/>
        <v>2315</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73" t="s">
        <v>374</v>
      </c>
      <c r="B304" s="73"/>
      <c r="C304" s="54" t="s">
        <v>97</v>
      </c>
      <c r="D304" s="54" t="s">
        <v>355</v>
      </c>
      <c r="E304" s="5">
        <f>(29.44)*(10.764)</f>
        <v>316.89215999999999</v>
      </c>
      <c r="F304" s="5">
        <f t="shared" si="69"/>
        <v>64.557090000000002</v>
      </c>
      <c r="G304" s="5">
        <v>0</v>
      </c>
      <c r="H304" s="5">
        <f t="shared" ref="H304:H307" si="72">E304+F304+(IF(G304&lt;101,G304,IF(G304&lt;201,G304/2,IF(G304&lt;=301,G304/3,G304/4))))</f>
        <v>381.44925000000001</v>
      </c>
      <c r="I304" s="1"/>
      <c r="J304" s="1"/>
      <c r="K304" s="1"/>
      <c r="L304" s="1"/>
      <c r="M304" s="1"/>
      <c r="N304" s="1"/>
      <c r="O304" s="1"/>
      <c r="P304" s="1"/>
      <c r="Q304" s="1"/>
      <c r="R304" s="1"/>
      <c r="S304" s="1"/>
      <c r="T304" s="22" t="str">
        <f t="shared" ref="T304:T307" ca="1" si="73">U304&amp;""&amp;",..,"&amp;""&amp;V304</f>
        <v>4716,..,2316</v>
      </c>
      <c r="U304" s="22">
        <f t="shared" ref="U304:V304" ca="1" si="74">U303+1</f>
        <v>4716</v>
      </c>
      <c r="V304" s="22">
        <f t="shared" ca="1" si="74"/>
        <v>2316</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73" t="s">
        <v>375</v>
      </c>
      <c r="B305" s="73"/>
      <c r="C305" s="54" t="s">
        <v>97</v>
      </c>
      <c r="D305" s="54" t="s">
        <v>355</v>
      </c>
      <c r="E305" s="5">
        <f>(29.44)*(10.764)</f>
        <v>316.89215999999999</v>
      </c>
      <c r="F305" s="5">
        <f t="shared" si="69"/>
        <v>64.557090000000002</v>
      </c>
      <c r="G305" s="5">
        <v>0</v>
      </c>
      <c r="H305" s="5">
        <f t="shared" si="72"/>
        <v>381.44925000000001</v>
      </c>
      <c r="I305" s="1"/>
      <c r="J305" s="1"/>
      <c r="K305" s="1"/>
      <c r="L305" s="1"/>
      <c r="M305" s="1"/>
      <c r="N305" s="1"/>
      <c r="O305" s="1"/>
      <c r="P305" s="1"/>
      <c r="Q305" s="1"/>
      <c r="R305" s="1"/>
      <c r="S305" s="1"/>
      <c r="T305" s="22" t="str">
        <f t="shared" ca="1" si="73"/>
        <v>4717,..,2317</v>
      </c>
      <c r="U305" s="22">
        <f t="shared" ref="U305:V305" ca="1" si="75">U304+1</f>
        <v>4717</v>
      </c>
      <c r="V305" s="22">
        <f t="shared" ca="1" si="75"/>
        <v>2317</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73" t="s">
        <v>376</v>
      </c>
      <c r="B306" s="73"/>
      <c r="C306" s="54" t="s">
        <v>97</v>
      </c>
      <c r="D306" s="54" t="s">
        <v>355</v>
      </c>
      <c r="E306" s="5">
        <f>(29.44)*(10.764)</f>
        <v>316.89215999999999</v>
      </c>
      <c r="F306" s="5">
        <f t="shared" si="69"/>
        <v>64.557090000000002</v>
      </c>
      <c r="G306" s="5">
        <v>0</v>
      </c>
      <c r="H306" s="5">
        <f t="shared" si="72"/>
        <v>381.44925000000001</v>
      </c>
      <c r="I306" s="1"/>
      <c r="J306" s="1"/>
      <c r="K306" s="1"/>
      <c r="L306" s="1"/>
      <c r="M306" s="1"/>
      <c r="N306" s="1"/>
      <c r="O306" s="1"/>
      <c r="P306" s="1"/>
      <c r="Q306" s="1"/>
      <c r="R306" s="1"/>
      <c r="S306" s="1"/>
      <c r="T306" s="22" t="str">
        <f t="shared" ca="1" si="73"/>
        <v>4718,..,2318</v>
      </c>
      <c r="U306" s="22">
        <f t="shared" ref="U306:V306" ca="1" si="76">U305+1</f>
        <v>4718</v>
      </c>
      <c r="V306" s="22">
        <f t="shared" ca="1" si="76"/>
        <v>2318</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73" t="s">
        <v>377</v>
      </c>
      <c r="B307" s="73"/>
      <c r="C307" s="54" t="s">
        <v>97</v>
      </c>
      <c r="D307" s="54" t="s">
        <v>355</v>
      </c>
      <c r="E307" s="5">
        <f>(29.98)*(10.764)</f>
        <v>322.70472000000001</v>
      </c>
      <c r="F307" s="5">
        <f t="shared" si="69"/>
        <v>64.557090000000002</v>
      </c>
      <c r="G307" s="5">
        <v>0</v>
      </c>
      <c r="H307" s="5">
        <f t="shared" si="72"/>
        <v>387.26181000000003</v>
      </c>
      <c r="I307" s="1"/>
      <c r="J307" s="1"/>
      <c r="K307" s="1"/>
      <c r="L307" s="1"/>
      <c r="M307" s="1"/>
      <c r="N307" s="1"/>
      <c r="O307" s="1"/>
      <c r="P307" s="1"/>
      <c r="Q307" s="1"/>
      <c r="R307" s="1"/>
      <c r="S307" s="1"/>
      <c r="T307" s="22" t="str">
        <f t="shared" ca="1" si="73"/>
        <v>4719,..,2319</v>
      </c>
      <c r="U307" s="22">
        <f t="shared" ref="U307:V307" ca="1" si="77">U306+1</f>
        <v>4719</v>
      </c>
      <c r="V307" s="22">
        <f t="shared" ca="1" si="77"/>
        <v>2319</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x14ac:dyDescent="0.25">
      <c r="A308" s="90" t="s">
        <v>395</v>
      </c>
      <c r="B308" s="91"/>
      <c r="C308" s="91"/>
      <c r="D308" s="91"/>
      <c r="E308" s="91"/>
      <c r="F308" s="91"/>
      <c r="G308" s="91"/>
      <c r="H308" s="92"/>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73" t="s">
        <v>359</v>
      </c>
      <c r="B309" s="73"/>
      <c r="C309" s="54" t="s">
        <v>97</v>
      </c>
      <c r="D309" s="54" t="s">
        <v>355</v>
      </c>
      <c r="E309" s="5">
        <f>(29.98)*(10.764)</f>
        <v>322.70472000000001</v>
      </c>
      <c r="F309" s="5">
        <f t="shared" ref="F309:F320" si="78">(1.05*3.05+0.65*4.3)*(10.764)</f>
        <v>64.557090000000002</v>
      </c>
      <c r="G309" s="5">
        <v>0</v>
      </c>
      <c r="H309" s="5">
        <f>E309+F309+(IF(G309&lt;101,G309,IF(G309&lt;201,G309/2,IF(G309&lt;=301,G309/3,G309/4))))</f>
        <v>387.26181000000003</v>
      </c>
      <c r="I309" s="1"/>
      <c r="J309" s="1"/>
      <c r="K309" s="1"/>
      <c r="L309" s="1"/>
      <c r="M309" s="1"/>
      <c r="N309" s="1"/>
      <c r="O309" s="1"/>
      <c r="P309" s="1"/>
      <c r="Q309" s="1"/>
      <c r="R309" s="1"/>
      <c r="S309" s="1"/>
      <c r="T309" s="22" t="str">
        <f t="shared" ref="T309:T316" ca="1" si="79">U309&amp;""&amp;",..,"&amp;""&amp;V309</f>
        <v>901,..,1901</v>
      </c>
      <c r="U309" s="22">
        <f ca="1">(SUMPRODUCT(MID(0&amp;(LEFT(A308,SUM(LEN(A308)-LEN(SUBSTITUTE(A308,{"0","1","2","3"},""))))), LARGE(INDEX(ISNUMBER(--MID((LEFT(A308,SUM(LEN(A308)-LEN(SUBSTITUTE(A308,{"0","1","2","3"},""))))), ROW(INDIRECT("1:"&amp;LEN((LEFT(A308,SUM(LEN(A308)-LEN(SUBSTITUTE(A308,{"0","1","2","3"},"")))))))), 1)) * ROW(INDIRECT("1:"&amp;LEN((LEFT(A308,SUM(LEN(A308)-LEN(SUBSTITUTE(A308,{"0","1","2","3"},"")))))))), 0), ROW(INDIRECT("1:"&amp;LEN((LEFT(A308,SUM(LEN(A308)-LEN(SUBSTITUTE(A308,{"0","1","2","3"},"")))))))))+1, 1) * 10^ROW(INDIRECT("1:"&amp;LEN((LEFT(A308,SUM(LEN(A308)-LEN(SUBSTITUTE(A308,{"0","1","2","3"},""))))))))/10))*100+1</f>
        <v>901</v>
      </c>
      <c r="V309" s="22">
        <f ca="1">(SUMPRODUCT(MID(0&amp;(--TRIM(RIGHT(SUBSTITUTE(LEFT(A308,_xlfn.AGGREGATE(16,6,FIND({0,1,2,3,4,5,6,7,8,9},A308,ROW(INDIRECT("1:"&amp;LEN(A308)))),1))," ",REPT(" ",LEN(A308))),LEN(A308)))), LARGE(INDEX(ISNUMBER(--MID((--TRIM(RIGHT(SUBSTITUTE(LEFT(A308,_xlfn.AGGREGATE(16,6,FIND({0,1,2,3,4,5,6,7,8,9},A308,ROW(INDIRECT("1:"&amp;LEN(A308)))),1))," ",REPT(" ",LEN(A308))),LEN(A308)))), ROW(INDIRECT("1:"&amp;LEN((--TRIM(RIGHT(SUBSTITUTE(LEFT(A308,_xlfn.AGGREGATE(16,6,FIND({0,1,2,3,4,5,6,7,8,9},A308,ROW(INDIRECT("1:"&amp;LEN(A308)))),1))," ",REPT(" ",LEN(A308))),LEN(A308))))))), 1)) * ROW(INDIRECT("1:"&amp;LEN((--TRIM(RIGHT(SUBSTITUTE(LEFT(A308,_xlfn.AGGREGATE(16,6,FIND({0,1,2,3,4,5,6,7,8,9},A308,ROW(INDIRECT("1:"&amp;LEN(A308)))),1))," ",REPT(" ",LEN(A308))),LEN(A308))))))), 0), ROW(INDIRECT("1:"&amp;LEN((--TRIM(RIGHT(SUBSTITUTE(LEFT(A308,_xlfn.AGGREGATE(16,6,FIND({0,1,2,3,4,5,6,7,8,9},A308,ROW(INDIRECT("1:"&amp;LEN(A308)))),1))," ",REPT(" ",LEN(A308))),LEN(A308))))))))+1, 1) * 10^ROW(INDIRECT("1:"&amp;LEN((--TRIM(RIGHT(SUBSTITUTE(LEFT(A308,_xlfn.AGGREGATE(16,6,FIND({0,1,2,3,4,5,6,7,8,9},A308,ROW(INDIRECT("1:"&amp;LEN(A308)))),1))," ",REPT(" ",LEN(A308))),LEN(A308)))))))/10))*100+1</f>
        <v>1901</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73" t="s">
        <v>360</v>
      </c>
      <c r="B310" s="73"/>
      <c r="C310" s="54" t="s">
        <v>97</v>
      </c>
      <c r="D310" s="54" t="s">
        <v>355</v>
      </c>
      <c r="E310" s="5">
        <f t="shared" ref="E310:E319" si="80">(29.44)*(10.764)</f>
        <v>316.89215999999999</v>
      </c>
      <c r="F310" s="5">
        <f t="shared" si="78"/>
        <v>64.557090000000002</v>
      </c>
      <c r="G310" s="5">
        <v>0</v>
      </c>
      <c r="H310" s="5">
        <f t="shared" ref="H310:H316" si="81">E310+F310+(IF(G310&lt;101,G310,IF(G310&lt;201,G310/2,IF(G310&lt;=301,G310/3,G310/4))))</f>
        <v>381.44925000000001</v>
      </c>
      <c r="I310" s="1"/>
      <c r="J310" s="1"/>
      <c r="K310" s="1"/>
      <c r="L310" s="1"/>
      <c r="M310" s="1"/>
      <c r="N310" s="1"/>
      <c r="O310" s="1"/>
      <c r="P310" s="1"/>
      <c r="Q310" s="1"/>
      <c r="R310" s="1"/>
      <c r="S310" s="1"/>
      <c r="T310" s="22" t="str">
        <f t="shared" ca="1" si="79"/>
        <v>902,..,1902</v>
      </c>
      <c r="U310" s="22">
        <f ca="1">U309+1</f>
        <v>902</v>
      </c>
      <c r="V310" s="22">
        <f ca="1">V309+1</f>
        <v>1902</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25">
      <c r="A311" s="73" t="s">
        <v>361</v>
      </c>
      <c r="B311" s="73"/>
      <c r="C311" s="54" t="s">
        <v>97</v>
      </c>
      <c r="D311" s="54" t="s">
        <v>355</v>
      </c>
      <c r="E311" s="5">
        <f t="shared" si="80"/>
        <v>316.89215999999999</v>
      </c>
      <c r="F311" s="5">
        <f t="shared" si="78"/>
        <v>64.557090000000002</v>
      </c>
      <c r="G311" s="5">
        <v>0</v>
      </c>
      <c r="H311" s="5">
        <f t="shared" si="81"/>
        <v>381.44925000000001</v>
      </c>
      <c r="I311" s="1"/>
      <c r="J311" s="1"/>
      <c r="K311" s="1"/>
      <c r="L311" s="1"/>
      <c r="M311" s="1"/>
      <c r="N311" s="1"/>
      <c r="O311" s="1"/>
      <c r="P311" s="1"/>
      <c r="Q311" s="1"/>
      <c r="R311" s="1"/>
      <c r="S311" s="1"/>
      <c r="T311" s="22" t="str">
        <f t="shared" ca="1" si="79"/>
        <v>903,..,1903</v>
      </c>
      <c r="U311" s="22">
        <f t="shared" ref="U311:V316" ca="1" si="82">U310+1</f>
        <v>903</v>
      </c>
      <c r="V311" s="22">
        <f t="shared" ca="1" si="82"/>
        <v>1903</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customHeight="1" x14ac:dyDescent="0.25">
      <c r="A312" s="73" t="s">
        <v>362</v>
      </c>
      <c r="B312" s="73"/>
      <c r="C312" s="54" t="s">
        <v>97</v>
      </c>
      <c r="D312" s="54" t="s">
        <v>355</v>
      </c>
      <c r="E312" s="5">
        <f t="shared" si="80"/>
        <v>316.89215999999999</v>
      </c>
      <c r="F312" s="5">
        <f t="shared" si="78"/>
        <v>64.557090000000002</v>
      </c>
      <c r="G312" s="5">
        <v>0</v>
      </c>
      <c r="H312" s="5">
        <f t="shared" si="81"/>
        <v>381.44925000000001</v>
      </c>
      <c r="I312" s="1"/>
      <c r="J312" s="1"/>
      <c r="K312" s="1"/>
      <c r="L312" s="1"/>
      <c r="M312" s="1"/>
      <c r="N312" s="1"/>
      <c r="O312" s="1"/>
      <c r="P312" s="1"/>
      <c r="Q312" s="1"/>
      <c r="R312" s="1"/>
      <c r="S312" s="1"/>
      <c r="T312" s="22" t="str">
        <f t="shared" ca="1" si="79"/>
        <v>904,..,1904</v>
      </c>
      <c r="U312" s="22">
        <f t="shared" ca="1" si="82"/>
        <v>904</v>
      </c>
      <c r="V312" s="22">
        <f t="shared" ca="1" si="82"/>
        <v>1904</v>
      </c>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73" t="s">
        <v>363</v>
      </c>
      <c r="B313" s="73"/>
      <c r="C313" s="54" t="s">
        <v>97</v>
      </c>
      <c r="D313" s="54" t="s">
        <v>355</v>
      </c>
      <c r="E313" s="5">
        <f t="shared" si="80"/>
        <v>316.89215999999999</v>
      </c>
      <c r="F313" s="5">
        <f t="shared" si="78"/>
        <v>64.557090000000002</v>
      </c>
      <c r="G313" s="5">
        <v>0</v>
      </c>
      <c r="H313" s="5">
        <f t="shared" si="81"/>
        <v>381.44925000000001</v>
      </c>
      <c r="I313" s="1"/>
      <c r="J313" s="1"/>
      <c r="K313" s="1"/>
      <c r="L313" s="1"/>
      <c r="M313" s="1"/>
      <c r="N313" s="1"/>
      <c r="O313" s="1"/>
      <c r="P313" s="1"/>
      <c r="Q313" s="1"/>
      <c r="R313" s="1"/>
      <c r="S313" s="1"/>
      <c r="T313" s="22" t="str">
        <f t="shared" ca="1" si="79"/>
        <v>905,..,1905</v>
      </c>
      <c r="U313" s="22">
        <f t="shared" ca="1" si="82"/>
        <v>905</v>
      </c>
      <c r="V313" s="22">
        <f t="shared" ca="1" si="82"/>
        <v>1905</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73" t="s">
        <v>364</v>
      </c>
      <c r="B314" s="73"/>
      <c r="C314" s="54" t="s">
        <v>97</v>
      </c>
      <c r="D314" s="54" t="s">
        <v>355</v>
      </c>
      <c r="E314" s="5">
        <f t="shared" si="80"/>
        <v>316.89215999999999</v>
      </c>
      <c r="F314" s="5">
        <f t="shared" si="78"/>
        <v>64.557090000000002</v>
      </c>
      <c r="G314" s="5">
        <v>0</v>
      </c>
      <c r="H314" s="5">
        <f t="shared" si="81"/>
        <v>381.44925000000001</v>
      </c>
      <c r="I314" s="1"/>
      <c r="J314" s="1"/>
      <c r="K314" s="1"/>
      <c r="L314" s="1"/>
      <c r="M314" s="1"/>
      <c r="N314" s="1"/>
      <c r="O314" s="1"/>
      <c r="P314" s="1"/>
      <c r="Q314" s="1"/>
      <c r="R314" s="1"/>
      <c r="S314" s="1"/>
      <c r="T314" s="22" t="str">
        <f t="shared" ca="1" si="79"/>
        <v>906,..,1906</v>
      </c>
      <c r="U314" s="22">
        <f t="shared" ca="1" si="82"/>
        <v>906</v>
      </c>
      <c r="V314" s="22">
        <f t="shared" ca="1" si="82"/>
        <v>1906</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73" t="s">
        <v>365</v>
      </c>
      <c r="B315" s="73"/>
      <c r="C315" s="54" t="s">
        <v>97</v>
      </c>
      <c r="D315" s="54" t="s">
        <v>355</v>
      </c>
      <c r="E315" s="5">
        <f t="shared" si="80"/>
        <v>316.89215999999999</v>
      </c>
      <c r="F315" s="5">
        <f t="shared" si="78"/>
        <v>64.557090000000002</v>
      </c>
      <c r="G315" s="5">
        <v>0</v>
      </c>
      <c r="H315" s="5">
        <f t="shared" si="81"/>
        <v>381.44925000000001</v>
      </c>
      <c r="I315" s="1"/>
      <c r="J315" s="1"/>
      <c r="K315" s="1"/>
      <c r="L315" s="1"/>
      <c r="M315" s="1"/>
      <c r="N315" s="1"/>
      <c r="O315" s="1"/>
      <c r="P315" s="1"/>
      <c r="Q315" s="1"/>
      <c r="R315" s="1"/>
      <c r="S315" s="1"/>
      <c r="T315" s="22" t="str">
        <f t="shared" ca="1" si="79"/>
        <v>907,..,1907</v>
      </c>
      <c r="U315" s="22">
        <f t="shared" ca="1" si="82"/>
        <v>907</v>
      </c>
      <c r="V315" s="22">
        <f t="shared" ca="1" si="82"/>
        <v>1907</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25">
      <c r="A316" s="73" t="s">
        <v>366</v>
      </c>
      <c r="B316" s="73"/>
      <c r="C316" s="54" t="s">
        <v>97</v>
      </c>
      <c r="D316" s="54" t="s">
        <v>355</v>
      </c>
      <c r="E316" s="5">
        <f t="shared" si="80"/>
        <v>316.89215999999999</v>
      </c>
      <c r="F316" s="5">
        <f t="shared" si="78"/>
        <v>64.557090000000002</v>
      </c>
      <c r="G316" s="5">
        <v>0</v>
      </c>
      <c r="H316" s="5">
        <f t="shared" si="81"/>
        <v>381.44925000000001</v>
      </c>
      <c r="I316" s="1"/>
      <c r="J316" s="1"/>
      <c r="K316" s="1"/>
      <c r="L316" s="1"/>
      <c r="M316" s="1"/>
      <c r="N316" s="1"/>
      <c r="O316" s="1"/>
      <c r="P316" s="1"/>
      <c r="Q316" s="1"/>
      <c r="R316" s="1"/>
      <c r="S316" s="1"/>
      <c r="T316" s="22" t="str">
        <f t="shared" ca="1" si="79"/>
        <v>908,..,1908</v>
      </c>
      <c r="U316" s="22">
        <f t="shared" ca="1" si="82"/>
        <v>908</v>
      </c>
      <c r="V316" s="22">
        <f t="shared" ca="1" si="82"/>
        <v>1908</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73" t="s">
        <v>367</v>
      </c>
      <c r="B317" s="73"/>
      <c r="C317" s="54" t="s">
        <v>97</v>
      </c>
      <c r="D317" s="54" t="s">
        <v>355</v>
      </c>
      <c r="E317" s="5">
        <f t="shared" si="80"/>
        <v>316.89215999999999</v>
      </c>
      <c r="F317" s="5">
        <f t="shared" si="78"/>
        <v>64.557090000000002</v>
      </c>
      <c r="G317" s="5">
        <v>0</v>
      </c>
      <c r="H317" s="5">
        <f t="shared" ref="H317:H323" si="83">E317+F317+(IF(G317&lt;101,G317,IF(G317&lt;201,G317/2,IF(G317&lt;=301,G317/3,G317/4))))</f>
        <v>381.44925000000001</v>
      </c>
      <c r="I317" s="1"/>
      <c r="J317" s="1"/>
      <c r="K317" s="1"/>
      <c r="L317" s="1"/>
      <c r="M317" s="1"/>
      <c r="N317" s="1"/>
      <c r="O317" s="1"/>
      <c r="P317" s="1"/>
      <c r="Q317" s="1"/>
      <c r="R317" s="1"/>
      <c r="S317" s="1"/>
      <c r="T317" s="22" t="str">
        <f t="shared" ref="T317:T323" ca="1" si="84">U317&amp;""&amp;",..,"&amp;""&amp;V317</f>
        <v>909,..,1909</v>
      </c>
      <c r="U317" s="22">
        <f ca="1">U316+1</f>
        <v>909</v>
      </c>
      <c r="V317" s="22">
        <f ca="1">V316+1</f>
        <v>1909</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73" t="s">
        <v>368</v>
      </c>
      <c r="B318" s="73"/>
      <c r="C318" s="54" t="s">
        <v>97</v>
      </c>
      <c r="D318" s="54" t="s">
        <v>355</v>
      </c>
      <c r="E318" s="5">
        <f t="shared" si="80"/>
        <v>316.89215999999999</v>
      </c>
      <c r="F318" s="5">
        <f t="shared" si="78"/>
        <v>64.557090000000002</v>
      </c>
      <c r="G318" s="5">
        <v>0</v>
      </c>
      <c r="H318" s="5">
        <f t="shared" si="83"/>
        <v>381.44925000000001</v>
      </c>
      <c r="I318" s="1"/>
      <c r="J318" s="1"/>
      <c r="K318" s="1"/>
      <c r="L318" s="1"/>
      <c r="M318" s="1"/>
      <c r="N318" s="1"/>
      <c r="O318" s="1"/>
      <c r="P318" s="1"/>
      <c r="Q318" s="1"/>
      <c r="R318" s="1"/>
      <c r="S318" s="1"/>
      <c r="T318" s="22" t="str">
        <f t="shared" ca="1" si="84"/>
        <v>910,..,1910</v>
      </c>
      <c r="U318" s="22">
        <f t="shared" ref="U318:V318" ca="1" si="85">U317+1</f>
        <v>910</v>
      </c>
      <c r="V318" s="22">
        <f t="shared" ca="1" si="85"/>
        <v>1910</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73" t="s">
        <v>369</v>
      </c>
      <c r="B319" s="73"/>
      <c r="C319" s="54" t="s">
        <v>97</v>
      </c>
      <c r="D319" s="54" t="s">
        <v>355</v>
      </c>
      <c r="E319" s="5">
        <f t="shared" si="80"/>
        <v>316.89215999999999</v>
      </c>
      <c r="F319" s="5">
        <f t="shared" si="78"/>
        <v>64.557090000000002</v>
      </c>
      <c r="G319" s="5">
        <v>0</v>
      </c>
      <c r="H319" s="5">
        <f t="shared" si="83"/>
        <v>381.44925000000001</v>
      </c>
      <c r="I319" s="1"/>
      <c r="J319" s="1"/>
      <c r="K319" s="1"/>
      <c r="L319" s="1"/>
      <c r="M319" s="1"/>
      <c r="N319" s="1"/>
      <c r="O319" s="1"/>
      <c r="P319" s="1"/>
      <c r="Q319" s="1"/>
      <c r="R319" s="1"/>
      <c r="S319" s="1"/>
      <c r="T319" s="22" t="str">
        <f t="shared" ca="1" si="84"/>
        <v>911,..,1911</v>
      </c>
      <c r="U319" s="22">
        <f t="shared" ref="U319:V319" ca="1" si="86">U318+1</f>
        <v>911</v>
      </c>
      <c r="V319" s="22">
        <f t="shared" ca="1" si="86"/>
        <v>1911</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73" t="s">
        <v>370</v>
      </c>
      <c r="B320" s="73"/>
      <c r="C320" s="54" t="s">
        <v>97</v>
      </c>
      <c r="D320" s="54" t="s">
        <v>355</v>
      </c>
      <c r="E320" s="5">
        <f>(29.96)*(10.764)</f>
        <v>322.48944</v>
      </c>
      <c r="F320" s="5">
        <f t="shared" si="78"/>
        <v>64.557090000000002</v>
      </c>
      <c r="G320" s="5">
        <v>0</v>
      </c>
      <c r="H320" s="5">
        <f t="shared" si="83"/>
        <v>387.04653000000002</v>
      </c>
      <c r="I320" s="1"/>
      <c r="J320" s="1"/>
      <c r="K320" s="1"/>
      <c r="L320" s="1"/>
      <c r="M320" s="1"/>
      <c r="N320" s="1"/>
      <c r="O320" s="1"/>
      <c r="P320" s="1"/>
      <c r="Q320" s="1"/>
      <c r="R320" s="1"/>
      <c r="S320" s="1"/>
      <c r="T320" s="22" t="str">
        <f t="shared" ca="1" si="84"/>
        <v>912,..,1912</v>
      </c>
      <c r="U320" s="22">
        <f t="shared" ref="U320:V320" ca="1" si="87">U319+1</f>
        <v>912</v>
      </c>
      <c r="V320" s="22">
        <f t="shared" ca="1" si="87"/>
        <v>1912</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customHeight="1" x14ac:dyDescent="0.25">
      <c r="A321" s="73" t="s">
        <v>371</v>
      </c>
      <c r="B321" s="73"/>
      <c r="C321" s="142" t="s">
        <v>396</v>
      </c>
      <c r="D321" s="143"/>
      <c r="E321" s="143"/>
      <c r="F321" s="143"/>
      <c r="G321" s="143"/>
      <c r="H321" s="144"/>
      <c r="I321" s="1"/>
      <c r="J321" s="1"/>
      <c r="K321" s="1"/>
      <c r="L321" s="1"/>
      <c r="M321" s="1"/>
      <c r="N321" s="1"/>
      <c r="O321" s="1"/>
      <c r="P321" s="1"/>
      <c r="Q321" s="1"/>
      <c r="R321" s="1"/>
      <c r="S321" s="1"/>
      <c r="T321" s="22" t="str">
        <f t="shared" ca="1" si="84"/>
        <v>913,..,1913</v>
      </c>
      <c r="U321" s="22">
        <f t="shared" ref="U321:V321" ca="1" si="88">U320+1</f>
        <v>913</v>
      </c>
      <c r="V321" s="22">
        <f t="shared" ca="1" si="88"/>
        <v>1913</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73" t="s">
        <v>372</v>
      </c>
      <c r="B322" s="73"/>
      <c r="C322" s="54" t="s">
        <v>97</v>
      </c>
      <c r="D322" s="54" t="s">
        <v>355</v>
      </c>
      <c r="E322" s="5">
        <f>(29.44)*(10.764)</f>
        <v>316.89215999999999</v>
      </c>
      <c r="F322" s="5">
        <f t="shared" ref="F322:F327" si="89">(1.05*3.05+0.65*4.3)*(10.764)</f>
        <v>64.557090000000002</v>
      </c>
      <c r="G322" s="5">
        <v>0</v>
      </c>
      <c r="H322" s="5">
        <f t="shared" si="83"/>
        <v>381.44925000000001</v>
      </c>
      <c r="I322" s="1"/>
      <c r="J322" s="1"/>
      <c r="K322" s="1"/>
      <c r="L322" s="1"/>
      <c r="M322" s="1"/>
      <c r="N322" s="1"/>
      <c r="O322" s="1"/>
      <c r="P322" s="1"/>
      <c r="Q322" s="1"/>
      <c r="R322" s="1"/>
      <c r="S322" s="1"/>
      <c r="T322" s="22" t="str">
        <f t="shared" ca="1" si="84"/>
        <v>914,..,1914</v>
      </c>
      <c r="U322" s="22">
        <f t="shared" ref="U322:V322" ca="1" si="90">U321+1</f>
        <v>914</v>
      </c>
      <c r="V322" s="22">
        <f t="shared" ca="1" si="90"/>
        <v>1914</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73" t="s">
        <v>373</v>
      </c>
      <c r="B323" s="73"/>
      <c r="C323" s="54" t="s">
        <v>97</v>
      </c>
      <c r="D323" s="54" t="s">
        <v>355</v>
      </c>
      <c r="E323" s="5">
        <f>(29.44)*(10.764)</f>
        <v>316.89215999999999</v>
      </c>
      <c r="F323" s="5">
        <f t="shared" si="89"/>
        <v>64.557090000000002</v>
      </c>
      <c r="G323" s="5">
        <v>0</v>
      </c>
      <c r="H323" s="5">
        <f t="shared" si="83"/>
        <v>381.44925000000001</v>
      </c>
      <c r="I323" s="1"/>
      <c r="J323" s="1"/>
      <c r="K323" s="1"/>
      <c r="L323" s="1"/>
      <c r="M323" s="1"/>
      <c r="N323" s="1"/>
      <c r="O323" s="1"/>
      <c r="P323" s="1"/>
      <c r="Q323" s="1"/>
      <c r="R323" s="1"/>
      <c r="S323" s="1"/>
      <c r="T323" s="22" t="str">
        <f t="shared" ca="1" si="84"/>
        <v>915,..,1915</v>
      </c>
      <c r="U323" s="22">
        <f t="shared" ref="U323:V323" ca="1" si="91">U322+1</f>
        <v>915</v>
      </c>
      <c r="V323" s="22">
        <f t="shared" ca="1" si="91"/>
        <v>1915</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73" t="s">
        <v>374</v>
      </c>
      <c r="B324" s="73"/>
      <c r="C324" s="54" t="s">
        <v>97</v>
      </c>
      <c r="D324" s="54" t="s">
        <v>355</v>
      </c>
      <c r="E324" s="5">
        <f>(29.44)*(10.764)</f>
        <v>316.89215999999999</v>
      </c>
      <c r="F324" s="5">
        <f t="shared" si="89"/>
        <v>64.557090000000002</v>
      </c>
      <c r="G324" s="5">
        <v>0</v>
      </c>
      <c r="H324" s="5">
        <f t="shared" ref="H324:H327" si="92">E324+F324+(IF(G324&lt;101,G324,IF(G324&lt;201,G324/2,IF(G324&lt;=301,G324/3,G324/4))))</f>
        <v>381.44925000000001</v>
      </c>
      <c r="I324" s="1"/>
      <c r="J324" s="1"/>
      <c r="K324" s="1"/>
      <c r="L324" s="1"/>
      <c r="M324" s="1"/>
      <c r="N324" s="1"/>
      <c r="O324" s="1"/>
      <c r="P324" s="1"/>
      <c r="Q324" s="1"/>
      <c r="R324" s="1"/>
      <c r="S324" s="1"/>
      <c r="T324" s="22" t="str">
        <f t="shared" ref="T324:T327" ca="1" si="93">U324&amp;""&amp;",..,"&amp;""&amp;V324</f>
        <v>916,..,1916</v>
      </c>
      <c r="U324" s="22">
        <f t="shared" ref="U324:V324" ca="1" si="94">U323+1</f>
        <v>916</v>
      </c>
      <c r="V324" s="22">
        <f t="shared" ca="1" si="94"/>
        <v>1916</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73" t="s">
        <v>375</v>
      </c>
      <c r="B325" s="73"/>
      <c r="C325" s="54" t="s">
        <v>97</v>
      </c>
      <c r="D325" s="54" t="s">
        <v>355</v>
      </c>
      <c r="E325" s="5">
        <f>(29.44)*(10.764)</f>
        <v>316.89215999999999</v>
      </c>
      <c r="F325" s="5">
        <f t="shared" si="89"/>
        <v>64.557090000000002</v>
      </c>
      <c r="G325" s="5">
        <v>0</v>
      </c>
      <c r="H325" s="5">
        <f t="shared" si="92"/>
        <v>381.44925000000001</v>
      </c>
      <c r="I325" s="1"/>
      <c r="J325" s="1"/>
      <c r="K325" s="1"/>
      <c r="L325" s="1"/>
      <c r="M325" s="1"/>
      <c r="N325" s="1"/>
      <c r="O325" s="1"/>
      <c r="P325" s="1"/>
      <c r="Q325" s="1"/>
      <c r="R325" s="1"/>
      <c r="S325" s="1"/>
      <c r="T325" s="22" t="str">
        <f t="shared" ca="1" si="93"/>
        <v>917,..,1917</v>
      </c>
      <c r="U325" s="22">
        <f t="shared" ref="U325:V325" ca="1" si="95">U324+1</f>
        <v>917</v>
      </c>
      <c r="V325" s="22">
        <f t="shared" ca="1" si="95"/>
        <v>1917</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73" t="s">
        <v>376</v>
      </c>
      <c r="B326" s="73"/>
      <c r="C326" s="54" t="s">
        <v>97</v>
      </c>
      <c r="D326" s="54" t="s">
        <v>355</v>
      </c>
      <c r="E326" s="5">
        <f>(29.44)*(10.764)</f>
        <v>316.89215999999999</v>
      </c>
      <c r="F326" s="5">
        <f t="shared" si="89"/>
        <v>64.557090000000002</v>
      </c>
      <c r="G326" s="5">
        <v>0</v>
      </c>
      <c r="H326" s="5">
        <f t="shared" si="92"/>
        <v>381.44925000000001</v>
      </c>
      <c r="I326" s="1"/>
      <c r="J326" s="1"/>
      <c r="K326" s="1"/>
      <c r="L326" s="1"/>
      <c r="M326" s="1"/>
      <c r="N326" s="1"/>
      <c r="O326" s="1"/>
      <c r="P326" s="1"/>
      <c r="Q326" s="1"/>
      <c r="R326" s="1"/>
      <c r="S326" s="1"/>
      <c r="T326" s="22" t="str">
        <f t="shared" ca="1" si="93"/>
        <v>918,..,1918</v>
      </c>
      <c r="U326" s="22">
        <f t="shared" ref="U326:V326" ca="1" si="96">U325+1</f>
        <v>918</v>
      </c>
      <c r="V326" s="22">
        <f t="shared" ca="1" si="96"/>
        <v>1918</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73" t="s">
        <v>377</v>
      </c>
      <c r="B327" s="73"/>
      <c r="C327" s="54" t="s">
        <v>97</v>
      </c>
      <c r="D327" s="54" t="s">
        <v>355</v>
      </c>
      <c r="E327" s="5">
        <f>(29.98)*(10.764)</f>
        <v>322.70472000000001</v>
      </c>
      <c r="F327" s="5">
        <f t="shared" si="89"/>
        <v>64.557090000000002</v>
      </c>
      <c r="G327" s="5">
        <v>0</v>
      </c>
      <c r="H327" s="5">
        <f t="shared" si="92"/>
        <v>387.26181000000003</v>
      </c>
      <c r="I327" s="1"/>
      <c r="J327" s="1"/>
      <c r="K327" s="1"/>
      <c r="L327" s="1"/>
      <c r="M327" s="1"/>
      <c r="N327" s="1"/>
      <c r="O327" s="1"/>
      <c r="P327" s="1"/>
      <c r="Q327" s="1"/>
      <c r="R327" s="1"/>
      <c r="S327" s="1"/>
      <c r="T327" s="22" t="str">
        <f t="shared" ca="1" si="93"/>
        <v>919,..,1919</v>
      </c>
      <c r="U327" s="22">
        <f t="shared" ref="U327:V327" ca="1" si="97">U326+1</f>
        <v>919</v>
      </c>
      <c r="V327" s="22">
        <f t="shared" ca="1" si="97"/>
        <v>1919</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hidden="1" customHeight="1" x14ac:dyDescent="0.25">
      <c r="A328" s="90" t="s">
        <v>131</v>
      </c>
      <c r="B328" s="91"/>
      <c r="C328" s="91"/>
      <c r="D328" s="91"/>
      <c r="E328" s="91"/>
      <c r="F328" s="91"/>
      <c r="G328" s="91"/>
      <c r="H328" s="92"/>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hidden="1" customHeight="1" x14ac:dyDescent="0.25">
      <c r="A329" s="73" t="str">
        <f ca="1">T329</f>
        <v>201,..,901</v>
      </c>
      <c r="B329" s="73"/>
      <c r="C329" s="54"/>
      <c r="D329" s="54"/>
      <c r="E329" s="33">
        <v>0</v>
      </c>
      <c r="F329" s="5">
        <v>0</v>
      </c>
      <c r="G329" s="5">
        <v>0</v>
      </c>
      <c r="H329" s="5">
        <f>E329+F329+(IF(G329&lt;101,G329,IF(G329&lt;201,G329/2,IF(G329&lt;=301,G329/3,G329/4))))</f>
        <v>0</v>
      </c>
      <c r="I329" s="1"/>
      <c r="J329" s="1"/>
      <c r="K329" s="1"/>
      <c r="L329" s="1"/>
      <c r="M329" s="1"/>
      <c r="N329" s="1"/>
      <c r="O329" s="1"/>
      <c r="P329" s="1"/>
      <c r="Q329" s="1"/>
      <c r="R329" s="1"/>
      <c r="S329" s="1"/>
      <c r="T329" s="22" t="str">
        <f t="shared" ref="T329:T336" ca="1" si="98">U329&amp;""&amp;",..,"&amp;""&amp;V329</f>
        <v>201,..,901</v>
      </c>
      <c r="U329" s="22">
        <f ca="1">(SUMPRODUCT(MID(0&amp;(LEFT(A328,SUM(LEN(A328)-LEN(SUBSTITUTE(A328,{"0","1","2","3"},""))))), LARGE(INDEX(ISNUMBER(--MID((LEFT(A328,SUM(LEN(A328)-LEN(SUBSTITUTE(A328,{"0","1","2","3"},""))))), ROW(INDIRECT("1:"&amp;LEN((LEFT(A328,SUM(LEN(A328)-LEN(SUBSTITUTE(A328,{"0","1","2","3"},"")))))))), 1)) * ROW(INDIRECT("1:"&amp;LEN((LEFT(A328,SUM(LEN(A328)-LEN(SUBSTITUTE(A328,{"0","1","2","3"},"")))))))), 0), ROW(INDIRECT("1:"&amp;LEN((LEFT(A328,SUM(LEN(A328)-LEN(SUBSTITUTE(A328,{"0","1","2","3"},"")))))))))+1, 1) * 10^ROW(INDIRECT("1:"&amp;LEN((LEFT(A328,SUM(LEN(A328)-LEN(SUBSTITUTE(A328,{"0","1","2","3"},""))))))))/10))*100+1</f>
        <v>201</v>
      </c>
      <c r="V329" s="22">
        <f ca="1">(SUMPRODUCT(MID(0&amp;(--TRIM(RIGHT(SUBSTITUTE(LEFT(A328,_xlfn.AGGREGATE(16,6,FIND({0,1,2,3,4,5,6,7,8,9},A328,ROW(INDIRECT("1:"&amp;LEN(A328)))),1))," ",REPT(" ",LEN(A328))),LEN(A328)))), LARGE(INDEX(ISNUMBER(--MID((--TRIM(RIGHT(SUBSTITUTE(LEFT(A328,_xlfn.AGGREGATE(16,6,FIND({0,1,2,3,4,5,6,7,8,9},A328,ROW(INDIRECT("1:"&amp;LEN(A328)))),1))," ",REPT(" ",LEN(A328))),LEN(A328)))), ROW(INDIRECT("1:"&amp;LEN((--TRIM(RIGHT(SUBSTITUTE(LEFT(A328,_xlfn.AGGREGATE(16,6,FIND({0,1,2,3,4,5,6,7,8,9},A328,ROW(INDIRECT("1:"&amp;LEN(A328)))),1))," ",REPT(" ",LEN(A328))),LEN(A328))))))), 1)) * ROW(INDIRECT("1:"&amp;LEN((--TRIM(RIGHT(SUBSTITUTE(LEFT(A328,_xlfn.AGGREGATE(16,6,FIND({0,1,2,3,4,5,6,7,8,9},A328,ROW(INDIRECT("1:"&amp;LEN(A328)))),1))," ",REPT(" ",LEN(A328))),LEN(A328))))))), 0), ROW(INDIRECT("1:"&amp;LEN((--TRIM(RIGHT(SUBSTITUTE(LEFT(A328,_xlfn.AGGREGATE(16,6,FIND({0,1,2,3,4,5,6,7,8,9},A328,ROW(INDIRECT("1:"&amp;LEN(A328)))),1))," ",REPT(" ",LEN(A328))),LEN(A328))))))))+1, 1) * 10^ROW(INDIRECT("1:"&amp;LEN((--TRIM(RIGHT(SUBSTITUTE(LEFT(A328,_xlfn.AGGREGATE(16,6,FIND({0,1,2,3,4,5,6,7,8,9},A328,ROW(INDIRECT("1:"&amp;LEN(A328)))),1))," ",REPT(" ",LEN(A328))),LEN(A328)))))))/10))*100+1</f>
        <v>901</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hidden="1" customHeight="1" x14ac:dyDescent="0.25">
      <c r="A330" s="73" t="str">
        <f t="shared" ref="A330:A336" ca="1" si="99">T330</f>
        <v>202,..,902</v>
      </c>
      <c r="B330" s="73"/>
      <c r="C330" s="54"/>
      <c r="D330" s="54"/>
      <c r="E330" s="33"/>
      <c r="F330" s="5"/>
      <c r="G330" s="5"/>
      <c r="H330" s="5">
        <f t="shared" ref="H330:H336" si="100">E330+F330+(IF(G330&lt;101,G330,IF(G330&lt;201,G330/2,IF(G330&lt;=301,G330/3,G330/4))))</f>
        <v>0</v>
      </c>
      <c r="I330" s="1"/>
      <c r="J330" s="1"/>
      <c r="K330" s="1"/>
      <c r="L330" s="1"/>
      <c r="M330" s="1"/>
      <c r="N330" s="1"/>
      <c r="O330" s="1"/>
      <c r="P330" s="1"/>
      <c r="Q330" s="1"/>
      <c r="R330" s="1"/>
      <c r="S330" s="1"/>
      <c r="T330" s="22" t="str">
        <f t="shared" ca="1" si="98"/>
        <v>202,..,902</v>
      </c>
      <c r="U330" s="22">
        <f ca="1">U329+1</f>
        <v>202</v>
      </c>
      <c r="V330" s="22">
        <f ca="1">V329+1</f>
        <v>902</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hidden="1" customHeight="1" x14ac:dyDescent="0.25">
      <c r="A331" s="73" t="str">
        <f t="shared" ca="1" si="99"/>
        <v>203,..,903</v>
      </c>
      <c r="B331" s="73"/>
      <c r="C331" s="54"/>
      <c r="D331" s="54"/>
      <c r="E331" s="33"/>
      <c r="F331" s="5"/>
      <c r="G331" s="5"/>
      <c r="H331" s="5">
        <f t="shared" si="100"/>
        <v>0</v>
      </c>
      <c r="I331" s="1"/>
      <c r="J331" s="1"/>
      <c r="K331" s="1"/>
      <c r="L331" s="1"/>
      <c r="M331" s="1"/>
      <c r="N331" s="1"/>
      <c r="O331" s="1"/>
      <c r="P331" s="1"/>
      <c r="Q331" s="1"/>
      <c r="R331" s="1"/>
      <c r="S331" s="1"/>
      <c r="T331" s="22" t="str">
        <f t="shared" ca="1" si="98"/>
        <v>203,..,903</v>
      </c>
      <c r="U331" s="22">
        <f t="shared" ref="U331:U336" ca="1" si="101">U330+1</f>
        <v>203</v>
      </c>
      <c r="V331" s="22">
        <f t="shared" ref="V331:V336" ca="1" si="102">V330+1</f>
        <v>903</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hidden="1" customHeight="1" x14ac:dyDescent="0.25">
      <c r="A332" s="73" t="str">
        <f t="shared" ca="1" si="99"/>
        <v>204,..,904</v>
      </c>
      <c r="B332" s="73"/>
      <c r="C332" s="54"/>
      <c r="D332" s="54"/>
      <c r="E332" s="33"/>
      <c r="F332" s="5"/>
      <c r="G332" s="5"/>
      <c r="H332" s="5">
        <f t="shared" si="100"/>
        <v>0</v>
      </c>
      <c r="I332" s="1"/>
      <c r="J332" s="1"/>
      <c r="K332" s="1"/>
      <c r="L332" s="1"/>
      <c r="M332" s="1"/>
      <c r="N332" s="1"/>
      <c r="O332" s="1"/>
      <c r="P332" s="1"/>
      <c r="Q332" s="1"/>
      <c r="R332" s="1"/>
      <c r="S332" s="1"/>
      <c r="T332" s="22" t="str">
        <f t="shared" ca="1" si="98"/>
        <v>204,..,904</v>
      </c>
      <c r="U332" s="22">
        <f t="shared" ca="1" si="101"/>
        <v>204</v>
      </c>
      <c r="V332" s="22">
        <f t="shared" ca="1" si="102"/>
        <v>904</v>
      </c>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hidden="1" customHeight="1" x14ac:dyDescent="0.25">
      <c r="A333" s="73" t="str">
        <f t="shared" ca="1" si="99"/>
        <v>205,..,905</v>
      </c>
      <c r="B333" s="73"/>
      <c r="C333" s="54"/>
      <c r="D333" s="54"/>
      <c r="E333" s="33"/>
      <c r="F333" s="5"/>
      <c r="G333" s="5"/>
      <c r="H333" s="5">
        <f t="shared" si="100"/>
        <v>0</v>
      </c>
      <c r="I333" s="1"/>
      <c r="J333" s="1"/>
      <c r="K333" s="1"/>
      <c r="L333" s="1"/>
      <c r="M333" s="1"/>
      <c r="N333" s="1"/>
      <c r="O333" s="1"/>
      <c r="P333" s="1"/>
      <c r="Q333" s="1"/>
      <c r="R333" s="1"/>
      <c r="S333" s="1"/>
      <c r="T333" s="22" t="str">
        <f t="shared" ca="1" si="98"/>
        <v>205,..,905</v>
      </c>
      <c r="U333" s="22">
        <f t="shared" ca="1" si="101"/>
        <v>205</v>
      </c>
      <c r="V333" s="22">
        <f t="shared" ca="1" si="102"/>
        <v>905</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hidden="1" customHeight="1" x14ac:dyDescent="0.25">
      <c r="A334" s="73" t="str">
        <f t="shared" ca="1" si="99"/>
        <v>206,..,906</v>
      </c>
      <c r="B334" s="73"/>
      <c r="C334" s="54"/>
      <c r="D334" s="54"/>
      <c r="E334" s="33"/>
      <c r="F334" s="5"/>
      <c r="G334" s="5"/>
      <c r="H334" s="5">
        <f t="shared" si="100"/>
        <v>0</v>
      </c>
      <c r="I334" s="1"/>
      <c r="J334" s="1"/>
      <c r="K334" s="1"/>
      <c r="L334" s="1"/>
      <c r="M334" s="1"/>
      <c r="N334" s="1"/>
      <c r="O334" s="1"/>
      <c r="P334" s="1"/>
      <c r="Q334" s="1"/>
      <c r="R334" s="1"/>
      <c r="S334" s="1"/>
      <c r="T334" s="22" t="str">
        <f t="shared" ca="1" si="98"/>
        <v>206,..,906</v>
      </c>
      <c r="U334" s="22">
        <f t="shared" ca="1" si="101"/>
        <v>206</v>
      </c>
      <c r="V334" s="22">
        <f t="shared" ca="1" si="102"/>
        <v>906</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hidden="1" customHeight="1" x14ac:dyDescent="0.25">
      <c r="A335" s="73" t="str">
        <f t="shared" ca="1" si="99"/>
        <v>207,..,907</v>
      </c>
      <c r="B335" s="73"/>
      <c r="C335" s="54"/>
      <c r="D335" s="54"/>
      <c r="E335" s="33"/>
      <c r="F335" s="5"/>
      <c r="G335" s="5"/>
      <c r="H335" s="5">
        <f t="shared" si="100"/>
        <v>0</v>
      </c>
      <c r="I335" s="1"/>
      <c r="J335" s="1"/>
      <c r="K335" s="1"/>
      <c r="L335" s="1"/>
      <c r="M335" s="1"/>
      <c r="N335" s="1"/>
      <c r="O335" s="1"/>
      <c r="P335" s="1"/>
      <c r="Q335" s="1"/>
      <c r="R335" s="1"/>
      <c r="S335" s="1"/>
      <c r="T335" s="22" t="str">
        <f t="shared" ca="1" si="98"/>
        <v>207,..,907</v>
      </c>
      <c r="U335" s="22">
        <f t="shared" ca="1" si="101"/>
        <v>207</v>
      </c>
      <c r="V335" s="22">
        <f t="shared" ca="1" si="102"/>
        <v>907</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hidden="1" customHeight="1" x14ac:dyDescent="0.25">
      <c r="A336" s="73" t="str">
        <f t="shared" ca="1" si="99"/>
        <v>208,..,908</v>
      </c>
      <c r="B336" s="73"/>
      <c r="C336" s="54"/>
      <c r="D336" s="54"/>
      <c r="E336" s="33"/>
      <c r="F336" s="5"/>
      <c r="G336" s="5"/>
      <c r="H336" s="5">
        <f t="shared" si="100"/>
        <v>0</v>
      </c>
      <c r="I336" s="1"/>
      <c r="J336" s="1"/>
      <c r="K336" s="1"/>
      <c r="L336" s="1"/>
      <c r="M336" s="1"/>
      <c r="N336" s="1"/>
      <c r="O336" s="1"/>
      <c r="P336" s="1"/>
      <c r="Q336" s="1"/>
      <c r="R336" s="1"/>
      <c r="S336" s="1"/>
      <c r="T336" s="22" t="str">
        <f t="shared" ca="1" si="98"/>
        <v>208,..,908</v>
      </c>
      <c r="U336" s="22">
        <f t="shared" ca="1" si="101"/>
        <v>208</v>
      </c>
      <c r="V336" s="22">
        <f t="shared" ca="1" si="102"/>
        <v>908</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hidden="1" x14ac:dyDescent="0.25">
      <c r="A337" s="90" t="s">
        <v>132</v>
      </c>
      <c r="B337" s="91"/>
      <c r="C337" s="91"/>
      <c r="D337" s="91"/>
      <c r="E337" s="91"/>
      <c r="F337" s="91"/>
      <c r="G337" s="91"/>
      <c r="H337" s="92"/>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hidden="1" customHeight="1" x14ac:dyDescent="0.25">
      <c r="A338" s="73" t="str">
        <f ca="1">T338</f>
        <v>201 to 501</v>
      </c>
      <c r="B338" s="73"/>
      <c r="C338" s="54"/>
      <c r="D338" s="54"/>
      <c r="E338" s="33">
        <v>0</v>
      </c>
      <c r="F338" s="5">
        <v>0</v>
      </c>
      <c r="G338" s="5">
        <v>0</v>
      </c>
      <c r="H338" s="5">
        <f>E338+F338+(IF(G338&lt;101,G338,IF(G338&lt;201,G338/2,IF(G338&lt;=301,G338/3,G338/4))))</f>
        <v>0</v>
      </c>
      <c r="I338" s="1"/>
      <c r="J338" s="1"/>
      <c r="K338" s="1"/>
      <c r="L338" s="1"/>
      <c r="M338" s="1"/>
      <c r="N338" s="1"/>
      <c r="O338" s="1"/>
      <c r="P338" s="1"/>
      <c r="Q338" s="1"/>
      <c r="R338" s="1"/>
      <c r="S338" s="1"/>
      <c r="T338" s="22" t="str">
        <f ca="1">U338&amp;""&amp;" to "&amp;""&amp;V338</f>
        <v>201 to 501</v>
      </c>
      <c r="U338" s="22">
        <f ca="1">(SUMPRODUCT(MID(0&amp;(LEFT(A337,SUM(LEN(A337)-LEN(SUBSTITUTE(A337,{"0","1","2","3"},""))))), LARGE(INDEX(ISNUMBER(--MID((LEFT(A337,SUM(LEN(A337)-LEN(SUBSTITUTE(A337,{"0","1","2","3"},""))))), ROW(INDIRECT("1:"&amp;LEN((LEFT(A337,SUM(LEN(A337)-LEN(SUBSTITUTE(A337,{"0","1","2","3"},"")))))))), 1)) * ROW(INDIRECT("1:"&amp;LEN((LEFT(A337,SUM(LEN(A337)-LEN(SUBSTITUTE(A337,{"0","1","2","3"},"")))))))), 0), ROW(INDIRECT("1:"&amp;LEN((LEFT(A337,SUM(LEN(A337)-LEN(SUBSTITUTE(A337,{"0","1","2","3"},"")))))))))+1, 1) * 10^ROW(INDIRECT("1:"&amp;LEN((LEFT(A337,SUM(LEN(A337)-LEN(SUBSTITUTE(A337,{"0","1","2","3"},""))))))))/10))*100+1</f>
        <v>201</v>
      </c>
      <c r="V338" s="22">
        <f ca="1">(SUMPRODUCT(MID(0&amp;(--TRIM(RIGHT(SUBSTITUTE(LEFT(A337,_xlfn.AGGREGATE(16,6,FIND({0,1,2,3,4,5,6,7,8,9},A337,ROW(INDIRECT("1:"&amp;LEN(A337)))),1))," ",REPT(" ",LEN(A337))),LEN(A337)))), LARGE(INDEX(ISNUMBER(--MID((--TRIM(RIGHT(SUBSTITUTE(LEFT(A337,_xlfn.AGGREGATE(16,6,FIND({0,1,2,3,4,5,6,7,8,9},A337,ROW(INDIRECT("1:"&amp;LEN(A337)))),1))," ",REPT(" ",LEN(A337))),LEN(A337)))), ROW(INDIRECT("1:"&amp;LEN((--TRIM(RIGHT(SUBSTITUTE(LEFT(A337,_xlfn.AGGREGATE(16,6,FIND({0,1,2,3,4,5,6,7,8,9},A337,ROW(INDIRECT("1:"&amp;LEN(A337)))),1))," ",REPT(" ",LEN(A337))),LEN(A337))))))), 1)) * ROW(INDIRECT("1:"&amp;LEN((--TRIM(RIGHT(SUBSTITUTE(LEFT(A337,_xlfn.AGGREGATE(16,6,FIND({0,1,2,3,4,5,6,7,8,9},A337,ROW(INDIRECT("1:"&amp;LEN(A337)))),1))," ",REPT(" ",LEN(A337))),LEN(A337))))))), 0), ROW(INDIRECT("1:"&amp;LEN((--TRIM(RIGHT(SUBSTITUTE(LEFT(A337,_xlfn.AGGREGATE(16,6,FIND({0,1,2,3,4,5,6,7,8,9},A337,ROW(INDIRECT("1:"&amp;LEN(A337)))),1))," ",REPT(" ",LEN(A337))),LEN(A337))))))))+1, 1) * 10^ROW(INDIRECT("1:"&amp;LEN((--TRIM(RIGHT(SUBSTITUTE(LEFT(A337,_xlfn.AGGREGATE(16,6,FIND({0,1,2,3,4,5,6,7,8,9},A337,ROW(INDIRECT("1:"&amp;LEN(A337)))),1))," ",REPT(" ",LEN(A337))),LEN(A337)))))))/10))*100+1</f>
        <v>501</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hidden="1" customHeight="1" x14ac:dyDescent="0.25">
      <c r="A339" s="73" t="str">
        <f t="shared" ref="A339:A345" ca="1" si="103">T339</f>
        <v>202 to 502</v>
      </c>
      <c r="B339" s="73"/>
      <c r="C339" s="54"/>
      <c r="D339" s="54"/>
      <c r="E339" s="33"/>
      <c r="F339" s="5"/>
      <c r="G339" s="5"/>
      <c r="H339" s="5">
        <f t="shared" ref="H339:H345" si="104">E339+F339+(IF(G339&lt;101,G339,IF(G339&lt;201,G339/2,IF(G339&lt;=301,G339/3,G339/4))))</f>
        <v>0</v>
      </c>
      <c r="I339" s="1"/>
      <c r="J339" s="1"/>
      <c r="K339" s="1"/>
      <c r="L339" s="1"/>
      <c r="M339" s="1"/>
      <c r="N339" s="1"/>
      <c r="O339" s="1"/>
      <c r="P339" s="1"/>
      <c r="Q339" s="1"/>
      <c r="R339" s="1"/>
      <c r="S339" s="1"/>
      <c r="T339" s="22" t="str">
        <f t="shared" ref="T339:T345" ca="1" si="105">U339&amp;""&amp;" to "&amp;""&amp;V339</f>
        <v>202 to 502</v>
      </c>
      <c r="U339" s="22">
        <f ca="1">U338+1</f>
        <v>202</v>
      </c>
      <c r="V339" s="22">
        <f ca="1">V338+1</f>
        <v>502</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hidden="1" customHeight="1" x14ac:dyDescent="0.25">
      <c r="A340" s="73" t="str">
        <f t="shared" ca="1" si="103"/>
        <v>203 to 503</v>
      </c>
      <c r="B340" s="73"/>
      <c r="C340" s="54"/>
      <c r="D340" s="54"/>
      <c r="E340" s="33"/>
      <c r="F340" s="5"/>
      <c r="G340" s="5"/>
      <c r="H340" s="5">
        <f t="shared" si="104"/>
        <v>0</v>
      </c>
      <c r="I340" s="1"/>
      <c r="J340" s="1"/>
      <c r="K340" s="1"/>
      <c r="L340" s="1"/>
      <c r="M340" s="1"/>
      <c r="N340" s="1"/>
      <c r="O340" s="1"/>
      <c r="P340" s="1"/>
      <c r="Q340" s="1"/>
      <c r="R340" s="1"/>
      <c r="S340" s="1"/>
      <c r="T340" s="22" t="str">
        <f t="shared" ca="1" si="105"/>
        <v>203 to 503</v>
      </c>
      <c r="U340" s="22">
        <f t="shared" ref="U340:U345" ca="1" si="106">U339+1</f>
        <v>203</v>
      </c>
      <c r="V340" s="22">
        <f t="shared" ref="V340:V345" ca="1" si="107">V339+1</f>
        <v>503</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hidden="1" customHeight="1" x14ac:dyDescent="0.25">
      <c r="A341" s="73" t="str">
        <f t="shared" ca="1" si="103"/>
        <v>204 to 504</v>
      </c>
      <c r="B341" s="73"/>
      <c r="C341" s="54"/>
      <c r="D341" s="54"/>
      <c r="E341" s="33"/>
      <c r="F341" s="5"/>
      <c r="G341" s="5"/>
      <c r="H341" s="5">
        <f t="shared" si="104"/>
        <v>0</v>
      </c>
      <c r="I341" s="1"/>
      <c r="J341" s="1"/>
      <c r="K341" s="1"/>
      <c r="L341" s="1"/>
      <c r="M341" s="1"/>
      <c r="N341" s="1"/>
      <c r="O341" s="1"/>
      <c r="P341" s="1"/>
      <c r="Q341" s="1"/>
      <c r="R341" s="1"/>
      <c r="S341" s="1"/>
      <c r="T341" s="22" t="str">
        <f t="shared" ca="1" si="105"/>
        <v>204 to 504</v>
      </c>
      <c r="U341" s="22">
        <f t="shared" ca="1" si="106"/>
        <v>204</v>
      </c>
      <c r="V341" s="22">
        <f t="shared" ca="1" si="107"/>
        <v>504</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hidden="1" customHeight="1" x14ac:dyDescent="0.25">
      <c r="A342" s="73" t="str">
        <f t="shared" ca="1" si="103"/>
        <v>205 to 505</v>
      </c>
      <c r="B342" s="73"/>
      <c r="C342" s="54"/>
      <c r="D342" s="54"/>
      <c r="E342" s="33"/>
      <c r="F342" s="5"/>
      <c r="G342" s="5"/>
      <c r="H342" s="5">
        <f t="shared" si="104"/>
        <v>0</v>
      </c>
      <c r="I342" s="1"/>
      <c r="J342" s="1"/>
      <c r="K342" s="1"/>
      <c r="L342" s="1"/>
      <c r="M342" s="1"/>
      <c r="N342" s="1"/>
      <c r="O342" s="1"/>
      <c r="P342" s="1"/>
      <c r="Q342" s="1"/>
      <c r="R342" s="1"/>
      <c r="S342" s="1"/>
      <c r="T342" s="22" t="str">
        <f t="shared" ca="1" si="105"/>
        <v>205 to 505</v>
      </c>
      <c r="U342" s="22">
        <f t="shared" ca="1" si="106"/>
        <v>205</v>
      </c>
      <c r="V342" s="22">
        <f t="shared" ca="1" si="107"/>
        <v>505</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hidden="1" customHeight="1" x14ac:dyDescent="0.25">
      <c r="A343" s="73" t="str">
        <f t="shared" ca="1" si="103"/>
        <v>206 to 506</v>
      </c>
      <c r="B343" s="73"/>
      <c r="C343" s="54"/>
      <c r="D343" s="54"/>
      <c r="E343" s="33"/>
      <c r="F343" s="5"/>
      <c r="G343" s="5"/>
      <c r="H343" s="5">
        <f t="shared" si="104"/>
        <v>0</v>
      </c>
      <c r="I343" s="1"/>
      <c r="J343" s="1"/>
      <c r="K343" s="1"/>
      <c r="L343" s="1"/>
      <c r="M343" s="1"/>
      <c r="N343" s="1"/>
      <c r="O343" s="1"/>
      <c r="P343" s="1"/>
      <c r="Q343" s="1"/>
      <c r="R343" s="1"/>
      <c r="S343" s="1"/>
      <c r="T343" s="22" t="str">
        <f t="shared" ca="1" si="105"/>
        <v>206 to 506</v>
      </c>
      <c r="U343" s="22">
        <f t="shared" ca="1" si="106"/>
        <v>206</v>
      </c>
      <c r="V343" s="22">
        <f t="shared" ca="1" si="107"/>
        <v>506</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hidden="1" customHeight="1" x14ac:dyDescent="0.25">
      <c r="A344" s="73" t="str">
        <f t="shared" ca="1" si="103"/>
        <v>207 to 507</v>
      </c>
      <c r="B344" s="73"/>
      <c r="C344" s="54"/>
      <c r="D344" s="54"/>
      <c r="E344" s="33"/>
      <c r="F344" s="5"/>
      <c r="G344" s="5"/>
      <c r="H344" s="5">
        <f t="shared" si="104"/>
        <v>0</v>
      </c>
      <c r="I344" s="1"/>
      <c r="J344" s="1"/>
      <c r="K344" s="1"/>
      <c r="L344" s="1"/>
      <c r="M344" s="1"/>
      <c r="N344" s="1"/>
      <c r="O344" s="1"/>
      <c r="P344" s="1"/>
      <c r="Q344" s="1"/>
      <c r="R344" s="1"/>
      <c r="S344" s="1"/>
      <c r="T344" s="22" t="str">
        <f t="shared" ca="1" si="105"/>
        <v>207 to 507</v>
      </c>
      <c r="U344" s="22">
        <f t="shared" ca="1" si="106"/>
        <v>207</v>
      </c>
      <c r="V344" s="22">
        <f t="shared" ca="1" si="107"/>
        <v>507</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hidden="1" customHeight="1" x14ac:dyDescent="0.25">
      <c r="A345" s="73" t="str">
        <f t="shared" ca="1" si="103"/>
        <v>208 to 508</v>
      </c>
      <c r="B345" s="73"/>
      <c r="C345" s="54"/>
      <c r="D345" s="54"/>
      <c r="E345" s="33"/>
      <c r="F345" s="5"/>
      <c r="G345" s="5"/>
      <c r="H345" s="5">
        <f t="shared" si="104"/>
        <v>0</v>
      </c>
      <c r="I345" s="1"/>
      <c r="J345" s="1"/>
      <c r="K345" s="1"/>
      <c r="L345" s="1"/>
      <c r="M345" s="1"/>
      <c r="N345" s="1"/>
      <c r="O345" s="1"/>
      <c r="P345" s="1"/>
      <c r="Q345" s="1"/>
      <c r="R345" s="1"/>
      <c r="S345" s="1"/>
      <c r="T345" s="22" t="str">
        <f t="shared" ca="1" si="105"/>
        <v>208 to 508</v>
      </c>
      <c r="U345" s="22">
        <f t="shared" ca="1" si="106"/>
        <v>208</v>
      </c>
      <c r="V345" s="22">
        <f t="shared" ca="1" si="107"/>
        <v>508</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hidden="1" x14ac:dyDescent="0.25">
      <c r="A346" s="90" t="s">
        <v>133</v>
      </c>
      <c r="B346" s="91"/>
      <c r="C346" s="91"/>
      <c r="D346" s="91"/>
      <c r="E346" s="91"/>
      <c r="F346" s="91"/>
      <c r="G346" s="91"/>
      <c r="H346" s="92"/>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hidden="1" customHeight="1" x14ac:dyDescent="0.25">
      <c r="A347" s="73" t="str">
        <f ca="1">T347</f>
        <v>201 &amp; 501</v>
      </c>
      <c r="B347" s="73"/>
      <c r="C347" s="54"/>
      <c r="D347" s="54"/>
      <c r="E347" s="33">
        <v>0</v>
      </c>
      <c r="F347" s="5">
        <v>0</v>
      </c>
      <c r="G347" s="5">
        <v>0</v>
      </c>
      <c r="H347" s="5">
        <f>E347+F347+(IF(G347&lt;101,G347,IF(G347&lt;201,G347/2,IF(G347&lt;=301,G347/3,G347/4))))</f>
        <v>0</v>
      </c>
      <c r="I347" s="1"/>
      <c r="J347" s="1"/>
      <c r="K347" s="1"/>
      <c r="L347" s="1"/>
      <c r="M347" s="1"/>
      <c r="N347" s="1"/>
      <c r="O347" s="1"/>
      <c r="P347" s="1"/>
      <c r="Q347" s="1"/>
      <c r="R347" s="1"/>
      <c r="S347" s="1"/>
      <c r="T347" s="22" t="str">
        <f ca="1">U347&amp;""&amp;" &amp; "&amp;""&amp;V347</f>
        <v>201 &amp; 501</v>
      </c>
      <c r="U347" s="22">
        <f ca="1">(SUMPRODUCT(MID(0&amp;(LEFT(A346,SUM(LEN(A346)-LEN(SUBSTITUTE(A346,{"0","1","2","3"},""))))), LARGE(INDEX(ISNUMBER(--MID((LEFT(A346,SUM(LEN(A346)-LEN(SUBSTITUTE(A346,{"0","1","2","3"},""))))), ROW(INDIRECT("1:"&amp;LEN((LEFT(A346,SUM(LEN(A346)-LEN(SUBSTITUTE(A346,{"0","1","2","3"},"")))))))), 1)) * ROW(INDIRECT("1:"&amp;LEN((LEFT(A346,SUM(LEN(A346)-LEN(SUBSTITUTE(A346,{"0","1","2","3"},"")))))))), 0), ROW(INDIRECT("1:"&amp;LEN((LEFT(A346,SUM(LEN(A346)-LEN(SUBSTITUTE(A346,{"0","1","2","3"},"")))))))))+1, 1) * 10^ROW(INDIRECT("1:"&amp;LEN((LEFT(A346,SUM(LEN(A346)-LEN(SUBSTITUTE(A346,{"0","1","2","3"},""))))))))/10))*100+1</f>
        <v>201</v>
      </c>
      <c r="V347" s="22">
        <f ca="1">(SUMPRODUCT(MID(0&amp;(--TRIM(RIGHT(SUBSTITUTE(LEFT(A346,_xlfn.AGGREGATE(16,6,FIND({0,1,2,3,4,5,6,7,8,9},A346,ROW(INDIRECT("1:"&amp;LEN(A346)))),1))," ",REPT(" ",LEN(A346))),LEN(A346)))), LARGE(INDEX(ISNUMBER(--MID((--TRIM(RIGHT(SUBSTITUTE(LEFT(A346,_xlfn.AGGREGATE(16,6,FIND({0,1,2,3,4,5,6,7,8,9},A346,ROW(INDIRECT("1:"&amp;LEN(A346)))),1))," ",REPT(" ",LEN(A346))),LEN(A346)))), ROW(INDIRECT("1:"&amp;LEN((--TRIM(RIGHT(SUBSTITUTE(LEFT(A346,_xlfn.AGGREGATE(16,6,FIND({0,1,2,3,4,5,6,7,8,9},A346,ROW(INDIRECT("1:"&amp;LEN(A346)))),1))," ",REPT(" ",LEN(A346))),LEN(A346))))))), 1)) * ROW(INDIRECT("1:"&amp;LEN((--TRIM(RIGHT(SUBSTITUTE(LEFT(A346,_xlfn.AGGREGATE(16,6,FIND({0,1,2,3,4,5,6,7,8,9},A346,ROW(INDIRECT("1:"&amp;LEN(A346)))),1))," ",REPT(" ",LEN(A346))),LEN(A346))))))), 0), ROW(INDIRECT("1:"&amp;LEN((--TRIM(RIGHT(SUBSTITUTE(LEFT(A346,_xlfn.AGGREGATE(16,6,FIND({0,1,2,3,4,5,6,7,8,9},A346,ROW(INDIRECT("1:"&amp;LEN(A346)))),1))," ",REPT(" ",LEN(A346))),LEN(A346))))))))+1, 1) * 10^ROW(INDIRECT("1:"&amp;LEN((--TRIM(RIGHT(SUBSTITUTE(LEFT(A346,_xlfn.AGGREGATE(16,6,FIND({0,1,2,3,4,5,6,7,8,9},A346,ROW(INDIRECT("1:"&amp;LEN(A346)))),1))," ",REPT(" ",LEN(A346))),LEN(A346)))))))/10))*100+1</f>
        <v>501</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hidden="1" customHeight="1" x14ac:dyDescent="0.25">
      <c r="A348" s="73" t="str">
        <f t="shared" ref="A348:A354" ca="1" si="108">T348</f>
        <v>202 &amp; 502</v>
      </c>
      <c r="B348" s="73"/>
      <c r="C348" s="54"/>
      <c r="D348" s="54"/>
      <c r="E348" s="33"/>
      <c r="F348" s="5"/>
      <c r="G348" s="5"/>
      <c r="H348" s="5">
        <f t="shared" ref="H348:H354" si="109">E348+F348+(IF(G348&lt;101,G348,IF(G348&lt;201,G348/2,IF(G348&lt;=301,G348/3,G348/4))))</f>
        <v>0</v>
      </c>
      <c r="I348" s="1"/>
      <c r="J348" s="1"/>
      <c r="K348" s="1"/>
      <c r="L348" s="1"/>
      <c r="M348" s="1"/>
      <c r="N348" s="1"/>
      <c r="O348" s="1"/>
      <c r="P348" s="1"/>
      <c r="Q348" s="1"/>
      <c r="R348" s="1"/>
      <c r="S348" s="1"/>
      <c r="T348" s="22" t="str">
        <f t="shared" ref="T348:T354" ca="1" si="110">U348&amp;""&amp;" &amp; "&amp;""&amp;V348</f>
        <v>202 &amp; 502</v>
      </c>
      <c r="U348" s="22">
        <f ca="1">U347+1</f>
        <v>202</v>
      </c>
      <c r="V348" s="22">
        <f ca="1">V347+1</f>
        <v>502</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hidden="1" customHeight="1" x14ac:dyDescent="0.25">
      <c r="A349" s="73" t="str">
        <f t="shared" ca="1" si="108"/>
        <v>203 &amp; 503</v>
      </c>
      <c r="B349" s="73"/>
      <c r="C349" s="54"/>
      <c r="D349" s="54"/>
      <c r="E349" s="33"/>
      <c r="F349" s="5"/>
      <c r="G349" s="5"/>
      <c r="H349" s="5">
        <f t="shared" si="109"/>
        <v>0</v>
      </c>
      <c r="I349" s="1"/>
      <c r="J349" s="1"/>
      <c r="K349" s="1"/>
      <c r="L349" s="1"/>
      <c r="M349" s="1"/>
      <c r="N349" s="1"/>
      <c r="O349" s="1"/>
      <c r="P349" s="1"/>
      <c r="Q349" s="1"/>
      <c r="R349" s="1"/>
      <c r="S349" s="1"/>
      <c r="T349" s="22" t="str">
        <f t="shared" ca="1" si="110"/>
        <v>203 &amp; 503</v>
      </c>
      <c r="U349" s="22">
        <f t="shared" ref="U349:U354" ca="1" si="111">U348+1</f>
        <v>203</v>
      </c>
      <c r="V349" s="22">
        <f t="shared" ref="V349:V354" ca="1" si="112">V348+1</f>
        <v>503</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hidden="1" customHeight="1" x14ac:dyDescent="0.25">
      <c r="A350" s="73" t="str">
        <f t="shared" ca="1" si="108"/>
        <v>204 &amp; 504</v>
      </c>
      <c r="B350" s="73"/>
      <c r="C350" s="54"/>
      <c r="D350" s="54"/>
      <c r="E350" s="33"/>
      <c r="F350" s="5"/>
      <c r="G350" s="5"/>
      <c r="H350" s="5">
        <f t="shared" si="109"/>
        <v>0</v>
      </c>
      <c r="I350" s="1"/>
      <c r="J350" s="1"/>
      <c r="K350" s="1"/>
      <c r="L350" s="1"/>
      <c r="M350" s="1"/>
      <c r="N350" s="1"/>
      <c r="O350" s="1"/>
      <c r="P350" s="1"/>
      <c r="Q350" s="1"/>
      <c r="R350" s="1"/>
      <c r="S350" s="1"/>
      <c r="T350" s="22" t="str">
        <f t="shared" ca="1" si="110"/>
        <v>204 &amp; 504</v>
      </c>
      <c r="U350" s="22">
        <f t="shared" ca="1" si="111"/>
        <v>204</v>
      </c>
      <c r="V350" s="22">
        <f t="shared" ca="1" si="112"/>
        <v>504</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hidden="1" customHeight="1" x14ac:dyDescent="0.25">
      <c r="A351" s="73" t="str">
        <f t="shared" ca="1" si="108"/>
        <v>205 &amp; 505</v>
      </c>
      <c r="B351" s="73"/>
      <c r="C351" s="54"/>
      <c r="D351" s="54"/>
      <c r="E351" s="33"/>
      <c r="F351" s="5"/>
      <c r="G351" s="5"/>
      <c r="H351" s="5">
        <f t="shared" si="109"/>
        <v>0</v>
      </c>
      <c r="I351" s="1"/>
      <c r="J351" s="1"/>
      <c r="K351" s="1"/>
      <c r="L351" s="1"/>
      <c r="M351" s="1"/>
      <c r="N351" s="1"/>
      <c r="O351" s="1"/>
      <c r="P351" s="1"/>
      <c r="Q351" s="1"/>
      <c r="R351" s="1"/>
      <c r="S351" s="1"/>
      <c r="T351" s="22" t="str">
        <f t="shared" ca="1" si="110"/>
        <v>205 &amp; 505</v>
      </c>
      <c r="U351" s="22">
        <f t="shared" ca="1" si="111"/>
        <v>205</v>
      </c>
      <c r="V351" s="22">
        <f t="shared" ca="1" si="112"/>
        <v>505</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hidden="1" customHeight="1" x14ac:dyDescent="0.25">
      <c r="A352" s="73" t="str">
        <f t="shared" ca="1" si="108"/>
        <v>206 &amp; 506</v>
      </c>
      <c r="B352" s="73"/>
      <c r="C352" s="54"/>
      <c r="D352" s="54"/>
      <c r="E352" s="33"/>
      <c r="F352" s="5"/>
      <c r="G352" s="5"/>
      <c r="H352" s="5">
        <f t="shared" si="109"/>
        <v>0</v>
      </c>
      <c r="I352" s="1"/>
      <c r="J352" s="1"/>
      <c r="K352" s="1"/>
      <c r="L352" s="1"/>
      <c r="M352" s="1"/>
      <c r="N352" s="1"/>
      <c r="O352" s="1"/>
      <c r="P352" s="1"/>
      <c r="Q352" s="1"/>
      <c r="R352" s="1"/>
      <c r="S352" s="1"/>
      <c r="T352" s="22" t="str">
        <f t="shared" ca="1" si="110"/>
        <v>206 &amp; 506</v>
      </c>
      <c r="U352" s="22">
        <f t="shared" ca="1" si="111"/>
        <v>206</v>
      </c>
      <c r="V352" s="22">
        <f t="shared" ca="1" si="112"/>
        <v>506</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hidden="1" customHeight="1" x14ac:dyDescent="0.25">
      <c r="A353" s="73" t="str">
        <f t="shared" ca="1" si="108"/>
        <v>207 &amp; 507</v>
      </c>
      <c r="B353" s="73"/>
      <c r="C353" s="54"/>
      <c r="D353" s="54"/>
      <c r="E353" s="33"/>
      <c r="F353" s="5"/>
      <c r="G353" s="5"/>
      <c r="H353" s="5">
        <f t="shared" si="109"/>
        <v>0</v>
      </c>
      <c r="I353" s="1"/>
      <c r="J353" s="1"/>
      <c r="K353" s="1"/>
      <c r="L353" s="1"/>
      <c r="M353" s="1"/>
      <c r="N353" s="1"/>
      <c r="O353" s="1"/>
      <c r="P353" s="1"/>
      <c r="Q353" s="1"/>
      <c r="R353" s="1"/>
      <c r="S353" s="1"/>
      <c r="T353" s="22" t="str">
        <f t="shared" ca="1" si="110"/>
        <v>207 &amp; 507</v>
      </c>
      <c r="U353" s="22">
        <f t="shared" ca="1" si="111"/>
        <v>207</v>
      </c>
      <c r="V353" s="22">
        <f t="shared" ca="1" si="112"/>
        <v>507</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hidden="1" customHeight="1" x14ac:dyDescent="0.25">
      <c r="A354" s="73" t="str">
        <f t="shared" ca="1" si="108"/>
        <v>208 &amp; 508</v>
      </c>
      <c r="B354" s="73"/>
      <c r="C354" s="54"/>
      <c r="D354" s="54"/>
      <c r="E354" s="33"/>
      <c r="F354" s="5"/>
      <c r="G354" s="5"/>
      <c r="H354" s="5">
        <f t="shared" si="109"/>
        <v>0</v>
      </c>
      <c r="I354" s="1"/>
      <c r="J354" s="1"/>
      <c r="K354" s="1"/>
      <c r="L354" s="1"/>
      <c r="M354" s="1"/>
      <c r="N354" s="1"/>
      <c r="O354" s="1"/>
      <c r="P354" s="1"/>
      <c r="Q354" s="1"/>
      <c r="R354" s="1"/>
      <c r="S354" s="1"/>
      <c r="T354" s="22" t="str">
        <f t="shared" ca="1" si="110"/>
        <v>208 &amp; 508</v>
      </c>
      <c r="U354" s="22">
        <f t="shared" ca="1" si="111"/>
        <v>208</v>
      </c>
      <c r="V354" s="22">
        <f t="shared" ca="1" si="112"/>
        <v>508</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ht="20.25" x14ac:dyDescent="0.25">
      <c r="A355" s="93" t="s">
        <v>70</v>
      </c>
      <c r="B355" s="93"/>
      <c r="C355" s="93"/>
      <c r="D355" s="93"/>
      <c r="E355" s="93"/>
      <c r="F355" s="93"/>
      <c r="G355" s="93"/>
      <c r="H355" s="93"/>
    </row>
    <row r="356" spans="1:150 16226:16383" ht="20.25" x14ac:dyDescent="0.25">
      <c r="A356" s="2" t="s">
        <v>241</v>
      </c>
      <c r="B356" s="66" t="s">
        <v>418</v>
      </c>
      <c r="C356" s="67"/>
      <c r="D356" s="67"/>
      <c r="E356" s="67"/>
      <c r="F356" s="67"/>
      <c r="G356" s="67"/>
      <c r="H356" s="68"/>
    </row>
    <row r="357" spans="1:150 16226:16383" ht="20.25" x14ac:dyDescent="0.25">
      <c r="A357" s="2" t="s">
        <v>241</v>
      </c>
      <c r="B357" s="66" t="s">
        <v>242</v>
      </c>
      <c r="C357" s="67"/>
      <c r="D357" s="67"/>
      <c r="E357" s="67"/>
      <c r="F357" s="67"/>
      <c r="G357" s="67"/>
      <c r="H357" s="68"/>
    </row>
    <row r="358" spans="1:150 16226:16383" ht="20.25" x14ac:dyDescent="0.25">
      <c r="A358" s="2" t="s">
        <v>241</v>
      </c>
      <c r="B358" s="66" t="s">
        <v>403</v>
      </c>
      <c r="C358" s="67"/>
      <c r="D358" s="67"/>
      <c r="E358" s="67"/>
      <c r="F358" s="67"/>
      <c r="G358" s="67"/>
      <c r="H358" s="68"/>
    </row>
    <row r="359" spans="1:150 16226:16383" ht="20.25" x14ac:dyDescent="0.25">
      <c r="A359" s="2" t="s">
        <v>241</v>
      </c>
      <c r="B359" s="66" t="s">
        <v>243</v>
      </c>
      <c r="C359" s="67"/>
      <c r="D359" s="67"/>
      <c r="E359" s="67"/>
      <c r="F359" s="67"/>
      <c r="G359" s="67"/>
      <c r="H359" s="68"/>
    </row>
    <row r="360" spans="1:150 16226:16383" ht="20.25" x14ac:dyDescent="0.25">
      <c r="A360" s="2" t="s">
        <v>241</v>
      </c>
      <c r="B360" s="66" t="s">
        <v>244</v>
      </c>
      <c r="C360" s="67"/>
      <c r="D360" s="67"/>
      <c r="E360" s="67"/>
      <c r="F360" s="67"/>
      <c r="G360" s="67"/>
      <c r="H360" s="68"/>
    </row>
    <row r="361" spans="1:150 16226:16383" ht="22.5" customHeight="1" x14ac:dyDescent="0.25">
      <c r="A361" s="2" t="s">
        <v>241</v>
      </c>
      <c r="B361" s="66" t="s">
        <v>407</v>
      </c>
      <c r="C361" s="67"/>
      <c r="D361" s="67"/>
      <c r="E361" s="67"/>
      <c r="F361" s="67"/>
      <c r="G361" s="67"/>
      <c r="H361" s="68"/>
    </row>
    <row r="362" spans="1:150 16226:16383" ht="20.25" x14ac:dyDescent="0.25">
      <c r="A362" s="2" t="s">
        <v>241</v>
      </c>
      <c r="B362" s="69" t="s">
        <v>417</v>
      </c>
      <c r="C362" s="67"/>
      <c r="D362" s="67"/>
      <c r="E362" s="67"/>
      <c r="F362" s="67"/>
      <c r="G362" s="67"/>
      <c r="H362" s="68"/>
    </row>
    <row r="363" spans="1:150 16226:16383" ht="43.5" customHeight="1" x14ac:dyDescent="0.25">
      <c r="A363" s="2" t="s">
        <v>241</v>
      </c>
      <c r="B363" s="69" t="s">
        <v>411</v>
      </c>
      <c r="C363" s="67"/>
      <c r="D363" s="67"/>
      <c r="E363" s="67"/>
      <c r="F363" s="67"/>
      <c r="G363" s="67"/>
      <c r="H363" s="68"/>
      <c r="I363" s="60"/>
    </row>
    <row r="364" spans="1:150 16226:16383" ht="49.5" customHeight="1" x14ac:dyDescent="0.25">
      <c r="A364" s="2" t="s">
        <v>241</v>
      </c>
      <c r="B364" s="69" t="s">
        <v>410</v>
      </c>
      <c r="C364" s="67"/>
      <c r="D364" s="67"/>
      <c r="E364" s="67"/>
      <c r="F364" s="67"/>
      <c r="G364" s="67"/>
      <c r="H364" s="68"/>
      <c r="I364" s="60"/>
    </row>
    <row r="365" spans="1:150 16226:16383" ht="46.5" hidden="1" customHeight="1" x14ac:dyDescent="0.25">
      <c r="A365" s="2" t="s">
        <v>241</v>
      </c>
      <c r="B365" s="69" t="s">
        <v>245</v>
      </c>
      <c r="C365" s="67"/>
      <c r="D365" s="67"/>
      <c r="E365" s="67"/>
      <c r="F365" s="67"/>
      <c r="G365" s="67"/>
      <c r="H365" s="68"/>
    </row>
    <row r="366" spans="1:150 16226:16383" ht="20.25" x14ac:dyDescent="0.25">
      <c r="A366" s="107" t="s">
        <v>76</v>
      </c>
      <c r="B366" s="107"/>
      <c r="C366" s="107"/>
      <c r="D366" s="107"/>
      <c r="E366" s="107"/>
      <c r="F366" s="107"/>
      <c r="G366" s="107"/>
      <c r="H366" s="107"/>
    </row>
    <row r="367" spans="1:150 16226:16383" ht="20.25" x14ac:dyDescent="0.25">
      <c r="A367" s="79" t="s">
        <v>71</v>
      </c>
      <c r="B367" s="79"/>
      <c r="C367" s="79"/>
      <c r="D367" s="66" t="str">
        <f>C3</f>
        <v xml:space="preserve">Y Square, Building No.21 (Wing A &amp; B)
</v>
      </c>
      <c r="E367" s="67"/>
      <c r="F367" s="67"/>
      <c r="G367" s="67"/>
      <c r="H367" s="68"/>
    </row>
    <row r="368" spans="1:150 16226:16383" ht="40.5" customHeight="1" x14ac:dyDescent="0.25">
      <c r="A368" s="79" t="s">
        <v>106</v>
      </c>
      <c r="B368" s="79"/>
      <c r="C368" s="79"/>
      <c r="D368" s="66" t="str">
        <f>C9</f>
        <v>Y Square" Opp Tribe Restaurant, Next To Blossom School, Kolshet Rd, Dhokali, Thane(W) - 400607</v>
      </c>
      <c r="E368" s="67"/>
      <c r="F368" s="67"/>
      <c r="G368" s="67"/>
      <c r="H368" s="68"/>
    </row>
    <row r="369" spans="1:8" ht="20.25" customHeight="1" x14ac:dyDescent="0.25">
      <c r="A369" s="117" t="s">
        <v>112</v>
      </c>
      <c r="B369" s="117"/>
      <c r="C369" s="117"/>
      <c r="D369" s="118" t="str">
        <f>G3</f>
        <v>04/07/2025 at 11:19AM</v>
      </c>
      <c r="E369" s="67"/>
      <c r="F369" s="67"/>
      <c r="G369" s="67"/>
      <c r="H369" s="68"/>
    </row>
    <row r="370" spans="1:8" ht="20.25" x14ac:dyDescent="0.25">
      <c r="A370" s="9"/>
      <c r="B370" s="10"/>
      <c r="C370" s="10"/>
      <c r="D370" s="10"/>
      <c r="E370" s="10"/>
      <c r="F370" s="10"/>
      <c r="G370" s="10"/>
      <c r="H370" s="6"/>
    </row>
    <row r="371" spans="1:8" ht="20.25" x14ac:dyDescent="0.25">
      <c r="A371" s="11"/>
      <c r="B371" s="12"/>
      <c r="C371" s="12"/>
      <c r="D371" s="12"/>
      <c r="E371" s="12"/>
      <c r="F371" s="12"/>
      <c r="G371" s="12"/>
      <c r="H371" s="7"/>
    </row>
    <row r="372" spans="1:8" ht="20.25" x14ac:dyDescent="0.25">
      <c r="A372" s="11"/>
      <c r="B372" s="12"/>
      <c r="C372" s="12"/>
      <c r="D372" s="12"/>
      <c r="E372" s="12"/>
      <c r="F372" s="12"/>
      <c r="G372" s="12"/>
      <c r="H372" s="7"/>
    </row>
    <row r="373" spans="1:8" ht="20.25" x14ac:dyDescent="0.25">
      <c r="A373" s="11"/>
      <c r="B373" s="12"/>
      <c r="C373" s="12"/>
      <c r="D373" s="12"/>
      <c r="E373" s="12"/>
      <c r="F373" s="12"/>
      <c r="G373" s="12"/>
      <c r="H373" s="7"/>
    </row>
    <row r="374" spans="1:8" ht="20.25" x14ac:dyDescent="0.25">
      <c r="A374" s="11"/>
      <c r="B374" s="12"/>
      <c r="C374" s="12"/>
      <c r="D374" s="12"/>
      <c r="E374" s="12"/>
      <c r="F374" s="12"/>
      <c r="G374" s="12"/>
      <c r="H374" s="7"/>
    </row>
    <row r="375" spans="1:8" ht="20.25" x14ac:dyDescent="0.25">
      <c r="A375" s="11"/>
      <c r="B375" s="12"/>
      <c r="C375" s="12"/>
      <c r="D375" s="12"/>
      <c r="E375" s="12"/>
      <c r="F375" s="12"/>
      <c r="G375" s="12"/>
      <c r="H375" s="7"/>
    </row>
    <row r="376" spans="1:8" ht="20.25" x14ac:dyDescent="0.25">
      <c r="A376" s="11"/>
      <c r="B376" s="12"/>
      <c r="C376" s="12"/>
      <c r="D376" s="12"/>
      <c r="E376" s="12"/>
      <c r="F376" s="12"/>
      <c r="G376" s="12"/>
      <c r="H376" s="7"/>
    </row>
    <row r="377" spans="1:8" ht="20.25" x14ac:dyDescent="0.25">
      <c r="A377" s="11"/>
      <c r="B377" s="12"/>
      <c r="C377" s="12"/>
      <c r="D377" s="12"/>
      <c r="E377" s="12"/>
      <c r="F377" s="12"/>
      <c r="G377" s="12"/>
      <c r="H377" s="7"/>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1"/>
      <c r="B405" s="12"/>
      <c r="C405" s="12"/>
      <c r="D405" s="12"/>
      <c r="E405" s="12"/>
      <c r="F405" s="12"/>
      <c r="G405" s="12"/>
      <c r="H405" s="7"/>
    </row>
    <row r="406" spans="1:8" ht="20.25" x14ac:dyDescent="0.25">
      <c r="A406" s="11"/>
      <c r="B406" s="12"/>
      <c r="C406" s="12"/>
      <c r="D406" s="12"/>
      <c r="E406" s="12"/>
      <c r="F406" s="12"/>
      <c r="G406" s="12"/>
      <c r="H406" s="7"/>
    </row>
    <row r="407" spans="1:8" ht="20.25" x14ac:dyDescent="0.25">
      <c r="A407" s="11"/>
      <c r="B407" s="12"/>
      <c r="C407" s="12"/>
      <c r="D407" s="12"/>
      <c r="E407" s="12"/>
      <c r="F407" s="12"/>
      <c r="G407" s="12"/>
      <c r="H407" s="7"/>
    </row>
    <row r="408" spans="1:8" ht="20.25" x14ac:dyDescent="0.25">
      <c r="A408" s="11"/>
      <c r="B408" s="12"/>
      <c r="C408" s="12"/>
      <c r="D408" s="12"/>
      <c r="E408" s="12"/>
      <c r="F408" s="12"/>
      <c r="G408" s="12"/>
      <c r="H408" s="7"/>
    </row>
    <row r="409" spans="1:8" ht="20.25" x14ac:dyDescent="0.25">
      <c r="A409" s="11"/>
      <c r="B409" s="12"/>
      <c r="C409" s="12"/>
      <c r="D409" s="12"/>
      <c r="E409" s="12"/>
      <c r="F409" s="12"/>
      <c r="G409" s="12"/>
      <c r="H409" s="7"/>
    </row>
    <row r="410" spans="1:8" ht="20.25" x14ac:dyDescent="0.25">
      <c r="A410" s="11"/>
      <c r="B410" s="12"/>
      <c r="C410" s="12"/>
      <c r="D410" s="12"/>
      <c r="E410" s="12"/>
      <c r="F410" s="12"/>
      <c r="G410" s="12"/>
      <c r="H410" s="7"/>
    </row>
    <row r="411" spans="1:8" ht="20.25" x14ac:dyDescent="0.25">
      <c r="A411" s="11"/>
      <c r="B411" s="12"/>
      <c r="C411" s="12"/>
      <c r="D411" s="12"/>
      <c r="E411" s="12"/>
      <c r="F411" s="12"/>
      <c r="G411" s="12"/>
      <c r="H411" s="7"/>
    </row>
    <row r="412" spans="1:8" ht="20.25" x14ac:dyDescent="0.25">
      <c r="A412" s="13"/>
      <c r="B412" s="14"/>
      <c r="C412" s="14"/>
      <c r="D412" s="14"/>
      <c r="E412" s="14"/>
      <c r="F412" s="14"/>
      <c r="G412" s="14"/>
      <c r="H412" s="8"/>
    </row>
    <row r="413" spans="1:8" ht="20.25" x14ac:dyDescent="0.25">
      <c r="A413" s="93" t="s">
        <v>163</v>
      </c>
      <c r="B413" s="93"/>
      <c r="C413" s="93"/>
      <c r="D413" s="93"/>
      <c r="E413" s="93"/>
      <c r="F413" s="93"/>
      <c r="G413" s="93"/>
      <c r="H413" s="93"/>
    </row>
    <row r="414" spans="1:8" ht="20.25" x14ac:dyDescent="0.25">
      <c r="A414" s="9"/>
      <c r="B414" s="10"/>
      <c r="C414" s="10"/>
      <c r="D414" s="10"/>
      <c r="E414" s="10"/>
      <c r="F414" s="10"/>
      <c r="G414" s="10"/>
      <c r="H414" s="6"/>
    </row>
    <row r="415" spans="1:8" ht="20.25" x14ac:dyDescent="0.25">
      <c r="A415" s="11"/>
      <c r="B415" s="12"/>
      <c r="C415" s="12"/>
      <c r="D415" s="12"/>
      <c r="E415" s="12"/>
      <c r="F415" s="12"/>
      <c r="G415" s="12"/>
      <c r="H415" s="7"/>
    </row>
    <row r="416" spans="1:8" ht="20.25" x14ac:dyDescent="0.25">
      <c r="A416" s="11"/>
      <c r="B416" s="12"/>
      <c r="C416" s="12"/>
      <c r="D416" s="12"/>
      <c r="E416" s="12"/>
      <c r="F416" s="12"/>
      <c r="G416" s="12"/>
      <c r="H416" s="7"/>
    </row>
    <row r="417" spans="1:8" ht="20.25" x14ac:dyDescent="0.25">
      <c r="A417" s="11"/>
      <c r="B417" s="12"/>
      <c r="C417" s="12"/>
      <c r="D417" s="12"/>
      <c r="E417" s="12"/>
      <c r="F417" s="12"/>
      <c r="G417" s="12"/>
      <c r="H417" s="7"/>
    </row>
    <row r="418" spans="1:8" ht="20.25" x14ac:dyDescent="0.25">
      <c r="A418" s="11"/>
      <c r="B418" s="12"/>
      <c r="C418" s="12"/>
      <c r="D418" s="12"/>
      <c r="E418" s="12"/>
      <c r="F418" s="12"/>
      <c r="G418" s="12"/>
      <c r="H418" s="7"/>
    </row>
    <row r="419" spans="1:8" ht="20.25" x14ac:dyDescent="0.25">
      <c r="A419" s="11"/>
      <c r="B419" s="12"/>
      <c r="C419" s="12"/>
      <c r="D419" s="12"/>
      <c r="E419" s="12"/>
      <c r="F419" s="12"/>
      <c r="G419" s="12"/>
      <c r="H419" s="7"/>
    </row>
    <row r="420" spans="1:8" ht="20.25" x14ac:dyDescent="0.25">
      <c r="A420" s="11"/>
      <c r="B420" s="12"/>
      <c r="C420" s="12"/>
      <c r="D420" s="12"/>
      <c r="E420" s="12"/>
      <c r="F420" s="12"/>
      <c r="G420" s="12"/>
      <c r="H420" s="7"/>
    </row>
    <row r="421" spans="1:8" ht="20.25" x14ac:dyDescent="0.25">
      <c r="A421" s="11"/>
      <c r="B421" s="12"/>
      <c r="C421" s="12"/>
      <c r="D421" s="12"/>
      <c r="E421" s="12"/>
      <c r="F421" s="12"/>
      <c r="G421" s="12"/>
      <c r="H421" s="7"/>
    </row>
    <row r="422" spans="1:8" ht="20.25" x14ac:dyDescent="0.25">
      <c r="A422" s="11"/>
      <c r="B422" s="12"/>
      <c r="C422" s="12"/>
      <c r="D422" s="12"/>
      <c r="E422" s="12"/>
      <c r="F422" s="12"/>
      <c r="G422" s="12"/>
      <c r="H422" s="7"/>
    </row>
    <row r="423" spans="1:8" ht="20.25" x14ac:dyDescent="0.25">
      <c r="A423" s="11"/>
      <c r="B423" s="12"/>
      <c r="C423" s="12"/>
      <c r="D423" s="12"/>
      <c r="E423" s="12"/>
      <c r="F423" s="12"/>
      <c r="G423" s="12"/>
      <c r="H423" s="7"/>
    </row>
    <row r="424" spans="1:8" ht="20.25" x14ac:dyDescent="0.25">
      <c r="A424" s="11"/>
      <c r="B424" s="12"/>
      <c r="C424" s="12"/>
      <c r="D424" s="12"/>
      <c r="E424" s="12"/>
      <c r="F424" s="12"/>
      <c r="G424" s="12"/>
      <c r="H424" s="7"/>
    </row>
    <row r="425" spans="1:8" ht="20.25" x14ac:dyDescent="0.25">
      <c r="A425" s="11"/>
      <c r="B425" s="12"/>
      <c r="C425" s="12"/>
      <c r="D425" s="12"/>
      <c r="E425" s="12"/>
      <c r="F425" s="12"/>
      <c r="G425" s="12"/>
      <c r="H425" s="7"/>
    </row>
    <row r="426" spans="1:8" ht="20.25" x14ac:dyDescent="0.25">
      <c r="A426" s="11"/>
      <c r="B426" s="12"/>
      <c r="C426" s="12"/>
      <c r="D426" s="12"/>
      <c r="E426" s="12"/>
      <c r="F426" s="12"/>
      <c r="G426" s="12"/>
      <c r="H426" s="7"/>
    </row>
    <row r="427" spans="1:8" ht="20.25" x14ac:dyDescent="0.25">
      <c r="A427" s="11"/>
      <c r="B427" s="12"/>
      <c r="C427" s="12"/>
      <c r="D427" s="12"/>
      <c r="E427" s="12"/>
      <c r="F427" s="12"/>
      <c r="G427" s="12"/>
      <c r="H427" s="7"/>
    </row>
    <row r="428" spans="1:8" ht="20.25" x14ac:dyDescent="0.25">
      <c r="A428" s="11"/>
      <c r="B428" s="12"/>
      <c r="C428" s="12"/>
      <c r="D428" s="12"/>
      <c r="E428" s="12"/>
      <c r="F428" s="12"/>
      <c r="G428" s="12"/>
      <c r="H428" s="7"/>
    </row>
    <row r="429" spans="1:8" ht="20.25" x14ac:dyDescent="0.25">
      <c r="A429" s="11"/>
      <c r="B429" s="12"/>
      <c r="C429" s="12"/>
      <c r="D429" s="12"/>
      <c r="E429" s="12"/>
      <c r="F429" s="12"/>
      <c r="G429" s="12"/>
      <c r="H429" s="7"/>
    </row>
    <row r="430" spans="1:8" ht="20.25" x14ac:dyDescent="0.25">
      <c r="A430" s="11"/>
      <c r="B430" s="12"/>
      <c r="C430" s="12"/>
      <c r="D430" s="12"/>
      <c r="E430" s="12"/>
      <c r="F430" s="12"/>
      <c r="G430" s="12"/>
      <c r="H430" s="7"/>
    </row>
    <row r="431" spans="1:8" ht="20.25" x14ac:dyDescent="0.25">
      <c r="A431" s="11"/>
      <c r="B431" s="12"/>
      <c r="C431" s="12"/>
      <c r="D431" s="12"/>
      <c r="E431" s="12"/>
      <c r="F431" s="12"/>
      <c r="G431" s="12"/>
      <c r="H431" s="7"/>
    </row>
    <row r="432" spans="1:8" ht="20.25" x14ac:dyDescent="0.25">
      <c r="A432" s="11"/>
      <c r="B432" s="12"/>
      <c r="C432" s="12"/>
      <c r="D432" s="12"/>
      <c r="E432" s="12"/>
      <c r="F432" s="12"/>
      <c r="G432" s="12"/>
      <c r="H432" s="7"/>
    </row>
    <row r="433" spans="1:8" ht="20.25" x14ac:dyDescent="0.25">
      <c r="A433" s="11"/>
      <c r="B433" s="12"/>
      <c r="C433" s="12"/>
      <c r="D433" s="12"/>
      <c r="E433" s="12"/>
      <c r="F433" s="12"/>
      <c r="G433" s="12"/>
      <c r="H433" s="7"/>
    </row>
    <row r="434" spans="1:8" ht="20.25" x14ac:dyDescent="0.25">
      <c r="A434" s="11"/>
      <c r="B434" s="12"/>
      <c r="C434" s="12"/>
      <c r="D434" s="12"/>
      <c r="E434" s="12"/>
      <c r="F434" s="12"/>
      <c r="G434" s="12"/>
      <c r="H434" s="7"/>
    </row>
    <row r="435" spans="1:8" ht="20.25" x14ac:dyDescent="0.25">
      <c r="A435" s="11"/>
      <c r="B435" s="12"/>
      <c r="C435" s="12"/>
      <c r="D435" s="12"/>
      <c r="E435" s="12"/>
      <c r="F435" s="12"/>
      <c r="G435" s="12"/>
      <c r="H435" s="7"/>
    </row>
    <row r="436" spans="1:8" ht="20.25" x14ac:dyDescent="0.25">
      <c r="A436" s="11"/>
      <c r="B436" s="12"/>
      <c r="C436" s="12"/>
      <c r="D436" s="12"/>
      <c r="E436" s="12"/>
      <c r="F436" s="12"/>
      <c r="G436" s="12"/>
      <c r="H436" s="7"/>
    </row>
    <row r="437" spans="1:8" ht="20.25" x14ac:dyDescent="0.25">
      <c r="A437" s="11"/>
      <c r="B437" s="12"/>
      <c r="C437" s="12"/>
      <c r="D437" s="12"/>
      <c r="E437" s="12"/>
      <c r="F437" s="12"/>
      <c r="G437" s="12"/>
      <c r="H437" s="7"/>
    </row>
    <row r="438" spans="1:8" ht="20.25" x14ac:dyDescent="0.25">
      <c r="A438" s="11"/>
      <c r="B438" s="12"/>
      <c r="C438" s="12"/>
      <c r="D438" s="12"/>
      <c r="E438" s="12"/>
      <c r="F438" s="12"/>
      <c r="G438" s="12"/>
      <c r="H438" s="7"/>
    </row>
    <row r="439" spans="1:8" ht="20.25" x14ac:dyDescent="0.25">
      <c r="A439" s="11"/>
      <c r="B439" s="12"/>
      <c r="C439" s="12"/>
      <c r="D439" s="12"/>
      <c r="E439" s="12"/>
      <c r="F439" s="12"/>
      <c r="G439" s="12"/>
      <c r="H439" s="7"/>
    </row>
    <row r="440" spans="1:8" ht="20.25" x14ac:dyDescent="0.25">
      <c r="A440" s="11"/>
      <c r="B440" s="12"/>
      <c r="C440" s="12"/>
      <c r="D440" s="12"/>
      <c r="E440" s="12"/>
      <c r="F440" s="12"/>
      <c r="G440" s="12"/>
      <c r="H440" s="7"/>
    </row>
    <row r="441" spans="1:8" ht="20.25" x14ac:dyDescent="0.25">
      <c r="A441" s="11"/>
      <c r="B441" s="12"/>
      <c r="C441" s="12"/>
      <c r="D441" s="12"/>
      <c r="E441" s="12"/>
      <c r="F441" s="12"/>
      <c r="G441" s="12"/>
      <c r="H441" s="7"/>
    </row>
    <row r="442" spans="1:8" ht="20.25" x14ac:dyDescent="0.25">
      <c r="A442" s="11"/>
      <c r="B442" s="12"/>
      <c r="C442" s="12"/>
      <c r="D442" s="12"/>
      <c r="E442" s="12"/>
      <c r="F442" s="12"/>
      <c r="G442" s="12"/>
      <c r="H442" s="7"/>
    </row>
    <row r="443" spans="1:8" ht="20.25" x14ac:dyDescent="0.25">
      <c r="A443" s="11"/>
      <c r="B443" s="12"/>
      <c r="C443" s="12"/>
      <c r="D443" s="12"/>
      <c r="E443" s="12"/>
      <c r="F443" s="12"/>
      <c r="G443" s="12"/>
      <c r="H443" s="7"/>
    </row>
    <row r="444" spans="1:8" ht="20.25" x14ac:dyDescent="0.25">
      <c r="A444" s="11"/>
      <c r="B444" s="12"/>
      <c r="C444" s="12"/>
      <c r="D444" s="12"/>
      <c r="E444" s="12"/>
      <c r="F444" s="12"/>
      <c r="G444" s="12"/>
      <c r="H444" s="7"/>
    </row>
    <row r="445" spans="1:8" ht="20.25" x14ac:dyDescent="0.25">
      <c r="A445" s="11"/>
      <c r="B445" s="12"/>
      <c r="C445" s="12"/>
      <c r="D445" s="12"/>
      <c r="E445" s="12"/>
      <c r="F445" s="12"/>
      <c r="G445" s="12"/>
      <c r="H445" s="7"/>
    </row>
    <row r="446" spans="1:8" ht="20.25" x14ac:dyDescent="0.25">
      <c r="A446" s="11"/>
      <c r="B446" s="12"/>
      <c r="C446" s="12"/>
      <c r="D446" s="12"/>
      <c r="E446" s="12"/>
      <c r="F446" s="12"/>
      <c r="G446" s="12"/>
      <c r="H446" s="7"/>
    </row>
    <row r="447" spans="1:8" ht="20.25" x14ac:dyDescent="0.25">
      <c r="A447" s="11"/>
      <c r="B447" s="12"/>
      <c r="C447" s="12"/>
      <c r="D447" s="12"/>
      <c r="E447" s="12"/>
      <c r="F447" s="12"/>
      <c r="G447" s="12"/>
      <c r="H447" s="7"/>
    </row>
    <row r="448" spans="1:8" ht="20.25" x14ac:dyDescent="0.25">
      <c r="A448" s="11"/>
      <c r="B448" s="12"/>
      <c r="C448" s="12"/>
      <c r="D448" s="12"/>
      <c r="E448" s="12"/>
      <c r="F448" s="12"/>
      <c r="G448" s="12"/>
      <c r="H448" s="7"/>
    </row>
    <row r="449" spans="1:8" ht="20.25" x14ac:dyDescent="0.25">
      <c r="A449" s="11"/>
      <c r="B449" s="12"/>
      <c r="C449" s="12"/>
      <c r="D449" s="12"/>
      <c r="E449" s="12"/>
      <c r="F449" s="12"/>
      <c r="G449" s="12"/>
      <c r="H449" s="7"/>
    </row>
    <row r="450" spans="1:8" ht="20.25" x14ac:dyDescent="0.25">
      <c r="A450" s="11"/>
      <c r="B450" s="12"/>
      <c r="C450" s="12"/>
      <c r="D450" s="12"/>
      <c r="E450" s="12"/>
      <c r="F450" s="12"/>
      <c r="G450" s="12"/>
      <c r="H450" s="7"/>
    </row>
    <row r="451" spans="1:8" ht="20.25" x14ac:dyDescent="0.25">
      <c r="A451" s="11"/>
      <c r="B451" s="12"/>
      <c r="C451" s="12"/>
      <c r="D451" s="12"/>
      <c r="E451" s="12"/>
      <c r="F451" s="12"/>
      <c r="G451" s="12"/>
      <c r="H451" s="7"/>
    </row>
    <row r="452" spans="1:8" ht="20.25" x14ac:dyDescent="0.25">
      <c r="A452" s="11"/>
      <c r="B452" s="12"/>
      <c r="C452" s="12"/>
      <c r="D452" s="12"/>
      <c r="E452" s="12"/>
      <c r="F452" s="12"/>
      <c r="G452" s="12"/>
      <c r="H452" s="7"/>
    </row>
    <row r="453" spans="1:8" ht="20.25" x14ac:dyDescent="0.25">
      <c r="A453" s="11"/>
      <c r="B453" s="12"/>
      <c r="C453" s="12"/>
      <c r="D453" s="12"/>
      <c r="E453" s="12"/>
      <c r="F453" s="12"/>
      <c r="G453" s="12"/>
      <c r="H453" s="7"/>
    </row>
    <row r="454" spans="1:8" ht="20.25" x14ac:dyDescent="0.25">
      <c r="A454" s="11"/>
      <c r="B454" s="12"/>
      <c r="C454" s="12"/>
      <c r="D454" s="12"/>
      <c r="E454" s="12"/>
      <c r="F454" s="12"/>
      <c r="G454" s="12"/>
      <c r="H454" s="7"/>
    </row>
    <row r="455" spans="1:8" ht="20.25" x14ac:dyDescent="0.25">
      <c r="A455" s="11"/>
      <c r="B455" s="12"/>
      <c r="C455" s="12"/>
      <c r="D455" s="12"/>
      <c r="E455" s="12"/>
      <c r="F455" s="12"/>
      <c r="G455" s="12"/>
      <c r="H455" s="7"/>
    </row>
    <row r="456" spans="1:8" ht="20.25" x14ac:dyDescent="0.25">
      <c r="A456" s="11"/>
      <c r="B456" s="12"/>
      <c r="C456" s="12"/>
      <c r="D456" s="12"/>
      <c r="E456" s="12"/>
      <c r="F456" s="12"/>
      <c r="G456" s="12"/>
      <c r="H456" s="7"/>
    </row>
    <row r="457" spans="1:8" ht="20.25" x14ac:dyDescent="0.25">
      <c r="A457" s="11"/>
      <c r="B457" s="12"/>
      <c r="C457" s="12"/>
      <c r="D457" s="12"/>
      <c r="E457" s="12"/>
      <c r="F457" s="12"/>
      <c r="G457" s="12"/>
      <c r="H457" s="7"/>
    </row>
    <row r="458" spans="1:8" ht="20.25" x14ac:dyDescent="0.25">
      <c r="A458" s="11"/>
      <c r="B458" s="12"/>
      <c r="C458" s="12"/>
      <c r="D458" s="12"/>
      <c r="E458" s="12"/>
      <c r="F458" s="12"/>
      <c r="G458" s="12"/>
      <c r="H458" s="7"/>
    </row>
    <row r="459" spans="1:8" ht="20.25" x14ac:dyDescent="0.25">
      <c r="A459" s="11"/>
      <c r="B459" s="12"/>
      <c r="C459" s="12"/>
      <c r="D459" s="12"/>
      <c r="E459" s="12"/>
      <c r="F459" s="12"/>
      <c r="G459" s="12"/>
      <c r="H459" s="7"/>
    </row>
    <row r="460" spans="1:8" ht="20.25" x14ac:dyDescent="0.25">
      <c r="A460" s="11"/>
      <c r="B460" s="12"/>
      <c r="C460" s="12"/>
      <c r="D460" s="12"/>
      <c r="E460" s="12"/>
      <c r="F460" s="12"/>
      <c r="G460" s="12"/>
      <c r="H460" s="7"/>
    </row>
    <row r="461" spans="1:8" ht="20.25" x14ac:dyDescent="0.25">
      <c r="A461" s="11"/>
      <c r="B461" s="12"/>
      <c r="C461" s="12"/>
      <c r="D461" s="12"/>
      <c r="E461" s="12"/>
      <c r="F461" s="12"/>
      <c r="G461" s="12"/>
      <c r="H461" s="7"/>
    </row>
    <row r="462" spans="1:8" ht="20.25" x14ac:dyDescent="0.25">
      <c r="A462" s="13"/>
      <c r="B462" s="14"/>
      <c r="C462" s="14"/>
      <c r="D462" s="14"/>
      <c r="E462" s="14"/>
      <c r="F462" s="14"/>
      <c r="G462" s="14"/>
      <c r="H462" s="8"/>
    </row>
    <row r="463" spans="1:8" ht="20.25" x14ac:dyDescent="0.25">
      <c r="A463" s="86" t="s">
        <v>77</v>
      </c>
      <c r="B463" s="87"/>
      <c r="C463" s="87"/>
      <c r="D463" s="87"/>
      <c r="E463" s="87"/>
      <c r="F463" s="87"/>
      <c r="G463" s="87"/>
      <c r="H463" s="88"/>
    </row>
    <row r="464" spans="1:8" ht="20.25" x14ac:dyDescent="0.25">
      <c r="A464" s="9"/>
      <c r="B464" s="10"/>
      <c r="C464" s="10"/>
      <c r="D464" s="10"/>
      <c r="E464" s="10"/>
      <c r="F464" s="10"/>
      <c r="G464" s="10"/>
      <c r="H464" s="6"/>
    </row>
    <row r="465" spans="1:8" ht="20.25" x14ac:dyDescent="0.25">
      <c r="A465" s="11"/>
      <c r="B465" s="12"/>
      <c r="C465" s="12"/>
      <c r="D465" s="12"/>
      <c r="E465" s="12"/>
      <c r="F465" s="12"/>
      <c r="G465" s="12"/>
      <c r="H465" s="7"/>
    </row>
    <row r="466" spans="1:8" ht="20.25" x14ac:dyDescent="0.25">
      <c r="A466" s="11"/>
      <c r="B466" s="12"/>
      <c r="C466" s="12"/>
      <c r="D466" s="12"/>
      <c r="E466" s="12"/>
      <c r="F466" s="12"/>
      <c r="G466" s="12"/>
      <c r="H466" s="7"/>
    </row>
    <row r="467" spans="1:8" ht="20.25" x14ac:dyDescent="0.25">
      <c r="A467" s="11"/>
      <c r="B467" s="12"/>
      <c r="C467" s="12"/>
      <c r="D467" s="12"/>
      <c r="E467" s="12"/>
      <c r="F467" s="12"/>
      <c r="G467" s="12"/>
      <c r="H467" s="7"/>
    </row>
    <row r="468" spans="1:8" ht="20.25" x14ac:dyDescent="0.25">
      <c r="A468" s="11"/>
      <c r="B468" s="12"/>
      <c r="C468" s="12"/>
      <c r="D468" s="12"/>
      <c r="E468" s="12"/>
      <c r="F468" s="12"/>
      <c r="G468" s="12"/>
      <c r="H468" s="7"/>
    </row>
    <row r="469" spans="1:8" ht="20.25" x14ac:dyDescent="0.25">
      <c r="A469" s="11"/>
      <c r="B469" s="12"/>
      <c r="C469" s="12"/>
      <c r="D469" s="12"/>
      <c r="E469" s="12"/>
      <c r="F469" s="12"/>
      <c r="G469" s="12"/>
      <c r="H469" s="7"/>
    </row>
    <row r="470" spans="1:8" ht="20.25" x14ac:dyDescent="0.25">
      <c r="A470" s="11"/>
      <c r="B470" s="12"/>
      <c r="C470" s="12"/>
      <c r="D470" s="12"/>
      <c r="E470" s="12"/>
      <c r="F470" s="12"/>
      <c r="G470" s="12"/>
      <c r="H470" s="7"/>
    </row>
    <row r="471" spans="1:8" ht="20.25" x14ac:dyDescent="0.25">
      <c r="A471" s="11"/>
      <c r="B471" s="12"/>
      <c r="C471" s="12"/>
      <c r="D471" s="12"/>
      <c r="E471" s="12"/>
      <c r="F471" s="12"/>
      <c r="G471" s="12"/>
      <c r="H471" s="7"/>
    </row>
    <row r="472" spans="1:8" ht="20.25" x14ac:dyDescent="0.25">
      <c r="A472" s="11"/>
      <c r="B472" s="12"/>
      <c r="C472" s="12"/>
      <c r="D472" s="12"/>
      <c r="E472" s="12"/>
      <c r="F472" s="12"/>
      <c r="G472" s="12"/>
      <c r="H472" s="7"/>
    </row>
    <row r="473" spans="1:8" ht="20.25" x14ac:dyDescent="0.25">
      <c r="A473" s="11"/>
      <c r="B473" s="12"/>
      <c r="C473" s="12"/>
      <c r="D473" s="12"/>
      <c r="E473" s="12"/>
      <c r="F473" s="12"/>
      <c r="G473" s="12"/>
      <c r="H473" s="7"/>
    </row>
    <row r="474" spans="1:8" ht="20.25" x14ac:dyDescent="0.25">
      <c r="A474" s="11"/>
      <c r="B474" s="12"/>
      <c r="C474" s="12"/>
      <c r="D474" s="12"/>
      <c r="E474" s="12"/>
      <c r="F474" s="12"/>
      <c r="G474" s="12"/>
      <c r="H474" s="7"/>
    </row>
    <row r="475" spans="1:8" ht="20.25" x14ac:dyDescent="0.25">
      <c r="A475" s="11"/>
      <c r="B475" s="12"/>
      <c r="C475" s="12"/>
      <c r="D475" s="12"/>
      <c r="E475" s="12"/>
      <c r="F475" s="12"/>
      <c r="G475" s="12"/>
      <c r="H475" s="7"/>
    </row>
    <row r="476" spans="1:8" ht="20.25" x14ac:dyDescent="0.25">
      <c r="A476" s="11"/>
      <c r="B476" s="12"/>
      <c r="C476" s="12"/>
      <c r="D476" s="12"/>
      <c r="E476" s="12"/>
      <c r="F476" s="12"/>
      <c r="G476" s="12"/>
      <c r="H476" s="7"/>
    </row>
    <row r="477" spans="1:8" ht="20.25" x14ac:dyDescent="0.25">
      <c r="A477" s="11"/>
      <c r="B477" s="12"/>
      <c r="C477" s="12"/>
      <c r="D477" s="12"/>
      <c r="E477" s="12"/>
      <c r="F477" s="12"/>
      <c r="G477" s="12"/>
      <c r="H477" s="7"/>
    </row>
    <row r="478" spans="1:8" ht="20.25" x14ac:dyDescent="0.25">
      <c r="A478" s="11"/>
      <c r="B478" s="12"/>
      <c r="C478" s="12"/>
      <c r="D478" s="12"/>
      <c r="E478" s="12"/>
      <c r="F478" s="12"/>
      <c r="G478" s="12"/>
      <c r="H478" s="7"/>
    </row>
    <row r="479" spans="1:8" ht="20.25" x14ac:dyDescent="0.25">
      <c r="A479" s="11"/>
      <c r="B479" s="12"/>
      <c r="C479" s="12"/>
      <c r="D479" s="12"/>
      <c r="E479" s="12"/>
      <c r="F479" s="12"/>
      <c r="G479" s="12"/>
      <c r="H479" s="7"/>
    </row>
    <row r="480" spans="1:8" ht="20.25" x14ac:dyDescent="0.25">
      <c r="A480" s="11"/>
      <c r="B480" s="12"/>
      <c r="C480" s="12"/>
      <c r="D480" s="12"/>
      <c r="E480" s="12"/>
      <c r="F480" s="12"/>
      <c r="G480" s="12"/>
      <c r="H480" s="7"/>
    </row>
    <row r="481" spans="1:8" ht="20.25" x14ac:dyDescent="0.25">
      <c r="A481" s="11"/>
      <c r="B481" s="12"/>
      <c r="C481" s="12"/>
      <c r="D481" s="12"/>
      <c r="E481" s="12"/>
      <c r="F481" s="12"/>
      <c r="G481" s="12"/>
      <c r="H481" s="7"/>
    </row>
    <row r="482" spans="1:8" ht="20.25" x14ac:dyDescent="0.25">
      <c r="A482" s="11"/>
      <c r="B482" s="12"/>
      <c r="C482" s="12"/>
      <c r="D482" s="12"/>
      <c r="E482" s="12"/>
      <c r="F482" s="12"/>
      <c r="G482" s="12"/>
      <c r="H482" s="7"/>
    </row>
    <row r="483" spans="1:8" ht="20.25" x14ac:dyDescent="0.25">
      <c r="A483" s="11"/>
      <c r="B483" s="12"/>
      <c r="C483" s="12"/>
      <c r="D483" s="12"/>
      <c r="E483" s="12"/>
      <c r="F483" s="12"/>
      <c r="G483" s="12"/>
      <c r="H483" s="7"/>
    </row>
    <row r="484" spans="1:8" ht="20.25" x14ac:dyDescent="0.25">
      <c r="A484" s="11"/>
      <c r="B484" s="12"/>
      <c r="C484" s="12"/>
      <c r="D484" s="12"/>
      <c r="E484" s="12"/>
      <c r="F484" s="12"/>
      <c r="G484" s="12"/>
      <c r="H484" s="7"/>
    </row>
    <row r="485" spans="1:8" ht="20.25" x14ac:dyDescent="0.25">
      <c r="A485" s="11"/>
      <c r="B485" s="12"/>
      <c r="C485" s="12"/>
      <c r="D485" s="12"/>
      <c r="E485" s="12"/>
      <c r="F485" s="12"/>
      <c r="G485" s="12"/>
      <c r="H485" s="7"/>
    </row>
    <row r="486" spans="1:8" ht="20.25" x14ac:dyDescent="0.25">
      <c r="A486" s="11"/>
      <c r="B486" s="12"/>
      <c r="C486" s="12"/>
      <c r="D486" s="12"/>
      <c r="E486" s="12"/>
      <c r="F486" s="12"/>
      <c r="G486" s="12"/>
      <c r="H486" s="7"/>
    </row>
    <row r="487" spans="1:8" ht="20.25" x14ac:dyDescent="0.25">
      <c r="A487" s="11"/>
      <c r="B487" s="12"/>
      <c r="C487" s="12"/>
      <c r="D487" s="12"/>
      <c r="E487" s="12"/>
      <c r="F487" s="12"/>
      <c r="G487" s="12"/>
      <c r="H487" s="7"/>
    </row>
    <row r="488" spans="1:8" ht="20.25" x14ac:dyDescent="0.25">
      <c r="A488" s="11"/>
      <c r="B488" s="12"/>
      <c r="C488" s="12"/>
      <c r="D488" s="12"/>
      <c r="E488" s="12"/>
      <c r="F488" s="12"/>
      <c r="G488" s="12"/>
      <c r="H488" s="7"/>
    </row>
    <row r="489" spans="1:8" ht="20.25" x14ac:dyDescent="0.25">
      <c r="A489" s="11"/>
      <c r="B489" s="12"/>
      <c r="C489" s="12"/>
      <c r="D489" s="12"/>
      <c r="E489" s="12"/>
      <c r="F489" s="12"/>
      <c r="G489" s="12"/>
      <c r="H489" s="7"/>
    </row>
    <row r="490" spans="1:8" ht="20.25" x14ac:dyDescent="0.25">
      <c r="A490" s="11"/>
      <c r="B490" s="12"/>
      <c r="C490" s="12"/>
      <c r="D490" s="12"/>
      <c r="E490" s="12"/>
      <c r="F490" s="12"/>
      <c r="G490" s="12"/>
      <c r="H490" s="7"/>
    </row>
    <row r="491" spans="1:8" ht="20.25" x14ac:dyDescent="0.25">
      <c r="A491" s="11"/>
      <c r="B491" s="12"/>
      <c r="C491" s="12"/>
      <c r="D491" s="12"/>
      <c r="E491" s="12"/>
      <c r="F491" s="12"/>
      <c r="G491" s="12"/>
      <c r="H491" s="7"/>
    </row>
    <row r="492" spans="1:8" ht="20.25" x14ac:dyDescent="0.25">
      <c r="A492" s="11"/>
      <c r="B492" s="12"/>
      <c r="C492" s="12"/>
      <c r="D492" s="12"/>
      <c r="E492" s="12"/>
      <c r="F492" s="12"/>
      <c r="G492" s="12"/>
      <c r="H492" s="7"/>
    </row>
    <row r="493" spans="1:8" ht="20.25" x14ac:dyDescent="0.25">
      <c r="A493" s="11"/>
      <c r="B493" s="12"/>
      <c r="C493" s="12"/>
      <c r="D493" s="12"/>
      <c r="E493" s="12"/>
      <c r="F493" s="12"/>
      <c r="G493" s="12"/>
      <c r="H493" s="7"/>
    </row>
    <row r="494" spans="1:8" ht="20.25" x14ac:dyDescent="0.25">
      <c r="A494" s="11"/>
      <c r="B494" s="12"/>
      <c r="C494" s="12"/>
      <c r="D494" s="12"/>
      <c r="E494" s="12"/>
      <c r="F494" s="12"/>
      <c r="G494" s="12"/>
      <c r="H494" s="7"/>
    </row>
    <row r="495" spans="1:8" ht="20.25" hidden="1" x14ac:dyDescent="0.25">
      <c r="A495" s="11"/>
      <c r="B495" s="12"/>
      <c r="C495" s="12"/>
      <c r="D495" s="12"/>
      <c r="E495" s="12"/>
      <c r="F495" s="12"/>
      <c r="G495" s="12"/>
      <c r="H495" s="7"/>
    </row>
    <row r="496" spans="1:8" ht="20.25" hidden="1" x14ac:dyDescent="0.25">
      <c r="A496" s="11"/>
      <c r="B496" s="12"/>
      <c r="C496" s="12"/>
      <c r="D496" s="12"/>
      <c r="E496" s="12"/>
      <c r="F496" s="12"/>
      <c r="G496" s="12"/>
      <c r="H496" s="7"/>
    </row>
    <row r="497" spans="1:8" ht="20.25" hidden="1" x14ac:dyDescent="0.25">
      <c r="A497" s="11"/>
      <c r="B497" s="12"/>
      <c r="C497" s="12"/>
      <c r="D497" s="12"/>
      <c r="E497" s="12"/>
      <c r="F497" s="12"/>
      <c r="G497" s="12"/>
      <c r="H497" s="7"/>
    </row>
    <row r="498" spans="1:8" ht="20.25" hidden="1" x14ac:dyDescent="0.25">
      <c r="A498" s="11"/>
      <c r="B498" s="12"/>
      <c r="C498" s="12"/>
      <c r="D498" s="12"/>
      <c r="E498" s="12"/>
      <c r="F498" s="12"/>
      <c r="G498" s="12"/>
      <c r="H498" s="7"/>
    </row>
    <row r="499" spans="1:8" ht="20.25" hidden="1" x14ac:dyDescent="0.25">
      <c r="A499" s="11"/>
      <c r="B499" s="12"/>
      <c r="C499" s="12"/>
      <c r="D499" s="12"/>
      <c r="E499" s="12"/>
      <c r="F499" s="12"/>
      <c r="G499" s="12"/>
      <c r="H499" s="7"/>
    </row>
    <row r="500" spans="1:8" ht="20.25" hidden="1" x14ac:dyDescent="0.25">
      <c r="A500" s="11"/>
      <c r="B500" s="12"/>
      <c r="C500" s="12"/>
      <c r="D500" s="12"/>
      <c r="E500" s="12"/>
      <c r="F500" s="12"/>
      <c r="G500" s="12"/>
      <c r="H500" s="7"/>
    </row>
    <row r="501" spans="1:8" ht="20.25" x14ac:dyDescent="0.25">
      <c r="A501" s="93" t="s">
        <v>24</v>
      </c>
      <c r="B501" s="93"/>
      <c r="C501" s="93"/>
      <c r="D501" s="93"/>
      <c r="E501" s="93"/>
      <c r="F501" s="93"/>
      <c r="G501" s="93"/>
      <c r="H501" s="93"/>
    </row>
    <row r="502" spans="1:8" ht="20.25" x14ac:dyDescent="0.25">
      <c r="A502" s="108" t="s">
        <v>78</v>
      </c>
      <c r="B502" s="109"/>
      <c r="C502" s="109"/>
      <c r="D502" s="109"/>
      <c r="E502" s="109"/>
      <c r="F502" s="109"/>
      <c r="G502" s="109"/>
      <c r="H502" s="110"/>
    </row>
    <row r="503" spans="1:8" ht="20.25" x14ac:dyDescent="0.25">
      <c r="A503" s="111" t="s">
        <v>79</v>
      </c>
      <c r="B503" s="112"/>
      <c r="C503" s="112"/>
      <c r="D503" s="112"/>
      <c r="E503" s="112"/>
      <c r="F503" s="112"/>
      <c r="G503" s="112"/>
      <c r="H503" s="113"/>
    </row>
    <row r="504" spans="1:8" ht="45" customHeight="1" x14ac:dyDescent="0.25">
      <c r="A504" s="111" t="s">
        <v>80</v>
      </c>
      <c r="B504" s="112"/>
      <c r="C504" s="112"/>
      <c r="D504" s="112"/>
      <c r="E504" s="112"/>
      <c r="F504" s="112"/>
      <c r="G504" s="112"/>
      <c r="H504" s="113"/>
    </row>
    <row r="505" spans="1:8" ht="42.75" customHeight="1" x14ac:dyDescent="0.25">
      <c r="A505" s="111" t="s">
        <v>81</v>
      </c>
      <c r="B505" s="112"/>
      <c r="C505" s="112"/>
      <c r="D505" s="112"/>
      <c r="E505" s="112"/>
      <c r="F505" s="112"/>
      <c r="G505" s="112"/>
      <c r="H505" s="113"/>
    </row>
    <row r="506" spans="1:8" ht="20.25" x14ac:dyDescent="0.25">
      <c r="A506" s="111" t="s">
        <v>82</v>
      </c>
      <c r="B506" s="112"/>
      <c r="C506" s="112"/>
      <c r="D506" s="112"/>
      <c r="E506" s="112"/>
      <c r="F506" s="112"/>
      <c r="G506" s="112"/>
      <c r="H506" s="113"/>
    </row>
    <row r="507" spans="1:8" ht="20.25" x14ac:dyDescent="0.25">
      <c r="A507" s="111" t="s">
        <v>83</v>
      </c>
      <c r="B507" s="112"/>
      <c r="C507" s="112"/>
      <c r="D507" s="112"/>
      <c r="E507" s="112"/>
      <c r="F507" s="112"/>
      <c r="G507" s="112"/>
      <c r="H507" s="113"/>
    </row>
    <row r="508" spans="1:8" ht="45" customHeight="1" x14ac:dyDescent="0.25">
      <c r="A508" s="111" t="s">
        <v>84</v>
      </c>
      <c r="B508" s="112"/>
      <c r="C508" s="112"/>
      <c r="D508" s="112"/>
      <c r="E508" s="112"/>
      <c r="F508" s="112"/>
      <c r="G508" s="112"/>
      <c r="H508" s="113"/>
    </row>
    <row r="509" spans="1:8" ht="45" customHeight="1" x14ac:dyDescent="0.25">
      <c r="A509" s="111" t="s">
        <v>85</v>
      </c>
      <c r="B509" s="112"/>
      <c r="C509" s="112"/>
      <c r="D509" s="112"/>
      <c r="E509" s="112"/>
      <c r="F509" s="112"/>
      <c r="G509" s="112"/>
      <c r="H509" s="113"/>
    </row>
    <row r="510" spans="1:8" ht="20.25" x14ac:dyDescent="0.25">
      <c r="A510" s="114" t="s">
        <v>86</v>
      </c>
      <c r="B510" s="115"/>
      <c r="C510" s="115"/>
      <c r="D510" s="115"/>
      <c r="E510" s="115"/>
      <c r="F510" s="115"/>
      <c r="G510" s="115"/>
      <c r="H510" s="116"/>
    </row>
    <row r="511" spans="1:8" ht="57" customHeight="1" x14ac:dyDescent="0.25">
      <c r="A511" s="99" t="s">
        <v>30</v>
      </c>
      <c r="B511" s="100"/>
      <c r="C511" s="101" t="s">
        <v>404</v>
      </c>
      <c r="D511" s="102"/>
      <c r="E511" s="99" t="s">
        <v>9</v>
      </c>
      <c r="F511" s="100"/>
      <c r="G511" s="83"/>
      <c r="H511" s="83"/>
    </row>
  </sheetData>
  <mergeCells count="549">
    <mergeCell ref="A90:B90"/>
    <mergeCell ref="A91:B91"/>
    <mergeCell ref="A81:B81"/>
    <mergeCell ref="A82:B82"/>
    <mergeCell ref="A83:B83"/>
    <mergeCell ref="A84:B84"/>
    <mergeCell ref="A85:B85"/>
    <mergeCell ref="A86:B86"/>
    <mergeCell ref="A87:B87"/>
    <mergeCell ref="A88:B88"/>
    <mergeCell ref="A89:B89"/>
    <mergeCell ref="A175:B175"/>
    <mergeCell ref="A176:B176"/>
    <mergeCell ref="A177:B177"/>
    <mergeCell ref="D175:H177"/>
    <mergeCell ref="A278:B278"/>
    <mergeCell ref="D278:H280"/>
    <mergeCell ref="A279:B279"/>
    <mergeCell ref="A280:B280"/>
    <mergeCell ref="A326:B326"/>
    <mergeCell ref="A315:B315"/>
    <mergeCell ref="A288:H288"/>
    <mergeCell ref="A289:B289"/>
    <mergeCell ref="A290:B290"/>
    <mergeCell ref="A291:B291"/>
    <mergeCell ref="A292:B292"/>
    <mergeCell ref="A293:B293"/>
    <mergeCell ref="A294:B294"/>
    <mergeCell ref="A308:H308"/>
    <mergeCell ref="A309:B309"/>
    <mergeCell ref="A310:B310"/>
    <mergeCell ref="A311:B311"/>
    <mergeCell ref="A312:B312"/>
    <mergeCell ref="A313:B313"/>
    <mergeCell ref="A314:B314"/>
    <mergeCell ref="A327:B327"/>
    <mergeCell ref="C321:H321"/>
    <mergeCell ref="A164:H164"/>
    <mergeCell ref="A317:B317"/>
    <mergeCell ref="A318:B318"/>
    <mergeCell ref="A319:B319"/>
    <mergeCell ref="A320:B320"/>
    <mergeCell ref="A321:B321"/>
    <mergeCell ref="A322:B322"/>
    <mergeCell ref="A323:B323"/>
    <mergeCell ref="A324:B324"/>
    <mergeCell ref="A325:B325"/>
    <mergeCell ref="A316:B316"/>
    <mergeCell ref="A297:B297"/>
    <mergeCell ref="A298:B298"/>
    <mergeCell ref="A299:B299"/>
    <mergeCell ref="A300:B300"/>
    <mergeCell ref="A301:B301"/>
    <mergeCell ref="A302:B302"/>
    <mergeCell ref="A303:B303"/>
    <mergeCell ref="A304:B304"/>
    <mergeCell ref="A305:B305"/>
    <mergeCell ref="A306:B306"/>
    <mergeCell ref="A307:B307"/>
    <mergeCell ref="A295:B295"/>
    <mergeCell ref="A296:B296"/>
    <mergeCell ref="A211:B211"/>
    <mergeCell ref="A212:B212"/>
    <mergeCell ref="A213:B213"/>
    <mergeCell ref="A214:B214"/>
    <mergeCell ref="A224:B224"/>
    <mergeCell ref="C218:H218"/>
    <mergeCell ref="A215:B215"/>
    <mergeCell ref="A216:B216"/>
    <mergeCell ref="A217:B217"/>
    <mergeCell ref="A218:B218"/>
    <mergeCell ref="A219:B219"/>
    <mergeCell ref="A220:B220"/>
    <mergeCell ref="A221:B221"/>
    <mergeCell ref="A222:B222"/>
    <mergeCell ref="A223:B223"/>
    <mergeCell ref="A268:H268"/>
    <mergeCell ref="A269:B269"/>
    <mergeCell ref="A282:B282"/>
    <mergeCell ref="A283:B283"/>
    <mergeCell ref="A284:B284"/>
    <mergeCell ref="A285:B285"/>
    <mergeCell ref="A286:B286"/>
    <mergeCell ref="A287:B287"/>
    <mergeCell ref="A185:H185"/>
    <mergeCell ref="A186:B186"/>
    <mergeCell ref="A187:B187"/>
    <mergeCell ref="A270:B270"/>
    <mergeCell ref="A271:B271"/>
    <mergeCell ref="A272:B272"/>
    <mergeCell ref="A273:B273"/>
    <mergeCell ref="A274:B274"/>
    <mergeCell ref="A275:B275"/>
    <mergeCell ref="A276:B276"/>
    <mergeCell ref="A277:B277"/>
    <mergeCell ref="A281:B281"/>
    <mergeCell ref="A188:B188"/>
    <mergeCell ref="A189:B189"/>
    <mergeCell ref="A190:B190"/>
    <mergeCell ref="A191:B191"/>
    <mergeCell ref="A267:H267"/>
    <mergeCell ref="A231:B231"/>
    <mergeCell ref="A232:B232"/>
    <mergeCell ref="A233:B233"/>
    <mergeCell ref="A234:B234"/>
    <mergeCell ref="A235:B235"/>
    <mergeCell ref="A236:B236"/>
    <mergeCell ref="A174:B174"/>
    <mergeCell ref="A259:B259"/>
    <mergeCell ref="A260:B260"/>
    <mergeCell ref="A261:B261"/>
    <mergeCell ref="A262:B262"/>
    <mergeCell ref="A263:B263"/>
    <mergeCell ref="A264:B264"/>
    <mergeCell ref="A265:B265"/>
    <mergeCell ref="A266:B266"/>
    <mergeCell ref="A250:B250"/>
    <mergeCell ref="A251:B251"/>
    <mergeCell ref="A252:B252"/>
    <mergeCell ref="A253:B253"/>
    <mergeCell ref="A254:B254"/>
    <mergeCell ref="A255:B255"/>
    <mergeCell ref="A256:B256"/>
    <mergeCell ref="A257:B257"/>
    <mergeCell ref="A258:B258"/>
    <mergeCell ref="A178:B178"/>
    <mergeCell ref="A179:B179"/>
    <mergeCell ref="A180:B180"/>
    <mergeCell ref="A181:B181"/>
    <mergeCell ref="A182:B182"/>
    <mergeCell ref="A240:B240"/>
    <mergeCell ref="A248:B248"/>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H205"/>
    <mergeCell ref="A206:B206"/>
    <mergeCell ref="A207:B207"/>
    <mergeCell ref="A208:B208"/>
    <mergeCell ref="A209:B209"/>
    <mergeCell ref="A210:B210"/>
    <mergeCell ref="A121:B121"/>
    <mergeCell ref="C119:D119"/>
    <mergeCell ref="G121:H121"/>
    <mergeCell ref="A225:H225"/>
    <mergeCell ref="A226:H226"/>
    <mergeCell ref="A227:B227"/>
    <mergeCell ref="A228:B228"/>
    <mergeCell ref="A229:B229"/>
    <mergeCell ref="A230:B230"/>
    <mergeCell ref="A148:H148"/>
    <mergeCell ref="A149:B149"/>
    <mergeCell ref="A150:B150"/>
    <mergeCell ref="A151:B151"/>
    <mergeCell ref="A152:B152"/>
    <mergeCell ref="A153:B153"/>
    <mergeCell ref="A154:B154"/>
    <mergeCell ref="A155:B155"/>
    <mergeCell ref="A156:B156"/>
    <mergeCell ref="A157:B157"/>
    <mergeCell ref="A158:B158"/>
    <mergeCell ref="A159:B159"/>
    <mergeCell ref="A163:B163"/>
    <mergeCell ref="A167:B167"/>
    <mergeCell ref="A168:B168"/>
    <mergeCell ref="G64:H75"/>
    <mergeCell ref="A75:B75"/>
    <mergeCell ref="A64:B64"/>
    <mergeCell ref="G123:H123"/>
    <mergeCell ref="A124:B124"/>
    <mergeCell ref="G124:H124"/>
    <mergeCell ref="A125:B125"/>
    <mergeCell ref="G125:H125"/>
    <mergeCell ref="A126:B126"/>
    <mergeCell ref="G126:H126"/>
    <mergeCell ref="A110:B110"/>
    <mergeCell ref="C110:D110"/>
    <mergeCell ref="C111:D111"/>
    <mergeCell ref="C112:D112"/>
    <mergeCell ref="E112:F112"/>
    <mergeCell ref="A114:F114"/>
    <mergeCell ref="A115:F115"/>
    <mergeCell ref="A116:F116"/>
    <mergeCell ref="E120:F120"/>
    <mergeCell ref="E121:F121"/>
    <mergeCell ref="A118:B118"/>
    <mergeCell ref="A119:B119"/>
    <mergeCell ref="A120:B120"/>
    <mergeCell ref="C118:D118"/>
    <mergeCell ref="A80:B80"/>
    <mergeCell ref="E80:F91"/>
    <mergeCell ref="G80:H91"/>
    <mergeCell ref="A113:H113"/>
    <mergeCell ref="E110:F110"/>
    <mergeCell ref="A112:B112"/>
    <mergeCell ref="E111:F111"/>
    <mergeCell ref="G111:H111"/>
    <mergeCell ref="D45:F45"/>
    <mergeCell ref="D47:F47"/>
    <mergeCell ref="A48:B48"/>
    <mergeCell ref="D48:F48"/>
    <mergeCell ref="A67:B67"/>
    <mergeCell ref="A68:B68"/>
    <mergeCell ref="A69:B69"/>
    <mergeCell ref="A70:B70"/>
    <mergeCell ref="A71:B71"/>
    <mergeCell ref="A72:B72"/>
    <mergeCell ref="A73:B73"/>
    <mergeCell ref="A74:B74"/>
    <mergeCell ref="A60:H60"/>
    <mergeCell ref="A61:C62"/>
    <mergeCell ref="E63:F63"/>
    <mergeCell ref="E64:F75"/>
    <mergeCell ref="C19:D19"/>
    <mergeCell ref="C20:D20"/>
    <mergeCell ref="C21:D21"/>
    <mergeCell ref="C22:D22"/>
    <mergeCell ref="C24:H24"/>
    <mergeCell ref="C23:H23"/>
    <mergeCell ref="A45:B45"/>
    <mergeCell ref="A46:B46"/>
    <mergeCell ref="A47:B47"/>
    <mergeCell ref="D46:F46"/>
    <mergeCell ref="E118:F118"/>
    <mergeCell ref="E119:F119"/>
    <mergeCell ref="C120:D120"/>
    <mergeCell ref="C121:D121"/>
    <mergeCell ref="A108:F108"/>
    <mergeCell ref="A58:B58"/>
    <mergeCell ref="A59:B59"/>
    <mergeCell ref="C56:F56"/>
    <mergeCell ref="C57:F57"/>
    <mergeCell ref="C58:F58"/>
    <mergeCell ref="C59:F59"/>
    <mergeCell ref="E61:F61"/>
    <mergeCell ref="E62:F62"/>
    <mergeCell ref="A63:B63"/>
    <mergeCell ref="A92:H92"/>
    <mergeCell ref="A93:C94"/>
    <mergeCell ref="A65:B65"/>
    <mergeCell ref="A66:B66"/>
    <mergeCell ref="A76:H76"/>
    <mergeCell ref="A77:C78"/>
    <mergeCell ref="E77:F77"/>
    <mergeCell ref="E78:F78"/>
    <mergeCell ref="A79:B79"/>
    <mergeCell ref="E79:F79"/>
    <mergeCell ref="A1:H1"/>
    <mergeCell ref="A367:C367"/>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G108:H108"/>
    <mergeCell ref="E93:F93"/>
    <mergeCell ref="E94:F94"/>
    <mergeCell ref="A95:B95"/>
    <mergeCell ref="E95:F95"/>
    <mergeCell ref="A13:H13"/>
    <mergeCell ref="C26:D26"/>
    <mergeCell ref="G511:H511"/>
    <mergeCell ref="A366:H366"/>
    <mergeCell ref="D368:H368"/>
    <mergeCell ref="A502:H502"/>
    <mergeCell ref="A508:H508"/>
    <mergeCell ref="A509:H509"/>
    <mergeCell ref="A510:H510"/>
    <mergeCell ref="A503:H503"/>
    <mergeCell ref="A504:H504"/>
    <mergeCell ref="A505:H505"/>
    <mergeCell ref="A506:H506"/>
    <mergeCell ref="A368:C368"/>
    <mergeCell ref="A501:H501"/>
    <mergeCell ref="A507:H507"/>
    <mergeCell ref="A463:H463"/>
    <mergeCell ref="D367:H367"/>
    <mergeCell ref="A369:C369"/>
    <mergeCell ref="D369:H369"/>
    <mergeCell ref="A413:H413"/>
    <mergeCell ref="G118:H118"/>
    <mergeCell ref="G119:H119"/>
    <mergeCell ref="G120:H120"/>
    <mergeCell ref="E124:F124"/>
    <mergeCell ref="C123:D123"/>
    <mergeCell ref="E125:F125"/>
    <mergeCell ref="C124:D124"/>
    <mergeCell ref="C127:D127"/>
    <mergeCell ref="A333:B333"/>
    <mergeCell ref="A33:H33"/>
    <mergeCell ref="G30:H30"/>
    <mergeCell ref="G29:H29"/>
    <mergeCell ref="G114:H114"/>
    <mergeCell ref="A165:H165"/>
    <mergeCell ref="A127:B127"/>
    <mergeCell ref="G127:H127"/>
    <mergeCell ref="A122:H122"/>
    <mergeCell ref="A123:B123"/>
    <mergeCell ref="E123:F123"/>
    <mergeCell ref="A132:H132"/>
    <mergeCell ref="A133:B133"/>
    <mergeCell ref="A134:B134"/>
    <mergeCell ref="A135:B135"/>
    <mergeCell ref="A136:B136"/>
    <mergeCell ref="A137:B137"/>
    <mergeCell ref="A138:B138"/>
    <mergeCell ref="A128:H128"/>
    <mergeCell ref="G14:H14"/>
    <mergeCell ref="G16:H16"/>
    <mergeCell ref="G17:H17"/>
    <mergeCell ref="G15:H15"/>
    <mergeCell ref="G18:H18"/>
    <mergeCell ref="G19:H19"/>
    <mergeCell ref="G46:H46"/>
    <mergeCell ref="G31:H31"/>
    <mergeCell ref="G22:H22"/>
    <mergeCell ref="G36:H36"/>
    <mergeCell ref="G35:H35"/>
    <mergeCell ref="A237:B237"/>
    <mergeCell ref="A238:B238"/>
    <mergeCell ref="A239:B239"/>
    <mergeCell ref="A145:B145"/>
    <mergeCell ref="A146:B146"/>
    <mergeCell ref="A147:B147"/>
    <mergeCell ref="E511:F511"/>
    <mergeCell ref="A511:B511"/>
    <mergeCell ref="C511:D511"/>
    <mergeCell ref="A341:B341"/>
    <mergeCell ref="A334:B334"/>
    <mergeCell ref="A332:B332"/>
    <mergeCell ref="A340:B340"/>
    <mergeCell ref="A183:B183"/>
    <mergeCell ref="A184:B184"/>
    <mergeCell ref="A192:B192"/>
    <mergeCell ref="A249:H249"/>
    <mergeCell ref="A241:B241"/>
    <mergeCell ref="A242:B242"/>
    <mergeCell ref="A243:B243"/>
    <mergeCell ref="A244:B244"/>
    <mergeCell ref="A245:B245"/>
    <mergeCell ref="A246:B246"/>
    <mergeCell ref="A247:B247"/>
    <mergeCell ref="C125:D125"/>
    <mergeCell ref="E127:F127"/>
    <mergeCell ref="C126:D126"/>
    <mergeCell ref="A169:B169"/>
    <mergeCell ref="A170:B170"/>
    <mergeCell ref="A160:B160"/>
    <mergeCell ref="A161:B161"/>
    <mergeCell ref="A162:B162"/>
    <mergeCell ref="A139:B139"/>
    <mergeCell ref="A140:B140"/>
    <mergeCell ref="A131:H131"/>
    <mergeCell ref="A130:H130"/>
    <mergeCell ref="A141:B141"/>
    <mergeCell ref="A142:B142"/>
    <mergeCell ref="A143:B143"/>
    <mergeCell ref="A144:B144"/>
    <mergeCell ref="E126:F126"/>
    <mergeCell ref="A345:B345"/>
    <mergeCell ref="B364:H364"/>
    <mergeCell ref="A335:B335"/>
    <mergeCell ref="A336:B336"/>
    <mergeCell ref="A331:B331"/>
    <mergeCell ref="A337:H337"/>
    <mergeCell ref="A338:B338"/>
    <mergeCell ref="A330:B330"/>
    <mergeCell ref="A328:H328"/>
    <mergeCell ref="A329:B329"/>
    <mergeCell ref="C4:D4"/>
    <mergeCell ref="E2:F2"/>
    <mergeCell ref="A109:H109"/>
    <mergeCell ref="G110:H110"/>
    <mergeCell ref="B365:H365"/>
    <mergeCell ref="B357:H357"/>
    <mergeCell ref="B356:H356"/>
    <mergeCell ref="B360:H360"/>
    <mergeCell ref="B359:H359"/>
    <mergeCell ref="B358:H358"/>
    <mergeCell ref="A342:B342"/>
    <mergeCell ref="A343:B343"/>
    <mergeCell ref="A344:B344"/>
    <mergeCell ref="A353:B353"/>
    <mergeCell ref="A354:B354"/>
    <mergeCell ref="A350:B350"/>
    <mergeCell ref="A351:B351"/>
    <mergeCell ref="A352:B352"/>
    <mergeCell ref="A346:H346"/>
    <mergeCell ref="A347:B347"/>
    <mergeCell ref="A348:B348"/>
    <mergeCell ref="A349:B349"/>
    <mergeCell ref="B362:H362"/>
    <mergeCell ref="A355:H355"/>
    <mergeCell ref="E3:F3"/>
    <mergeCell ref="E4:F4"/>
    <mergeCell ref="A23:B23"/>
    <mergeCell ref="G2:H2"/>
    <mergeCell ref="G3:H3"/>
    <mergeCell ref="G4:H4"/>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E14:F14"/>
    <mergeCell ref="E15:F15"/>
    <mergeCell ref="E16:F16"/>
    <mergeCell ref="E17:F17"/>
    <mergeCell ref="E18:F18"/>
    <mergeCell ref="E19:F19"/>
    <mergeCell ref="C18:D18"/>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C27:D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111:B111"/>
    <mergeCell ref="B361:H361"/>
    <mergeCell ref="B363:H363"/>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A171:B171"/>
    <mergeCell ref="A172:B172"/>
    <mergeCell ref="A173:B173"/>
    <mergeCell ref="A166:B166"/>
    <mergeCell ref="G112:H112"/>
    <mergeCell ref="G116:H116"/>
    <mergeCell ref="A339:B339"/>
  </mergeCells>
  <dataValidations count="6">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9" max="16383" man="1"/>
    <brk id="365" max="8" man="1"/>
    <brk id="412" max="16383" man="1"/>
    <brk id="46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22" zoomScale="70" zoomScaleNormal="70" workbookViewId="0">
      <selection activeCell="I30" sqref="I30"/>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3" t="s">
        <v>69</v>
      </c>
      <c r="B3" s="93"/>
      <c r="C3" s="93"/>
      <c r="D3" s="93"/>
      <c r="E3" s="93"/>
      <c r="F3" s="93"/>
      <c r="G3" s="93"/>
      <c r="H3" s="93"/>
      <c r="I3" s="93"/>
    </row>
    <row r="4" spans="1:11" s="1" customFormat="1" ht="20.25" customHeight="1" x14ac:dyDescent="0.3">
      <c r="A4" s="154">
        <v>1</v>
      </c>
      <c r="B4" s="154"/>
      <c r="C4" s="154"/>
      <c r="D4" s="155" t="s">
        <v>4</v>
      </c>
      <c r="E4" s="30" t="s">
        <v>117</v>
      </c>
      <c r="F4" s="124" t="s">
        <v>104</v>
      </c>
      <c r="G4" s="124"/>
      <c r="H4" s="30" t="s">
        <v>118</v>
      </c>
      <c r="I4" s="30" t="s">
        <v>119</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54"/>
      <c r="B5" s="154"/>
      <c r="C5" s="154"/>
      <c r="D5" s="155"/>
      <c r="E5" s="30">
        <v>3</v>
      </c>
      <c r="F5" s="124">
        <v>1</v>
      </c>
      <c r="G5" s="124"/>
      <c r="H5" s="30">
        <v>0</v>
      </c>
      <c r="I5" s="30">
        <f ca="1">--TRIM(RIGHT(SUBSTITUTE(LEFT(A4,_xlfn.AGGREGATE(16,6,FIND({0,1,2,3,4,5,6,7,8,9},A4,ROW(INDIRECT("1:"&amp;LEN(A4)))),1))," ",REPT(" ",LEN(A4))),LEN(A4)))</f>
        <v>1</v>
      </c>
      <c r="J5" s="16" t="s">
        <v>123</v>
      </c>
      <c r="K5" s="17"/>
    </row>
    <row r="6" spans="1:11" s="1" customFormat="1" ht="20.25" customHeight="1" x14ac:dyDescent="0.3">
      <c r="A6" s="125" t="s">
        <v>121</v>
      </c>
      <c r="B6" s="125"/>
      <c r="C6" s="125" t="s">
        <v>134</v>
      </c>
      <c r="D6" s="125"/>
      <c r="E6" s="31" t="s">
        <v>135</v>
      </c>
      <c r="F6" s="125" t="s">
        <v>122</v>
      </c>
      <c r="G6" s="125"/>
      <c r="H6" s="27" t="s">
        <v>120</v>
      </c>
      <c r="I6" s="27"/>
      <c r="J6" s="19" t="s">
        <v>136</v>
      </c>
      <c r="K6" s="18">
        <f ca="1">I5*25%</f>
        <v>0.25</v>
      </c>
    </row>
    <row r="7" spans="1:11" s="1" customFormat="1" ht="20.25" customHeight="1" x14ac:dyDescent="0.3">
      <c r="A7" s="70" t="s">
        <v>137</v>
      </c>
      <c r="B7" s="70"/>
      <c r="C7" s="124">
        <f ca="1">K8</f>
        <v>1</v>
      </c>
      <c r="D7" s="124"/>
      <c r="E7" s="29">
        <f ca="1">((100/I5)*C7)/100</f>
        <v>1</v>
      </c>
      <c r="F7" s="70">
        <f ca="1">(((C7/I5*10)+(C8/I5*25)+(25/(F5+H5+I5)*C9)+(5/(I5)*C10)+(2.5/(I5)*C11)+(2.5/(I5)*C12)+(5/I5*C13)+(2.5/I5*C14)+(2.5/I5*C15)+(5/I5*C16)+(10/I5*C17)+(5/I5*C18))/100)</f>
        <v>0.35</v>
      </c>
      <c r="G7" s="70"/>
      <c r="H7" s="70" t="str">
        <f ca="1">J4</f>
        <v>Excavation work Completed. Plinth work completed</v>
      </c>
      <c r="I7" s="70"/>
      <c r="J7" s="19" t="s">
        <v>124</v>
      </c>
      <c r="K7" s="23">
        <f ca="1">I5*50%</f>
        <v>0.5</v>
      </c>
    </row>
    <row r="8" spans="1:11" s="1" customFormat="1" ht="20.25" x14ac:dyDescent="0.3">
      <c r="A8" s="70" t="s">
        <v>105</v>
      </c>
      <c r="B8" s="70"/>
      <c r="C8" s="156">
        <f ca="1">K16</f>
        <v>1</v>
      </c>
      <c r="D8" s="124"/>
      <c r="E8" s="29">
        <f ca="1">((100/I5)*C8)/100</f>
        <v>1</v>
      </c>
      <c r="F8" s="70"/>
      <c r="G8" s="70"/>
      <c r="H8" s="70"/>
      <c r="I8" s="70"/>
      <c r="J8" s="19" t="s">
        <v>125</v>
      </c>
      <c r="K8" s="23">
        <f ca="1">I5</f>
        <v>1</v>
      </c>
    </row>
    <row r="9" spans="1:11" s="1" customFormat="1" ht="21" customHeight="1" x14ac:dyDescent="0.35">
      <c r="A9" s="70" t="s">
        <v>138</v>
      </c>
      <c r="B9" s="70"/>
      <c r="C9" s="124">
        <v>0</v>
      </c>
      <c r="D9" s="124"/>
      <c r="E9" s="29">
        <f ca="1">((100/(F5+H5+I5))*C9)/100</f>
        <v>0</v>
      </c>
      <c r="F9" s="70"/>
      <c r="G9" s="70"/>
      <c r="H9" s="70"/>
      <c r="I9" s="70"/>
      <c r="J9" s="19" t="s">
        <v>126</v>
      </c>
      <c r="K9" s="24">
        <f ca="1">(IF(E5&gt;1,(I5/(E5+2)),I5*0.2))</f>
        <v>0.2</v>
      </c>
    </row>
    <row r="10" spans="1:11" s="1" customFormat="1" ht="21" customHeight="1" x14ac:dyDescent="0.35">
      <c r="A10" s="70" t="s">
        <v>139</v>
      </c>
      <c r="B10" s="70"/>
      <c r="C10" s="124">
        <v>0</v>
      </c>
      <c r="D10" s="124"/>
      <c r="E10" s="29">
        <f ca="1">((100/I5)*C10)/100</f>
        <v>0</v>
      </c>
      <c r="F10" s="70"/>
      <c r="G10" s="70"/>
      <c r="H10" s="70"/>
      <c r="I10" s="70"/>
      <c r="J10" s="19" t="s">
        <v>127</v>
      </c>
      <c r="K10" s="24">
        <f ca="1">(IF(E5&gt;1,(I5/(E5+2)+K9),I5*0.2+K9))</f>
        <v>0.4</v>
      </c>
    </row>
    <row r="11" spans="1:11" s="1" customFormat="1" ht="21" customHeight="1" x14ac:dyDescent="0.35">
      <c r="A11" s="71" t="s">
        <v>140</v>
      </c>
      <c r="B11" s="72"/>
      <c r="C11" s="124">
        <v>0</v>
      </c>
      <c r="D11" s="124"/>
      <c r="E11" s="29">
        <f ca="1">((100/I5)*C11)/100</f>
        <v>0</v>
      </c>
      <c r="F11" s="70"/>
      <c r="G11" s="70"/>
      <c r="H11" s="70"/>
      <c r="I11" s="70"/>
      <c r="J11" s="19" t="s">
        <v>141</v>
      </c>
      <c r="K11" s="24">
        <f ca="1">(IF(E5&gt;1,(I5/(E5+2)+K10),0))</f>
        <v>0.60000000000000009</v>
      </c>
    </row>
    <row r="12" spans="1:11" s="1" customFormat="1" ht="21" customHeight="1" x14ac:dyDescent="0.35">
      <c r="A12" s="71" t="s">
        <v>172</v>
      </c>
      <c r="B12" s="72"/>
      <c r="C12" s="124">
        <v>0</v>
      </c>
      <c r="D12" s="124"/>
      <c r="E12" s="29">
        <f ca="1">((100/I5)*C12)/100</f>
        <v>0</v>
      </c>
      <c r="F12" s="70"/>
      <c r="G12" s="70"/>
      <c r="H12" s="70"/>
      <c r="I12" s="70"/>
      <c r="J12" s="19" t="s">
        <v>142</v>
      </c>
      <c r="K12" s="24">
        <f ca="1">(IF(E5&gt;2,(I5/(E5+2)+K11),0))</f>
        <v>0.8</v>
      </c>
    </row>
    <row r="13" spans="1:11" s="1" customFormat="1" ht="57.75" customHeight="1" x14ac:dyDescent="0.35">
      <c r="A13" s="71" t="s">
        <v>169</v>
      </c>
      <c r="B13" s="72"/>
      <c r="C13" s="124">
        <v>0</v>
      </c>
      <c r="D13" s="124"/>
      <c r="E13" s="29">
        <f ca="1">((100/(I5))*C13)/100</f>
        <v>0</v>
      </c>
      <c r="F13" s="70"/>
      <c r="G13" s="70"/>
      <c r="H13" s="70"/>
      <c r="I13" s="70"/>
      <c r="J13" s="19" t="s">
        <v>144</v>
      </c>
      <c r="K13" s="25">
        <f>(IF(E5&gt;3,(I5/(E5+2)+K12),0))</f>
        <v>0</v>
      </c>
    </row>
    <row r="14" spans="1:11" s="1" customFormat="1" ht="21" x14ac:dyDescent="0.35">
      <c r="A14" s="70" t="s">
        <v>143</v>
      </c>
      <c r="B14" s="70"/>
      <c r="C14" s="124">
        <v>0</v>
      </c>
      <c r="D14" s="124"/>
      <c r="E14" s="29">
        <f ca="1">((100/(I5))*C14)/100</f>
        <v>0</v>
      </c>
      <c r="F14" s="70"/>
      <c r="G14" s="70"/>
      <c r="H14" s="70"/>
      <c r="I14" s="70"/>
      <c r="J14" s="19" t="s">
        <v>145</v>
      </c>
      <c r="K14" s="24">
        <f>(IF(E5&gt;4,(I5/(E5+2)+K13),0))</f>
        <v>0</v>
      </c>
    </row>
    <row r="15" spans="1:11" s="1" customFormat="1" ht="21" customHeight="1" x14ac:dyDescent="0.35">
      <c r="A15" s="70" t="s">
        <v>171</v>
      </c>
      <c r="B15" s="70"/>
      <c r="C15" s="124">
        <v>0</v>
      </c>
      <c r="D15" s="124"/>
      <c r="E15" s="29">
        <f ca="1">((100/I5)*C15)/100</f>
        <v>0</v>
      </c>
      <c r="F15" s="70"/>
      <c r="G15" s="70"/>
      <c r="H15" s="70"/>
      <c r="I15" s="70"/>
      <c r="J15" s="19" t="s">
        <v>128</v>
      </c>
      <c r="K15" s="24">
        <f>(IF(E5=1,(I5/(E5+3)+K10),IF(E5=0,(I5*0.3+K10),IF(E5&gt;1,0))))</f>
        <v>0</v>
      </c>
    </row>
    <row r="16" spans="1:11" s="1" customFormat="1" ht="21.75" thickBot="1" x14ac:dyDescent="0.4">
      <c r="A16" s="70" t="s">
        <v>170</v>
      </c>
      <c r="B16" s="70"/>
      <c r="C16" s="124">
        <v>0</v>
      </c>
      <c r="D16" s="124"/>
      <c r="E16" s="29">
        <f ca="1">((100/I5)*C16)/100</f>
        <v>0</v>
      </c>
      <c r="F16" s="70"/>
      <c r="G16" s="70"/>
      <c r="H16" s="70"/>
      <c r="I16" s="70"/>
      <c r="J16" s="21" t="s">
        <v>129</v>
      </c>
      <c r="K16" s="26">
        <f ca="1">(IF(E5&gt;1.5,(I5/(E5+2)+K10+MAX(0,K11-K10)+MAX(0,K12-K11)+MAX(0,K13-K12)+MAX(0,K14-K13)+MAX(0,K15-K14)),IF(E5=1,(I5/(E5+3)+K15),IF(E5=0,I5*0.3+K15))))</f>
        <v>1</v>
      </c>
    </row>
    <row r="17" spans="1:9" s="1" customFormat="1" ht="20.25" x14ac:dyDescent="0.25">
      <c r="A17" s="70" t="s">
        <v>146</v>
      </c>
      <c r="B17" s="70"/>
      <c r="C17" s="124">
        <v>0</v>
      </c>
      <c r="D17" s="124"/>
      <c r="E17" s="29">
        <f ca="1">((100/(I5))*C17)/100</f>
        <v>0</v>
      </c>
      <c r="F17" s="70"/>
      <c r="G17" s="70"/>
      <c r="H17" s="70"/>
      <c r="I17" s="70"/>
    </row>
    <row r="18" spans="1:9" s="1" customFormat="1" ht="20.25" x14ac:dyDescent="0.25">
      <c r="A18" s="70" t="s">
        <v>147</v>
      </c>
      <c r="B18" s="70"/>
      <c r="C18" s="124">
        <v>0</v>
      </c>
      <c r="D18" s="124"/>
      <c r="E18" s="29">
        <f ca="1">((100/(I5))*C18)/100</f>
        <v>0</v>
      </c>
      <c r="F18" s="70"/>
      <c r="G18" s="70"/>
      <c r="H18" s="70"/>
      <c r="I18" s="70"/>
    </row>
    <row r="23" spans="1:9" x14ac:dyDescent="0.25">
      <c r="B23" s="157" t="s">
        <v>173</v>
      </c>
      <c r="C23" s="157"/>
      <c r="D23" s="157"/>
      <c r="E23" s="157"/>
      <c r="F23" s="157"/>
      <c r="G23" s="157"/>
    </row>
    <row r="24" spans="1:9" ht="14.45" customHeight="1" x14ac:dyDescent="0.25">
      <c r="B24" s="160" t="s">
        <v>174</v>
      </c>
      <c r="C24" s="160" t="s">
        <v>175</v>
      </c>
      <c r="D24" s="163" t="s">
        <v>176</v>
      </c>
      <c r="E24" s="164" t="s">
        <v>177</v>
      </c>
      <c r="F24" s="161" t="s">
        <v>178</v>
      </c>
      <c r="G24" s="160" t="s">
        <v>179</v>
      </c>
    </row>
    <row r="25" spans="1:9" x14ac:dyDescent="0.25">
      <c r="B25" s="160"/>
      <c r="C25" s="160"/>
      <c r="D25" s="163"/>
      <c r="E25" s="164"/>
      <c r="F25" s="161"/>
      <c r="G25" s="160"/>
    </row>
    <row r="26" spans="1:9" x14ac:dyDescent="0.25">
      <c r="B26" s="37" t="s">
        <v>180</v>
      </c>
      <c r="C26" s="38">
        <v>10</v>
      </c>
      <c r="D26" s="38">
        <v>1</v>
      </c>
      <c r="E26" s="39"/>
      <c r="F26" s="40">
        <f>((E26/D26)*0.05)*100</f>
        <v>0</v>
      </c>
      <c r="G26" s="40">
        <f t="shared" ref="G26:G37" si="0">((E26/D26)*(C26/100))*100</f>
        <v>0</v>
      </c>
    </row>
    <row r="27" spans="1:9" x14ac:dyDescent="0.25">
      <c r="B27" s="37" t="s">
        <v>181</v>
      </c>
      <c r="C27" s="39">
        <v>10</v>
      </c>
      <c r="D27" s="39">
        <v>1</v>
      </c>
      <c r="E27" s="39"/>
      <c r="F27" s="40">
        <f>((E27/D27)*0.05)*100</f>
        <v>0</v>
      </c>
      <c r="G27" s="40">
        <f t="shared" si="0"/>
        <v>0</v>
      </c>
    </row>
    <row r="28" spans="1:9" x14ac:dyDescent="0.25">
      <c r="B28" s="37" t="s">
        <v>182</v>
      </c>
      <c r="C28" s="39">
        <v>15</v>
      </c>
      <c r="D28" s="39">
        <v>1</v>
      </c>
      <c r="E28" s="39"/>
      <c r="F28" s="40">
        <f>((E28/D28)*0.15)*100</f>
        <v>0</v>
      </c>
      <c r="G28" s="40">
        <f t="shared" si="0"/>
        <v>0</v>
      </c>
    </row>
    <row r="29" spans="1:9" x14ac:dyDescent="0.25">
      <c r="B29" s="41" t="s">
        <v>183</v>
      </c>
      <c r="C29" s="39">
        <v>25</v>
      </c>
      <c r="D29" s="39">
        <v>40</v>
      </c>
      <c r="E29" s="39"/>
      <c r="F29" s="40">
        <f>((E29/D29)*0.25)*100</f>
        <v>0</v>
      </c>
      <c r="G29" s="40">
        <f t="shared" si="0"/>
        <v>0</v>
      </c>
    </row>
    <row r="30" spans="1:9" x14ac:dyDescent="0.25">
      <c r="B30" s="41" t="s">
        <v>184</v>
      </c>
      <c r="C30" s="39">
        <v>5</v>
      </c>
      <c r="D30" s="39">
        <v>39</v>
      </c>
      <c r="E30" s="39"/>
      <c r="F30" s="40">
        <f>((E30/D30)*0.05)*100</f>
        <v>0</v>
      </c>
      <c r="G30" s="40">
        <f t="shared" si="0"/>
        <v>0</v>
      </c>
    </row>
    <row r="31" spans="1:9" ht="30" x14ac:dyDescent="0.25">
      <c r="B31" s="41" t="s">
        <v>185</v>
      </c>
      <c r="C31" s="39">
        <v>2.5</v>
      </c>
      <c r="D31" s="39">
        <v>39</v>
      </c>
      <c r="E31" s="39"/>
      <c r="F31" s="40">
        <f>((E31/D31)*0.025)*100</f>
        <v>0</v>
      </c>
      <c r="G31" s="40">
        <f t="shared" si="0"/>
        <v>0</v>
      </c>
    </row>
    <row r="32" spans="1:9" ht="30" x14ac:dyDescent="0.25">
      <c r="B32" s="41" t="s">
        <v>186</v>
      </c>
      <c r="C32" s="39">
        <v>2.5</v>
      </c>
      <c r="D32" s="39">
        <v>39</v>
      </c>
      <c r="E32" s="39"/>
      <c r="F32" s="40">
        <f>((E32/D32)*0.025)*100</f>
        <v>0</v>
      </c>
      <c r="G32" s="40">
        <f t="shared" si="0"/>
        <v>0</v>
      </c>
    </row>
    <row r="33" spans="1:7" ht="45" x14ac:dyDescent="0.25">
      <c r="B33" s="42" t="s">
        <v>187</v>
      </c>
      <c r="C33" s="39">
        <v>5</v>
      </c>
      <c r="D33" s="39">
        <v>39</v>
      </c>
      <c r="E33" s="39"/>
      <c r="F33" s="40">
        <f>((E33/D33)*0.05)*100</f>
        <v>0</v>
      </c>
      <c r="G33" s="40">
        <f t="shared" si="0"/>
        <v>0</v>
      </c>
    </row>
    <row r="34" spans="1:7" ht="30" x14ac:dyDescent="0.25">
      <c r="B34" s="42" t="s">
        <v>188</v>
      </c>
      <c r="C34" s="39">
        <v>5</v>
      </c>
      <c r="D34" s="39">
        <v>39</v>
      </c>
      <c r="E34" s="39"/>
      <c r="F34" s="40">
        <f>((E34/D34)*0.1)*100</f>
        <v>0</v>
      </c>
      <c r="G34" s="40">
        <f t="shared" si="0"/>
        <v>0</v>
      </c>
    </row>
    <row r="35" spans="1:7" ht="30" x14ac:dyDescent="0.25">
      <c r="B35" s="42" t="s">
        <v>189</v>
      </c>
      <c r="C35" s="39">
        <v>5</v>
      </c>
      <c r="D35" s="39">
        <v>39</v>
      </c>
      <c r="E35" s="39"/>
      <c r="F35" s="40">
        <f>((E35/D35)*0.05)*100</f>
        <v>0</v>
      </c>
      <c r="G35" s="40">
        <f t="shared" si="0"/>
        <v>0</v>
      </c>
    </row>
    <row r="36" spans="1:7" ht="60" x14ac:dyDescent="0.25">
      <c r="B36" s="42" t="s">
        <v>190</v>
      </c>
      <c r="C36" s="39">
        <v>10</v>
      </c>
      <c r="D36" s="39">
        <v>39</v>
      </c>
      <c r="E36" s="39"/>
      <c r="F36" s="40">
        <f>((E36/D36)*0.1)*100</f>
        <v>0</v>
      </c>
      <c r="G36" s="40">
        <f t="shared" si="0"/>
        <v>0</v>
      </c>
    </row>
    <row r="37" spans="1:7" ht="45" x14ac:dyDescent="0.25">
      <c r="B37" s="42" t="s">
        <v>191</v>
      </c>
      <c r="C37" s="39">
        <v>5</v>
      </c>
      <c r="D37" s="39">
        <v>39</v>
      </c>
      <c r="E37" s="39"/>
      <c r="F37" s="40">
        <f>((E37/D37)*0.1)*100</f>
        <v>0</v>
      </c>
      <c r="G37" s="40">
        <f t="shared" si="0"/>
        <v>0</v>
      </c>
    </row>
    <row r="38" spans="1:7" ht="15.75" x14ac:dyDescent="0.25">
      <c r="B38" s="43" t="s">
        <v>192</v>
      </c>
      <c r="C38" s="44">
        <f>SUM(C26:C37)</f>
        <v>100</v>
      </c>
      <c r="D38" s="43"/>
      <c r="E38" s="43"/>
      <c r="F38" s="44">
        <f>SUM(F26:F37)</f>
        <v>0</v>
      </c>
      <c r="G38" s="44">
        <f>SUM(G26:G37)</f>
        <v>0</v>
      </c>
    </row>
    <row r="39" spans="1:7" x14ac:dyDescent="0.25">
      <c r="B39" s="161" t="s">
        <v>193</v>
      </c>
      <c r="C39" s="161"/>
      <c r="D39" s="161"/>
      <c r="E39" s="161"/>
      <c r="F39" s="161"/>
      <c r="G39" s="161"/>
    </row>
    <row r="40" spans="1:7" x14ac:dyDescent="0.25">
      <c r="B40" s="162" t="s">
        <v>194</v>
      </c>
      <c r="C40" s="162"/>
      <c r="D40" s="162"/>
      <c r="E40" s="162" t="s">
        <v>195</v>
      </c>
      <c r="F40" s="162"/>
      <c r="G40" s="162"/>
    </row>
    <row r="41" spans="1:7" x14ac:dyDescent="0.25">
      <c r="B41" s="158" t="s">
        <v>196</v>
      </c>
      <c r="C41" s="158"/>
      <c r="D41" s="158"/>
      <c r="E41" s="158" t="s">
        <v>197</v>
      </c>
      <c r="F41" s="158"/>
      <c r="G41" s="158"/>
    </row>
    <row r="42" spans="1:7" x14ac:dyDescent="0.25">
      <c r="B42" s="158" t="s">
        <v>198</v>
      </c>
      <c r="C42" s="158"/>
      <c r="D42" s="158"/>
      <c r="E42" s="158" t="s">
        <v>199</v>
      </c>
      <c r="F42" s="158"/>
      <c r="G42" s="158"/>
    </row>
    <row r="43" spans="1:7" x14ac:dyDescent="0.25">
      <c r="B43" s="159" t="s">
        <v>200</v>
      </c>
      <c r="C43" s="159"/>
      <c r="D43" s="159"/>
      <c r="E43" s="159" t="s">
        <v>201</v>
      </c>
      <c r="F43" s="159"/>
      <c r="G43" s="159"/>
    </row>
    <row r="45" spans="1:7" ht="15.75" thickBot="1" x14ac:dyDescent="0.3"/>
    <row r="46" spans="1:7" ht="17.25" thickTop="1" thickBot="1" x14ac:dyDescent="0.3">
      <c r="A46" s="45" t="s">
        <v>202</v>
      </c>
      <c r="B46" s="45" t="s">
        <v>174</v>
      </c>
      <c r="C46" s="46" t="s">
        <v>203</v>
      </c>
      <c r="D46" s="46" t="s">
        <v>204</v>
      </c>
      <c r="E46" s="46" t="s">
        <v>205</v>
      </c>
    </row>
    <row r="47" spans="1:7" ht="31.5" thickTop="1" thickBot="1" x14ac:dyDescent="0.3">
      <c r="A47" s="47">
        <v>1</v>
      </c>
      <c r="B47" s="48" t="s">
        <v>206</v>
      </c>
      <c r="C47" s="49">
        <v>0</v>
      </c>
      <c r="D47" s="50">
        <v>0.1</v>
      </c>
      <c r="E47" s="49">
        <v>0.1</v>
      </c>
    </row>
    <row r="48" spans="1:7" ht="31.5" thickTop="1" thickBot="1" x14ac:dyDescent="0.3">
      <c r="A48" s="47">
        <v>2</v>
      </c>
      <c r="B48" s="48" t="s">
        <v>207</v>
      </c>
      <c r="C48" s="49" t="s">
        <v>208</v>
      </c>
      <c r="D48" s="50" t="s">
        <v>209</v>
      </c>
      <c r="E48" s="49">
        <v>0.3</v>
      </c>
    </row>
    <row r="49" spans="1:5" ht="61.5" thickTop="1" thickBot="1" x14ac:dyDescent="0.3">
      <c r="A49" s="47">
        <v>3</v>
      </c>
      <c r="B49" s="48" t="s">
        <v>210</v>
      </c>
      <c r="C49" s="49" t="s">
        <v>211</v>
      </c>
      <c r="D49" s="50" t="s">
        <v>212</v>
      </c>
      <c r="E49" s="49">
        <v>0.45</v>
      </c>
    </row>
    <row r="50" spans="1:5" ht="76.5" thickTop="1" thickBot="1" x14ac:dyDescent="0.3">
      <c r="A50" s="47">
        <v>4</v>
      </c>
      <c r="B50" s="48" t="s">
        <v>213</v>
      </c>
      <c r="C50" s="49" t="s">
        <v>214</v>
      </c>
      <c r="D50" s="50" t="s">
        <v>215</v>
      </c>
      <c r="E50" s="49">
        <v>0.7</v>
      </c>
    </row>
    <row r="51" spans="1:5" ht="76.5" thickTop="1" thickBot="1" x14ac:dyDescent="0.3">
      <c r="A51" s="47">
        <v>5</v>
      </c>
      <c r="B51" s="48" t="s">
        <v>216</v>
      </c>
      <c r="C51" s="49" t="s">
        <v>217</v>
      </c>
      <c r="D51" s="50" t="s">
        <v>218</v>
      </c>
      <c r="E51" s="49">
        <v>0.75</v>
      </c>
    </row>
    <row r="52" spans="1:5" ht="76.5" thickTop="1" thickBot="1" x14ac:dyDescent="0.3">
      <c r="A52" s="47">
        <v>6</v>
      </c>
      <c r="B52" s="48" t="s">
        <v>219</v>
      </c>
      <c r="C52" s="49" t="s">
        <v>220</v>
      </c>
      <c r="D52" s="50" t="s">
        <v>221</v>
      </c>
      <c r="E52" s="49">
        <v>0.8</v>
      </c>
    </row>
    <row r="53" spans="1:5" ht="121.5" thickTop="1" thickBot="1" x14ac:dyDescent="0.3">
      <c r="A53" s="47">
        <v>7</v>
      </c>
      <c r="B53" s="48" t="s">
        <v>222</v>
      </c>
      <c r="C53" s="49" t="s">
        <v>223</v>
      </c>
      <c r="D53" s="50" t="s">
        <v>224</v>
      </c>
      <c r="E53" s="49">
        <v>0.85</v>
      </c>
    </row>
    <row r="54" spans="1:5" ht="211.5" thickTop="1" thickBot="1" x14ac:dyDescent="0.3">
      <c r="A54" s="47">
        <v>8</v>
      </c>
      <c r="B54" s="48" t="s">
        <v>225</v>
      </c>
      <c r="C54" s="49" t="s">
        <v>226</v>
      </c>
      <c r="D54" s="50" t="s">
        <v>227</v>
      </c>
      <c r="E54" s="49">
        <v>0.95</v>
      </c>
    </row>
    <row r="55" spans="1:5" ht="91.5" thickTop="1" thickBot="1" x14ac:dyDescent="0.3">
      <c r="A55" s="47">
        <v>9</v>
      </c>
      <c r="B55" s="48" t="s">
        <v>228</v>
      </c>
      <c r="C55" s="49" t="s">
        <v>229</v>
      </c>
      <c r="D55" s="50" t="s">
        <v>230</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2025-07-05T10:16:13Z</cp:lastPrinted>
  <dcterms:created xsi:type="dcterms:W3CDTF">2010-11-23T11:42:48Z</dcterms:created>
  <dcterms:modified xsi:type="dcterms:W3CDTF">2025-07-07T12:42:36Z</dcterms:modified>
</cp:coreProperties>
</file>