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E1555DDB-0BDD-4CC5-8958-16794D51A659}" xr6:coauthVersionLast="36" xr6:coauthVersionMax="47" xr10:uidLastSave="{00000000-0000-0000-0000-000000000000}"/>
  <bookViews>
    <workbookView xWindow="0" yWindow="0" windowWidth="20490" windowHeight="7125" xr2:uid="{00000000-000D-0000-FFFF-FFFF00000000}"/>
  </bookViews>
  <sheets>
    <sheet name="Report" sheetId="3" r:id="rId1"/>
  </sheets>
  <definedNames>
    <definedName name="_xlnm.Print_Area" localSheetId="0">Report!$A$1:$I$444</definedName>
  </definedNames>
  <calcPr calcId="191029"/>
</workbook>
</file>

<file path=xl/calcChain.xml><?xml version="1.0" encoding="utf-8"?>
<calcChain xmlns="http://schemas.openxmlformats.org/spreadsheetml/2006/main">
  <c r="J2" i="3" l="1"/>
  <c r="C74" i="3" l="1"/>
  <c r="C76" i="3" s="1"/>
  <c r="C58" i="3"/>
  <c r="C60" i="3" s="1"/>
  <c r="M64" i="3"/>
  <c r="K62" i="3"/>
  <c r="K61" i="3"/>
  <c r="K60" i="3"/>
  <c r="M80" i="3"/>
  <c r="K78" i="3"/>
  <c r="K77" i="3"/>
  <c r="K76" i="3"/>
  <c r="I69" i="3"/>
  <c r="I53" i="3"/>
  <c r="E65" i="3" l="1"/>
  <c r="K57" i="3"/>
  <c r="K58" i="3" s="1"/>
  <c r="K63" i="3" s="1"/>
  <c r="K56" i="3"/>
  <c r="C55" i="3" s="1"/>
  <c r="E64" i="3"/>
  <c r="E60" i="3"/>
  <c r="K55" i="3"/>
  <c r="E63" i="3"/>
  <c r="E59" i="3"/>
  <c r="E66" i="3"/>
  <c r="E62" i="3"/>
  <c r="E58" i="3"/>
  <c r="E61" i="3"/>
  <c r="E57" i="3"/>
  <c r="K54" i="3"/>
  <c r="E76" i="3"/>
  <c r="E80" i="3"/>
  <c r="K71" i="3"/>
  <c r="E79" i="3"/>
  <c r="E75" i="3"/>
  <c r="E82" i="3"/>
  <c r="E78" i="3"/>
  <c r="E74" i="3"/>
  <c r="E81" i="3"/>
  <c r="K73" i="3"/>
  <c r="K74" i="3" s="1"/>
  <c r="K79" i="3" s="1"/>
  <c r="E77" i="3"/>
  <c r="E73" i="3"/>
  <c r="K70" i="3"/>
  <c r="K72" i="3"/>
  <c r="C71" i="3" s="1"/>
  <c r="K75" i="3" l="1"/>
  <c r="K80" i="3" s="1"/>
  <c r="C72" i="3" s="1"/>
  <c r="E72" i="3" s="1"/>
  <c r="K59" i="3"/>
  <c r="K64" i="3" s="1"/>
  <c r="C56" i="3" s="1"/>
  <c r="E56" i="3" s="1"/>
  <c r="E55" i="3"/>
  <c r="E71" i="3"/>
  <c r="F71" i="3" l="1"/>
  <c r="J68" i="3" s="1"/>
  <c r="H71" i="3" s="1"/>
  <c r="F55" i="3"/>
  <c r="J52" i="3" l="1"/>
  <c r="H55" i="3" s="1"/>
  <c r="H83" i="3"/>
  <c r="F338" i="3"/>
  <c r="F340" i="3"/>
  <c r="I340" i="3" s="1"/>
  <c r="F346" i="3"/>
  <c r="I346" i="3" s="1"/>
  <c r="F345" i="3"/>
  <c r="I345" i="3" s="1"/>
  <c r="W344" i="3"/>
  <c r="W345" i="3" s="1"/>
  <c r="W346" i="3" s="1"/>
  <c r="V344" i="3"/>
  <c r="F343" i="3"/>
  <c r="I343" i="3" s="1"/>
  <c r="A343" i="3"/>
  <c r="F341" i="3"/>
  <c r="I341" i="3" s="1"/>
  <c r="W339" i="3"/>
  <c r="W340" i="3" s="1"/>
  <c r="W341" i="3" s="1"/>
  <c r="V339" i="3"/>
  <c r="U339" i="3" s="1"/>
  <c r="F339" i="3"/>
  <c r="I339" i="3" s="1"/>
  <c r="I338" i="3"/>
  <c r="A338" i="3"/>
  <c r="F310" i="3"/>
  <c r="I310" i="3" s="1"/>
  <c r="F309" i="3"/>
  <c r="I309" i="3" s="1"/>
  <c r="L308" i="3"/>
  <c r="K308" i="3"/>
  <c r="F307" i="3"/>
  <c r="I307" i="3" s="1"/>
  <c r="F306" i="3"/>
  <c r="I306" i="3" s="1"/>
  <c r="F305" i="3"/>
  <c r="I305" i="3" s="1"/>
  <c r="A305" i="3"/>
  <c r="F303" i="3"/>
  <c r="I303" i="3" s="1"/>
  <c r="F302" i="3"/>
  <c r="I302" i="3" s="1"/>
  <c r="F301" i="3"/>
  <c r="I301" i="3" s="1"/>
  <c r="F300" i="3"/>
  <c r="I300" i="3" s="1"/>
  <c r="F299" i="3"/>
  <c r="I299" i="3" s="1"/>
  <c r="F298" i="3"/>
  <c r="I298" i="3" s="1"/>
  <c r="A298" i="3"/>
  <c r="F332" i="3"/>
  <c r="W298" i="3"/>
  <c r="V305" i="3"/>
  <c r="W305" i="3"/>
  <c r="W343" i="3"/>
  <c r="V298" i="3"/>
  <c r="W338" i="3"/>
  <c r="V338" i="3"/>
  <c r="V343" i="3"/>
  <c r="U344" i="3" l="1"/>
  <c r="L309" i="3"/>
  <c r="U343" i="3"/>
  <c r="U338" i="3"/>
  <c r="V345" i="3"/>
  <c r="V340" i="3"/>
  <c r="U298" i="3"/>
  <c r="V299" i="3"/>
  <c r="W306" i="3"/>
  <c r="W307" i="3" s="1"/>
  <c r="W308" i="3" s="1"/>
  <c r="W309" i="3" s="1"/>
  <c r="W310" i="3" s="1"/>
  <c r="U305" i="3"/>
  <c r="V306" i="3"/>
  <c r="W299" i="3"/>
  <c r="W300" i="3" s="1"/>
  <c r="W301" i="3" s="1"/>
  <c r="W302" i="3" s="1"/>
  <c r="W303" i="3" s="1"/>
  <c r="E352" i="3"/>
  <c r="E351" i="3"/>
  <c r="E350" i="3"/>
  <c r="F336" i="3"/>
  <c r="I336" i="3" s="1"/>
  <c r="F335" i="3"/>
  <c r="I335" i="3" s="1"/>
  <c r="F334" i="3"/>
  <c r="I334" i="3" s="1"/>
  <c r="I332" i="3"/>
  <c r="A332" i="3"/>
  <c r="F330" i="3"/>
  <c r="I330" i="3" s="1"/>
  <c r="F329" i="3"/>
  <c r="I329" i="3" s="1"/>
  <c r="F328" i="3"/>
  <c r="I328" i="3" s="1"/>
  <c r="W327" i="3"/>
  <c r="W328" i="3" s="1"/>
  <c r="W329" i="3" s="1"/>
  <c r="W330" i="3" s="1"/>
  <c r="V327" i="3"/>
  <c r="V328" i="3" s="1"/>
  <c r="F327" i="3"/>
  <c r="I327" i="3" s="1"/>
  <c r="F326" i="3"/>
  <c r="I326" i="3" s="1"/>
  <c r="A326" i="3"/>
  <c r="F324" i="3"/>
  <c r="I324" i="3" s="1"/>
  <c r="F323" i="3"/>
  <c r="I323" i="3" s="1"/>
  <c r="F322" i="3"/>
  <c r="I322" i="3" s="1"/>
  <c r="F320" i="3"/>
  <c r="I320" i="3" s="1"/>
  <c r="F319" i="3"/>
  <c r="I319" i="3" s="1"/>
  <c r="A319" i="3"/>
  <c r="F317" i="3"/>
  <c r="I317" i="3" s="1"/>
  <c r="F316" i="3"/>
  <c r="I316" i="3" s="1"/>
  <c r="F315" i="3"/>
  <c r="I315" i="3" s="1"/>
  <c r="F314" i="3"/>
  <c r="I314" i="3" s="1"/>
  <c r="F313" i="3"/>
  <c r="I313" i="3" s="1"/>
  <c r="F312" i="3"/>
  <c r="I312" i="3" s="1"/>
  <c r="A312" i="3"/>
  <c r="F296" i="3"/>
  <c r="I296" i="3" s="1"/>
  <c r="F295" i="3"/>
  <c r="I295" i="3" s="1"/>
  <c r="L294" i="3"/>
  <c r="K294" i="3"/>
  <c r="F293" i="3"/>
  <c r="I293" i="3" s="1"/>
  <c r="F292" i="3"/>
  <c r="I292" i="3" s="1"/>
  <c r="F291" i="3"/>
  <c r="I291" i="3" s="1"/>
  <c r="A291" i="3"/>
  <c r="F289" i="3"/>
  <c r="I289" i="3" s="1"/>
  <c r="F288" i="3"/>
  <c r="I288" i="3" s="1"/>
  <c r="F287" i="3"/>
  <c r="I287" i="3" s="1"/>
  <c r="F286" i="3"/>
  <c r="I286" i="3" s="1"/>
  <c r="F285" i="3"/>
  <c r="I285" i="3" s="1"/>
  <c r="F284" i="3"/>
  <c r="I284" i="3" s="1"/>
  <c r="A284" i="3"/>
  <c r="F282" i="3"/>
  <c r="I282" i="3" s="1"/>
  <c r="F281" i="3"/>
  <c r="I281" i="3" s="1"/>
  <c r="F279" i="3"/>
  <c r="I279" i="3" s="1"/>
  <c r="F278" i="3"/>
  <c r="I278" i="3" s="1"/>
  <c r="F277" i="3"/>
  <c r="I277" i="3" s="1"/>
  <c r="A277" i="3"/>
  <c r="F275" i="3"/>
  <c r="I275" i="3" s="1"/>
  <c r="F274" i="3"/>
  <c r="I274" i="3" s="1"/>
  <c r="F273" i="3"/>
  <c r="I273" i="3" s="1"/>
  <c r="F272" i="3"/>
  <c r="I272" i="3" s="1"/>
  <c r="F271" i="3"/>
  <c r="I271" i="3" s="1"/>
  <c r="F270" i="3"/>
  <c r="I270" i="3" s="1"/>
  <c r="A270" i="3"/>
  <c r="F268" i="3"/>
  <c r="I268" i="3" s="1"/>
  <c r="F267" i="3"/>
  <c r="I267" i="3" s="1"/>
  <c r="F266" i="3"/>
  <c r="I266" i="3" s="1"/>
  <c r="F265" i="3"/>
  <c r="I265" i="3" s="1"/>
  <c r="F264" i="3"/>
  <c r="I264" i="3" s="1"/>
  <c r="A264" i="3"/>
  <c r="F262" i="3"/>
  <c r="I262" i="3" s="1"/>
  <c r="F261" i="3"/>
  <c r="I261" i="3" s="1"/>
  <c r="F260" i="3"/>
  <c r="I260" i="3" s="1"/>
  <c r="A258" i="3"/>
  <c r="F256" i="3"/>
  <c r="I256" i="3" s="1"/>
  <c r="I255" i="3"/>
  <c r="F254" i="3"/>
  <c r="I254" i="3" s="1"/>
  <c r="A252" i="3"/>
  <c r="J250" i="3"/>
  <c r="F250" i="3"/>
  <c r="I250" i="3" s="1"/>
  <c r="F249" i="3"/>
  <c r="I249" i="3" s="1"/>
  <c r="I248" i="3"/>
  <c r="I247" i="3"/>
  <c r="A246" i="3"/>
  <c r="F244" i="3"/>
  <c r="I244" i="3" s="1"/>
  <c r="F243" i="3"/>
  <c r="I242" i="3"/>
  <c r="I241" i="3"/>
  <c r="A240" i="3"/>
  <c r="F238" i="3"/>
  <c r="I238" i="3" s="1"/>
  <c r="F237" i="3"/>
  <c r="I236" i="3"/>
  <c r="I235" i="3"/>
  <c r="A234" i="3"/>
  <c r="W227" i="3"/>
  <c r="V227" i="3"/>
  <c r="W225" i="3"/>
  <c r="W226" i="3" s="1"/>
  <c r="V225" i="3"/>
  <c r="F224" i="3"/>
  <c r="I224" i="3" s="1"/>
  <c r="A224" i="3"/>
  <c r="W222" i="3"/>
  <c r="V222" i="3"/>
  <c r="F222" i="3"/>
  <c r="I222" i="3" s="1"/>
  <c r="F221" i="3"/>
  <c r="I221" i="3" s="1"/>
  <c r="W220" i="3"/>
  <c r="W221" i="3" s="1"/>
  <c r="V220" i="3"/>
  <c r="V221" i="3" s="1"/>
  <c r="F220" i="3"/>
  <c r="I220" i="3" s="1"/>
  <c r="F219" i="3"/>
  <c r="I219" i="3" s="1"/>
  <c r="A219" i="3"/>
  <c r="F217" i="3"/>
  <c r="I217" i="3" s="1"/>
  <c r="F216" i="3"/>
  <c r="I216" i="3" s="1"/>
  <c r="F215" i="3"/>
  <c r="I215" i="3" s="1"/>
  <c r="W214" i="3"/>
  <c r="W215" i="3" s="1"/>
  <c r="W216" i="3" s="1"/>
  <c r="W217" i="3" s="1"/>
  <c r="V214" i="3"/>
  <c r="V215" i="3" s="1"/>
  <c r="V216" i="3" s="1"/>
  <c r="F214" i="3"/>
  <c r="I214" i="3" s="1"/>
  <c r="F213" i="3"/>
  <c r="I213" i="3" s="1"/>
  <c r="A213" i="3"/>
  <c r="F211" i="3"/>
  <c r="I211" i="3" s="1"/>
  <c r="F210" i="3"/>
  <c r="I210" i="3" s="1"/>
  <c r="F209" i="3"/>
  <c r="I209" i="3" s="1"/>
  <c r="W208" i="3"/>
  <c r="W209" i="3" s="1"/>
  <c r="W210" i="3" s="1"/>
  <c r="W211" i="3" s="1"/>
  <c r="V208" i="3"/>
  <c r="F208" i="3"/>
  <c r="I208" i="3" s="1"/>
  <c r="F207" i="3"/>
  <c r="I207" i="3" s="1"/>
  <c r="F206" i="3"/>
  <c r="I206" i="3" s="1"/>
  <c r="A206" i="3"/>
  <c r="F204" i="3"/>
  <c r="I204" i="3" s="1"/>
  <c r="W203" i="3"/>
  <c r="V203" i="3"/>
  <c r="V204" i="3" s="1"/>
  <c r="F203" i="3"/>
  <c r="I203" i="3" s="1"/>
  <c r="W202" i="3"/>
  <c r="V202" i="3"/>
  <c r="F202" i="3"/>
  <c r="I202" i="3" s="1"/>
  <c r="F201" i="3"/>
  <c r="I201" i="3" s="1"/>
  <c r="A201" i="3"/>
  <c r="F199" i="3"/>
  <c r="I199" i="3" s="1"/>
  <c r="F198" i="3"/>
  <c r="I198" i="3" s="1"/>
  <c r="F197" i="3"/>
  <c r="I197" i="3" s="1"/>
  <c r="W196" i="3"/>
  <c r="W197" i="3" s="1"/>
  <c r="W198" i="3" s="1"/>
  <c r="W199" i="3" s="1"/>
  <c r="V196" i="3"/>
  <c r="V197" i="3" s="1"/>
  <c r="F196" i="3"/>
  <c r="I196" i="3" s="1"/>
  <c r="F195" i="3"/>
  <c r="I195" i="3" s="1"/>
  <c r="A195" i="3"/>
  <c r="F193" i="3"/>
  <c r="I193" i="3" s="1"/>
  <c r="F192" i="3"/>
  <c r="I192" i="3" s="1"/>
  <c r="F191" i="3"/>
  <c r="I191" i="3" s="1"/>
  <c r="W190" i="3"/>
  <c r="W191" i="3" s="1"/>
  <c r="W192" i="3" s="1"/>
  <c r="W193" i="3" s="1"/>
  <c r="V190" i="3"/>
  <c r="V191" i="3" s="1"/>
  <c r="V192" i="3" s="1"/>
  <c r="F190" i="3"/>
  <c r="I190" i="3" s="1"/>
  <c r="F189" i="3"/>
  <c r="I189" i="3" s="1"/>
  <c r="A189" i="3"/>
  <c r="F186" i="3"/>
  <c r="I186" i="3" s="1"/>
  <c r="F185" i="3"/>
  <c r="I185" i="3" s="1"/>
  <c r="F184" i="3"/>
  <c r="I184" i="3" s="1"/>
  <c r="F183" i="3"/>
  <c r="I183" i="3" s="1"/>
  <c r="F182" i="3"/>
  <c r="I182" i="3" s="1"/>
  <c r="A182" i="3"/>
  <c r="F180" i="3"/>
  <c r="I180" i="3" s="1"/>
  <c r="F179" i="3"/>
  <c r="I179" i="3" s="1"/>
  <c r="F178" i="3"/>
  <c r="I178" i="3" s="1"/>
  <c r="W177" i="3"/>
  <c r="W178" i="3" s="1"/>
  <c r="W179" i="3" s="1"/>
  <c r="W180" i="3" s="1"/>
  <c r="V177" i="3"/>
  <c r="F177" i="3"/>
  <c r="I177" i="3" s="1"/>
  <c r="F176" i="3"/>
  <c r="I176" i="3" s="1"/>
  <c r="A176" i="3"/>
  <c r="F174" i="3"/>
  <c r="I174" i="3" s="1"/>
  <c r="F173" i="3"/>
  <c r="I173" i="3" s="1"/>
  <c r="F172" i="3"/>
  <c r="I172" i="3" s="1"/>
  <c r="F171" i="3"/>
  <c r="I171" i="3" s="1"/>
  <c r="F170" i="3"/>
  <c r="I170" i="3" s="1"/>
  <c r="F169" i="3"/>
  <c r="I169" i="3" s="1"/>
  <c r="A169" i="3"/>
  <c r="F167" i="3"/>
  <c r="I167" i="3" s="1"/>
  <c r="W166" i="3"/>
  <c r="W167" i="3" s="1"/>
  <c r="V166" i="3"/>
  <c r="V167" i="3" s="1"/>
  <c r="F166" i="3"/>
  <c r="I166" i="3" s="1"/>
  <c r="F165" i="3"/>
  <c r="I165" i="3" s="1"/>
  <c r="F164" i="3"/>
  <c r="I164" i="3" s="1"/>
  <c r="F163" i="3"/>
  <c r="I163" i="3" s="1"/>
  <c r="A163" i="3"/>
  <c r="F161" i="3"/>
  <c r="I161" i="3" s="1"/>
  <c r="F160" i="3"/>
  <c r="I160" i="3" s="1"/>
  <c r="F159" i="3"/>
  <c r="I159" i="3" s="1"/>
  <c r="F158" i="3"/>
  <c r="I158" i="3" s="1"/>
  <c r="F157" i="3"/>
  <c r="I157" i="3" s="1"/>
  <c r="F156" i="3"/>
  <c r="I156" i="3" s="1"/>
  <c r="A156" i="3"/>
  <c r="F154" i="3"/>
  <c r="I154" i="3" s="1"/>
  <c r="F153" i="3"/>
  <c r="I153" i="3" s="1"/>
  <c r="F152" i="3"/>
  <c r="I152" i="3" s="1"/>
  <c r="W151" i="3"/>
  <c r="W152" i="3" s="1"/>
  <c r="W153" i="3" s="1"/>
  <c r="W154" i="3" s="1"/>
  <c r="V151" i="3"/>
  <c r="V152" i="3" s="1"/>
  <c r="V153" i="3" s="1"/>
  <c r="F151" i="3"/>
  <c r="I151" i="3" s="1"/>
  <c r="F150" i="3"/>
  <c r="I150" i="3" s="1"/>
  <c r="A150" i="3"/>
  <c r="F148" i="3"/>
  <c r="I148" i="3" s="1"/>
  <c r="F147" i="3"/>
  <c r="I147" i="3" s="1"/>
  <c r="F146" i="3"/>
  <c r="I146" i="3" s="1"/>
  <c r="C146" i="3"/>
  <c r="C147" i="3" s="1"/>
  <c r="C148" i="3" s="1"/>
  <c r="I145" i="3"/>
  <c r="F144" i="3"/>
  <c r="A144" i="3"/>
  <c r="F142" i="3"/>
  <c r="I142" i="3" s="1"/>
  <c r="F141" i="3"/>
  <c r="I141" i="3" s="1"/>
  <c r="F140" i="3"/>
  <c r="I140" i="3" s="1"/>
  <c r="I139" i="3"/>
  <c r="C139" i="3"/>
  <c r="C140" i="3" s="1"/>
  <c r="C141" i="3" s="1"/>
  <c r="C142" i="3" s="1"/>
  <c r="I138" i="3"/>
  <c r="I137" i="3"/>
  <c r="A137" i="3"/>
  <c r="F135" i="3"/>
  <c r="J135" i="3" s="1"/>
  <c r="F134" i="3"/>
  <c r="J134" i="3" s="1"/>
  <c r="I133" i="3"/>
  <c r="A130" i="3"/>
  <c r="F128" i="3"/>
  <c r="F127" i="3"/>
  <c r="I127" i="3" s="1"/>
  <c r="I126" i="3"/>
  <c r="I125" i="3"/>
  <c r="A124" i="3"/>
  <c r="F122" i="3"/>
  <c r="I122" i="3" s="1"/>
  <c r="F121" i="3"/>
  <c r="I121" i="3" s="1"/>
  <c r="I120" i="3"/>
  <c r="I119" i="3"/>
  <c r="A118" i="3"/>
  <c r="F116" i="3"/>
  <c r="I116" i="3" s="1"/>
  <c r="F115" i="3"/>
  <c r="I114" i="3"/>
  <c r="I113" i="3"/>
  <c r="A112" i="3"/>
  <c r="H96" i="3"/>
  <c r="H95" i="3"/>
  <c r="H97" i="3" s="1"/>
  <c r="J20" i="3"/>
  <c r="J19" i="3"/>
  <c r="C17" i="3"/>
  <c r="W284" i="3"/>
  <c r="V326" i="3"/>
  <c r="V277" i="3"/>
  <c r="W326" i="3"/>
  <c r="V332" i="3"/>
  <c r="W312" i="3"/>
  <c r="W224" i="3"/>
  <c r="W163" i="3"/>
  <c r="V213" i="3"/>
  <c r="V284" i="3"/>
  <c r="W156" i="3"/>
  <c r="V291" i="3"/>
  <c r="V319" i="3"/>
  <c r="W176" i="3"/>
  <c r="W277" i="3"/>
  <c r="W291" i="3"/>
  <c r="V150" i="3"/>
  <c r="V201" i="3"/>
  <c r="V195" i="3"/>
  <c r="W195" i="3"/>
  <c r="W169" i="3"/>
  <c r="W206" i="3"/>
  <c r="W201" i="3"/>
  <c r="V264" i="3"/>
  <c r="V219" i="3"/>
  <c r="V156" i="3"/>
  <c r="V182" i="3"/>
  <c r="W332" i="3"/>
  <c r="V163" i="3"/>
  <c r="V189" i="3"/>
  <c r="W219" i="3"/>
  <c r="V176" i="3"/>
  <c r="V206" i="3"/>
  <c r="W264" i="3"/>
  <c r="V312" i="3"/>
  <c r="V224" i="3"/>
  <c r="V270" i="3"/>
  <c r="V169" i="3"/>
  <c r="W213" i="3"/>
  <c r="W189" i="3"/>
  <c r="W150" i="3"/>
  <c r="W319" i="3"/>
  <c r="W270" i="3"/>
  <c r="W182" i="3"/>
  <c r="L295" i="3" l="1"/>
  <c r="U202" i="3"/>
  <c r="U222" i="3"/>
  <c r="U203" i="3"/>
  <c r="I237" i="3"/>
  <c r="F101" i="3"/>
  <c r="U225" i="3"/>
  <c r="H101" i="3"/>
  <c r="H100" i="3"/>
  <c r="U345" i="3"/>
  <c r="U340" i="3"/>
  <c r="U167" i="3"/>
  <c r="U208" i="3"/>
  <c r="V226" i="3"/>
  <c r="U226" i="3" s="1"/>
  <c r="I135" i="3"/>
  <c r="I115" i="3"/>
  <c r="V300" i="3"/>
  <c r="U299" i="3"/>
  <c r="V307" i="3"/>
  <c r="U306" i="3"/>
  <c r="J21" i="3"/>
  <c r="U151" i="3"/>
  <c r="U166" i="3"/>
  <c r="U196" i="3"/>
  <c r="U216" i="3"/>
  <c r="U227" i="3"/>
  <c r="U192" i="3"/>
  <c r="W204" i="3"/>
  <c r="U204" i="3" s="1"/>
  <c r="F100" i="3"/>
  <c r="V209" i="3"/>
  <c r="U209" i="3" s="1"/>
  <c r="W183" i="3"/>
  <c r="W184" i="3" s="1"/>
  <c r="W185" i="3" s="1"/>
  <c r="W186" i="3" s="1"/>
  <c r="W187" i="3" s="1"/>
  <c r="U169" i="3"/>
  <c r="V170" i="3"/>
  <c r="W157" i="3"/>
  <c r="W158" i="3" s="1"/>
  <c r="W159" i="3" s="1"/>
  <c r="W160" i="3" s="1"/>
  <c r="W161" i="3" s="1"/>
  <c r="W285" i="3"/>
  <c r="W286" i="3" s="1"/>
  <c r="W287" i="3" s="1"/>
  <c r="W288" i="3" s="1"/>
  <c r="W289" i="3" s="1"/>
  <c r="U150" i="3"/>
  <c r="W170" i="3"/>
  <c r="W171" i="3" s="1"/>
  <c r="W172" i="3" s="1"/>
  <c r="W173" i="3" s="1"/>
  <c r="W174" i="3" s="1"/>
  <c r="U332" i="3"/>
  <c r="V164" i="3"/>
  <c r="U163" i="3"/>
  <c r="U189" i="3"/>
  <c r="V265" i="3"/>
  <c r="U264" i="3"/>
  <c r="U156" i="3"/>
  <c r="V157" i="3"/>
  <c r="W164" i="3"/>
  <c r="W165" i="3" s="1"/>
  <c r="U176" i="3"/>
  <c r="U182" i="3"/>
  <c r="V183" i="3"/>
  <c r="U201" i="3"/>
  <c r="V207" i="3"/>
  <c r="U206" i="3"/>
  <c r="U213" i="3"/>
  <c r="W271" i="3"/>
  <c r="W272" i="3" s="1"/>
  <c r="W273" i="3" s="1"/>
  <c r="W274" i="3" s="1"/>
  <c r="W275" i="3" s="1"/>
  <c r="V320" i="3"/>
  <c r="U319" i="3"/>
  <c r="W333" i="3"/>
  <c r="W334" i="3" s="1"/>
  <c r="W335" i="3" s="1"/>
  <c r="W336" i="3" s="1"/>
  <c r="U195" i="3"/>
  <c r="W207" i="3"/>
  <c r="U219" i="3"/>
  <c r="W265" i="3"/>
  <c r="W266" i="3" s="1"/>
  <c r="W267" i="3" s="1"/>
  <c r="W268" i="3" s="1"/>
  <c r="V278" i="3"/>
  <c r="U277" i="3"/>
  <c r="V292" i="3"/>
  <c r="U291" i="3"/>
  <c r="V313" i="3"/>
  <c r="U312" i="3"/>
  <c r="W320" i="3"/>
  <c r="W321" i="3" s="1"/>
  <c r="W322" i="3" s="1"/>
  <c r="W323" i="3" s="1"/>
  <c r="W324" i="3" s="1"/>
  <c r="U326" i="3"/>
  <c r="U224" i="3"/>
  <c r="U270" i="3"/>
  <c r="V271" i="3"/>
  <c r="W278" i="3"/>
  <c r="W279" i="3" s="1"/>
  <c r="W280" i="3" s="1"/>
  <c r="W281" i="3" s="1"/>
  <c r="W282" i="3" s="1"/>
  <c r="U284" i="3"/>
  <c r="V285" i="3"/>
  <c r="W292" i="3"/>
  <c r="W293" i="3" s="1"/>
  <c r="W294" i="3" s="1"/>
  <c r="W295" i="3" s="1"/>
  <c r="W296" i="3" s="1"/>
  <c r="W313" i="3"/>
  <c r="W314" i="3" s="1"/>
  <c r="W315" i="3" s="1"/>
  <c r="W316" i="3" s="1"/>
  <c r="W317" i="3" s="1"/>
  <c r="I128" i="3"/>
  <c r="I134" i="3"/>
  <c r="J144" i="3"/>
  <c r="I144" i="3"/>
  <c r="U152" i="3"/>
  <c r="U153" i="3"/>
  <c r="V154" i="3"/>
  <c r="U154" i="3" s="1"/>
  <c r="U197" i="3"/>
  <c r="V198" i="3"/>
  <c r="U177" i="3"/>
  <c r="V178" i="3"/>
  <c r="U215" i="3"/>
  <c r="V193" i="3"/>
  <c r="U193" i="3" s="1"/>
  <c r="U221" i="3"/>
  <c r="I243" i="3"/>
  <c r="U328" i="3"/>
  <c r="V329" i="3"/>
  <c r="U190" i="3"/>
  <c r="V217" i="3"/>
  <c r="U217" i="3" s="1"/>
  <c r="U220" i="3"/>
  <c r="U327" i="3"/>
  <c r="U191" i="3"/>
  <c r="U214" i="3"/>
  <c r="F102" i="3" l="1"/>
  <c r="H102" i="3"/>
  <c r="I101" i="3"/>
  <c r="V210" i="3"/>
  <c r="V341" i="3"/>
  <c r="U341" i="3" s="1"/>
  <c r="V346" i="3"/>
  <c r="U346" i="3" s="1"/>
  <c r="I100" i="3"/>
  <c r="V301" i="3"/>
  <c r="U300" i="3"/>
  <c r="V308" i="3"/>
  <c r="U307" i="3"/>
  <c r="U207" i="3"/>
  <c r="V179" i="3"/>
  <c r="U178" i="3"/>
  <c r="U183" i="3"/>
  <c r="V184" i="3"/>
  <c r="U157" i="3"/>
  <c r="V158" i="3"/>
  <c r="U164" i="3"/>
  <c r="V165" i="3"/>
  <c r="U165" i="3" s="1"/>
  <c r="U313" i="3"/>
  <c r="V314" i="3"/>
  <c r="U278" i="3"/>
  <c r="V279" i="3"/>
  <c r="V266" i="3"/>
  <c r="U265" i="3"/>
  <c r="V330" i="3"/>
  <c r="U330" i="3" s="1"/>
  <c r="U329" i="3"/>
  <c r="V211" i="3"/>
  <c r="U211" i="3" s="1"/>
  <c r="U210" i="3"/>
  <c r="V199" i="3"/>
  <c r="U199" i="3" s="1"/>
  <c r="U198" i="3"/>
  <c r="U271" i="3"/>
  <c r="V272" i="3"/>
  <c r="U292" i="3"/>
  <c r="V293" i="3"/>
  <c r="V171" i="3"/>
  <c r="U170" i="3"/>
  <c r="U285" i="3"/>
  <c r="V286" i="3"/>
  <c r="U320" i="3"/>
  <c r="V321" i="3"/>
  <c r="V333" i="3"/>
  <c r="I102" i="3" l="1"/>
  <c r="U308" i="3"/>
  <c r="V309" i="3"/>
  <c r="U301" i="3"/>
  <c r="V302" i="3"/>
  <c r="V273" i="3"/>
  <c r="U272" i="3"/>
  <c r="U314" i="3"/>
  <c r="V315" i="3"/>
  <c r="V159" i="3"/>
  <c r="U158" i="3"/>
  <c r="V172" i="3"/>
  <c r="U171" i="3"/>
  <c r="U266" i="3"/>
  <c r="V267" i="3"/>
  <c r="V180" i="3"/>
  <c r="U180" i="3" s="1"/>
  <c r="U179" i="3"/>
  <c r="V287" i="3"/>
  <c r="U286" i="3"/>
  <c r="U293" i="3"/>
  <c r="V294" i="3"/>
  <c r="V280" i="3"/>
  <c r="U279" i="3"/>
  <c r="V185" i="3"/>
  <c r="U184" i="3"/>
  <c r="U333" i="3"/>
  <c r="V334" i="3"/>
  <c r="V322" i="3"/>
  <c r="U321" i="3"/>
  <c r="U309" i="3" l="1"/>
  <c r="V310" i="3"/>
  <c r="U310" i="3" s="1"/>
  <c r="U302" i="3"/>
  <c r="V303" i="3"/>
  <c r="U303" i="3" s="1"/>
  <c r="V335" i="3"/>
  <c r="U334" i="3"/>
  <c r="U267" i="3"/>
  <c r="V268" i="3"/>
  <c r="U268" i="3" s="1"/>
  <c r="U280" i="3"/>
  <c r="V281" i="3"/>
  <c r="V288" i="3"/>
  <c r="U287" i="3"/>
  <c r="V160" i="3"/>
  <c r="U159" i="3"/>
  <c r="V274" i="3"/>
  <c r="U273" i="3"/>
  <c r="V295" i="3"/>
  <c r="U294" i="3"/>
  <c r="V316" i="3"/>
  <c r="U315" i="3"/>
  <c r="V186" i="3"/>
  <c r="U185" i="3"/>
  <c r="U172" i="3"/>
  <c r="V173" i="3"/>
  <c r="V323" i="3"/>
  <c r="U322" i="3"/>
  <c r="V317" i="3" l="1"/>
  <c r="U317" i="3" s="1"/>
  <c r="U316" i="3"/>
  <c r="U274" i="3"/>
  <c r="V275" i="3"/>
  <c r="U275" i="3" s="1"/>
  <c r="U288" i="3"/>
  <c r="V289" i="3"/>
  <c r="U289" i="3" s="1"/>
  <c r="U281" i="3"/>
  <c r="V282" i="3"/>
  <c r="U282" i="3" s="1"/>
  <c r="U173" i="3"/>
  <c r="V174" i="3"/>
  <c r="U174" i="3" s="1"/>
  <c r="U323" i="3"/>
  <c r="V324" i="3"/>
  <c r="U324" i="3" s="1"/>
  <c r="V187" i="3"/>
  <c r="U187" i="3" s="1"/>
  <c r="U186" i="3"/>
  <c r="U295" i="3"/>
  <c r="V296" i="3"/>
  <c r="U296" i="3" s="1"/>
  <c r="U160" i="3"/>
  <c r="V161" i="3"/>
  <c r="U161" i="3" s="1"/>
  <c r="V336" i="3"/>
  <c r="U336" i="3" s="1"/>
  <c r="U335" i="3"/>
</calcChain>
</file>

<file path=xl/sharedStrings.xml><?xml version="1.0" encoding="utf-8"?>
<sst xmlns="http://schemas.openxmlformats.org/spreadsheetml/2006/main" count="684" uniqueCount="333">
  <si>
    <t>Boundaries</t>
  </si>
  <si>
    <t>North</t>
  </si>
  <si>
    <t>East</t>
  </si>
  <si>
    <t>West</t>
  </si>
  <si>
    <t>:</t>
  </si>
  <si>
    <t>As per Actual at site</t>
  </si>
  <si>
    <t>South</t>
  </si>
  <si>
    <t>As per Documents</t>
  </si>
  <si>
    <t>As per Site / Actual</t>
  </si>
  <si>
    <t>Government Guideline/ Circle rate for Land (Rs per sqft)</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</si>
  <si>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</si>
  <si>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</si>
  <si>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</si>
  <si>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</si>
  <si>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</si>
  <si>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</si>
  <si>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</si>
  <si>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</si>
  <si>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</si>
  <si>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</si>
  <si>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</si>
  <si>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</si>
  <si>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</si>
  <si>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</si>
  <si>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</si>
  <si>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</si>
  <si>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</si>
  <si>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</si>
  <si>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</si>
  <si>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</si>
  <si>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</si>
  <si>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</si>
  <si>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</si>
  <si>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</si>
  <si>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</si>
  <si>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</si>
  <si>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</si>
  <si>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</si>
  <si>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</si>
  <si>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</si>
  <si>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</si>
  <si>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</si>
  <si>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</si>
  <si>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</si>
  <si>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</si>
  <si>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</si>
  <si>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</si>
  <si>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</si>
  <si>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</si>
  <si>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</si>
  <si>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</si>
  <si>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</si>
  <si>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</si>
  <si>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</si>
  <si>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</si>
  <si>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</si>
  <si>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</si>
  <si>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</si>
  <si>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</si>
  <si>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</si>
  <si>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</si>
  <si>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</si>
  <si>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</si>
  <si>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</si>
  <si>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</si>
  <si>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</si>
  <si>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</si>
  <si>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</si>
  <si>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</si>
  <si>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</si>
  <si>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</si>
  <si>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</si>
  <si>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</si>
  <si>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</si>
  <si>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</si>
  <si>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</si>
  <si>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</si>
  <si>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</si>
  <si>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</si>
  <si>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</si>
  <si>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</si>
  <si>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</si>
  <si>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</si>
  <si>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</si>
  <si>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</si>
  <si>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</si>
  <si>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</si>
  <si>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</si>
  <si>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</si>
  <si>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</si>
  <si>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</si>
  <si>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</si>
  <si>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</si>
  <si>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</si>
  <si>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</si>
  <si>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</si>
  <si>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</si>
  <si>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</si>
  <si>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</si>
  <si>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</si>
  <si>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</si>
  <si>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</si>
  <si>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</si>
  <si>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</si>
  <si>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</si>
  <si>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</si>
  <si>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</si>
  <si>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</si>
  <si>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</si>
  <si>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</si>
  <si>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</si>
  <si>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</si>
  <si>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</si>
  <si>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</si>
  <si>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</si>
  <si>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</si>
  <si>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</si>
  <si>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</si>
  <si>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</si>
  <si>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</si>
  <si>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</si>
  <si>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</si>
  <si>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</si>
  <si>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</si>
  <si>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</si>
  <si>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</si>
  <si>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</si>
  <si>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</si>
  <si>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</si>
  <si>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</si>
  <si>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</si>
  <si>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</si>
  <si>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</si>
  <si>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</si>
  <si>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</si>
  <si>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</si>
  <si>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</si>
  <si>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</si>
  <si>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</si>
  <si>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</si>
  <si>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</si>
  <si>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</si>
  <si>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</si>
  <si>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</si>
  <si>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</si>
  <si>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</si>
  <si>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</si>
  <si>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</si>
  <si>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</si>
  <si>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</si>
  <si>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</si>
  <si>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</si>
  <si>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</si>
  <si>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</si>
  <si>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</si>
  <si>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</si>
  <si>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</si>
  <si>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</si>
  <si>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</si>
  <si>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</si>
  <si>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</si>
  <si>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</si>
  <si>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</si>
  <si>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</si>
  <si>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</si>
  <si>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</si>
  <si>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</si>
  <si>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</si>
  <si>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</si>
  <si>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</si>
  <si>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</si>
  <si>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</si>
  <si>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</si>
  <si>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</si>
  <si>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</si>
  <si>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</si>
  <si>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</si>
  <si>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</si>
  <si>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</si>
  <si>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</si>
  <si>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</si>
  <si>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</si>
  <si>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</si>
  <si>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</si>
  <si>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</si>
  <si>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</si>
  <si>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</si>
  <si>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</si>
  <si>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</si>
  <si>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 xml:space="preserve">Mr.Vedamani (CRM) -2268328901.
</t>
  </si>
  <si>
    <t>Raymond Limited</t>
  </si>
  <si>
    <t>Raymond Realty, Building Name - The Mill, Street Name - Pokhran Road No 1, Locality - J K Gram, Land mark - J K Gram</t>
  </si>
  <si>
    <t>Raymond Realty</t>
  </si>
  <si>
    <t>Plot bearing Survey No - 122.(pt), 126B/2(Pt), 126B/3(Pt) of Village - Panchpakhadi, Pokharan Road No.1, Taluka &amp; District - Thane (Sector No - IV)</t>
  </si>
  <si>
    <t>Thane Municipal Corporation (TMC)</t>
  </si>
  <si>
    <t xml:space="preserve">13/11/2021
</t>
  </si>
  <si>
    <t>Middle</t>
  </si>
  <si>
    <t>Smt. Sunitidevi Singhania school</t>
  </si>
  <si>
    <t>Open Plot</t>
  </si>
  <si>
    <t xml:space="preserve">Residential </t>
  </si>
  <si>
    <t xml:space="preserve">HDFC Bank
IFSC Code - HDFC0000060
</t>
  </si>
  <si>
    <t>Tower A (A Wing)</t>
  </si>
  <si>
    <t>Road</t>
  </si>
  <si>
    <t>Tower A (Wing A)</t>
  </si>
  <si>
    <t>1st &amp; 2nd Basement Floor for Parking</t>
  </si>
  <si>
    <t>Ground Floor For Parking &amp; Amenities</t>
  </si>
  <si>
    <t>1st Podium Floor For Parking &amp; Amenities</t>
  </si>
  <si>
    <t>2nd &amp; 3rd Podium Floor For Parking</t>
  </si>
  <si>
    <t>4th Podium Floor For Residential, Parking &amp; Amenities</t>
  </si>
  <si>
    <t>Parking Area</t>
  </si>
  <si>
    <t>Society Office</t>
  </si>
  <si>
    <t>3BHK</t>
  </si>
  <si>
    <t>4P01</t>
  </si>
  <si>
    <t>4P02</t>
  </si>
  <si>
    <t>4P03</t>
  </si>
  <si>
    <t>4P04</t>
  </si>
  <si>
    <t>4P05</t>
  </si>
  <si>
    <t>5th Podium Floor For Residential, Parking &amp; Amenities</t>
  </si>
  <si>
    <t>5P01</t>
  </si>
  <si>
    <t>5P02</t>
  </si>
  <si>
    <t>5P03</t>
  </si>
  <si>
    <t>5P04</t>
  </si>
  <si>
    <t>5P05</t>
  </si>
  <si>
    <t xml:space="preserve">6th Podium Floor For Residential, Parking </t>
  </si>
  <si>
    <t>6P01</t>
  </si>
  <si>
    <t>6P02</t>
  </si>
  <si>
    <t>6P03</t>
  </si>
  <si>
    <t>6P04</t>
  </si>
  <si>
    <t>6P05</t>
  </si>
  <si>
    <t>Stilt / Podium Top Floor For Residential, Amenities &amp; Refuge Area</t>
  </si>
  <si>
    <t>S01</t>
  </si>
  <si>
    <t>S02</t>
  </si>
  <si>
    <t>S03</t>
  </si>
  <si>
    <t>S04</t>
  </si>
  <si>
    <t>S05</t>
  </si>
  <si>
    <t>S06</t>
  </si>
  <si>
    <t>Amenities</t>
  </si>
  <si>
    <t>Refuge Area</t>
  </si>
  <si>
    <t>4BHK</t>
  </si>
  <si>
    <t>Steam, Sauna &amp; Jacuzzi</t>
  </si>
  <si>
    <t>Power Gym</t>
  </si>
  <si>
    <t>Salon</t>
  </si>
  <si>
    <t>1st Floor For Residential &amp; Amenities</t>
  </si>
  <si>
    <t>2nd Floor For Residential</t>
  </si>
  <si>
    <t>Double Height</t>
  </si>
  <si>
    <t>Flats</t>
  </si>
  <si>
    <t>Details of Flats in Buildini</t>
  </si>
  <si>
    <t>4.5 KM from Thane Railway Station
6.7 KM from Kalva Railway Station</t>
  </si>
  <si>
    <t>2.2 KM from Subhash Nagar Bus Stop</t>
  </si>
  <si>
    <t>About 1KM from Smt. Sunitidevi Singhania School</t>
  </si>
  <si>
    <t xml:space="preserve">About 2.5 K form Jupiter Hospital </t>
  </si>
  <si>
    <t>1. Approx. 2.8 KM from DMart Kolshet Market.
2. Approx. 4 KM from Jambhli Market(Thane market).</t>
  </si>
  <si>
    <t xml:space="preserve">  </t>
  </si>
  <si>
    <t>21500 - 22500</t>
  </si>
  <si>
    <t>On Carpet area</t>
  </si>
  <si>
    <t xml:space="preserve"> </t>
  </si>
  <si>
    <t xml:space="preserve">Basement 1 &amp; 2 + Ground + 1st to 6th Podium + Stilt/Podiumtop + 1st to 51st Floor
</t>
  </si>
  <si>
    <t>5BHK</t>
  </si>
  <si>
    <t>5th, 10th, 15th, 20th &amp; 25th  Floor (Part Refuge Area)</t>
  </si>
  <si>
    <t>49th Floor (Part Refuge Area)</t>
  </si>
  <si>
    <t>50th Floor</t>
  </si>
  <si>
    <t>51st Floor</t>
  </si>
  <si>
    <t>6BHK Duplex with 51st Floor</t>
  </si>
  <si>
    <t>7BHK Duplex with 51st Floor</t>
  </si>
  <si>
    <t>6BHK Duplex with 50th Floor</t>
  </si>
  <si>
    <t>7BHK Duplex with 50th Floor</t>
  </si>
  <si>
    <t>The Address by GS Tower A - P51700031762
The Address by GS Tower B -  P51700045829</t>
  </si>
  <si>
    <t>Tower A - 31/12/2026
Tower B - 31/03/2028</t>
  </si>
  <si>
    <t>S04/0120/18TMC/TD-DP/TPS/4107/22
Date: 30/06/2022</t>
  </si>
  <si>
    <t>Total</t>
  </si>
  <si>
    <t>1st &amp;  Podium Floor For Parking &amp; Amenities</t>
  </si>
  <si>
    <t>6th Podium Floor For Residential, Parking &amp; Amenities</t>
  </si>
  <si>
    <t>1st Floor For Residential &amp; Club House</t>
  </si>
  <si>
    <t>Guest Room Zone</t>
  </si>
  <si>
    <t>2nd Floor</t>
  </si>
  <si>
    <t>3rd, 4th, 6th to  9th, 11th to 14th, 16th to 19th, 21st to 24th Floor</t>
  </si>
  <si>
    <t>5th, 10th, 15th, 20th &amp; 25th Floor (Part Refuge Area)</t>
  </si>
  <si>
    <t>Tower B (B Wing)</t>
  </si>
  <si>
    <t>Tower B (Wing B)</t>
  </si>
  <si>
    <t>4th, 7th, 11th, 12th, 13th, 14th, 18th, 22nd, 23rd, 24th, 26th, 28th, 35th, 37th, 46th &amp; 47th Floor</t>
  </si>
  <si>
    <t>16th, 17th, 19th, 40th &amp; 42nd  Floor</t>
  </si>
  <si>
    <t>8th &amp; 33rd  Floor</t>
  </si>
  <si>
    <t>6BHK
(Duplex With 9th &amp; 34th Floor)</t>
  </si>
  <si>
    <t>9th Floor</t>
  </si>
  <si>
    <t>6BHK Duplex with 8th Floor</t>
  </si>
  <si>
    <t>34th Floor (Part Refuge Area)</t>
  </si>
  <si>
    <t>6BHK Duplex with 33rd Floor</t>
  </si>
  <si>
    <t>41st  &amp; 43rd  Floor</t>
  </si>
  <si>
    <t>44th Floor (Part Refuge Area)</t>
  </si>
  <si>
    <t>29th  &amp; 39th Floor (Part Refuge Area)</t>
  </si>
  <si>
    <t>3rd, 6th, 21st, 27th, 30th, 31st, 32nd, 33rd, 36th, 38th, 45th &amp; 48thFloor</t>
  </si>
  <si>
    <t>As per RERA Site, Flats = 570</t>
  </si>
  <si>
    <t xml:space="preserve">Basement 1 &amp; 2 + Ground + 1st to 6th Podium + Stilt/Podium top + 1st to 51st Floor
</t>
  </si>
  <si>
    <t>The Address By GS (Tower A &amp; B)</t>
  </si>
  <si>
    <t xml:space="preserve">Approved Plan Details
</t>
  </si>
  <si>
    <r>
      <t xml:space="preserve">Wing A = B1 &amp; 2 + Gr + 1st to 6th P + Stilt/Podiumtop + 1st to 51st Floor &amp; Wing B = B1 &amp; 2 + Gr + 1st to 6th P + Stilt/Podiumtop + 1st to 25th Floor
</t>
    </r>
    <r>
      <rPr>
        <b/>
        <sz val="16"/>
        <rFont val="Times New Roman"/>
        <family val="1"/>
      </rPr>
      <t xml:space="preserve">S04/0120/18TMC/TD-DP/TPS/4107/ 22
Date: 30/06/2022
</t>
    </r>
    <r>
      <rPr>
        <sz val="16"/>
        <rFont val="Times New Roman"/>
        <family val="1"/>
      </rPr>
      <t xml:space="preserve">
Wing B = 26th to 51st Floor
</t>
    </r>
    <r>
      <rPr>
        <b/>
        <sz val="16"/>
        <rFont val="Times New Roman"/>
        <family val="1"/>
      </rPr>
      <t xml:space="preserve">TMCB/RB/2022/APL/00016 
Date : 21/10/2022  </t>
    </r>
  </si>
  <si>
    <t xml:space="preserve">S04/0120/18TMC/TDD/4059/22
Date: 26/06/2022
Valid Up to: Wing A = Basement 1 &amp; 2 + Ground + 1st to 6th Podium + Stilt/Podium top + 1st to
51st Floor
Wing B = Basement 1 &amp; 2 + Ground + 1st to 6th Podium + Stilt/Podium top + 1st to 25th Floor
Wing B = 26th to 51st Floor
TMCB/RB/2022/APL/00016 
Date : 21/10/2022  </t>
  </si>
  <si>
    <t>26th to 28th, 30th, 31st, 33rd, 35th, 37th, 38th, 41st, 42nd &amp; 45th to 47th Floor</t>
  </si>
  <si>
    <t>29th &amp; 34th Floor (Part Refuge Area)</t>
  </si>
  <si>
    <t xml:space="preserve">43rd Floor </t>
  </si>
  <si>
    <t xml:space="preserve">44th Floor </t>
  </si>
  <si>
    <t>6BHK Duplex with 44th floor</t>
  </si>
  <si>
    <t>4BHK Duplex with 44th floor</t>
  </si>
  <si>
    <t>6BHK Duplex with 43rd floor</t>
  </si>
  <si>
    <t>4BHK Duplex with 43rd floor</t>
  </si>
  <si>
    <t xml:space="preserve">48th Floor </t>
  </si>
  <si>
    <t xml:space="preserve">49th Floor </t>
  </si>
  <si>
    <t>6BHK Duplex with 48th floor</t>
  </si>
  <si>
    <t>4BHK Duplex with 48th floor</t>
  </si>
  <si>
    <t>6BHK Duplex with 49th Floor</t>
  </si>
  <si>
    <t>4BHK Duplex with 49th Floor</t>
  </si>
  <si>
    <t>32nd, 36th &amp; 40th Floor</t>
  </si>
  <si>
    <t>39th Floor (Part Refuge Area)</t>
  </si>
  <si>
    <t xml:space="preserve">50th Floor </t>
  </si>
  <si>
    <t xml:space="preserve">51st Floor </t>
  </si>
  <si>
    <t>4BHK Duplex with 50th Floor</t>
  </si>
  <si>
    <t>Flats = 553</t>
  </si>
  <si>
    <t>Location link</t>
  </si>
  <si>
    <t>https://goo.gl/maps/Gqez9mRRkJxaMqE67</t>
  </si>
  <si>
    <t xml:space="preserve">The Address by GS Tower A, Survey No.122(pt), 126B/2(pt), 126B/3(pt), near Smt. Sunitidevi Singhania School, Pokharan Road No.1, Panchpakhadi, Thane West,
Thane, Thane - 400606.
</t>
  </si>
  <si>
    <t>The Address by GS Tower A, Survey No.122(pt), 126B/2(pt), 126B/3(pt), near Smt. Sunitidevi Singhania School, Pokharan Road No.1, Panchpakhadi, Thane West,
Thane, Thane - 400606.</t>
  </si>
  <si>
    <t>External Plaster</t>
  </si>
  <si>
    <t>External Plumbing, Elevation and Waterproofing</t>
  </si>
  <si>
    <t>Wooden Work</t>
  </si>
  <si>
    <t>Electrical &amp; Sanitary fittings</t>
  </si>
  <si>
    <t xml:space="preserve">Mr.Security
</t>
  </si>
  <si>
    <t>7. On Site, we meet Mr.Mayur - 7700023042</t>
  </si>
  <si>
    <t>1. Construction work is in process at the time of Visit. Internal Visit was not allowed.
2. We considered  Saleable area as per our calculation.
3. We considered Carpet area as per Approved Plan.
4. We considered Gross carpet area = Net carpet + Deck Area + Utility Area.
5. We have considered rate by verifying it from market inquire.
6. Car parking is subjected to authentic documentation.
7. We have updated revised approved plan &amp; C.C of Tower A &amp; B (on 12/07/2022).
8. We have updated revised approved plan &amp; C.C of Tower B (on 30/01/2023).</t>
  </si>
  <si>
    <t>Tower A (Wing A) = Basement 1 &amp; 2 + Ground + 1st to 6th Podium + Stilt/Podium top + 1st to 51st Floor</t>
  </si>
  <si>
    <t>Tower B (Wing B) = Basement 1 &amp; 2 + Ground + 1st to 6th Podium + Stilt/Podium top + 1st to 51st Floor</t>
  </si>
  <si>
    <t>Authorized Signatory 
Name &amp; Signature</t>
  </si>
  <si>
    <t>03/07/2025 at 01:29PM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</si>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</sst>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sz val="8"/>
      <name val="Calibri"/>
      <family val="2"/>
    </font>
    <font>
      <u/>
      <sz val="11"/>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3" fillId="0" borderId="0" applyNumberFormat="0" applyFill="0" applyBorder="0" applyAlignment="0" applyProtection="0"/>
  </cellStyleXfs>
  <cellXfs count="15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3"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13" fillId="4" borderId="2" xfId="2" applyFill="1" applyBorder="1" applyAlignment="1">
      <alignment horizontal="left" vertical="top" wrapText="1"/>
    </xf>
    <xf numFmtId="0" fontId="4" fillId="4" borderId="3"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1" xfId="0" applyFont="1" applyFill="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xf>
    <xf numFmtId="14" fontId="4" fillId="4" borderId="3" xfId="0" applyNumberFormat="1" applyFont="1" applyFill="1" applyBorder="1" applyAlignment="1">
      <alignment horizontal="left" vertical="top"/>
    </xf>
    <xf numFmtId="14" fontId="4" fillId="4" borderId="5" xfId="0" applyNumberFormat="1"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0" fontId="4" fillId="4" borderId="1" xfId="0" applyFont="1" applyFill="1" applyBorder="1" applyAlignment="1">
      <alignment horizontal="left" vertical="top"/>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top"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1082365</xdr:colOff>
      <xdr:row>392</xdr:row>
      <xdr:rowOff>251012</xdr:rowOff>
    </xdr:from>
    <xdr:to>
      <xdr:col>7</xdr:col>
      <xdr:colOff>26895</xdr:colOff>
      <xdr:row>418</xdr:row>
      <xdr:rowOff>177053</xdr:rowOff>
    </xdr:to>
    <xdr:grpSp>
      <xdr:nvGrpSpPr>
        <xdr:cNvPr id="9" name="Group 8">
          <a:extLst>
            <a:ext uri="{FF2B5EF4-FFF2-40B4-BE49-F238E27FC236}">
              <a16:creationId xmlns:a16="http://schemas.microsoft.com/office/drawing/2014/main" id="{97E076E5-54B1-694F-BFA4-B544C7ADA4DE}"/>
            </a:ext>
          </a:extLst>
        </xdr:cNvPr>
        <xdr:cNvGrpSpPr/>
      </xdr:nvGrpSpPr>
      <xdr:grpSpPr>
        <a:xfrm>
          <a:off x="3245100" y="123145924"/>
          <a:ext cx="3942354" cy="6627158"/>
          <a:chOff x="3162176" y="123622479"/>
          <a:chExt cx="4428711" cy="8272997"/>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62176" y="127781592"/>
            <a:ext cx="4402167" cy="4113884"/>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180479" y="123622479"/>
            <a:ext cx="4410408" cy="4128089"/>
          </a:xfrm>
          <a:prstGeom prst="rect">
            <a:avLst/>
          </a:prstGeom>
          <a:ln>
            <a:solidFill>
              <a:schemeClr val="tx1"/>
            </a:solidFill>
          </a:ln>
        </xdr:spPr>
      </xdr:pic>
    </xdr:grpSp>
    <xdr:clientData/>
  </xdr:twoCellAnchor>
  <xdr:twoCellAnchor>
    <xdr:from>
      <xdr:col>9</xdr:col>
      <xdr:colOff>1137888</xdr:colOff>
      <xdr:row>355</xdr:row>
      <xdr:rowOff>109646</xdr:rowOff>
    </xdr:from>
    <xdr:to>
      <xdr:col>10</xdr:col>
      <xdr:colOff>455744</xdr:colOff>
      <xdr:row>357</xdr:row>
      <xdr:rowOff>178950</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1548153" y="114118293"/>
          <a:ext cx="1570238" cy="58477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3200" b="1">
              <a:solidFill>
                <a:srgbClr val="FF0000"/>
              </a:solidFill>
            </a:rPr>
            <a:t>Tower A</a:t>
          </a:r>
        </a:p>
      </xdr:txBody>
    </xdr:sp>
    <xdr:clientData/>
  </xdr:twoCellAnchor>
  <xdr:twoCellAnchor>
    <xdr:from>
      <xdr:col>9</xdr:col>
      <xdr:colOff>1188541</xdr:colOff>
      <xdr:row>351</xdr:row>
      <xdr:rowOff>6019</xdr:rowOff>
    </xdr:from>
    <xdr:to>
      <xdr:col>10</xdr:col>
      <xdr:colOff>339367</xdr:colOff>
      <xdr:row>353</xdr:row>
      <xdr:rowOff>12165</xdr:rowOff>
    </xdr:to>
    <xdr:sp macro="" textlink="">
      <xdr:nvSpPr>
        <xdr:cNvPr id="30" name="Rectangle 29">
          <a:extLst>
            <a:ext uri="{FF2B5EF4-FFF2-40B4-BE49-F238E27FC236}">
              <a16:creationId xmlns:a16="http://schemas.microsoft.com/office/drawing/2014/main" id="{00000000-0008-0000-0000-00001E000000}"/>
            </a:ext>
          </a:extLst>
        </xdr:cNvPr>
        <xdr:cNvSpPr/>
      </xdr:nvSpPr>
      <xdr:spPr>
        <a:xfrm>
          <a:off x="11584398" y="113870590"/>
          <a:ext cx="1409612" cy="523218"/>
        </a:xfrm>
        <a:prstGeom prst="rect">
          <a:avLst/>
        </a:prstGeom>
        <a:ln>
          <a:no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800" b="1">
              <a:solidFill>
                <a:srgbClr val="FF0000"/>
              </a:solidFill>
            </a:rPr>
            <a:t>Tower A</a:t>
          </a:r>
        </a:p>
      </xdr:txBody>
    </xdr:sp>
    <xdr:clientData/>
  </xdr:twoCellAnchor>
  <xdr:twoCellAnchor>
    <xdr:from>
      <xdr:col>12</xdr:col>
      <xdr:colOff>313221</xdr:colOff>
      <xdr:row>354</xdr:row>
      <xdr:rowOff>251113</xdr:rowOff>
    </xdr:from>
    <xdr:to>
      <xdr:col>14</xdr:col>
      <xdr:colOff>492056</xdr:colOff>
      <xdr:row>356</xdr:row>
      <xdr:rowOff>257261</xdr:rowOff>
    </xdr:to>
    <xdr:sp macro="" textlink="">
      <xdr:nvSpPr>
        <xdr:cNvPr id="31" name="Rectangle 30">
          <a:extLst>
            <a:ext uri="{FF2B5EF4-FFF2-40B4-BE49-F238E27FC236}">
              <a16:creationId xmlns:a16="http://schemas.microsoft.com/office/drawing/2014/main" id="{00000000-0008-0000-0000-00001F000000}"/>
            </a:ext>
          </a:extLst>
        </xdr:cNvPr>
        <xdr:cNvSpPr/>
      </xdr:nvSpPr>
      <xdr:spPr>
        <a:xfrm>
          <a:off x="14192507" y="114891292"/>
          <a:ext cx="1403478" cy="523219"/>
        </a:xfrm>
        <a:prstGeom prst="rect">
          <a:avLst/>
        </a:prstGeom>
        <a:ln>
          <a:no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800" b="1">
              <a:solidFill>
                <a:srgbClr val="FF0000"/>
              </a:solidFill>
            </a:rPr>
            <a:t>Tower B</a:t>
          </a:r>
        </a:p>
      </xdr:txBody>
    </xdr:sp>
    <xdr:clientData/>
  </xdr:twoCellAnchor>
  <xdr:twoCellAnchor>
    <xdr:from>
      <xdr:col>9</xdr:col>
      <xdr:colOff>1459005</xdr:colOff>
      <xdr:row>352</xdr:row>
      <xdr:rowOff>208429</xdr:rowOff>
    </xdr:from>
    <xdr:to>
      <xdr:col>24</xdr:col>
      <xdr:colOff>103094</xdr:colOff>
      <xdr:row>384</xdr:row>
      <xdr:rowOff>219634</xdr:rowOff>
    </xdr:to>
    <xdr:grpSp>
      <xdr:nvGrpSpPr>
        <xdr:cNvPr id="2" name="Group 1">
          <a:extLst>
            <a:ext uri="{FF2B5EF4-FFF2-40B4-BE49-F238E27FC236}">
              <a16:creationId xmlns:a16="http://schemas.microsoft.com/office/drawing/2014/main" id="{4A137D01-0DB1-447E-8379-CD4CD3B3064D}"/>
            </a:ext>
          </a:extLst>
        </xdr:cNvPr>
        <xdr:cNvGrpSpPr/>
      </xdr:nvGrpSpPr>
      <xdr:grpSpPr>
        <a:xfrm>
          <a:off x="11869270" y="115113547"/>
          <a:ext cx="7552765" cy="7008159"/>
          <a:chOff x="1837764" y="115050794"/>
          <a:chExt cx="6662052" cy="7363100"/>
        </a:xfrm>
      </xdr:grpSpPr>
      <xdr:pic>
        <xdr:nvPicPr>
          <xdr:cNvPr id="14" name="Picture 13">
            <a:extLst>
              <a:ext uri="{FF2B5EF4-FFF2-40B4-BE49-F238E27FC236}">
                <a16:creationId xmlns:a16="http://schemas.microsoft.com/office/drawing/2014/main" id="{579652E1-881B-4DC4-A50A-88AC7AAB5C3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37764" y="115050794"/>
            <a:ext cx="3236625" cy="4320000"/>
          </a:xfrm>
          <a:prstGeom prst="rect">
            <a:avLst/>
          </a:prstGeom>
          <a:ln>
            <a:solidFill>
              <a:schemeClr val="tx1"/>
            </a:solidFill>
          </a:ln>
        </xdr:spPr>
      </xdr:pic>
      <xdr:pic>
        <xdr:nvPicPr>
          <xdr:cNvPr id="15" name="Picture 14">
            <a:extLst>
              <a:ext uri="{FF2B5EF4-FFF2-40B4-BE49-F238E27FC236}">
                <a16:creationId xmlns:a16="http://schemas.microsoft.com/office/drawing/2014/main" id="{0BCB5C65-EF21-4F9E-8956-5CF9641EF64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263191" y="115050794"/>
            <a:ext cx="3236625" cy="4320000"/>
          </a:xfrm>
          <a:prstGeom prst="rect">
            <a:avLst/>
          </a:prstGeom>
          <a:ln>
            <a:solidFill>
              <a:schemeClr val="tx1"/>
            </a:solidFill>
          </a:ln>
        </xdr:spPr>
      </xdr:pic>
      <xdr:pic>
        <xdr:nvPicPr>
          <xdr:cNvPr id="16" name="Picture 15">
            <a:extLst>
              <a:ext uri="{FF2B5EF4-FFF2-40B4-BE49-F238E27FC236}">
                <a16:creationId xmlns:a16="http://schemas.microsoft.com/office/drawing/2014/main" id="{9790C3C5-DFCC-47D7-B693-43F822CB05C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86591" y="119533894"/>
            <a:ext cx="3836444" cy="2880000"/>
          </a:xfrm>
          <a:prstGeom prst="rect">
            <a:avLst/>
          </a:prstGeom>
          <a:ln>
            <a:solidFill>
              <a:schemeClr val="tx1"/>
            </a:solidFill>
          </a:ln>
        </xdr:spPr>
      </xdr:pic>
      <xdr:pic>
        <xdr:nvPicPr>
          <xdr:cNvPr id="17" name="Picture 16">
            <a:extLst>
              <a:ext uri="{FF2B5EF4-FFF2-40B4-BE49-F238E27FC236}">
                <a16:creationId xmlns:a16="http://schemas.microsoft.com/office/drawing/2014/main" id="{708AE98A-259A-4384-B9BB-8D046057CF5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001489" y="119533894"/>
            <a:ext cx="2157750" cy="2880000"/>
          </a:xfrm>
          <a:prstGeom prst="rect">
            <a:avLst/>
          </a:prstGeom>
          <a:ln>
            <a:solidFill>
              <a:schemeClr val="tx1"/>
            </a:solidFill>
          </a:ln>
        </xdr:spPr>
      </xdr:pic>
      <xdr:sp macro="" textlink="">
        <xdr:nvSpPr>
          <xdr:cNvPr id="19" name="TextBox 139">
            <a:extLst>
              <a:ext uri="{FF2B5EF4-FFF2-40B4-BE49-F238E27FC236}">
                <a16:creationId xmlns:a16="http://schemas.microsoft.com/office/drawing/2014/main" id="{4C8D5355-525A-481B-8CD7-96EE93B8EE5E}"/>
              </a:ext>
            </a:extLst>
          </xdr:cNvPr>
          <xdr:cNvSpPr txBox="1"/>
        </xdr:nvSpPr>
        <xdr:spPr>
          <a:xfrm>
            <a:off x="2026566" y="11527939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0" name="TextBox 141">
            <a:extLst>
              <a:ext uri="{FF2B5EF4-FFF2-40B4-BE49-F238E27FC236}">
                <a16:creationId xmlns:a16="http://schemas.microsoft.com/office/drawing/2014/main" id="{7DA8FA32-AE43-45B4-92AE-43809B5DDFB2}"/>
              </a:ext>
            </a:extLst>
          </xdr:cNvPr>
          <xdr:cNvSpPr txBox="1"/>
        </xdr:nvSpPr>
        <xdr:spPr>
          <a:xfrm>
            <a:off x="6642583" y="115126994"/>
            <a:ext cx="86594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xdr:from>
      <xdr:col>9</xdr:col>
      <xdr:colOff>930088</xdr:colOff>
      <xdr:row>352</xdr:row>
      <xdr:rowOff>134470</xdr:rowOff>
    </xdr:from>
    <xdr:to>
      <xdr:col>17</xdr:col>
      <xdr:colOff>266788</xdr:colOff>
      <xdr:row>377</xdr:row>
      <xdr:rowOff>206377</xdr:rowOff>
    </xdr:to>
    <xdr:grpSp>
      <xdr:nvGrpSpPr>
        <xdr:cNvPr id="3" name="Group 2">
          <a:extLst>
            <a:ext uri="{FF2B5EF4-FFF2-40B4-BE49-F238E27FC236}">
              <a16:creationId xmlns:a16="http://schemas.microsoft.com/office/drawing/2014/main" id="{C52669AF-9566-B9BC-549E-6FF860D21EB4}"/>
            </a:ext>
          </a:extLst>
        </xdr:cNvPr>
        <xdr:cNvGrpSpPr/>
      </xdr:nvGrpSpPr>
      <xdr:grpSpPr>
        <a:xfrm>
          <a:off x="11340353" y="115039588"/>
          <a:ext cx="5824906" cy="6515289"/>
          <a:chOff x="381000" y="185351"/>
          <a:chExt cx="5928000" cy="6795436"/>
        </a:xfrm>
      </xdr:grpSpPr>
      <xdr:pic>
        <xdr:nvPicPr>
          <xdr:cNvPr id="4" name="Picture 3">
            <a:extLst>
              <a:ext uri="{FF2B5EF4-FFF2-40B4-BE49-F238E27FC236}">
                <a16:creationId xmlns:a16="http://schemas.microsoft.com/office/drawing/2014/main" id="{BD4BB821-2CF4-C11B-B83A-590177B9008D}"/>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3429000" y="185351"/>
            <a:ext cx="2880000" cy="4090087"/>
          </a:xfrm>
          <a:prstGeom prst="rect">
            <a:avLst/>
          </a:prstGeom>
          <a:solidFill>
            <a:schemeClr val="tx1"/>
          </a:solidFill>
          <a:ln>
            <a:solidFill>
              <a:schemeClr val="tx1"/>
            </a:solidFill>
          </a:ln>
        </xdr:spPr>
      </xdr:pic>
      <xdr:pic>
        <xdr:nvPicPr>
          <xdr:cNvPr id="5" name="Picture 4">
            <a:extLst>
              <a:ext uri="{FF2B5EF4-FFF2-40B4-BE49-F238E27FC236}">
                <a16:creationId xmlns:a16="http://schemas.microsoft.com/office/drawing/2014/main" id="{817A72AA-A755-FD6B-C4B6-E2D03BB9506F}"/>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81000" y="185351"/>
            <a:ext cx="2880000" cy="4090087"/>
          </a:xfrm>
          <a:prstGeom prst="rect">
            <a:avLst/>
          </a:prstGeom>
          <a:solidFill>
            <a:schemeClr val="tx1"/>
          </a:solidFill>
          <a:ln>
            <a:solidFill>
              <a:schemeClr val="tx1"/>
            </a:solidFill>
          </a:ln>
        </xdr:spPr>
      </xdr:pic>
      <xdr:pic>
        <xdr:nvPicPr>
          <xdr:cNvPr id="6" name="Picture 5">
            <a:extLst>
              <a:ext uri="{FF2B5EF4-FFF2-40B4-BE49-F238E27FC236}">
                <a16:creationId xmlns:a16="http://schemas.microsoft.com/office/drawing/2014/main" id="{62A4C291-C685-453E-9E02-5C8AA2C52B7B}"/>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676412" y="4460787"/>
            <a:ext cx="3356891" cy="2520000"/>
          </a:xfrm>
          <a:prstGeom prst="rect">
            <a:avLst/>
          </a:prstGeom>
          <a:solidFill>
            <a:schemeClr val="tx1"/>
          </a:solidFill>
          <a:ln>
            <a:solidFill>
              <a:schemeClr val="tx1"/>
            </a:solidFill>
          </a:ln>
        </xdr:spPr>
      </xdr:pic>
      <xdr:sp macro="" textlink="">
        <xdr:nvSpPr>
          <xdr:cNvPr id="7" name="TextBox 1">
            <a:extLst>
              <a:ext uri="{FF2B5EF4-FFF2-40B4-BE49-F238E27FC236}">
                <a16:creationId xmlns:a16="http://schemas.microsoft.com/office/drawing/2014/main" id="{EF41A709-2DAE-E179-6D81-0442B2AF0CEF}"/>
              </a:ext>
            </a:extLst>
          </xdr:cNvPr>
          <xdr:cNvSpPr txBox="1"/>
        </xdr:nvSpPr>
        <xdr:spPr>
          <a:xfrm>
            <a:off x="816881" y="358346"/>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sp macro="" textlink="">
        <xdr:nvSpPr>
          <xdr:cNvPr id="8" name="TextBox 2">
            <a:extLst>
              <a:ext uri="{FF2B5EF4-FFF2-40B4-BE49-F238E27FC236}">
                <a16:creationId xmlns:a16="http://schemas.microsoft.com/office/drawing/2014/main" id="{EA698BE0-30CF-A758-F634-BF031519705A}"/>
              </a:ext>
            </a:extLst>
          </xdr:cNvPr>
          <xdr:cNvSpPr txBox="1"/>
        </xdr:nvSpPr>
        <xdr:spPr>
          <a:xfrm>
            <a:off x="3765293" y="20869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grpSp>
    <xdr:clientData/>
  </xdr:twoCellAnchor>
  <xdr:twoCellAnchor>
    <xdr:from>
      <xdr:col>0</xdr:col>
      <xdr:colOff>1512795</xdr:colOff>
      <xdr:row>352</xdr:row>
      <xdr:rowOff>246530</xdr:rowOff>
    </xdr:from>
    <xdr:to>
      <xdr:col>8</xdr:col>
      <xdr:colOff>33618</xdr:colOff>
      <xdr:row>389</xdr:row>
      <xdr:rowOff>134471</xdr:rowOff>
    </xdr:to>
    <xdr:grpSp>
      <xdr:nvGrpSpPr>
        <xdr:cNvPr id="21" name="Group 20">
          <a:extLst>
            <a:ext uri="{FF2B5EF4-FFF2-40B4-BE49-F238E27FC236}">
              <a16:creationId xmlns:a16="http://schemas.microsoft.com/office/drawing/2014/main" id="{CE58615A-3F27-4050-9D59-98F1741CE403}"/>
            </a:ext>
          </a:extLst>
        </xdr:cNvPr>
        <xdr:cNvGrpSpPr/>
      </xdr:nvGrpSpPr>
      <xdr:grpSpPr>
        <a:xfrm>
          <a:off x="1512795" y="115151648"/>
          <a:ext cx="7306235" cy="7104529"/>
          <a:chOff x="-400050" y="-150583"/>
          <a:chExt cx="7429050" cy="7384783"/>
        </a:xfrm>
      </xdr:grpSpPr>
      <xdr:grpSp>
        <xdr:nvGrpSpPr>
          <xdr:cNvPr id="22" name="Group 21">
            <a:extLst>
              <a:ext uri="{FF2B5EF4-FFF2-40B4-BE49-F238E27FC236}">
                <a16:creationId xmlns:a16="http://schemas.microsoft.com/office/drawing/2014/main" id="{6FD4E212-2837-497A-ABF7-FE3A5E09E96E}"/>
              </a:ext>
            </a:extLst>
          </xdr:cNvPr>
          <xdr:cNvGrpSpPr/>
        </xdr:nvGrpSpPr>
        <xdr:grpSpPr>
          <a:xfrm>
            <a:off x="-400050" y="-150583"/>
            <a:ext cx="7429050" cy="7384783"/>
            <a:chOff x="-400050" y="-150583"/>
            <a:chExt cx="7429050" cy="7384783"/>
          </a:xfrm>
        </xdr:grpSpPr>
        <xdr:pic>
          <xdr:nvPicPr>
            <xdr:cNvPr id="25" name="Picture 24">
              <a:extLst>
                <a:ext uri="{FF2B5EF4-FFF2-40B4-BE49-F238E27FC236}">
                  <a16:creationId xmlns:a16="http://schemas.microsoft.com/office/drawing/2014/main" id="{E4F7F963-8F64-4E61-8CBA-FB4A774B746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00050" y="-150582"/>
              <a:ext cx="3600000" cy="4805005"/>
            </a:xfrm>
            <a:prstGeom prst="rect">
              <a:avLst/>
            </a:prstGeom>
            <a:ln>
              <a:solidFill>
                <a:schemeClr val="tx1"/>
              </a:solidFill>
            </a:ln>
          </xdr:spPr>
        </xdr:pic>
        <xdr:pic>
          <xdr:nvPicPr>
            <xdr:cNvPr id="26" name="Picture 25">
              <a:extLst>
                <a:ext uri="{FF2B5EF4-FFF2-40B4-BE49-F238E27FC236}">
                  <a16:creationId xmlns:a16="http://schemas.microsoft.com/office/drawing/2014/main" id="{DEF5FD4B-D60F-409A-BDBB-A0613F36400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429000" y="-150583"/>
              <a:ext cx="3600000" cy="4805006"/>
            </a:xfrm>
            <a:prstGeom prst="rect">
              <a:avLst/>
            </a:prstGeom>
            <a:ln>
              <a:solidFill>
                <a:schemeClr val="tx1"/>
              </a:solidFill>
            </a:ln>
          </xdr:spPr>
        </xdr:pic>
        <xdr:pic>
          <xdr:nvPicPr>
            <xdr:cNvPr id="27" name="Picture 26">
              <a:extLst>
                <a:ext uri="{FF2B5EF4-FFF2-40B4-BE49-F238E27FC236}">
                  <a16:creationId xmlns:a16="http://schemas.microsoft.com/office/drawing/2014/main" id="{7BACD9A3-ED0D-4722-AF8F-0A691F3731C2}"/>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99299" y="4800600"/>
              <a:ext cx="1823298" cy="2433600"/>
            </a:xfrm>
            <a:prstGeom prst="rect">
              <a:avLst/>
            </a:prstGeom>
            <a:ln>
              <a:solidFill>
                <a:schemeClr val="tx1"/>
              </a:solidFill>
            </a:ln>
          </xdr:spPr>
        </xdr:pic>
        <xdr:pic>
          <xdr:nvPicPr>
            <xdr:cNvPr id="28" name="Picture 27">
              <a:extLst>
                <a:ext uri="{FF2B5EF4-FFF2-40B4-BE49-F238E27FC236}">
                  <a16:creationId xmlns:a16="http://schemas.microsoft.com/office/drawing/2014/main" id="{AC7EC07C-1C24-4DD6-B4B3-D34623C201B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59350" y="4800600"/>
              <a:ext cx="3240000" cy="2432252"/>
            </a:xfrm>
            <a:prstGeom prst="rect">
              <a:avLst/>
            </a:prstGeom>
            <a:ln>
              <a:solidFill>
                <a:schemeClr val="tx1"/>
              </a:solidFill>
            </a:ln>
          </xdr:spPr>
        </xdr:pic>
        <xdr:pic>
          <xdr:nvPicPr>
            <xdr:cNvPr id="29" name="Picture 28">
              <a:extLst>
                <a:ext uri="{FF2B5EF4-FFF2-40B4-BE49-F238E27FC236}">
                  <a16:creationId xmlns:a16="http://schemas.microsoft.com/office/drawing/2014/main" id="{8DA7A377-7B72-430A-B2B4-24B065BEF41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034701" y="4800600"/>
              <a:ext cx="1823299" cy="2433600"/>
            </a:xfrm>
            <a:prstGeom prst="rect">
              <a:avLst/>
            </a:prstGeom>
            <a:ln>
              <a:solidFill>
                <a:schemeClr val="tx1"/>
              </a:solidFill>
            </a:ln>
          </xdr:spPr>
        </xdr:pic>
      </xdr:grpSp>
      <xdr:sp macro="" textlink="">
        <xdr:nvSpPr>
          <xdr:cNvPr id="23" name="TextBox 101">
            <a:extLst>
              <a:ext uri="{FF2B5EF4-FFF2-40B4-BE49-F238E27FC236}">
                <a16:creationId xmlns:a16="http://schemas.microsoft.com/office/drawing/2014/main" id="{DCC6F3B6-00DF-40C5-99A4-66B3C2C33D2B}"/>
              </a:ext>
            </a:extLst>
          </xdr:cNvPr>
          <xdr:cNvSpPr txBox="1"/>
        </xdr:nvSpPr>
        <xdr:spPr>
          <a:xfrm>
            <a:off x="443124" y="0"/>
            <a:ext cx="1044786" cy="3889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4" name="TextBox 102">
            <a:extLst>
              <a:ext uri="{FF2B5EF4-FFF2-40B4-BE49-F238E27FC236}">
                <a16:creationId xmlns:a16="http://schemas.microsoft.com/office/drawing/2014/main" id="{9E8D80BF-5A42-4DA2-AD84-701CCB2C3F53}"/>
              </a:ext>
            </a:extLst>
          </xdr:cNvPr>
          <xdr:cNvSpPr txBox="1"/>
        </xdr:nvSpPr>
        <xdr:spPr>
          <a:xfrm>
            <a:off x="4396929" y="-110666"/>
            <a:ext cx="1070743" cy="3889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qez9mRRkJxaMqE6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44"/>
  <sheetViews>
    <sheetView tabSelected="1" view="pageBreakPreview" zoomScale="85" zoomScaleNormal="85" zoomScaleSheetLayoutView="85" zoomScalePageLayoutView="70" workbookViewId="0">
      <selection activeCell="J8" sqref="J8"/>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3" customWidth="1"/>
    <col min="5" max="6" width="27.140625" style="1" customWidth="1"/>
    <col min="7" max="7" width="1.42578125" style="1" customWidth="1"/>
    <col min="8" max="8" width="24.42578125" style="1" customWidth="1"/>
    <col min="9" max="9" width="24.42578125" style="13"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1" ht="20.25" x14ac:dyDescent="0.25">
      <c r="A1" s="98" t="s">
        <v>41</v>
      </c>
      <c r="B1" s="99"/>
      <c r="C1" s="99"/>
      <c r="D1" s="99"/>
      <c r="E1" s="99"/>
      <c r="F1" s="99"/>
      <c r="G1" s="99"/>
      <c r="H1" s="99"/>
      <c r="I1" s="100"/>
    </row>
    <row r="2" spans="1:11" ht="42" customHeight="1" x14ac:dyDescent="0.25">
      <c r="A2" s="136" t="s">
        <v>10</v>
      </c>
      <c r="B2" s="136"/>
      <c r="C2" s="136"/>
      <c r="D2" s="4" t="s">
        <v>4</v>
      </c>
      <c r="E2" s="137" t="s">
        <v>93</v>
      </c>
      <c r="F2" s="137"/>
      <c r="G2" s="101" t="s">
        <v>14</v>
      </c>
      <c r="H2" s="101"/>
      <c r="I2" s="49">
        <v>45840</v>
      </c>
      <c r="J2" s="153">
        <f>J3+90</f>
        <v>45860</v>
      </c>
    </row>
    <row r="3" spans="1:11" ht="42.75" customHeight="1" x14ac:dyDescent="0.25">
      <c r="A3" s="86" t="s">
        <v>42</v>
      </c>
      <c r="B3" s="87"/>
      <c r="C3" s="88"/>
      <c r="D3" s="4" t="s">
        <v>4</v>
      </c>
      <c r="E3" s="141" t="s">
        <v>293</v>
      </c>
      <c r="F3" s="142"/>
      <c r="G3" s="101" t="s">
        <v>188</v>
      </c>
      <c r="H3" s="101"/>
      <c r="I3" s="49" t="s">
        <v>331</v>
      </c>
      <c r="J3" s="55">
        <v>45770</v>
      </c>
    </row>
    <row r="4" spans="1:11" ht="43.5" customHeight="1" x14ac:dyDescent="0.25">
      <c r="A4" s="86" t="s">
        <v>39</v>
      </c>
      <c r="B4" s="87"/>
      <c r="C4" s="88"/>
      <c r="D4" s="4" t="s">
        <v>4</v>
      </c>
      <c r="E4" s="64" t="s">
        <v>325</v>
      </c>
      <c r="F4" s="65"/>
      <c r="G4" s="101" t="s">
        <v>36</v>
      </c>
      <c r="H4" s="101"/>
      <c r="I4" s="49">
        <v>45777</v>
      </c>
      <c r="J4" s="64" t="s">
        <v>189</v>
      </c>
      <c r="K4" s="65"/>
    </row>
    <row r="5" spans="1:11" ht="20.25" x14ac:dyDescent="0.25">
      <c r="A5" s="94" t="s">
        <v>43</v>
      </c>
      <c r="B5" s="94"/>
      <c r="C5" s="94"/>
      <c r="D5" s="94"/>
      <c r="E5" s="94"/>
      <c r="F5" s="94"/>
      <c r="G5" s="94"/>
      <c r="H5" s="94"/>
      <c r="I5" s="143"/>
    </row>
    <row r="6" spans="1:11" ht="43.5" customHeight="1" x14ac:dyDescent="0.25">
      <c r="A6" s="138" t="s">
        <v>33</v>
      </c>
      <c r="B6" s="138"/>
      <c r="C6" s="138"/>
      <c r="D6" s="2" t="s">
        <v>4</v>
      </c>
      <c r="E6" s="21" t="s">
        <v>106</v>
      </c>
      <c r="F6" s="20" t="s">
        <v>38</v>
      </c>
      <c r="G6" s="2" t="s">
        <v>4</v>
      </c>
      <c r="H6" s="93" t="s">
        <v>332</v>
      </c>
      <c r="I6" s="93"/>
    </row>
    <row r="7" spans="1:11" ht="23.25" customHeight="1" x14ac:dyDescent="0.25">
      <c r="A7" s="138" t="s">
        <v>45</v>
      </c>
      <c r="B7" s="138"/>
      <c r="C7" s="138"/>
      <c r="D7" s="2" t="s">
        <v>4</v>
      </c>
      <c r="E7" s="5" t="s">
        <v>190</v>
      </c>
      <c r="F7" s="20" t="s">
        <v>46</v>
      </c>
      <c r="G7" s="2" t="s">
        <v>4</v>
      </c>
      <c r="H7" s="64" t="s">
        <v>192</v>
      </c>
      <c r="I7" s="65"/>
    </row>
    <row r="8" spans="1:11" ht="45" customHeight="1" x14ac:dyDescent="0.25">
      <c r="A8" s="138" t="s">
        <v>47</v>
      </c>
      <c r="B8" s="138"/>
      <c r="C8" s="138"/>
      <c r="D8" s="2" t="s">
        <v>4</v>
      </c>
      <c r="E8" s="139" t="s">
        <v>191</v>
      </c>
      <c r="F8" s="139"/>
      <c r="G8" s="139"/>
      <c r="H8" s="139"/>
      <c r="I8" s="139"/>
    </row>
    <row r="9" spans="1:11" ht="63.75" customHeight="1" x14ac:dyDescent="0.25">
      <c r="A9" s="101" t="s">
        <v>178</v>
      </c>
      <c r="B9" s="20" t="s">
        <v>4</v>
      </c>
      <c r="C9" s="20" t="s">
        <v>44</v>
      </c>
      <c r="D9" s="2" t="s">
        <v>4</v>
      </c>
      <c r="E9" s="64" t="s">
        <v>320</v>
      </c>
      <c r="F9" s="67"/>
      <c r="G9" s="67"/>
      <c r="H9" s="67"/>
      <c r="I9" s="65"/>
    </row>
    <row r="10" spans="1:11" ht="51" customHeight="1" x14ac:dyDescent="0.25">
      <c r="A10" s="101"/>
      <c r="B10" s="20" t="s">
        <v>4</v>
      </c>
      <c r="C10" s="20" t="s">
        <v>13</v>
      </c>
      <c r="D10" s="2" t="s">
        <v>4</v>
      </c>
      <c r="E10" s="64" t="s">
        <v>193</v>
      </c>
      <c r="F10" s="67"/>
      <c r="G10" s="67"/>
      <c r="H10" s="67"/>
      <c r="I10" s="65"/>
    </row>
    <row r="11" spans="1:11" ht="66.75" customHeight="1" x14ac:dyDescent="0.25">
      <c r="A11" s="101"/>
      <c r="B11" s="20" t="s">
        <v>4</v>
      </c>
      <c r="C11" s="20" t="s">
        <v>5</v>
      </c>
      <c r="D11" s="2" t="s">
        <v>4</v>
      </c>
      <c r="E11" s="64" t="s">
        <v>319</v>
      </c>
      <c r="F11" s="67"/>
      <c r="G11" s="67"/>
      <c r="H11" s="67"/>
      <c r="I11" s="65"/>
    </row>
    <row r="12" spans="1:11" ht="20.25" x14ac:dyDescent="0.25">
      <c r="A12" s="101" t="s">
        <v>37</v>
      </c>
      <c r="B12" s="101"/>
      <c r="C12" s="101"/>
      <c r="D12" s="2" t="s">
        <v>4</v>
      </c>
      <c r="E12" s="93" t="s">
        <v>130</v>
      </c>
      <c r="F12" s="93"/>
      <c r="G12" s="93"/>
      <c r="H12" s="93"/>
      <c r="I12" s="93"/>
    </row>
    <row r="13" spans="1:11" ht="20.100000000000001" customHeight="1" x14ac:dyDescent="0.25">
      <c r="A13" s="94" t="s">
        <v>48</v>
      </c>
      <c r="B13" s="94"/>
      <c r="C13" s="94"/>
      <c r="D13" s="94"/>
      <c r="E13" s="94"/>
      <c r="F13" s="94"/>
      <c r="G13" s="94"/>
      <c r="H13" s="94"/>
      <c r="I13" s="94"/>
    </row>
    <row r="14" spans="1:11" ht="46.9" customHeight="1" x14ac:dyDescent="0.25">
      <c r="A14" s="20" t="s">
        <v>31</v>
      </c>
      <c r="B14" s="2" t="s">
        <v>4</v>
      </c>
      <c r="C14" s="110" t="s">
        <v>94</v>
      </c>
      <c r="D14" s="114"/>
      <c r="E14" s="111"/>
      <c r="F14" s="16" t="s">
        <v>49</v>
      </c>
      <c r="G14" s="2" t="s">
        <v>4</v>
      </c>
      <c r="H14" s="93" t="s">
        <v>194</v>
      </c>
      <c r="I14" s="93"/>
    </row>
    <row r="15" spans="1:11" ht="80.25" customHeight="1" x14ac:dyDescent="0.25">
      <c r="A15" s="20" t="s">
        <v>50</v>
      </c>
      <c r="B15" s="2" t="s">
        <v>4</v>
      </c>
      <c r="C15" s="110" t="s">
        <v>266</v>
      </c>
      <c r="D15" s="114"/>
      <c r="E15" s="111"/>
      <c r="F15" s="20" t="s">
        <v>51</v>
      </c>
      <c r="G15" s="2" t="s">
        <v>4</v>
      </c>
      <c r="H15" s="109" t="s">
        <v>267</v>
      </c>
      <c r="I15" s="93"/>
    </row>
    <row r="16" spans="1:11" ht="40.5" x14ac:dyDescent="0.25">
      <c r="A16" s="46" t="s">
        <v>52</v>
      </c>
      <c r="B16" s="2" t="s">
        <v>4</v>
      </c>
      <c r="C16" s="115">
        <v>44481</v>
      </c>
      <c r="D16" s="114"/>
      <c r="E16" s="111"/>
      <c r="F16" s="20" t="s">
        <v>53</v>
      </c>
      <c r="G16" s="2" t="s">
        <v>4</v>
      </c>
      <c r="H16" s="108" t="s">
        <v>195</v>
      </c>
      <c r="I16" s="65"/>
    </row>
    <row r="17" spans="1:10" ht="60.75" x14ac:dyDescent="0.25">
      <c r="A17" s="46" t="s">
        <v>54</v>
      </c>
      <c r="B17" s="2" t="s">
        <v>4</v>
      </c>
      <c r="C17" s="115" t="str">
        <f>H15</f>
        <v>Tower A - 31/12/2026
Tower B - 31/03/2028</v>
      </c>
      <c r="D17" s="114"/>
      <c r="E17" s="111"/>
      <c r="F17" s="20" t="s">
        <v>55</v>
      </c>
      <c r="G17" s="2" t="s">
        <v>4</v>
      </c>
      <c r="H17" s="64" t="s">
        <v>200</v>
      </c>
      <c r="I17" s="65"/>
    </row>
    <row r="18" spans="1:10" ht="40.5" x14ac:dyDescent="0.25">
      <c r="A18" s="46" t="s">
        <v>56</v>
      </c>
      <c r="B18" s="2" t="s">
        <v>4</v>
      </c>
      <c r="C18" s="110" t="s">
        <v>199</v>
      </c>
      <c r="D18" s="116"/>
      <c r="E18" s="117"/>
      <c r="F18" s="20" t="s">
        <v>109</v>
      </c>
      <c r="G18" s="2" t="s">
        <v>4</v>
      </c>
      <c r="H18" s="93">
        <v>11570.05</v>
      </c>
      <c r="I18" s="93"/>
    </row>
    <row r="19" spans="1:10" ht="40.5" x14ac:dyDescent="0.25">
      <c r="A19" s="20" t="s">
        <v>57</v>
      </c>
      <c r="B19" s="2" t="s">
        <v>4</v>
      </c>
      <c r="C19" s="110">
        <v>1.1000000000000001</v>
      </c>
      <c r="D19" s="114"/>
      <c r="E19" s="111"/>
      <c r="F19" s="20" t="s">
        <v>108</v>
      </c>
      <c r="G19" s="2" t="s">
        <v>4</v>
      </c>
      <c r="H19" s="93">
        <v>37839.15</v>
      </c>
      <c r="I19" s="93"/>
      <c r="J19" s="1">
        <f>2+6+1+92+89+89+4+2</f>
        <v>285</v>
      </c>
    </row>
    <row r="20" spans="1:10" ht="40.5" x14ac:dyDescent="0.25">
      <c r="A20" s="20" t="s">
        <v>107</v>
      </c>
      <c r="B20" s="2" t="s">
        <v>4</v>
      </c>
      <c r="C20" s="110">
        <v>37873.47</v>
      </c>
      <c r="D20" s="114"/>
      <c r="E20" s="111"/>
      <c r="F20" s="6" t="s">
        <v>58</v>
      </c>
      <c r="G20" s="2" t="s">
        <v>4</v>
      </c>
      <c r="H20" s="64" t="s">
        <v>291</v>
      </c>
      <c r="I20" s="65"/>
      <c r="J20" s="1">
        <f>1+92+89+89+6+4+2+2</f>
        <v>285</v>
      </c>
    </row>
    <row r="21" spans="1:10" ht="40.5" x14ac:dyDescent="0.25">
      <c r="A21" s="20" t="s">
        <v>59</v>
      </c>
      <c r="B21" s="2" t="s">
        <v>4</v>
      </c>
      <c r="C21" s="110" t="s">
        <v>316</v>
      </c>
      <c r="D21" s="114"/>
      <c r="E21" s="111"/>
      <c r="F21" s="20" t="s">
        <v>60</v>
      </c>
      <c r="G21" s="2" t="s">
        <v>4</v>
      </c>
      <c r="H21" s="93" t="s">
        <v>175</v>
      </c>
      <c r="I21" s="93"/>
      <c r="J21" s="1">
        <f>J19+J20</f>
        <v>570</v>
      </c>
    </row>
    <row r="22" spans="1:10" ht="20.25" x14ac:dyDescent="0.25">
      <c r="A22" s="46" t="s">
        <v>26</v>
      </c>
      <c r="B22" s="2" t="s">
        <v>4</v>
      </c>
      <c r="C22" s="110">
        <v>19.214763999999999</v>
      </c>
      <c r="D22" s="114"/>
      <c r="E22" s="111"/>
      <c r="F22" s="26" t="s">
        <v>27</v>
      </c>
      <c r="G22" s="26" t="s">
        <v>4</v>
      </c>
      <c r="H22" s="110">
        <v>72.966437999999997</v>
      </c>
      <c r="I22" s="111"/>
    </row>
    <row r="23" spans="1:10" ht="20.25" x14ac:dyDescent="0.25">
      <c r="A23" s="46" t="s">
        <v>317</v>
      </c>
      <c r="B23" s="2" t="s">
        <v>4</v>
      </c>
      <c r="C23" s="66" t="s">
        <v>318</v>
      </c>
      <c r="D23" s="67"/>
      <c r="E23" s="67"/>
      <c r="F23" s="67"/>
      <c r="G23" s="67"/>
      <c r="H23" s="67"/>
      <c r="I23" s="65"/>
    </row>
    <row r="24" spans="1:10" ht="108.75" customHeight="1" x14ac:dyDescent="0.25">
      <c r="A24" s="46" t="s">
        <v>29</v>
      </c>
      <c r="B24" s="2" t="s">
        <v>4</v>
      </c>
      <c r="C24" s="93" t="s">
        <v>110</v>
      </c>
      <c r="D24" s="93"/>
      <c r="E24" s="93"/>
      <c r="F24" s="93"/>
      <c r="G24" s="93"/>
      <c r="H24" s="93"/>
      <c r="I24" s="93"/>
    </row>
    <row r="25" spans="1:10" ht="24" customHeight="1" x14ac:dyDescent="0.25">
      <c r="A25" s="98" t="s">
        <v>22</v>
      </c>
      <c r="B25" s="99"/>
      <c r="C25" s="99"/>
      <c r="D25" s="99"/>
      <c r="E25" s="99"/>
      <c r="F25" s="99"/>
      <c r="G25" s="99"/>
      <c r="H25" s="99"/>
      <c r="I25" s="100"/>
    </row>
    <row r="26" spans="1:10" ht="22.9" customHeight="1" x14ac:dyDescent="0.25">
      <c r="A26" s="20" t="s">
        <v>30</v>
      </c>
      <c r="B26" s="2" t="s">
        <v>4</v>
      </c>
      <c r="C26" s="93" t="s">
        <v>95</v>
      </c>
      <c r="D26" s="93"/>
      <c r="E26" s="93"/>
      <c r="F26" s="20" t="s">
        <v>15</v>
      </c>
      <c r="G26" s="2" t="s">
        <v>4</v>
      </c>
      <c r="H26" s="93" t="s">
        <v>196</v>
      </c>
      <c r="I26" s="93"/>
    </row>
    <row r="27" spans="1:10" ht="20.25" x14ac:dyDescent="0.25">
      <c r="A27" s="20" t="s">
        <v>16</v>
      </c>
      <c r="B27" s="2" t="s">
        <v>4</v>
      </c>
      <c r="C27" s="93" t="s">
        <v>113</v>
      </c>
      <c r="D27" s="93"/>
      <c r="E27" s="93"/>
      <c r="F27" s="20" t="s">
        <v>179</v>
      </c>
      <c r="G27" s="2" t="s">
        <v>4</v>
      </c>
      <c r="H27" s="93" t="s">
        <v>177</v>
      </c>
      <c r="I27" s="93"/>
    </row>
    <row r="28" spans="1:10" ht="40.5" x14ac:dyDescent="0.25">
      <c r="A28" s="20" t="s">
        <v>25</v>
      </c>
      <c r="B28" s="2" t="s">
        <v>4</v>
      </c>
      <c r="C28" s="93" t="s">
        <v>112</v>
      </c>
      <c r="D28" s="93"/>
      <c r="E28" s="93"/>
      <c r="F28" s="20" t="s">
        <v>18</v>
      </c>
      <c r="G28" s="2" t="s">
        <v>4</v>
      </c>
      <c r="H28" s="93" t="s">
        <v>248</v>
      </c>
      <c r="I28" s="93"/>
    </row>
    <row r="29" spans="1:10" ht="40.5" x14ac:dyDescent="0.25">
      <c r="A29" s="46" t="s">
        <v>135</v>
      </c>
      <c r="B29" s="2" t="s">
        <v>4</v>
      </c>
      <c r="C29" s="93" t="s">
        <v>249</v>
      </c>
      <c r="D29" s="93"/>
      <c r="E29" s="93"/>
      <c r="F29" s="20" t="s">
        <v>136</v>
      </c>
      <c r="G29" s="2" t="s">
        <v>4</v>
      </c>
      <c r="H29" s="64" t="s">
        <v>250</v>
      </c>
      <c r="I29" s="65"/>
    </row>
    <row r="30" spans="1:10" ht="84" customHeight="1" x14ac:dyDescent="0.25">
      <c r="A30" s="20" t="s">
        <v>19</v>
      </c>
      <c r="B30" s="2" t="s">
        <v>4</v>
      </c>
      <c r="C30" s="93" t="s">
        <v>251</v>
      </c>
      <c r="D30" s="93"/>
      <c r="E30" s="93"/>
      <c r="F30" s="20" t="s">
        <v>17</v>
      </c>
      <c r="G30" s="2" t="s">
        <v>4</v>
      </c>
      <c r="H30" s="93" t="s">
        <v>247</v>
      </c>
      <c r="I30" s="93"/>
    </row>
    <row r="31" spans="1:10" ht="21.75" customHeight="1" x14ac:dyDescent="0.25">
      <c r="A31" s="46" t="s">
        <v>141</v>
      </c>
      <c r="B31" s="2" t="s">
        <v>4</v>
      </c>
      <c r="C31" s="93" t="s">
        <v>142</v>
      </c>
      <c r="D31" s="93"/>
      <c r="E31" s="93"/>
      <c r="F31" s="20" t="s">
        <v>143</v>
      </c>
      <c r="G31" s="2" t="s">
        <v>4</v>
      </c>
      <c r="H31" s="64" t="s">
        <v>142</v>
      </c>
      <c r="I31" s="65"/>
    </row>
    <row r="32" spans="1:10" ht="21.75" customHeight="1" x14ac:dyDescent="0.25">
      <c r="A32" s="46" t="s">
        <v>144</v>
      </c>
      <c r="B32" s="2" t="s">
        <v>4</v>
      </c>
      <c r="C32" s="64" t="s">
        <v>142</v>
      </c>
      <c r="D32" s="67"/>
      <c r="E32" s="67"/>
      <c r="F32" s="67"/>
      <c r="G32" s="67"/>
      <c r="H32" s="67"/>
      <c r="I32" s="65"/>
    </row>
    <row r="33" spans="1:9" ht="20.25" x14ac:dyDescent="0.25">
      <c r="A33" s="144" t="s">
        <v>40</v>
      </c>
      <c r="B33" s="145"/>
      <c r="C33" s="145"/>
      <c r="D33" s="145"/>
      <c r="E33" s="145"/>
      <c r="F33" s="145"/>
      <c r="G33" s="145"/>
      <c r="H33" s="145"/>
      <c r="I33" s="146"/>
    </row>
    <row r="34" spans="1:9" ht="40.5" x14ac:dyDescent="0.25">
      <c r="A34" s="86" t="s">
        <v>20</v>
      </c>
      <c r="B34" s="87"/>
      <c r="C34" s="88"/>
      <c r="D34" s="2" t="s">
        <v>4</v>
      </c>
      <c r="E34" s="21" t="s">
        <v>114</v>
      </c>
      <c r="F34" s="20" t="s">
        <v>21</v>
      </c>
      <c r="G34" s="7" t="s">
        <v>4</v>
      </c>
      <c r="H34" s="64" t="s">
        <v>115</v>
      </c>
      <c r="I34" s="65"/>
    </row>
    <row r="35" spans="1:9" ht="40.5" x14ac:dyDescent="0.25">
      <c r="A35" s="86" t="s">
        <v>24</v>
      </c>
      <c r="B35" s="87"/>
      <c r="C35" s="88"/>
      <c r="D35" s="2" t="s">
        <v>4</v>
      </c>
      <c r="E35" s="21" t="s">
        <v>115</v>
      </c>
      <c r="F35" s="8" t="s">
        <v>35</v>
      </c>
      <c r="G35" s="2" t="s">
        <v>4</v>
      </c>
      <c r="H35" s="64" t="s">
        <v>115</v>
      </c>
      <c r="I35" s="65"/>
    </row>
    <row r="36" spans="1:9" ht="40.5" x14ac:dyDescent="0.25">
      <c r="A36" s="86" t="s">
        <v>34</v>
      </c>
      <c r="B36" s="87"/>
      <c r="C36" s="88"/>
      <c r="D36" s="2" t="s">
        <v>4</v>
      </c>
      <c r="E36" s="5" t="s">
        <v>116</v>
      </c>
      <c r="F36" s="20" t="s">
        <v>23</v>
      </c>
      <c r="G36" s="23" t="s">
        <v>4</v>
      </c>
      <c r="H36" s="64" t="s">
        <v>117</v>
      </c>
      <c r="I36" s="65"/>
    </row>
    <row r="37" spans="1:9" ht="20.25" x14ac:dyDescent="0.25">
      <c r="A37" s="98" t="s">
        <v>0</v>
      </c>
      <c r="B37" s="99"/>
      <c r="C37" s="99"/>
      <c r="D37" s="99"/>
      <c r="E37" s="99"/>
      <c r="F37" s="99"/>
      <c r="G37" s="99"/>
      <c r="H37" s="99"/>
      <c r="I37" s="100"/>
    </row>
    <row r="38" spans="1:9" ht="20.25" x14ac:dyDescent="0.25">
      <c r="A38" s="56" t="s">
        <v>0</v>
      </c>
      <c r="B38" s="57"/>
      <c r="C38" s="58"/>
      <c r="D38" s="2" t="s">
        <v>4</v>
      </c>
      <c r="E38" s="9" t="s">
        <v>1</v>
      </c>
      <c r="F38" s="9" t="s">
        <v>6</v>
      </c>
      <c r="G38" s="56" t="s">
        <v>2</v>
      </c>
      <c r="H38" s="58"/>
      <c r="I38" s="9" t="s">
        <v>3</v>
      </c>
    </row>
    <row r="39" spans="1:9" ht="20.25" x14ac:dyDescent="0.25">
      <c r="A39" s="86" t="s">
        <v>7</v>
      </c>
      <c r="B39" s="87"/>
      <c r="C39" s="88"/>
      <c r="D39" s="2" t="s">
        <v>4</v>
      </c>
      <c r="E39" s="22" t="s">
        <v>198</v>
      </c>
      <c r="F39" s="22" t="s">
        <v>202</v>
      </c>
      <c r="G39" s="112" t="s">
        <v>202</v>
      </c>
      <c r="H39" s="113"/>
      <c r="I39" s="22" t="s">
        <v>198</v>
      </c>
    </row>
    <row r="40" spans="1:9" ht="39" customHeight="1" x14ac:dyDescent="0.25">
      <c r="A40" s="86" t="s">
        <v>8</v>
      </c>
      <c r="B40" s="87"/>
      <c r="C40" s="88"/>
      <c r="D40" s="2" t="s">
        <v>4</v>
      </c>
      <c r="E40" s="22" t="s">
        <v>197</v>
      </c>
      <c r="F40" s="22" t="s">
        <v>198</v>
      </c>
      <c r="G40" s="112" t="s">
        <v>198</v>
      </c>
      <c r="H40" s="113"/>
      <c r="I40" s="22" t="s">
        <v>198</v>
      </c>
    </row>
    <row r="41" spans="1:9" ht="20.25" customHeight="1" x14ac:dyDescent="0.25">
      <c r="A41" s="86" t="s">
        <v>11</v>
      </c>
      <c r="B41" s="87"/>
      <c r="C41" s="88"/>
      <c r="D41" s="2" t="s">
        <v>4</v>
      </c>
      <c r="E41" s="17" t="s">
        <v>112</v>
      </c>
      <c r="F41" s="20" t="s">
        <v>12</v>
      </c>
      <c r="G41" s="2" t="s">
        <v>4</v>
      </c>
      <c r="H41" s="64" t="s">
        <v>111</v>
      </c>
      <c r="I41" s="65"/>
    </row>
    <row r="42" spans="1:9" ht="20.25" x14ac:dyDescent="0.25">
      <c r="A42" s="98" t="s">
        <v>61</v>
      </c>
      <c r="B42" s="99"/>
      <c r="C42" s="99"/>
      <c r="D42" s="99"/>
      <c r="E42" s="99"/>
      <c r="F42" s="99"/>
      <c r="G42" s="99"/>
      <c r="H42" s="99"/>
      <c r="I42" s="100"/>
    </row>
    <row r="43" spans="1:9" ht="21" customHeight="1" x14ac:dyDescent="0.25">
      <c r="A43" s="140" t="s">
        <v>62</v>
      </c>
      <c r="B43" s="140"/>
      <c r="C43" s="140" t="s">
        <v>63</v>
      </c>
      <c r="D43" s="140"/>
      <c r="E43" s="140" t="s">
        <v>176</v>
      </c>
      <c r="F43" s="140"/>
      <c r="G43" s="140"/>
      <c r="H43" s="140" t="s">
        <v>64</v>
      </c>
      <c r="I43" s="140"/>
    </row>
    <row r="44" spans="1:9" ht="62.25" customHeight="1" x14ac:dyDescent="0.25">
      <c r="A44" s="152" t="s">
        <v>203</v>
      </c>
      <c r="B44" s="152"/>
      <c r="C44" s="151" t="s">
        <v>96</v>
      </c>
      <c r="D44" s="151"/>
      <c r="E44" s="93" t="s">
        <v>292</v>
      </c>
      <c r="F44" s="93"/>
      <c r="G44" s="93"/>
      <c r="H44" s="93" t="s">
        <v>256</v>
      </c>
      <c r="I44" s="93"/>
    </row>
    <row r="45" spans="1:9" ht="62.25" customHeight="1" x14ac:dyDescent="0.25">
      <c r="A45" s="152" t="s">
        <v>278</v>
      </c>
      <c r="B45" s="152"/>
      <c r="C45" s="151" t="s">
        <v>96</v>
      </c>
      <c r="D45" s="151"/>
      <c r="E45" s="93" t="s">
        <v>292</v>
      </c>
      <c r="F45" s="93"/>
      <c r="G45" s="93"/>
      <c r="H45" s="93" t="s">
        <v>256</v>
      </c>
      <c r="I45" s="93"/>
    </row>
    <row r="46" spans="1:9" ht="20.25" x14ac:dyDescent="0.25">
      <c r="A46" s="94" t="s">
        <v>65</v>
      </c>
      <c r="B46" s="94"/>
      <c r="C46" s="94"/>
      <c r="D46" s="94"/>
      <c r="E46" s="94"/>
      <c r="F46" s="94"/>
      <c r="G46" s="94"/>
      <c r="H46" s="94"/>
      <c r="I46" s="94"/>
    </row>
    <row r="47" spans="1:9" ht="63" customHeight="1" x14ac:dyDescent="0.25">
      <c r="A47" s="16" t="s">
        <v>66</v>
      </c>
      <c r="B47" s="16" t="s">
        <v>4</v>
      </c>
      <c r="C47" s="93" t="s">
        <v>112</v>
      </c>
      <c r="D47" s="93"/>
      <c r="E47" s="93"/>
      <c r="F47" s="16" t="s">
        <v>67</v>
      </c>
      <c r="G47" s="16" t="s">
        <v>4</v>
      </c>
      <c r="H47" s="93" t="s">
        <v>268</v>
      </c>
      <c r="I47" s="93"/>
    </row>
    <row r="48" spans="1:9" ht="304.5" customHeight="1" x14ac:dyDescent="0.25">
      <c r="A48" s="16" t="s">
        <v>97</v>
      </c>
      <c r="B48" s="16" t="s">
        <v>4</v>
      </c>
      <c r="C48" s="93" t="s">
        <v>296</v>
      </c>
      <c r="D48" s="93"/>
      <c r="E48" s="93"/>
      <c r="F48" s="16" t="s">
        <v>294</v>
      </c>
      <c r="G48" s="16" t="s">
        <v>4</v>
      </c>
      <c r="H48" s="93" t="s">
        <v>295</v>
      </c>
      <c r="I48" s="93"/>
    </row>
    <row r="49" spans="1:13" ht="46.5" hidden="1" customHeight="1" x14ac:dyDescent="0.25">
      <c r="A49" s="16" t="s">
        <v>68</v>
      </c>
      <c r="B49" s="16" t="s">
        <v>4</v>
      </c>
      <c r="C49" s="93"/>
      <c r="D49" s="93"/>
      <c r="E49" s="93"/>
      <c r="F49" s="16" t="s">
        <v>69</v>
      </c>
      <c r="G49" s="16" t="s">
        <v>4</v>
      </c>
      <c r="H49" s="93"/>
      <c r="I49" s="93"/>
    </row>
    <row r="50" spans="1:13" ht="45" hidden="1" customHeight="1" x14ac:dyDescent="0.25">
      <c r="A50" s="16" t="s">
        <v>70</v>
      </c>
      <c r="B50" s="16" t="s">
        <v>4</v>
      </c>
      <c r="C50" s="93" t="s">
        <v>111</v>
      </c>
      <c r="D50" s="93"/>
      <c r="E50" s="93"/>
      <c r="F50" s="16" t="s">
        <v>71</v>
      </c>
      <c r="G50" s="16" t="s">
        <v>4</v>
      </c>
      <c r="H50" s="93"/>
      <c r="I50" s="93"/>
    </row>
    <row r="51" spans="1:13" ht="21" thickBot="1" x14ac:dyDescent="0.3">
      <c r="A51" s="94" t="s">
        <v>72</v>
      </c>
      <c r="B51" s="94"/>
      <c r="C51" s="94"/>
      <c r="D51" s="94"/>
      <c r="E51" s="94"/>
      <c r="F51" s="94"/>
      <c r="G51" s="94"/>
      <c r="H51" s="94"/>
      <c r="I51" s="94"/>
    </row>
    <row r="52" spans="1:13" ht="20.25" customHeight="1" x14ac:dyDescent="0.3">
      <c r="A52" s="95" t="s">
        <v>328</v>
      </c>
      <c r="B52" s="95"/>
      <c r="C52" s="95"/>
      <c r="D52" s="96" t="s">
        <v>4</v>
      </c>
      <c r="E52" s="54" t="s">
        <v>145</v>
      </c>
      <c r="F52" s="60" t="s">
        <v>131</v>
      </c>
      <c r="G52" s="60"/>
      <c r="H52" s="54" t="s">
        <v>146</v>
      </c>
      <c r="I52" s="54" t="s">
        <v>147</v>
      </c>
      <c r="J52" s="33"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Slab, Brickwork, Internal Plaster upto 48 Floor, External Plaster upto 48 Floor, External Plumbing, Elevation and Waterproofing upto 36 Floor, Flooring &amp; Fitting upto 27 Floor, Wooden Work upto 22 Floor, Electrical &amp; Sanitary fittings upto 10 Floor Completed</v>
      </c>
      <c r="K52" s="35"/>
    </row>
    <row r="53" spans="1:13" ht="45" customHeight="1" x14ac:dyDescent="0.3">
      <c r="A53" s="95"/>
      <c r="B53" s="95"/>
      <c r="C53" s="95"/>
      <c r="D53" s="96"/>
      <c r="E53" s="54">
        <v>2</v>
      </c>
      <c r="F53" s="60">
        <v>1</v>
      </c>
      <c r="G53" s="60"/>
      <c r="H53" s="54">
        <v>7</v>
      </c>
      <c r="I53" s="54">
        <f ca="1">--TRIM(RIGHT(SUBSTITUTE(LEFT(A52,_xlfn.AGGREGATE(16,6,FIND({0,1,2,3,4,5,6,7,8,9},A52,ROW(INDIRECT("1:"&amp;LEN(A52)))),1))," ",REPT(" ",LEN(A52))),LEN(A52)))</f>
        <v>51</v>
      </c>
      <c r="J53" s="34" t="s">
        <v>151</v>
      </c>
      <c r="K53" s="35"/>
    </row>
    <row r="54" spans="1:13" ht="20.25" customHeight="1" x14ac:dyDescent="0.3">
      <c r="A54" s="97" t="s">
        <v>149</v>
      </c>
      <c r="B54" s="97"/>
      <c r="C54" s="97" t="s">
        <v>160</v>
      </c>
      <c r="D54" s="97"/>
      <c r="E54" s="53" t="s">
        <v>161</v>
      </c>
      <c r="F54" s="97" t="s">
        <v>150</v>
      </c>
      <c r="G54" s="97"/>
      <c r="H54" s="45" t="s">
        <v>148</v>
      </c>
      <c r="I54" s="45"/>
      <c r="J54" s="37" t="s">
        <v>162</v>
      </c>
      <c r="K54" s="36">
        <f ca="1">I53*25%</f>
        <v>12.75</v>
      </c>
    </row>
    <row r="55" spans="1:13" ht="20.25" customHeight="1" x14ac:dyDescent="0.3">
      <c r="A55" s="59" t="s">
        <v>163</v>
      </c>
      <c r="B55" s="59"/>
      <c r="C55" s="60">
        <f ca="1">K56</f>
        <v>51</v>
      </c>
      <c r="D55" s="60"/>
      <c r="E55" s="52">
        <f ca="1">((100/I53)*C55)/100</f>
        <v>1</v>
      </c>
      <c r="F55" s="59">
        <f ca="1">(((C55/I53*5)+(C56/I53*20)+(25/(F53+H53+I53)*C57)+(5/(I53)*C58)+(2.5/(I53)*C59)+(2.5/(I53)*C60)+(5/I53*C61)+(10/I53*C62)+(2.5/I53*C63)+(2.5/I53*C64)+(10/I53*C65)+(10/I53*C66))/100)</f>
        <v>0.7009803921568627</v>
      </c>
      <c r="G55" s="59"/>
      <c r="H55" s="59" t="str">
        <f ca="1">J52</f>
        <v>Excavation work Completed. Plinth work completed, RCC Slab, Brickwork, Internal Plaster upto 48 Floor, External Plaster upto 48 Floor, External Plumbing, Elevation and Waterproofing upto 36 Floor, Flooring &amp; Fitting upto 27 Floor, Wooden Work upto 22 Floor, Electrical &amp; Sanitary fittings upto 10 Floor Completed</v>
      </c>
      <c r="I55" s="59"/>
      <c r="J55" s="37" t="s">
        <v>152</v>
      </c>
      <c r="K55" s="41">
        <f ca="1">I53*50%</f>
        <v>25.5</v>
      </c>
    </row>
    <row r="56" spans="1:13" ht="20.25" x14ac:dyDescent="0.3">
      <c r="A56" s="59" t="s">
        <v>132</v>
      </c>
      <c r="B56" s="59"/>
      <c r="C56" s="63">
        <f ca="1">K64</f>
        <v>51</v>
      </c>
      <c r="D56" s="60"/>
      <c r="E56" s="52">
        <f ca="1">((100/I53)*C56)/100</f>
        <v>1</v>
      </c>
      <c r="F56" s="59"/>
      <c r="G56" s="59"/>
      <c r="H56" s="59"/>
      <c r="I56" s="59"/>
      <c r="J56" s="37" t="s">
        <v>153</v>
      </c>
      <c r="K56" s="41">
        <f ca="1">I53</f>
        <v>51</v>
      </c>
    </row>
    <row r="57" spans="1:13" ht="21" customHeight="1" x14ac:dyDescent="0.35">
      <c r="A57" s="59" t="s">
        <v>164</v>
      </c>
      <c r="B57" s="59"/>
      <c r="C57" s="60">
        <v>59</v>
      </c>
      <c r="D57" s="60"/>
      <c r="E57" s="52">
        <f ca="1">((100/(F53+H53+I53))*C57)/100</f>
        <v>1</v>
      </c>
      <c r="F57" s="59"/>
      <c r="G57" s="59"/>
      <c r="H57" s="59"/>
      <c r="I57" s="59"/>
      <c r="J57" s="37" t="s">
        <v>154</v>
      </c>
      <c r="K57" s="42">
        <f ca="1">(IF(E53&gt;1,(I53/(E53+2)),I53/4))</f>
        <v>12.75</v>
      </c>
    </row>
    <row r="58" spans="1:13" ht="21" customHeight="1" x14ac:dyDescent="0.35">
      <c r="A58" s="59" t="s">
        <v>165</v>
      </c>
      <c r="B58" s="59"/>
      <c r="C58" s="60">
        <f>C57-F53-H53</f>
        <v>51</v>
      </c>
      <c r="D58" s="60"/>
      <c r="E58" s="52">
        <f ca="1">((100/I53)*C58)/100</f>
        <v>1</v>
      </c>
      <c r="F58" s="59"/>
      <c r="G58" s="59"/>
      <c r="H58" s="59"/>
      <c r="I58" s="59"/>
      <c r="J58" s="37" t="s">
        <v>155</v>
      </c>
      <c r="K58" s="42">
        <f ca="1">(IF(E53&gt;1,(I53/(E53+2)+K57),I53/4+K57))</f>
        <v>25.5</v>
      </c>
    </row>
    <row r="59" spans="1:13" ht="21" customHeight="1" x14ac:dyDescent="0.35">
      <c r="A59" s="61" t="s">
        <v>166</v>
      </c>
      <c r="B59" s="62"/>
      <c r="C59" s="63">
        <v>48</v>
      </c>
      <c r="D59" s="63"/>
      <c r="E59" s="52">
        <f ca="1">((100/I53)*C59)/100</f>
        <v>0.94117647058823517</v>
      </c>
      <c r="F59" s="59"/>
      <c r="G59" s="59"/>
      <c r="H59" s="59"/>
      <c r="I59" s="59"/>
      <c r="J59" s="37" t="s">
        <v>167</v>
      </c>
      <c r="K59" s="42">
        <f ca="1">(IF(E53&gt;1,(I53/(E53+2)+K58),0))</f>
        <v>38.25</v>
      </c>
    </row>
    <row r="60" spans="1:13" ht="21" customHeight="1" x14ac:dyDescent="0.35">
      <c r="A60" s="61" t="s">
        <v>321</v>
      </c>
      <c r="B60" s="62"/>
      <c r="C60" s="63">
        <f>C59</f>
        <v>48</v>
      </c>
      <c r="D60" s="63"/>
      <c r="E60" s="52">
        <f ca="1">((100/I53)*C60)/100</f>
        <v>0.94117647058823517</v>
      </c>
      <c r="F60" s="59"/>
      <c r="G60" s="59"/>
      <c r="H60" s="59"/>
      <c r="I60" s="59"/>
      <c r="J60" s="37" t="s">
        <v>168</v>
      </c>
      <c r="K60" s="42">
        <f>(IF(E53&gt;2,(I53/(E53+2)+K59),0))</f>
        <v>0</v>
      </c>
    </row>
    <row r="61" spans="1:13" ht="57.75" customHeight="1" x14ac:dyDescent="0.35">
      <c r="A61" s="61" t="s">
        <v>322</v>
      </c>
      <c r="B61" s="62"/>
      <c r="C61" s="60">
        <v>36</v>
      </c>
      <c r="D61" s="60"/>
      <c r="E61" s="52">
        <f ca="1">((100/(I53))*C61)/100</f>
        <v>0.70588235294117641</v>
      </c>
      <c r="F61" s="59"/>
      <c r="G61" s="59"/>
      <c r="H61" s="59"/>
      <c r="I61" s="59"/>
      <c r="J61" s="37" t="s">
        <v>170</v>
      </c>
      <c r="K61" s="43">
        <f>(IF(E53&gt;3,(I53/(E53+2)+K60),0))</f>
        <v>0</v>
      </c>
    </row>
    <row r="62" spans="1:13" ht="21" x14ac:dyDescent="0.35">
      <c r="A62" s="59" t="s">
        <v>169</v>
      </c>
      <c r="B62" s="59"/>
      <c r="C62" s="60">
        <v>27</v>
      </c>
      <c r="D62" s="60"/>
      <c r="E62" s="52">
        <f ca="1">((100/(I53))*C62)/100</f>
        <v>0.52941176470588236</v>
      </c>
      <c r="F62" s="59"/>
      <c r="G62" s="59"/>
      <c r="H62" s="59"/>
      <c r="I62" s="59"/>
      <c r="J62" s="37" t="s">
        <v>171</v>
      </c>
      <c r="K62" s="42">
        <f>(IF(E53&gt;4,(I53/(E53+2)+K61),0))</f>
        <v>0</v>
      </c>
    </row>
    <row r="63" spans="1:13" ht="21" customHeight="1" x14ac:dyDescent="0.35">
      <c r="A63" s="59" t="s">
        <v>323</v>
      </c>
      <c r="B63" s="59"/>
      <c r="C63" s="60">
        <v>22</v>
      </c>
      <c r="D63" s="60"/>
      <c r="E63" s="52">
        <f ca="1">((100/I53)*C63)/100</f>
        <v>0.43137254901960781</v>
      </c>
      <c r="F63" s="59"/>
      <c r="G63" s="59"/>
      <c r="H63" s="59"/>
      <c r="I63" s="59"/>
      <c r="J63" s="37" t="s">
        <v>156</v>
      </c>
      <c r="K63" s="42">
        <f>(IF(E53=1,(I53/(E53+3)+K58),IF(E53=0,(I53/4+K58),IF(E53&gt;1,0))))</f>
        <v>0</v>
      </c>
    </row>
    <row r="64" spans="1:13" ht="41.25" customHeight="1" thickBot="1" x14ac:dyDescent="0.4">
      <c r="A64" s="59" t="s">
        <v>324</v>
      </c>
      <c r="B64" s="59"/>
      <c r="C64" s="60">
        <v>10</v>
      </c>
      <c r="D64" s="60"/>
      <c r="E64" s="52">
        <f ca="1">((100/I53)*C64)/100</f>
        <v>0.19607843137254899</v>
      </c>
      <c r="F64" s="59"/>
      <c r="G64" s="59"/>
      <c r="H64" s="59"/>
      <c r="I64" s="59"/>
      <c r="J64" s="39" t="s">
        <v>157</v>
      </c>
      <c r="K64" s="44">
        <f ca="1">(IF(E53&gt;1.5,(I53/(E53+2)+K57+MAX(0,K58-K57)+MAX(0,K59-K58)+MAX(0,K60-K59)+MAX(0,K61-K60)+MAX(0,K62-K61)),IF(E53=1,(I53/(E53+3)+K63),IF(E53=0,I53/4+K63))))</f>
        <v>51</v>
      </c>
      <c r="M64" s="1" t="e">
        <f>(IF(D52&gt;1.5,(H52/(D52+2)+J57+MAX(0,J58-J57)+MAX(0,J59-J58)+MAX(0,J60-J59)+MAX(0,J61-J60)+MAX(0,J62-J61)),IF(D52=1,(H52/(D52+3)+J62),IF(D52=0,H52*0.3+J62))))</f>
        <v>#VALUE!</v>
      </c>
    </row>
    <row r="65" spans="1:13" ht="20.25" x14ac:dyDescent="0.25">
      <c r="A65" s="59" t="s">
        <v>172</v>
      </c>
      <c r="B65" s="59"/>
      <c r="C65" s="60">
        <v>0</v>
      </c>
      <c r="D65" s="60"/>
      <c r="E65" s="52">
        <f ca="1">((100/(I53))*C65)/100</f>
        <v>0</v>
      </c>
      <c r="F65" s="59"/>
      <c r="G65" s="59"/>
      <c r="H65" s="59"/>
      <c r="I65" s="59"/>
    </row>
    <row r="66" spans="1:13" ht="20.25" x14ac:dyDescent="0.25">
      <c r="A66" s="59" t="s">
        <v>173</v>
      </c>
      <c r="B66" s="59"/>
      <c r="C66" s="60">
        <v>0</v>
      </c>
      <c r="D66" s="60"/>
      <c r="E66" s="52">
        <f ca="1">((100/(I53))*C66)/100</f>
        <v>0</v>
      </c>
      <c r="F66" s="59"/>
      <c r="G66" s="59"/>
      <c r="H66" s="59"/>
      <c r="I66" s="59"/>
    </row>
    <row r="67" spans="1:13" ht="21" thickBot="1" x14ac:dyDescent="0.3">
      <c r="A67" s="94" t="s">
        <v>72</v>
      </c>
      <c r="B67" s="94"/>
      <c r="C67" s="94"/>
      <c r="D67" s="94"/>
      <c r="E67" s="94"/>
      <c r="F67" s="94"/>
      <c r="G67" s="94"/>
      <c r="H67" s="94"/>
      <c r="I67" s="94"/>
    </row>
    <row r="68" spans="1:13" ht="20.25" customHeight="1" x14ac:dyDescent="0.3">
      <c r="A68" s="95" t="s">
        <v>329</v>
      </c>
      <c r="B68" s="95"/>
      <c r="C68" s="95"/>
      <c r="D68" s="96" t="s">
        <v>4</v>
      </c>
      <c r="E68" s="54" t="s">
        <v>145</v>
      </c>
      <c r="F68" s="60" t="s">
        <v>131</v>
      </c>
      <c r="G68" s="60"/>
      <c r="H68" s="54" t="s">
        <v>146</v>
      </c>
      <c r="I68" s="54" t="s">
        <v>147</v>
      </c>
      <c r="J68" s="33"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Slab, Brickwork, Internal Plaster, External Plaster, External Plumbing, Elevation and Waterproofing upto 31 Floor, Flooring &amp; Fitting upto 28 Floor, Wooden Work upto 20 Floor Completed</v>
      </c>
      <c r="K68" s="35"/>
    </row>
    <row r="69" spans="1:13" ht="43.5" customHeight="1" x14ac:dyDescent="0.3">
      <c r="A69" s="95"/>
      <c r="B69" s="95"/>
      <c r="C69" s="95"/>
      <c r="D69" s="96"/>
      <c r="E69" s="54">
        <v>2</v>
      </c>
      <c r="F69" s="60">
        <v>1</v>
      </c>
      <c r="G69" s="60"/>
      <c r="H69" s="54">
        <v>7</v>
      </c>
      <c r="I69" s="54">
        <f ca="1">--TRIM(RIGHT(SUBSTITUTE(LEFT(A68,_xlfn.AGGREGATE(16,6,FIND({0,1,2,3,4,5,6,7,8,9},A68,ROW(INDIRECT("1:"&amp;LEN(A68)))),1))," ",REPT(" ",LEN(A68))),LEN(A68)))</f>
        <v>51</v>
      </c>
      <c r="J69" s="34" t="s">
        <v>151</v>
      </c>
      <c r="K69" s="35"/>
    </row>
    <row r="70" spans="1:13" ht="20.25" customHeight="1" x14ac:dyDescent="0.3">
      <c r="A70" s="97" t="s">
        <v>149</v>
      </c>
      <c r="B70" s="97"/>
      <c r="C70" s="97" t="s">
        <v>160</v>
      </c>
      <c r="D70" s="97"/>
      <c r="E70" s="53" t="s">
        <v>161</v>
      </c>
      <c r="F70" s="97" t="s">
        <v>150</v>
      </c>
      <c r="G70" s="97"/>
      <c r="H70" s="45" t="s">
        <v>148</v>
      </c>
      <c r="I70" s="45"/>
      <c r="J70" s="37" t="s">
        <v>162</v>
      </c>
      <c r="K70" s="36">
        <f ca="1">I69*25%</f>
        <v>12.75</v>
      </c>
    </row>
    <row r="71" spans="1:13" ht="20.25" customHeight="1" x14ac:dyDescent="0.3">
      <c r="A71" s="59" t="s">
        <v>163</v>
      </c>
      <c r="B71" s="59"/>
      <c r="C71" s="60">
        <f ca="1">K72</f>
        <v>51</v>
      </c>
      <c r="D71" s="60"/>
      <c r="E71" s="52">
        <f ca="1">((100/I69)*C71)/100</f>
        <v>1</v>
      </c>
      <c r="F71" s="59">
        <f ca="1">(((C71/I69*5)+(C72/I69*20)+(25/(F69+H69+I69)*C73)+(5/(I69)*C74)+(2.5/(I69)*C75)+(2.5/(I69)*C76)+(5/I69*C77)+(10/I69*C78)+(2.5/I69*C79)+(2.5/I69*C80)+(10/I69*C81)+(10/I69*C82))/100)</f>
        <v>0.69509803921568636</v>
      </c>
      <c r="G71" s="59"/>
      <c r="H71" s="59" t="str">
        <f ca="1">J68</f>
        <v>Excavation work Completed. Plinth work completed, RCC Slab, Brickwork, Internal Plaster, External Plaster, External Plumbing, Elevation and Waterproofing upto 31 Floor, Flooring &amp; Fitting upto 28 Floor, Wooden Work upto 20 Floor Completed</v>
      </c>
      <c r="I71" s="59"/>
      <c r="J71" s="37" t="s">
        <v>152</v>
      </c>
      <c r="K71" s="41">
        <f ca="1">I69*50%</f>
        <v>25.5</v>
      </c>
    </row>
    <row r="72" spans="1:13" ht="20.25" x14ac:dyDescent="0.3">
      <c r="A72" s="59" t="s">
        <v>132</v>
      </c>
      <c r="B72" s="59"/>
      <c r="C72" s="63">
        <f ca="1">K80</f>
        <v>51</v>
      </c>
      <c r="D72" s="60"/>
      <c r="E72" s="52">
        <f ca="1">((100/I69)*C72)/100</f>
        <v>1</v>
      </c>
      <c r="F72" s="59"/>
      <c r="G72" s="59"/>
      <c r="H72" s="59"/>
      <c r="I72" s="59"/>
      <c r="J72" s="37" t="s">
        <v>153</v>
      </c>
      <c r="K72" s="41">
        <f ca="1">I69</f>
        <v>51</v>
      </c>
    </row>
    <row r="73" spans="1:13" ht="21" customHeight="1" x14ac:dyDescent="0.35">
      <c r="A73" s="59" t="s">
        <v>164</v>
      </c>
      <c r="B73" s="59"/>
      <c r="C73" s="60">
        <v>59</v>
      </c>
      <c r="D73" s="60"/>
      <c r="E73" s="52">
        <f ca="1">((100/(F69+H69+I69))*C73)/100</f>
        <v>1</v>
      </c>
      <c r="F73" s="59"/>
      <c r="G73" s="59"/>
      <c r="H73" s="59"/>
      <c r="I73" s="59"/>
      <c r="J73" s="37" t="s">
        <v>154</v>
      </c>
      <c r="K73" s="42">
        <f ca="1">(IF(E69&gt;1,(I69/(E69+2)),I69/4))</f>
        <v>12.75</v>
      </c>
    </row>
    <row r="74" spans="1:13" ht="21" customHeight="1" x14ac:dyDescent="0.35">
      <c r="A74" s="59" t="s">
        <v>165</v>
      </c>
      <c r="B74" s="59"/>
      <c r="C74" s="60">
        <f>C73-F69-H69</f>
        <v>51</v>
      </c>
      <c r="D74" s="60"/>
      <c r="E74" s="52">
        <f ca="1">((100/I69)*C74)/100</f>
        <v>1</v>
      </c>
      <c r="F74" s="59"/>
      <c r="G74" s="59"/>
      <c r="H74" s="59"/>
      <c r="I74" s="59"/>
      <c r="J74" s="37" t="s">
        <v>155</v>
      </c>
      <c r="K74" s="42">
        <f ca="1">(IF(E69&gt;1,(I69/(E69+2)+K73),I69/4+K73))</f>
        <v>25.5</v>
      </c>
    </row>
    <row r="75" spans="1:13" ht="21" customHeight="1" x14ac:dyDescent="0.35">
      <c r="A75" s="61" t="s">
        <v>166</v>
      </c>
      <c r="B75" s="62"/>
      <c r="C75" s="63">
        <v>51</v>
      </c>
      <c r="D75" s="63"/>
      <c r="E75" s="52">
        <f ca="1">((100/I69)*C75)/100</f>
        <v>1</v>
      </c>
      <c r="F75" s="59"/>
      <c r="G75" s="59"/>
      <c r="H75" s="59"/>
      <c r="I75" s="59"/>
      <c r="J75" s="37" t="s">
        <v>167</v>
      </c>
      <c r="K75" s="42">
        <f ca="1">(IF(E69&gt;1,(I69/(E69+2)+K74),0))</f>
        <v>38.25</v>
      </c>
    </row>
    <row r="76" spans="1:13" ht="21" customHeight="1" x14ac:dyDescent="0.35">
      <c r="A76" s="61" t="s">
        <v>321</v>
      </c>
      <c r="B76" s="62"/>
      <c r="C76" s="63">
        <f>C75</f>
        <v>51</v>
      </c>
      <c r="D76" s="63"/>
      <c r="E76" s="52">
        <f ca="1">((100/I69)*C76)/100</f>
        <v>1</v>
      </c>
      <c r="F76" s="59"/>
      <c r="G76" s="59"/>
      <c r="H76" s="59"/>
      <c r="I76" s="59"/>
      <c r="J76" s="37" t="s">
        <v>168</v>
      </c>
      <c r="K76" s="42">
        <f>(IF(E69&gt;2,(I69/(E69+2)+K75),0))</f>
        <v>0</v>
      </c>
    </row>
    <row r="77" spans="1:13" ht="57.75" customHeight="1" x14ac:dyDescent="0.35">
      <c r="A77" s="61" t="s">
        <v>322</v>
      </c>
      <c r="B77" s="62"/>
      <c r="C77" s="60">
        <v>31</v>
      </c>
      <c r="D77" s="60"/>
      <c r="E77" s="52">
        <f ca="1">((100/(I69))*C77)/100</f>
        <v>0.60784313725490191</v>
      </c>
      <c r="F77" s="59"/>
      <c r="G77" s="59"/>
      <c r="H77" s="59"/>
      <c r="I77" s="59"/>
      <c r="J77" s="37" t="s">
        <v>170</v>
      </c>
      <c r="K77" s="43">
        <f>(IF(E69&gt;3,(I69/(E69+2)+K76),0))</f>
        <v>0</v>
      </c>
    </row>
    <row r="78" spans="1:13" ht="21" x14ac:dyDescent="0.35">
      <c r="A78" s="59" t="s">
        <v>169</v>
      </c>
      <c r="B78" s="59"/>
      <c r="C78" s="60">
        <v>28</v>
      </c>
      <c r="D78" s="60"/>
      <c r="E78" s="52">
        <f ca="1">((100/(I69))*C78)/100</f>
        <v>0.54901960784313719</v>
      </c>
      <c r="F78" s="59"/>
      <c r="G78" s="59"/>
      <c r="H78" s="59"/>
      <c r="I78" s="59"/>
      <c r="J78" s="37" t="s">
        <v>171</v>
      </c>
      <c r="K78" s="42">
        <f>(IF(E69&gt;4,(I69/(E69+2)+K77),0))</f>
        <v>0</v>
      </c>
    </row>
    <row r="79" spans="1:13" ht="21" customHeight="1" x14ac:dyDescent="0.35">
      <c r="A79" s="59" t="s">
        <v>323</v>
      </c>
      <c r="B79" s="59"/>
      <c r="C79" s="60">
        <v>20</v>
      </c>
      <c r="D79" s="60"/>
      <c r="E79" s="52">
        <f ca="1">((100/I69)*C79)/100</f>
        <v>0.39215686274509798</v>
      </c>
      <c r="F79" s="59"/>
      <c r="G79" s="59"/>
      <c r="H79" s="59"/>
      <c r="I79" s="59"/>
      <c r="J79" s="37" t="s">
        <v>156</v>
      </c>
      <c r="K79" s="42">
        <f>(IF(E69=1,(I69/(E69+3)+K74),IF(E69=0,(I69/4+K74),IF(E69&gt;1,0))))</f>
        <v>0</v>
      </c>
    </row>
    <row r="80" spans="1:13" ht="40.5" customHeight="1" thickBot="1" x14ac:dyDescent="0.4">
      <c r="A80" s="59" t="s">
        <v>324</v>
      </c>
      <c r="B80" s="59"/>
      <c r="C80" s="60">
        <v>0</v>
      </c>
      <c r="D80" s="60"/>
      <c r="E80" s="52">
        <f ca="1">((100/I69)*C80)/100</f>
        <v>0</v>
      </c>
      <c r="F80" s="59"/>
      <c r="G80" s="59"/>
      <c r="H80" s="59"/>
      <c r="I80" s="59"/>
      <c r="J80" s="39" t="s">
        <v>157</v>
      </c>
      <c r="K80" s="44">
        <f ca="1">(IF(E69&gt;1.5,(I69/(E69+2)+K73+MAX(0,K74-K73)+MAX(0,K75-K74)+MAX(0,K76-K75)+MAX(0,K77-K76)+MAX(0,K78-K77)),IF(E69=1,(I69/(E69+3)+K79),IF(E69=0,I69/4+K79))))</f>
        <v>51</v>
      </c>
      <c r="M80" s="1" t="e">
        <f>(IF(D68&gt;1.5,(H68/(D68+2)+J73+MAX(0,J74-J73)+MAX(0,J75-J74)+MAX(0,J76-J75)+MAX(0,J77-J76)+MAX(0,J78-J77)),IF(D68=1,(H68/(D68+3)+J78),IF(D68=0,H68*0.3+J78))))</f>
        <v>#VALUE!</v>
      </c>
    </row>
    <row r="81" spans="1:12" ht="20.25" x14ac:dyDescent="0.25">
      <c r="A81" s="59" t="s">
        <v>172</v>
      </c>
      <c r="B81" s="59"/>
      <c r="C81" s="60">
        <v>0</v>
      </c>
      <c r="D81" s="60"/>
      <c r="E81" s="52">
        <f ca="1">((100/(I69))*C81)/100</f>
        <v>0</v>
      </c>
      <c r="F81" s="59"/>
      <c r="G81" s="59"/>
      <c r="H81" s="59"/>
      <c r="I81" s="59"/>
    </row>
    <row r="82" spans="1:12" ht="20.25" x14ac:dyDescent="0.25">
      <c r="A82" s="59" t="s">
        <v>173</v>
      </c>
      <c r="B82" s="59"/>
      <c r="C82" s="60">
        <v>0</v>
      </c>
      <c r="D82" s="60"/>
      <c r="E82" s="52">
        <f ca="1">((100/(I69))*C82)/100</f>
        <v>0</v>
      </c>
      <c r="F82" s="59"/>
      <c r="G82" s="59"/>
      <c r="H82" s="59"/>
      <c r="I82" s="59"/>
    </row>
    <row r="83" spans="1:12" ht="36.75" customHeight="1" x14ac:dyDescent="0.3">
      <c r="A83" s="147" t="s">
        <v>158</v>
      </c>
      <c r="B83" s="148"/>
      <c r="C83" s="148"/>
      <c r="D83" s="148"/>
      <c r="E83" s="148"/>
      <c r="F83" s="148"/>
      <c r="G83" s="148"/>
      <c r="H83" s="91">
        <f ca="1">AVERAGE(F55,F71)</f>
        <v>0.69803921568627447</v>
      </c>
      <c r="I83" s="92"/>
      <c r="J83" s="37"/>
      <c r="K83" s="38"/>
      <c r="L83" s="38"/>
    </row>
    <row r="84" spans="1:12" ht="20.25" x14ac:dyDescent="0.25">
      <c r="A84" s="98" t="s">
        <v>76</v>
      </c>
      <c r="B84" s="99"/>
      <c r="C84" s="99"/>
      <c r="D84" s="99"/>
      <c r="E84" s="99"/>
      <c r="F84" s="99"/>
      <c r="G84" s="99"/>
      <c r="H84" s="99"/>
      <c r="I84" s="100"/>
    </row>
    <row r="85" spans="1:12" ht="60.75" x14ac:dyDescent="0.25">
      <c r="A85" s="101" t="s">
        <v>77</v>
      </c>
      <c r="B85" s="101"/>
      <c r="C85" s="101"/>
      <c r="D85" s="3" t="s">
        <v>4</v>
      </c>
      <c r="E85" s="14" t="s">
        <v>137</v>
      </c>
      <c r="F85" s="20" t="s">
        <v>174</v>
      </c>
      <c r="G85" s="3" t="s">
        <v>4</v>
      </c>
      <c r="H85" s="149" t="s">
        <v>254</v>
      </c>
      <c r="I85" s="149"/>
    </row>
    <row r="86" spans="1:12" ht="60.75" x14ac:dyDescent="0.25">
      <c r="A86" s="101" t="s">
        <v>186</v>
      </c>
      <c r="B86" s="101"/>
      <c r="C86" s="101"/>
      <c r="D86" s="2" t="s">
        <v>133</v>
      </c>
      <c r="E86" s="50" t="s">
        <v>253</v>
      </c>
      <c r="F86" s="20" t="s">
        <v>187</v>
      </c>
      <c r="G86" s="2" t="s">
        <v>4</v>
      </c>
      <c r="H86" s="93" t="s">
        <v>175</v>
      </c>
      <c r="I86" s="93"/>
    </row>
    <row r="87" spans="1:12" ht="26.25" customHeight="1" x14ac:dyDescent="0.25">
      <c r="A87" s="103" t="s">
        <v>80</v>
      </c>
      <c r="B87" s="103"/>
      <c r="C87" s="103"/>
      <c r="D87" s="3" t="s">
        <v>4</v>
      </c>
      <c r="E87" s="50">
        <v>800000</v>
      </c>
      <c r="F87" s="3" t="s">
        <v>129</v>
      </c>
      <c r="G87" s="3" t="s">
        <v>4</v>
      </c>
      <c r="H87" s="106" t="s">
        <v>138</v>
      </c>
      <c r="I87" s="107"/>
    </row>
    <row r="88" spans="1:12" ht="20.25" hidden="1" x14ac:dyDescent="0.25">
      <c r="A88" s="101" t="s">
        <v>119</v>
      </c>
      <c r="B88" s="101"/>
      <c r="C88" s="101"/>
      <c r="D88" s="2" t="s">
        <v>4</v>
      </c>
      <c r="E88" s="17" t="s">
        <v>120</v>
      </c>
      <c r="F88" s="20" t="s">
        <v>121</v>
      </c>
      <c r="G88" s="2" t="s">
        <v>4</v>
      </c>
      <c r="H88" s="93" t="s">
        <v>98</v>
      </c>
      <c r="I88" s="93"/>
    </row>
    <row r="89" spans="1:12" ht="60.75" hidden="1" x14ac:dyDescent="0.25">
      <c r="A89" s="101" t="s">
        <v>122</v>
      </c>
      <c r="B89" s="101"/>
      <c r="C89" s="101"/>
      <c r="D89" s="2" t="s">
        <v>4</v>
      </c>
      <c r="E89" s="17" t="s">
        <v>123</v>
      </c>
      <c r="F89" s="20" t="s">
        <v>124</v>
      </c>
      <c r="G89" s="2" t="s">
        <v>4</v>
      </c>
      <c r="H89" s="93" t="s">
        <v>125</v>
      </c>
      <c r="I89" s="93"/>
    </row>
    <row r="90" spans="1:12" ht="20.25" hidden="1" x14ac:dyDescent="0.25">
      <c r="A90" s="101" t="s">
        <v>79</v>
      </c>
      <c r="B90" s="101"/>
      <c r="C90" s="101"/>
      <c r="D90" s="2" t="s">
        <v>4</v>
      </c>
      <c r="E90" s="17" t="s">
        <v>100</v>
      </c>
      <c r="F90" s="20" t="s">
        <v>78</v>
      </c>
      <c r="G90" s="2" t="s">
        <v>4</v>
      </c>
      <c r="H90" s="64" t="s">
        <v>100</v>
      </c>
      <c r="I90" s="65"/>
    </row>
    <row r="91" spans="1:12" ht="20.25" hidden="1" x14ac:dyDescent="0.25">
      <c r="A91" s="101" t="s">
        <v>126</v>
      </c>
      <c r="B91" s="101"/>
      <c r="C91" s="101"/>
      <c r="D91" s="2" t="s">
        <v>4</v>
      </c>
      <c r="E91" s="17" t="s">
        <v>99</v>
      </c>
      <c r="F91" s="20" t="s">
        <v>80</v>
      </c>
      <c r="G91" s="2" t="s">
        <v>4</v>
      </c>
      <c r="H91" s="93" t="s">
        <v>118</v>
      </c>
      <c r="I91" s="93"/>
    </row>
    <row r="92" spans="1:12" ht="20.25" hidden="1" x14ac:dyDescent="0.25">
      <c r="A92" s="101" t="s">
        <v>127</v>
      </c>
      <c r="B92" s="101"/>
      <c r="C92" s="101"/>
      <c r="D92" s="2" t="s">
        <v>4</v>
      </c>
      <c r="E92" s="18" t="s">
        <v>111</v>
      </c>
      <c r="F92" s="20" t="s">
        <v>128</v>
      </c>
      <c r="G92" s="2" t="s">
        <v>4</v>
      </c>
      <c r="H92" s="102" t="s">
        <v>111</v>
      </c>
      <c r="I92" s="102"/>
    </row>
    <row r="93" spans="1:12" ht="18" hidden="1" customHeight="1" x14ac:dyDescent="0.25">
      <c r="A93" s="103" t="s">
        <v>129</v>
      </c>
      <c r="B93" s="103"/>
      <c r="C93" s="103"/>
      <c r="D93" s="3" t="s">
        <v>4</v>
      </c>
      <c r="E93" s="10"/>
      <c r="F93" s="3" t="s">
        <v>129</v>
      </c>
      <c r="G93" s="3" t="s">
        <v>4</v>
      </c>
      <c r="H93" s="104" t="s">
        <v>111</v>
      </c>
      <c r="I93" s="105"/>
    </row>
    <row r="94" spans="1:12" ht="20.25" x14ac:dyDescent="0.25">
      <c r="A94" s="98" t="s">
        <v>75</v>
      </c>
      <c r="B94" s="99"/>
      <c r="C94" s="99"/>
      <c r="D94" s="99"/>
      <c r="E94" s="99"/>
      <c r="F94" s="99"/>
      <c r="G94" s="99"/>
      <c r="H94" s="99"/>
      <c r="I94" s="100"/>
    </row>
    <row r="95" spans="1:12" ht="20.25" x14ac:dyDescent="0.25">
      <c r="A95" s="86" t="s">
        <v>9</v>
      </c>
      <c r="B95" s="87"/>
      <c r="C95" s="87"/>
      <c r="D95" s="87"/>
      <c r="E95" s="87"/>
      <c r="F95" s="88"/>
      <c r="G95" s="2" t="s">
        <v>4</v>
      </c>
      <c r="H95" s="84">
        <f>43400/10.764</f>
        <v>4031.9583797844671</v>
      </c>
      <c r="I95" s="85"/>
    </row>
    <row r="96" spans="1:12" ht="20.25" x14ac:dyDescent="0.25">
      <c r="A96" s="86" t="s">
        <v>32</v>
      </c>
      <c r="B96" s="87"/>
      <c r="C96" s="87"/>
      <c r="D96" s="87"/>
      <c r="E96" s="87"/>
      <c r="F96" s="88"/>
      <c r="G96" s="2" t="s">
        <v>4</v>
      </c>
      <c r="H96" s="135">
        <f>103400/10.764</f>
        <v>9606.0943887030844</v>
      </c>
      <c r="I96" s="135"/>
    </row>
    <row r="97" spans="1:151 16227:16384" ht="20.25" x14ac:dyDescent="0.25">
      <c r="A97" s="86" t="s">
        <v>139</v>
      </c>
      <c r="B97" s="87"/>
      <c r="C97" s="87"/>
      <c r="D97" s="87"/>
      <c r="E97" s="87"/>
      <c r="F97" s="88"/>
      <c r="G97" s="2" t="s">
        <v>4</v>
      </c>
      <c r="H97" s="135">
        <f>H95*0.8</f>
        <v>3225.5667038275737</v>
      </c>
      <c r="I97" s="135"/>
    </row>
    <row r="98" spans="1:151 16227:16384" ht="20.25" x14ac:dyDescent="0.25">
      <c r="A98" s="132" t="s">
        <v>83</v>
      </c>
      <c r="B98" s="133"/>
      <c r="C98" s="133"/>
      <c r="D98" s="133"/>
      <c r="E98" s="133"/>
      <c r="F98" s="133"/>
      <c r="G98" s="133"/>
      <c r="H98" s="133"/>
      <c r="I98" s="134"/>
    </row>
    <row r="99" spans="1:151 16227:16384" s="11" customFormat="1" ht="40.5" x14ac:dyDescent="0.25">
      <c r="A99" s="89" t="s">
        <v>183</v>
      </c>
      <c r="B99" s="90"/>
      <c r="C99" s="89" t="s">
        <v>184</v>
      </c>
      <c r="D99" s="90"/>
      <c r="E99" s="47" t="s">
        <v>185</v>
      </c>
      <c r="F99" s="89" t="s">
        <v>182</v>
      </c>
      <c r="G99" s="90"/>
      <c r="H99" s="47" t="s">
        <v>181</v>
      </c>
      <c r="I99" s="47" t="s">
        <v>180</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x14ac:dyDescent="0.25">
      <c r="A100" s="82" t="s">
        <v>203</v>
      </c>
      <c r="B100" s="83"/>
      <c r="C100" s="82" t="s">
        <v>96</v>
      </c>
      <c r="D100" s="83"/>
      <c r="E100" s="48" t="s">
        <v>245</v>
      </c>
      <c r="F100" s="82">
        <f>COUNT(F115:G116)+COUNT(F121:G122)+COUNT(F127:G128)+COUNT(F134:G135)+COUNT(F140:G142)+COUNT(F144:G144)+COUNT(F146:G148)+COUNT(F150:G154)*12+COUNT(F156:G161)*16+COUNT(F163:G167)*5+COUNT(F169:G171)*5+COUNT(F173:G174)*5+COUNT(F176:G180)*2+COUNT(F182:G186)+COUNT(F189:G190)+COUNT(F192)+COUNT(F195:G196)*2+COUNT(F198:G199)*2+COUNT(F201:G204)*2+COUNT(F207:G208)+COUNT(F210:G211)+COUNT(F213:G214)+COUNT(F216:G217)+COUNT(F219:G222)+COUNT(F224)</f>
        <v>268</v>
      </c>
      <c r="G100" s="83"/>
      <c r="H100" s="48">
        <f>SUM(F115:G116)+SUM(F121:G122)+SUM(F127:G128)+SUM(F134:G135)+SUM(F140:G142)+SUM(F144:G144)+SUM(F146:G148)+SUM(F150:G154)*12+SUM(F156:G161)*16+SUM(F163:G167)*5+SUM(F169:G171)*5+SUM(F173:G174)*5+SUM(F176:G180)*2+SUM(F182:G186)+SUM(F189:G190)+SUM(F192)+SUM(F195:G196)*2+SUM(F198:G199)*2+SUM(F201:G204)*2+SUM(F206:G208)+SUM(F210:G211)+SUM(F213:G214)+SUM(F216:G217)+SUM(F219:G222)+SUM(F224)</f>
        <v>367346.5844255999</v>
      </c>
      <c r="I100" s="48">
        <f>SUM(I115:I116)+SUM(I121:I122)+SUM(I127:I128)+SUM(I134:I135)+SUM(I140:I142)+SUM(I144:I144)+SUM(I146:I148)+SUM(I150:I154)*12+SUM(I156:I161)*16+SUM(I163:I167)*5+SUM(I169:I171)*5+SUM(I173:I174)*5+SUM(I176:I180)*2+SUM(I182:I186)+SUM(I189:I190)+SUM(I192)+SUM(I195:I196)*2+SUM(I198:I199)*2+SUM(I201:I204)*2+SUM(I206:I208)+SUM(I210:I211)+SUM(I213:I214)+SUM(I216:I217)+SUM(I219:I222)+SUM(I224)</f>
        <v>551019.87663840014</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x14ac:dyDescent="0.25">
      <c r="A101" s="82" t="s">
        <v>278</v>
      </c>
      <c r="B101" s="83"/>
      <c r="C101" s="82" t="s">
        <v>96</v>
      </c>
      <c r="D101" s="83"/>
      <c r="E101" s="48" t="s">
        <v>245</v>
      </c>
      <c r="F101" s="82">
        <f>COUNT(F237:G238)+COUNT(F243:G244)+COUNT(F249:G250)+COUNT(F254)+COUNT(F256)+COUNT(F260:G262)+COUNT(F264:G268)+COUNT(F270:G275)*18+COUNT(F277:G279)*5+COUNT(F281:G282)*5+COUNT(F284:G289)*14+COUNT(F291:G293,F295:G296)*2+COUNT(F298:G303)*3+COUNT(F305:G307,F309:G310)+COUNT(F312:G317)+COUNT(F319:G320)+COUNT(F326:G330)+COUNT(F332)+COUNT(F338:G341)+COUNT(F343)</f>
        <v>285</v>
      </c>
      <c r="G101" s="83"/>
      <c r="H101" s="48">
        <f>SUM(F237:G238)+SUM(F243:G244)+SUM(F249:G250)+SUM(F254)+SUM(F256)+SUM(F260:G262)+SUM(F264:G268)+SUM(F270:G275)*18+SUM(F277:G279)*5+SUM(F281:G282)*5+SUM(F284:G289)*14+SUM(F291:G293,F295:G296)*2+SUM(F298:G303)*3+SUM(F305:G307,F309:G310)+SUM(F312:G317)+SUM(F319:G320)+SUM(F326:G330)+SUM(F332)+SUM(F338:G341)+SUM(F343)</f>
        <v>364888.32793919992</v>
      </c>
      <c r="I101" s="48">
        <f>SUM(G237:I238)+SUM(G243:I244)+SUM(G249:I250)+SUM(I254)+SUM(I256)+SUM(G260:I262)+SUM(G264:I268)+SUM(G270:I275)*18+SUM(G277:I279)*5+SUM(G281:I282)*5+SUM(G284:I289)*14+SUM(G291:I293,G295:I296)*2+SUM(G298:I303)*3+SUM(G305:I307,G309:I310)+SUM(G312:I317)+SUM(G319:I320)+SUM(G326:I330)+SUM(I332)+SUM(G338:I341)+SUM(I343)</f>
        <v>547332.49190879997</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x14ac:dyDescent="0.25">
      <c r="A102" s="82" t="s">
        <v>269</v>
      </c>
      <c r="B102" s="83"/>
      <c r="C102" s="82" t="s">
        <v>96</v>
      </c>
      <c r="D102" s="83"/>
      <c r="E102" s="48" t="s">
        <v>245</v>
      </c>
      <c r="F102" s="82">
        <f>SUM(F100:G101)</f>
        <v>553</v>
      </c>
      <c r="G102" s="83"/>
      <c r="H102" s="48">
        <f>SUM(H100:H101)</f>
        <v>732234.91236479976</v>
      </c>
      <c r="I102" s="48">
        <f>SUM(I100:I101)</f>
        <v>1098352.3685472002</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ht="20.25" x14ac:dyDescent="0.25">
      <c r="A103" s="144" t="s">
        <v>246</v>
      </c>
      <c r="B103" s="145"/>
      <c r="C103" s="145"/>
      <c r="D103" s="145"/>
      <c r="E103" s="145"/>
      <c r="F103" s="145"/>
      <c r="G103" s="145"/>
      <c r="H103" s="145"/>
      <c r="I103" s="134"/>
    </row>
    <row r="104" spans="1:151 16227:16384" ht="44.25" customHeight="1" x14ac:dyDescent="0.25">
      <c r="A104" s="150" t="s">
        <v>105</v>
      </c>
      <c r="B104" s="150"/>
      <c r="C104" s="150" t="s">
        <v>101</v>
      </c>
      <c r="D104" s="150"/>
      <c r="E104" s="150" t="s">
        <v>102</v>
      </c>
      <c r="F104" s="150" t="s">
        <v>103</v>
      </c>
      <c r="G104" s="150"/>
      <c r="H104" s="150" t="s">
        <v>104</v>
      </c>
      <c r="I104" s="31" t="s">
        <v>159</v>
      </c>
    </row>
    <row r="105" spans="1:151 16227:16384" s="11" customFormat="1" ht="20.25" x14ac:dyDescent="0.25">
      <c r="A105" s="150"/>
      <c r="B105" s="150"/>
      <c r="C105" s="150"/>
      <c r="D105" s="150"/>
      <c r="E105" s="150"/>
      <c r="F105" s="150"/>
      <c r="G105" s="150"/>
      <c r="H105" s="150"/>
      <c r="I105" s="32">
        <v>0.5</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x14ac:dyDescent="0.25">
      <c r="A106" s="68" t="s">
        <v>201</v>
      </c>
      <c r="B106" s="69"/>
      <c r="C106" s="69"/>
      <c r="D106" s="69"/>
      <c r="E106" s="69"/>
      <c r="F106" s="69"/>
      <c r="G106" s="69"/>
      <c r="H106" s="69"/>
      <c r="I106" s="8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x14ac:dyDescent="0.25">
      <c r="A107" s="68" t="s">
        <v>204</v>
      </c>
      <c r="B107" s="69"/>
      <c r="C107" s="69"/>
      <c r="D107" s="69"/>
      <c r="E107" s="69"/>
      <c r="F107" s="69"/>
      <c r="G107" s="69"/>
      <c r="H107" s="69"/>
      <c r="I107" s="8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x14ac:dyDescent="0.25">
      <c r="A108" s="68" t="s">
        <v>205</v>
      </c>
      <c r="B108" s="69"/>
      <c r="C108" s="69"/>
      <c r="D108" s="69"/>
      <c r="E108" s="69"/>
      <c r="F108" s="69"/>
      <c r="G108" s="69"/>
      <c r="H108" s="69"/>
      <c r="I108" s="8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x14ac:dyDescent="0.25">
      <c r="A109" s="68" t="s">
        <v>206</v>
      </c>
      <c r="B109" s="69"/>
      <c r="C109" s="69"/>
      <c r="D109" s="69"/>
      <c r="E109" s="69"/>
      <c r="F109" s="69"/>
      <c r="G109" s="69"/>
      <c r="H109" s="69"/>
      <c r="I109" s="8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x14ac:dyDescent="0.25">
      <c r="A110" s="68" t="s">
        <v>207</v>
      </c>
      <c r="B110" s="69"/>
      <c r="C110" s="69"/>
      <c r="D110" s="69"/>
      <c r="E110" s="69"/>
      <c r="F110" s="69"/>
      <c r="G110" s="69"/>
      <c r="H110" s="69"/>
      <c r="I110" s="8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x14ac:dyDescent="0.25">
      <c r="A111" s="68" t="s">
        <v>208</v>
      </c>
      <c r="B111" s="69"/>
      <c r="C111" s="69"/>
      <c r="D111" s="69"/>
      <c r="E111" s="69"/>
      <c r="F111" s="69"/>
      <c r="G111" s="69"/>
      <c r="H111" s="69"/>
      <c r="I111" s="8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customHeight="1" x14ac:dyDescent="0.25">
      <c r="A112" s="71" t="str">
        <f>A111</f>
        <v>4th Podium Floor For Residential, Parking &amp; Amenities</v>
      </c>
      <c r="B112" s="72"/>
      <c r="C112" s="80" t="s">
        <v>212</v>
      </c>
      <c r="D112" s="80"/>
      <c r="E112" s="77" t="s">
        <v>209</v>
      </c>
      <c r="F112" s="79"/>
      <c r="G112" s="79"/>
      <c r="H112" s="79"/>
      <c r="I112" s="79"/>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customHeight="1" x14ac:dyDescent="0.25">
      <c r="A113" s="73"/>
      <c r="B113" s="74"/>
      <c r="C113" s="80" t="s">
        <v>213</v>
      </c>
      <c r="D113" s="80"/>
      <c r="E113" s="77" t="s">
        <v>209</v>
      </c>
      <c r="F113" s="79"/>
      <c r="G113" s="79"/>
      <c r="H113" s="79">
        <v>0</v>
      </c>
      <c r="I113" s="79">
        <f>F113*(($I$105)+1)+H113</f>
        <v>0</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25">
      <c r="A114" s="73"/>
      <c r="B114" s="74"/>
      <c r="C114" s="80" t="s">
        <v>214</v>
      </c>
      <c r="D114" s="80"/>
      <c r="E114" s="77" t="s">
        <v>210</v>
      </c>
      <c r="F114" s="79"/>
      <c r="G114" s="79"/>
      <c r="H114" s="79">
        <v>0</v>
      </c>
      <c r="I114" s="79">
        <f>F114*(($I$105)+1)+H114</f>
        <v>0</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25">
      <c r="A115" s="73"/>
      <c r="B115" s="74"/>
      <c r="C115" s="80" t="s">
        <v>215</v>
      </c>
      <c r="D115" s="80"/>
      <c r="E115" s="19" t="s">
        <v>211</v>
      </c>
      <c r="F115" s="77">
        <f>(1.9*2.59+3.36*6.23+3.05*2.44+2.89*2.73+3.05*3.35+3.36*4.55+3.45*3.97+1.85*1.05+(1.38*2.14+1.38*1.06+2.85*1.53+2.29*1.38)+(3.36*1.07+1*2.44)+(0.6*(3.35+3.05+3.45)))*10.764</f>
        <v>1143.2648915999998</v>
      </c>
      <c r="G115" s="78"/>
      <c r="H115" s="19">
        <v>0</v>
      </c>
      <c r="I115" s="19">
        <f>F115*(($I$105)+1)+H115</f>
        <v>1714.8973373999997</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customHeight="1" x14ac:dyDescent="0.25">
      <c r="A116" s="75"/>
      <c r="B116" s="76"/>
      <c r="C116" s="80" t="s">
        <v>216</v>
      </c>
      <c r="D116" s="80"/>
      <c r="E116" s="19" t="s">
        <v>211</v>
      </c>
      <c r="F116" s="77">
        <f>(1.9*2.59+3.36*6.23+3.05*2.44+2.89*2.73+3.05*3.35+3.36*4.55+3.45*3.97+1.85*1.05+(1.38*2.14+1.38*1.06+2.85*1.53+2.29*1.38)+(3.36*1.07+1*2.44)+(0.6*(3.35+3.05+3.45)))*10.764</f>
        <v>1143.2648915999998</v>
      </c>
      <c r="G116" s="78"/>
      <c r="H116" s="19">
        <v>0</v>
      </c>
      <c r="I116" s="19">
        <f>F116*(($I$105)+1)+H116</f>
        <v>1714.8973373999997</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x14ac:dyDescent="0.25">
      <c r="A117" s="68" t="s">
        <v>217</v>
      </c>
      <c r="B117" s="69"/>
      <c r="C117" s="69"/>
      <c r="D117" s="69"/>
      <c r="E117" s="69"/>
      <c r="F117" s="69"/>
      <c r="G117" s="69"/>
      <c r="H117" s="69"/>
      <c r="I117" s="8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25">
      <c r="A118" s="71" t="str">
        <f>A117</f>
        <v>5th Podium Floor For Residential, Parking &amp; Amenities</v>
      </c>
      <c r="B118" s="72"/>
      <c r="C118" s="80" t="s">
        <v>218</v>
      </c>
      <c r="D118" s="80"/>
      <c r="E118" s="77" t="s">
        <v>209</v>
      </c>
      <c r="F118" s="79"/>
      <c r="G118" s="79"/>
      <c r="H118" s="79"/>
      <c r="I118" s="79"/>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25">
      <c r="A119" s="73"/>
      <c r="B119" s="74"/>
      <c r="C119" s="80" t="s">
        <v>219</v>
      </c>
      <c r="D119" s="80"/>
      <c r="E119" s="77" t="s">
        <v>209</v>
      </c>
      <c r="F119" s="79"/>
      <c r="G119" s="79"/>
      <c r="H119" s="79">
        <v>0</v>
      </c>
      <c r="I119" s="79">
        <f>F119*(($I$105)+1)+H119</f>
        <v>0</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25">
      <c r="A120" s="73"/>
      <c r="B120" s="74"/>
      <c r="C120" s="80" t="s">
        <v>220</v>
      </c>
      <c r="D120" s="80"/>
      <c r="E120" s="77" t="s">
        <v>209</v>
      </c>
      <c r="F120" s="79"/>
      <c r="G120" s="79"/>
      <c r="H120" s="79">
        <v>1</v>
      </c>
      <c r="I120" s="79">
        <f>F120*(($I$105)+1)+H120</f>
        <v>1</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25">
      <c r="A121" s="73"/>
      <c r="B121" s="74"/>
      <c r="C121" s="80" t="s">
        <v>221</v>
      </c>
      <c r="D121" s="80"/>
      <c r="E121" s="19" t="s">
        <v>211</v>
      </c>
      <c r="F121" s="77">
        <f>(1.9*2.59+3.36*6.23+3.05*2.44+2.89*2.73+3.05*3.35+3.36*4.55+3.45*3.97+1.85*1.05+(1.38*2.14+1.38*1.06+2.85*1.53+2.29*1.38)+(3.36*1.07+1*2.44)+(0.6*(3.35+3.05+3.45)))*10.764</f>
        <v>1143.2648915999998</v>
      </c>
      <c r="G121" s="78"/>
      <c r="H121" s="19">
        <v>0</v>
      </c>
      <c r="I121" s="19">
        <f>F121*(($I$105)+1)+H121</f>
        <v>1714.8973373999997</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25">
      <c r="A122" s="75"/>
      <c r="B122" s="76"/>
      <c r="C122" s="80" t="s">
        <v>222</v>
      </c>
      <c r="D122" s="80"/>
      <c r="E122" s="19" t="s">
        <v>211</v>
      </c>
      <c r="F122" s="77">
        <f>(1.9*2.59+3.36*6.23+3.05*2.44+2.89*2.73+3.05*3.35+3.36*4.55+3.45*3.97+1.85*1.05+(1.38*2.14+1.38*1.06+2.85*1.53+2.29*1.38)+(3.36*1.07+1*2.44)+(0.6*(3.35+3.05+3.45)))*10.764</f>
        <v>1143.2648915999998</v>
      </c>
      <c r="G122" s="78"/>
      <c r="H122" s="19">
        <v>0</v>
      </c>
      <c r="I122" s="19">
        <f>F122*(($I$105)+1)+H122</f>
        <v>1714.8973373999997</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x14ac:dyDescent="0.25">
      <c r="A123" s="68" t="s">
        <v>223</v>
      </c>
      <c r="B123" s="69"/>
      <c r="C123" s="69"/>
      <c r="D123" s="69"/>
      <c r="E123" s="69"/>
      <c r="F123" s="69"/>
      <c r="G123" s="69"/>
      <c r="H123" s="69"/>
      <c r="I123" s="8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25">
      <c r="A124" s="71" t="str">
        <f>A123</f>
        <v xml:space="preserve">6th Podium Floor For Residential, Parking </v>
      </c>
      <c r="B124" s="72"/>
      <c r="C124" s="80" t="s">
        <v>224</v>
      </c>
      <c r="D124" s="80"/>
      <c r="E124" s="77" t="s">
        <v>209</v>
      </c>
      <c r="F124" s="79"/>
      <c r="G124" s="79"/>
      <c r="H124" s="79"/>
      <c r="I124" s="79"/>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25">
      <c r="A125" s="73"/>
      <c r="B125" s="74"/>
      <c r="C125" s="80" t="s">
        <v>225</v>
      </c>
      <c r="D125" s="80"/>
      <c r="E125" s="77" t="s">
        <v>209</v>
      </c>
      <c r="F125" s="79"/>
      <c r="G125" s="79"/>
      <c r="H125" s="79">
        <v>0</v>
      </c>
      <c r="I125" s="79">
        <f>F125*(($I$105)+1)+H125</f>
        <v>0</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25">
      <c r="A126" s="73"/>
      <c r="B126" s="74"/>
      <c r="C126" s="80" t="s">
        <v>226</v>
      </c>
      <c r="D126" s="80"/>
      <c r="E126" s="77" t="s">
        <v>209</v>
      </c>
      <c r="F126" s="79"/>
      <c r="G126" s="79"/>
      <c r="H126" s="79">
        <v>1</v>
      </c>
      <c r="I126" s="79">
        <f>F126*(($I$105)+1)+H126</f>
        <v>1</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25">
      <c r="A127" s="73"/>
      <c r="B127" s="74"/>
      <c r="C127" s="80" t="s">
        <v>227</v>
      </c>
      <c r="D127" s="80"/>
      <c r="E127" s="19" t="s">
        <v>211</v>
      </c>
      <c r="F127" s="77">
        <f>(1.9*2.59+3.36*6.23+3.05*2.44+2.89*2.73+3.05*3.35+3.36*4.55+3.45*3.97+1.85*1.05+(1.38*2.14+1.38*1.06+2.85*1.53+2.29*1.38)+(3.36*1.07+1*2.44)+(0.6*(3.35+3.05+3.45)))*10.764</f>
        <v>1143.2648915999998</v>
      </c>
      <c r="G127" s="78"/>
      <c r="H127" s="19">
        <v>0</v>
      </c>
      <c r="I127" s="19">
        <f>F127*(($I$105)+1)+H127</f>
        <v>1714.8973373999997</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25">
      <c r="A128" s="75"/>
      <c r="B128" s="76"/>
      <c r="C128" s="80" t="s">
        <v>228</v>
      </c>
      <c r="D128" s="80"/>
      <c r="E128" s="19" t="s">
        <v>211</v>
      </c>
      <c r="F128" s="77">
        <f>(1.9*2.59+3.36*6.23+3.05*2.44+2.89*2.73+3.05*3.35+3.36*4.55+3.45*3.97+1.85*1.05+(1.38*2.14+1.38*1.06+2.85*1.53+2.29*1.38)+(3.36*1.07+1*2.44)+(0.6*(3.35+3.05+3.45)))*10.764</f>
        <v>1143.2648915999998</v>
      </c>
      <c r="G128" s="78"/>
      <c r="H128" s="19">
        <v>0</v>
      </c>
      <c r="I128" s="19">
        <f>F128*(($I$105)+1)+H128</f>
        <v>1714.8973373999997</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68" t="s">
        <v>229</v>
      </c>
      <c r="B129" s="69"/>
      <c r="C129" s="69"/>
      <c r="D129" s="69"/>
      <c r="E129" s="69"/>
      <c r="F129" s="69"/>
      <c r="G129" s="69"/>
      <c r="H129" s="69"/>
      <c r="I129" s="8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25">
      <c r="A130" s="71" t="str">
        <f>A129</f>
        <v>Stilt / Podium Top Floor For Residential, Amenities &amp; Refuge Area</v>
      </c>
      <c r="B130" s="72"/>
      <c r="C130" s="80" t="s">
        <v>230</v>
      </c>
      <c r="D130" s="80"/>
      <c r="E130" s="77" t="s">
        <v>236</v>
      </c>
      <c r="F130" s="79"/>
      <c r="G130" s="79"/>
      <c r="H130" s="79"/>
      <c r="I130" s="79"/>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25">
      <c r="A131" s="73"/>
      <c r="B131" s="74"/>
      <c r="C131" s="80" t="s">
        <v>231</v>
      </c>
      <c r="D131" s="80"/>
      <c r="E131" s="77" t="s">
        <v>236</v>
      </c>
      <c r="F131" s="79"/>
      <c r="G131" s="79"/>
      <c r="H131" s="79"/>
      <c r="I131" s="79"/>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25">
      <c r="A132" s="73"/>
      <c r="B132" s="74"/>
      <c r="C132" s="80" t="s">
        <v>232</v>
      </c>
      <c r="D132" s="80"/>
      <c r="E132" s="77" t="s">
        <v>236</v>
      </c>
      <c r="F132" s="79"/>
      <c r="G132" s="79"/>
      <c r="H132" s="79"/>
      <c r="I132" s="79"/>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25">
      <c r="A133" s="73"/>
      <c r="B133" s="74"/>
      <c r="C133" s="80" t="s">
        <v>233</v>
      </c>
      <c r="D133" s="80"/>
      <c r="E133" s="77" t="s">
        <v>237</v>
      </c>
      <c r="F133" s="79"/>
      <c r="G133" s="79"/>
      <c r="H133" s="79">
        <v>1</v>
      </c>
      <c r="I133" s="79">
        <f>F133*(($I$105)+1)+H133</f>
        <v>1</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25">
      <c r="A134" s="73"/>
      <c r="B134" s="74"/>
      <c r="C134" s="80" t="s">
        <v>234</v>
      </c>
      <c r="D134" s="80"/>
      <c r="E134" s="19" t="s">
        <v>211</v>
      </c>
      <c r="F134" s="77">
        <f>(1.9*2.59+3.36*6.23+3.05*2.44+2.89*2.73+3.05*3.35+3.36*4.55+3.45*3.97+1.85*1.05+(1.38*2.14+1.38*1.06+2.85*1.53+2.29*1.38)+(3.36*1.07+1*2.44)+(0.6*(3.35+3.05+3.45)))*10.764</f>
        <v>1143.2648915999998</v>
      </c>
      <c r="G134" s="78"/>
      <c r="H134" s="19">
        <v>0</v>
      </c>
      <c r="I134" s="19">
        <f>F134*(($I$105)+1)+H134</f>
        <v>1714.8973373999997</v>
      </c>
      <c r="J134" s="1">
        <f>23200000/F134</f>
        <v>20292.759946062532</v>
      </c>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25">
      <c r="A135" s="75"/>
      <c r="B135" s="76"/>
      <c r="C135" s="80" t="s">
        <v>235</v>
      </c>
      <c r="D135" s="80"/>
      <c r="E135" s="19" t="s">
        <v>238</v>
      </c>
      <c r="F135" s="77">
        <f>(1.95*1.53+1.25*3.05+3*3.08+3.05*3.5+2.75*3.08+3.65*8.38+3.59*4.6+4.26*3.59+1*1.73+1*1.22+(1.53*2.29+1.38*2.44+2.44*1.53+2.44*1.53)+(3.9*1.53+2.75*1.53+1*1.53)+(0.6*(3+3.4+4.26+3.59+2.8)))*10.764</f>
        <v>1472.4850607999999</v>
      </c>
      <c r="G135" s="78"/>
      <c r="H135" s="19">
        <v>0</v>
      </c>
      <c r="I135" s="19">
        <f>F135*(($I$105)+1)+H135</f>
        <v>2208.7275912</v>
      </c>
      <c r="J135" s="1">
        <f>34000000/F135</f>
        <v>23090.217283106307</v>
      </c>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x14ac:dyDescent="0.25">
      <c r="A136" s="68" t="s">
        <v>242</v>
      </c>
      <c r="B136" s="69"/>
      <c r="C136" s="69"/>
      <c r="D136" s="69"/>
      <c r="E136" s="69"/>
      <c r="F136" s="69"/>
      <c r="G136" s="69"/>
      <c r="H136" s="69"/>
      <c r="I136" s="8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25">
      <c r="A137" s="71" t="str">
        <f>A136</f>
        <v>1st Floor For Residential &amp; Amenities</v>
      </c>
      <c r="B137" s="72"/>
      <c r="C137" s="80">
        <v>1</v>
      </c>
      <c r="D137" s="80"/>
      <c r="E137" s="77" t="s">
        <v>239</v>
      </c>
      <c r="F137" s="79"/>
      <c r="G137" s="79"/>
      <c r="H137" s="79"/>
      <c r="I137" s="79">
        <f t="shared" ref="I137:I142" si="0">F137*(($I$105)+1)+H137</f>
        <v>0</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73"/>
      <c r="B138" s="74"/>
      <c r="C138" s="80">
        <v>2</v>
      </c>
      <c r="D138" s="80"/>
      <c r="E138" s="77" t="s">
        <v>240</v>
      </c>
      <c r="F138" s="79"/>
      <c r="G138" s="79"/>
      <c r="H138" s="79"/>
      <c r="I138" s="79">
        <f t="shared" si="0"/>
        <v>0</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73"/>
      <c r="B139" s="74"/>
      <c r="C139" s="80">
        <f>C138+1</f>
        <v>3</v>
      </c>
      <c r="D139" s="80"/>
      <c r="E139" s="77" t="s">
        <v>241</v>
      </c>
      <c r="F139" s="79"/>
      <c r="G139" s="79"/>
      <c r="H139" s="79"/>
      <c r="I139" s="79">
        <f t="shared" si="0"/>
        <v>0</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73"/>
      <c r="B140" s="74"/>
      <c r="C140" s="80">
        <f>C139+1</f>
        <v>4</v>
      </c>
      <c r="D140" s="80"/>
      <c r="E140" s="19" t="s">
        <v>211</v>
      </c>
      <c r="F140" s="77">
        <f>(1.9*2.59+3.36*6.23+3.05*2.44+2.89*2.73+3.05*3.35+3.36*4.55+3.45*3.97+1.85*1.05+(1.38*2.14+1.38*1.06+2.85*1.53+2.29*1.38)+(3.36*1.07+1*2.44)+(0.6*(3.35+3.05+3.45)))*10.764</f>
        <v>1143.2648915999998</v>
      </c>
      <c r="G140" s="78"/>
      <c r="H140" s="19">
        <v>0</v>
      </c>
      <c r="I140" s="19">
        <f t="shared" si="0"/>
        <v>1714.8973373999997</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73"/>
      <c r="B141" s="74"/>
      <c r="C141" s="80">
        <f>C140+1</f>
        <v>5</v>
      </c>
      <c r="D141" s="80"/>
      <c r="E141" s="19" t="s">
        <v>211</v>
      </c>
      <c r="F141" s="77">
        <f>(1.9*2.59+3.36*6.23+3.05*2.44+2.89*2.73+3.05*3.35+3.36*4.55+3.45*3.97+1.85*1.05+(1.38*2.14+1.38*1.06+2.85*1.53+2.29*1.38)+(3.36*1.07+1*2.44)+(0.6*(3.35+3.05+3.45)))*10.764</f>
        <v>1143.2648915999998</v>
      </c>
      <c r="G141" s="78"/>
      <c r="H141" s="19">
        <v>0</v>
      </c>
      <c r="I141" s="19">
        <f t="shared" si="0"/>
        <v>1714.8973373999997</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75"/>
      <c r="B142" s="76"/>
      <c r="C142" s="80">
        <f>C141+1</f>
        <v>6</v>
      </c>
      <c r="D142" s="80"/>
      <c r="E142" s="19" t="s">
        <v>238</v>
      </c>
      <c r="F142" s="77">
        <f>(1.95*1.53+1.25*3.05+3*3.08+3.05*3.5+2.75*3.08+3.65*8.38+3.59*4.6+4.26*3.59+1*1.73+1*1.22+(1.53*2.29+1.38*2.44+2.44*1.53+2.44*1.53)+(3.9*1.53+2.75*1.53+1*1.53)+(0.6*(3+3.4+4.26+3.59+2.8)))*10.764</f>
        <v>1472.4850607999999</v>
      </c>
      <c r="G142" s="78"/>
      <c r="H142" s="19">
        <v>0</v>
      </c>
      <c r="I142" s="19">
        <f t="shared" si="0"/>
        <v>2208.7275912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x14ac:dyDescent="0.25">
      <c r="A143" s="68" t="s">
        <v>243</v>
      </c>
      <c r="B143" s="69"/>
      <c r="C143" s="69"/>
      <c r="D143" s="69"/>
      <c r="E143" s="69"/>
      <c r="F143" s="69"/>
      <c r="G143" s="69"/>
      <c r="H143" s="69"/>
      <c r="I143" s="8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71" t="str">
        <f>A143</f>
        <v>2nd Floor For Residential</v>
      </c>
      <c r="B144" s="72"/>
      <c r="C144" s="80">
        <v>1</v>
      </c>
      <c r="D144" s="80"/>
      <c r="E144" s="19" t="s">
        <v>257</v>
      </c>
      <c r="F144" s="77">
        <f>(1.85*1.63+6.55*5.64+2.29*2.83+6.51*3.35+5.36*1.2+3.05*3.75+2.29*2.83+3.05*3.35+3.31*4.85+3.05*3.75+(2.44*1.53+1.38*2.14+2.29*1.46+1.38*2.13+2.44*1.53+2.29*1.46)+(4.14*1.05+1.8*1.05+3.84*1.05+2.29*1.08+2.29*1.08)+6.55*1.08+(0.6*(2.44+2.59+2.69+2.44)))*10.764</f>
        <v>1923.9207624000001</v>
      </c>
      <c r="G144" s="78"/>
      <c r="H144" s="19">
        <v>0</v>
      </c>
      <c r="I144" s="19">
        <f>F144*(($I$105)+1)+H144</f>
        <v>2885.8811436000001</v>
      </c>
      <c r="J144" s="1">
        <f>23200000/F144</f>
        <v>12058.708681463107</v>
      </c>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73"/>
      <c r="B145" s="74"/>
      <c r="C145" s="80">
        <v>3</v>
      </c>
      <c r="D145" s="80"/>
      <c r="E145" s="77" t="s">
        <v>244</v>
      </c>
      <c r="F145" s="79"/>
      <c r="G145" s="79"/>
      <c r="H145" s="79"/>
      <c r="I145" s="79">
        <f>F145*(($I$105)+1)+H145</f>
        <v>0</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73"/>
      <c r="B146" s="74"/>
      <c r="C146" s="80">
        <f>C145+1</f>
        <v>4</v>
      </c>
      <c r="D146" s="80"/>
      <c r="E146" s="19" t="s">
        <v>211</v>
      </c>
      <c r="F146" s="77">
        <f>(1.9*2.59+3.36*6.23+3.05*2.44+2.89*2.73+3.05*3.35+3.36*4.55+3.45*3.97+1.85*1.05+(1.38*2.14+1.38*1.06+2.85*1.53+2.29*1.38)+(3.36*1.07+1*2.44)+(0.6*(3.35+3.05+3.45)))*10.764</f>
        <v>1143.2648915999998</v>
      </c>
      <c r="G146" s="78"/>
      <c r="H146" s="19">
        <v>0</v>
      </c>
      <c r="I146" s="19">
        <f>F146*(($I$105)+1)+H146</f>
        <v>1714.8973373999997</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25">
      <c r="A147" s="73"/>
      <c r="B147" s="74"/>
      <c r="C147" s="80">
        <f>C146+1</f>
        <v>5</v>
      </c>
      <c r="D147" s="80"/>
      <c r="E147" s="19" t="s">
        <v>211</v>
      </c>
      <c r="F147" s="77">
        <f>(1.9*2.59+3.36*6.23+3.05*2.44+2.89*2.73+3.05*3.35+3.36*4.55+3.45*3.97+1.85*1.05+(1.38*2.14+1.38*1.06+2.85*1.53+2.29*1.38)+(3.36*1.07+1*2.44)+(0.6*(3.35+3.05+3.45)))*10.764</f>
        <v>1143.2648915999998</v>
      </c>
      <c r="G147" s="78"/>
      <c r="H147" s="19">
        <v>0</v>
      </c>
      <c r="I147" s="19">
        <f>F147*(($I$105)+1)+H147</f>
        <v>1714.8973373999997</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75"/>
      <c r="B148" s="76"/>
      <c r="C148" s="80">
        <f>C147+1</f>
        <v>6</v>
      </c>
      <c r="D148" s="80"/>
      <c r="E148" s="19" t="s">
        <v>238</v>
      </c>
      <c r="F148" s="77">
        <f>(1.95*1.53+1.25*3.05+3*3.08+3.05*3.5+2.75*3.08+3.65*8.38+3.59*4.6+4.26*3.59+1*1.73+1*1.22+(1.53*2.29+1.38*2.44+2.44*1.53+2.44*1.53)+(3.9*1.53+2.75*1.53+1*1.53)+(0.6*(3+3.4+4.26+3.59+2.8)))*10.764</f>
        <v>1472.4850607999999</v>
      </c>
      <c r="G148" s="78"/>
      <c r="H148" s="19">
        <v>0</v>
      </c>
      <c r="I148" s="19">
        <f>F148*(($I$105)+1)+H148</f>
        <v>2208.7275912</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x14ac:dyDescent="0.25">
      <c r="A149" s="68" t="s">
        <v>290</v>
      </c>
      <c r="B149" s="69"/>
      <c r="C149" s="69"/>
      <c r="D149" s="69"/>
      <c r="E149" s="69"/>
      <c r="F149" s="69"/>
      <c r="G149" s="69"/>
      <c r="H149" s="69"/>
      <c r="I149" s="70"/>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25">
      <c r="A150" s="71" t="str">
        <f>A149</f>
        <v>3rd, 6th, 21st, 27th, 30th, 31st, 32nd, 33rd, 36th, 38th, 45th &amp; 48thFloor</v>
      </c>
      <c r="B150" s="72"/>
      <c r="C150" s="77">
        <v>1</v>
      </c>
      <c r="D150" s="78"/>
      <c r="E150" s="19" t="s">
        <v>257</v>
      </c>
      <c r="F150" s="77">
        <f>(1.85*1.63+6.55*5.64+2.29*2.83+6.51*3.35+5.36*1.2+3.05*3.75+2.29*2.83+3.05*3.35+3.31*4.85+3.05*3.75+(2.44*1.53+1.38*2.14+2.29*1.46+1.38*2.13+2.44*1.53+2.29*1.46)+(4.14*1.05+1.8*1.05+3.84*1.05+2.29*1.08+2.29*1.08)+6.55*1.08+(0.6*(2.44+2.59+2.69+2.44)))*10.764</f>
        <v>1923.9207624000001</v>
      </c>
      <c r="G150" s="78"/>
      <c r="H150" s="19">
        <v>0</v>
      </c>
      <c r="I150" s="19">
        <f>F150*(($I$105)+1)+H150</f>
        <v>2885.8811436000001</v>
      </c>
      <c r="J150" s="1"/>
      <c r="K150" s="1"/>
      <c r="L150" s="1"/>
      <c r="M150" s="1"/>
      <c r="N150" s="1"/>
      <c r="O150" s="1"/>
      <c r="P150" s="1"/>
      <c r="Q150" s="1"/>
      <c r="R150" s="1"/>
      <c r="S150" s="1"/>
      <c r="T150" s="1"/>
      <c r="U150" s="40" t="str">
        <f ca="1">V150&amp;""&amp;",..,"&amp;""&amp;W150</f>
        <v>362101,..,4801</v>
      </c>
      <c r="V150" s="40">
        <f ca="1">(SUMPRODUCT(MID(0&amp;(LEFT(A149,SUM(LEN(A149)-LEN(SUBSTITUTE(A149,{"0","1","2","3"},""))))), LARGE(INDEX(ISNUMBER(--MID((LEFT(A149,SUM(LEN(A149)-LEN(SUBSTITUTE(A149,{"0","1","2","3"},""))))), ROW(INDIRECT("1:"&amp;LEN((LEFT(A149,SUM(LEN(A149)-LEN(SUBSTITUTE(A149,{"0","1","2","3"},"")))))))), 1)) * ROW(INDIRECT("1:"&amp;LEN((LEFT(A149,SUM(LEN(A149)-LEN(SUBSTITUTE(A149,{"0","1","2","3"},"")))))))), 0), ROW(INDIRECT("1:"&amp;LEN((LEFT(A149,SUM(LEN(A149)-LEN(SUBSTITUTE(A149,{"0","1","2","3"},"")))))))))+1, 1) * 10^ROW(INDIRECT("1:"&amp;LEN((LEFT(A149,SUM(LEN(A149)-LEN(SUBSTITUTE(A149,{"0","1","2","3"},""))))))))/10))*100+1</f>
        <v>362101</v>
      </c>
      <c r="W150" s="40">
        <f ca="1">(SUMPRODUCT(MID(0&amp;(--TRIM(RIGHT(SUBSTITUTE(LEFT(A149,_xlfn.AGGREGATE(16,6,FIND({0,1,2,3,4,5,6,7,8,9},A149,ROW(INDIRECT("1:"&amp;LEN(A149)))),1)),"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4801</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25">
      <c r="A151" s="73"/>
      <c r="B151" s="74"/>
      <c r="C151" s="77">
        <v>3</v>
      </c>
      <c r="D151" s="78"/>
      <c r="E151" s="19" t="s">
        <v>238</v>
      </c>
      <c r="F151" s="77">
        <f>(1.95*1.53+1.25*3.05+3*3.08+3.05*3.5+2.75*3.08+3.65*8.38+3.59*4.6+4.26*3.59+1*1.73+1*1.22+(1.53*2.29+1.38*2.44+2.44*1.53+2.44*1.53)+(3.9*1.53+2.75*1.53+1*1.53)+(0.6*(3+3.4+4.26+3.59+2.8)))*10.764</f>
        <v>1472.4850607999999</v>
      </c>
      <c r="G151" s="78"/>
      <c r="H151" s="19">
        <v>0</v>
      </c>
      <c r="I151" s="19">
        <f>F151*(($I$105)+1)+H151</f>
        <v>2208.7275912</v>
      </c>
      <c r="J151" s="1"/>
      <c r="K151" s="1"/>
      <c r="L151" s="1"/>
      <c r="M151" s="1"/>
      <c r="N151" s="1"/>
      <c r="O151" s="1"/>
      <c r="P151" s="1"/>
      <c r="Q151" s="1"/>
      <c r="R151" s="1"/>
      <c r="S151" s="1"/>
      <c r="T151" s="1"/>
      <c r="U151" s="40" t="e">
        <f>V151&amp;""&amp;",..,"&amp;""&amp;W151</f>
        <v>#REF!</v>
      </c>
      <c r="V151" s="40" t="e">
        <f>#REF!+1</f>
        <v>#REF!</v>
      </c>
      <c r="W151" s="40" t="e">
        <f>#REF!+1</f>
        <v>#REF!</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25">
      <c r="A152" s="73"/>
      <c r="B152" s="74"/>
      <c r="C152" s="77">
        <v>4</v>
      </c>
      <c r="D152" s="78"/>
      <c r="E152" s="19" t="s">
        <v>211</v>
      </c>
      <c r="F152" s="77">
        <f>(1.9*2.59+3.36*6.23+3.05*2.44+2.89*2.73+3.05*3.35+3.36*4.55+3.45*3.97+1.85*1.05+(1.38*2.14+1.38*1.06+2.85*1.53+2.29*1.38)+(3.36*1.07+1*2.44)+(0.6*(3.35+3.05+3.45)))*10.764</f>
        <v>1143.2648915999998</v>
      </c>
      <c r="G152" s="78"/>
      <c r="H152" s="19">
        <v>0</v>
      </c>
      <c r="I152" s="19">
        <f>F152*(($I$105)+1)+H152</f>
        <v>1714.8973373999997</v>
      </c>
      <c r="J152" s="1"/>
      <c r="K152" s="1"/>
      <c r="L152" s="1"/>
      <c r="M152" s="1"/>
      <c r="N152" s="1"/>
      <c r="O152" s="1"/>
      <c r="P152" s="1"/>
      <c r="Q152" s="1"/>
      <c r="R152" s="1"/>
      <c r="S152" s="1"/>
      <c r="T152" s="1"/>
      <c r="U152" s="40" t="e">
        <f>V152&amp;""&amp;",..,"&amp;""&amp;W152</f>
        <v>#REF!</v>
      </c>
      <c r="V152" s="40" t="e">
        <f t="shared" ref="V152:W154" si="1">V151+1</f>
        <v>#REF!</v>
      </c>
      <c r="W152" s="40" t="e">
        <f t="shared" si="1"/>
        <v>#REF!</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25">
      <c r="A153" s="73"/>
      <c r="B153" s="74"/>
      <c r="C153" s="77">
        <v>5</v>
      </c>
      <c r="D153" s="78"/>
      <c r="E153" s="19" t="s">
        <v>211</v>
      </c>
      <c r="F153" s="77">
        <f>(1.9*2.59+3.36*6.23+3.05*2.44+2.89*2.73+3.05*3.35+3.36*4.55+3.45*3.97+1.85*1.05+(1.38*2.14+1.38*1.06+2.85*1.53+2.29*1.38)+(3.36*1.07+1*2.44)+(0.6*(3.35+3.05+3.45)))*10.764</f>
        <v>1143.2648915999998</v>
      </c>
      <c r="G153" s="78"/>
      <c r="H153" s="19">
        <v>0</v>
      </c>
      <c r="I153" s="19">
        <f>F153*(($I$105)+1)+H153</f>
        <v>1714.8973373999997</v>
      </c>
      <c r="J153" s="1"/>
      <c r="K153" s="1"/>
      <c r="L153" s="1"/>
      <c r="M153" s="1"/>
      <c r="N153" s="1"/>
      <c r="O153" s="1"/>
      <c r="P153" s="1"/>
      <c r="Q153" s="1"/>
      <c r="R153" s="1"/>
      <c r="S153" s="1"/>
      <c r="T153" s="1"/>
      <c r="U153" s="40" t="e">
        <f>V153&amp;""&amp;",..,"&amp;""&amp;W153</f>
        <v>#REF!</v>
      </c>
      <c r="V153" s="40" t="e">
        <f t="shared" si="1"/>
        <v>#REF!</v>
      </c>
      <c r="W153" s="40" t="e">
        <f t="shared" si="1"/>
        <v>#REF!</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25">
      <c r="A154" s="75"/>
      <c r="B154" s="76"/>
      <c r="C154" s="77">
        <v>6</v>
      </c>
      <c r="D154" s="78"/>
      <c r="E154" s="19" t="s">
        <v>238</v>
      </c>
      <c r="F154" s="77">
        <f>(1.95*1.53+1.25*3.05+3*3.08+3.05*3.5+2.75*3.08+3.65*8.38+3.59*4.6+4.26*3.59+1*1.73+1*1.22+(1.53*2.29+1.38*2.44+2.44*1.53+2.44*1.53)+(3.9*1.53+2.75*1.53+1*1.53)+(0.6*(3+3.4+4.26+3.59+2.8)))*10.764</f>
        <v>1472.4850607999999</v>
      </c>
      <c r="G154" s="78"/>
      <c r="H154" s="19">
        <v>0</v>
      </c>
      <c r="I154" s="19">
        <f>F154*(($I$105)+1)+H154</f>
        <v>2208.7275912</v>
      </c>
      <c r="J154" s="1"/>
      <c r="K154" s="1"/>
      <c r="L154" s="1"/>
      <c r="M154" s="1"/>
      <c r="N154" s="1"/>
      <c r="O154" s="1"/>
      <c r="P154" s="1"/>
      <c r="Q154" s="1"/>
      <c r="R154" s="1"/>
      <c r="S154" s="1"/>
      <c r="T154" s="1"/>
      <c r="U154" s="40" t="e">
        <f>V154&amp;""&amp;",..,"&amp;""&amp;W154</f>
        <v>#REF!</v>
      </c>
      <c r="V154" s="40" t="e">
        <f t="shared" si="1"/>
        <v>#REF!</v>
      </c>
      <c r="W154" s="40" t="e">
        <f t="shared" si="1"/>
        <v>#REF!</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68" t="s">
        <v>279</v>
      </c>
      <c r="B155" s="69"/>
      <c r="C155" s="69"/>
      <c r="D155" s="69"/>
      <c r="E155" s="69"/>
      <c r="F155" s="69"/>
      <c r="G155" s="69"/>
      <c r="H155" s="69"/>
      <c r="I155" s="70"/>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25">
      <c r="A156" s="71" t="str">
        <f>A155</f>
        <v>4th, 7th, 11th, 12th, 13th, 14th, 18th, 22nd, 23rd, 24th, 26th, 28th, 35th, 37th, 46th &amp; 47th Floor</v>
      </c>
      <c r="B156" s="72"/>
      <c r="C156" s="77">
        <v>1</v>
      </c>
      <c r="D156" s="78"/>
      <c r="E156" s="19" t="s">
        <v>211</v>
      </c>
      <c r="F156" s="77">
        <f>(1.38*1.78+3.2*5.64+2.29*2.83+3.05*3.35+3.31*4.55+3.05*3.75+4.14*1.05+1.82*1.05+(2.29*1.46+1.38*2.14+2.44*1.53)+(3.2*1.08+2.29*1.08)+(0.6*(3.05+3.31+1.8)))*10.764</f>
        <v>977.51759039999968</v>
      </c>
      <c r="G156" s="78"/>
      <c r="H156" s="19">
        <v>0</v>
      </c>
      <c r="I156" s="19">
        <f t="shared" ref="I156:I161" si="2">F156*(($I$105)+1)+H156</f>
        <v>1466.2763855999995</v>
      </c>
      <c r="J156" s="1"/>
      <c r="K156" s="1"/>
      <c r="L156" s="1"/>
      <c r="M156" s="1"/>
      <c r="N156" s="1"/>
      <c r="O156" s="1"/>
      <c r="P156" s="1"/>
      <c r="Q156" s="1"/>
      <c r="R156" s="1"/>
      <c r="S156" s="1"/>
      <c r="T156" s="1"/>
      <c r="U156" s="40" t="str">
        <f t="shared" ref="U156:U161" ca="1" si="3">V156&amp;""&amp;",..,"&amp;""&amp;W156</f>
        <v>4711101,..,4701</v>
      </c>
      <c r="V156" s="40">
        <f ca="1">(SUMPRODUCT(MID(0&amp;(LEFT(A155,SUM(LEN(A155)-LEN(SUBSTITUTE(A155,{"0","1","2","3"},""))))), LARGE(INDEX(ISNUMBER(--MID((LEFT(A155,SUM(LEN(A155)-LEN(SUBSTITUTE(A155,{"0","1","2","3"},""))))), ROW(INDIRECT("1:"&amp;LEN((LEFT(A155,SUM(LEN(A155)-LEN(SUBSTITUTE(A155,{"0","1","2","3"},"")))))))), 1)) * ROW(INDIRECT("1:"&amp;LEN((LEFT(A155,SUM(LEN(A155)-LEN(SUBSTITUTE(A155,{"0","1","2","3"},"")))))))), 0), ROW(INDIRECT("1:"&amp;LEN((LEFT(A155,SUM(LEN(A155)-LEN(SUBSTITUTE(A155,{"0","1","2","3"},"")))))))))+1, 1) * 10^ROW(INDIRECT("1:"&amp;LEN((LEFT(A155,SUM(LEN(A155)-LEN(SUBSTITUTE(A155,{"0","1","2","3"},""))))))))/10))*100+1</f>
        <v>4711101</v>
      </c>
      <c r="W156" s="40">
        <f ca="1">(SUMPRODUCT(MID(0&amp;(--TRIM(RIGHT(SUBSTITUTE(LEFT(A155,_xlfn.AGGREGATE(16,6,FIND({0,1,2,3,4,5,6,7,8,9},A155,ROW(INDIRECT("1:"&amp;LEN(A155)))),1)),"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4701</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73"/>
      <c r="B157" s="74"/>
      <c r="C157" s="77">
        <v>2</v>
      </c>
      <c r="D157" s="78"/>
      <c r="E157" s="19" t="s">
        <v>211</v>
      </c>
      <c r="F157" s="77">
        <f>(1.38*1.78+3.2*5.64+2.29*2.83+3.05*3.35+3.31*4.55+3.05*3.75+4.14*1.05+1.82*1.05+(2.29*1.46+1.38*2.14+2.44*1.53)+(3.2*1.08+2.29*1.08)+(0.6*(3.05+3.31+1.8)))*10.764</f>
        <v>977.51759039999968</v>
      </c>
      <c r="G157" s="78"/>
      <c r="H157" s="19">
        <v>0</v>
      </c>
      <c r="I157" s="19">
        <f t="shared" si="2"/>
        <v>1466.2763855999995</v>
      </c>
      <c r="J157" s="1"/>
      <c r="K157" s="1"/>
      <c r="L157" s="1"/>
      <c r="M157" s="1"/>
      <c r="N157" s="1"/>
      <c r="O157" s="1"/>
      <c r="P157" s="1"/>
      <c r="Q157" s="1"/>
      <c r="R157" s="1"/>
      <c r="S157" s="1"/>
      <c r="T157" s="1"/>
      <c r="U157" s="40" t="str">
        <f t="shared" ca="1" si="3"/>
        <v>4711102,..,4702</v>
      </c>
      <c r="V157" s="40">
        <f t="shared" ref="V157:W161" ca="1" si="4">V156+1</f>
        <v>4711102</v>
      </c>
      <c r="W157" s="40">
        <f t="shared" ca="1" si="4"/>
        <v>4702</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25">
      <c r="A158" s="73"/>
      <c r="B158" s="74"/>
      <c r="C158" s="77">
        <v>3</v>
      </c>
      <c r="D158" s="78"/>
      <c r="E158" s="19" t="s">
        <v>238</v>
      </c>
      <c r="F158" s="77">
        <f>(1.95*1.53+1.25*3.05+3*3.08+3.05*3.5+2.75*3.08+3.65*8.38+3.59*4.6+4.26*3.59+1*1.73+1*1.22+(1.53*2.29+1.38*2.44+2.44*1.53+2.44*1.53)+(3.9*1.53+2.75*1.53+1*1.53)+(0.6*(3+3.4+4.26+3.59+2.8)))*10.764</f>
        <v>1472.4850607999999</v>
      </c>
      <c r="G158" s="78"/>
      <c r="H158" s="19">
        <v>0</v>
      </c>
      <c r="I158" s="19">
        <f t="shared" si="2"/>
        <v>2208.7275912</v>
      </c>
      <c r="J158" s="1"/>
      <c r="K158" s="1"/>
      <c r="L158" s="1"/>
      <c r="M158" s="1"/>
      <c r="N158" s="1"/>
      <c r="O158" s="1"/>
      <c r="P158" s="1"/>
      <c r="Q158" s="1"/>
      <c r="R158" s="1"/>
      <c r="S158" s="1"/>
      <c r="T158" s="1"/>
      <c r="U158" s="40" t="str">
        <f t="shared" ca="1" si="3"/>
        <v>4711103,..,4703</v>
      </c>
      <c r="V158" s="40">
        <f t="shared" ca="1" si="4"/>
        <v>4711103</v>
      </c>
      <c r="W158" s="40">
        <f t="shared" ca="1" si="4"/>
        <v>4703</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25">
      <c r="A159" s="73"/>
      <c r="B159" s="74"/>
      <c r="C159" s="77">
        <v>4</v>
      </c>
      <c r="D159" s="78"/>
      <c r="E159" s="19" t="s">
        <v>211</v>
      </c>
      <c r="F159" s="77">
        <f>(1.9*2.59+3.36*6.23+3.05*2.44+2.89*2.73+3.05*3.35+3.36*4.55+3.45*3.97+1.85*1.05+(1.38*2.14+1.38*1.06+2.85*1.53+2.29*1.38)+(3.36*1.07+1*2.44)+(0.6*(3.35+3.05+3.45)))*10.764</f>
        <v>1143.2648915999998</v>
      </c>
      <c r="G159" s="78"/>
      <c r="H159" s="19">
        <v>0</v>
      </c>
      <c r="I159" s="19">
        <f t="shared" si="2"/>
        <v>1714.8973373999997</v>
      </c>
      <c r="J159" s="1"/>
      <c r="K159" s="1"/>
      <c r="L159" s="1"/>
      <c r="M159" s="1"/>
      <c r="N159" s="1"/>
      <c r="O159" s="1"/>
      <c r="P159" s="1"/>
      <c r="Q159" s="1"/>
      <c r="R159" s="1"/>
      <c r="S159" s="1"/>
      <c r="T159" s="1"/>
      <c r="U159" s="40" t="str">
        <f t="shared" ca="1" si="3"/>
        <v>4711104,..,4704</v>
      </c>
      <c r="V159" s="40">
        <f t="shared" ca="1" si="4"/>
        <v>4711104</v>
      </c>
      <c r="W159" s="40">
        <f t="shared" ca="1" si="4"/>
        <v>4704</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25">
      <c r="A160" s="73"/>
      <c r="B160" s="74"/>
      <c r="C160" s="77">
        <v>5</v>
      </c>
      <c r="D160" s="78"/>
      <c r="E160" s="19" t="s">
        <v>211</v>
      </c>
      <c r="F160" s="77">
        <f>(1.9*2.59+3.36*6.23+3.05*2.44+2.89*2.73+3.05*3.35+3.36*4.55+3.45*3.97+1.85*1.05+(1.38*2.14+1.38*1.06+2.85*1.53+2.29*1.38)+(3.36*1.07+1*2.44)+(0.6*(3.35+3.05+3.45)))*10.764</f>
        <v>1143.2648915999998</v>
      </c>
      <c r="G160" s="78"/>
      <c r="H160" s="19">
        <v>0</v>
      </c>
      <c r="I160" s="19">
        <f t="shared" si="2"/>
        <v>1714.8973373999997</v>
      </c>
      <c r="J160" s="1"/>
      <c r="K160" s="1"/>
      <c r="L160" s="1"/>
      <c r="M160" s="1"/>
      <c r="N160" s="1"/>
      <c r="O160" s="1"/>
      <c r="P160" s="1"/>
      <c r="Q160" s="1"/>
      <c r="R160" s="1"/>
      <c r="S160" s="1"/>
      <c r="T160" s="1"/>
      <c r="U160" s="40" t="str">
        <f t="shared" ca="1" si="3"/>
        <v>4711105,..,4705</v>
      </c>
      <c r="V160" s="40">
        <f t="shared" ca="1" si="4"/>
        <v>4711105</v>
      </c>
      <c r="W160" s="40">
        <f t="shared" ca="1" si="4"/>
        <v>4705</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25">
      <c r="A161" s="75"/>
      <c r="B161" s="76"/>
      <c r="C161" s="77">
        <v>6</v>
      </c>
      <c r="D161" s="78"/>
      <c r="E161" s="19" t="s">
        <v>238</v>
      </c>
      <c r="F161" s="77">
        <f>(1.95*1.53+1.25*3.05+3*3.08+3.05*3.5+2.75*3.08+3.65*8.38+3.59*4.6+4.26*3.59+1*1.73+1*1.22+(1.53*2.29+1.38*2.44+2.44*1.53+2.44*1.53)+(3.9*1.53+2.75*1.53+1*1.53)+(0.6*(3+3.4+4.26+3.59+2.8)))*10.764</f>
        <v>1472.4850607999999</v>
      </c>
      <c r="G161" s="78"/>
      <c r="H161" s="19">
        <v>0</v>
      </c>
      <c r="I161" s="19">
        <f t="shared" si="2"/>
        <v>2208.7275912</v>
      </c>
      <c r="J161" s="1"/>
      <c r="K161" s="1"/>
      <c r="L161" s="1"/>
      <c r="M161" s="1"/>
      <c r="N161" s="1"/>
      <c r="O161" s="1"/>
      <c r="P161" s="1"/>
      <c r="Q161" s="1"/>
      <c r="R161" s="1"/>
      <c r="S161" s="1"/>
      <c r="T161" s="1"/>
      <c r="U161" s="40" t="str">
        <f t="shared" ca="1" si="3"/>
        <v>4711106,..,4706</v>
      </c>
      <c r="V161" s="40">
        <f t="shared" ca="1" si="4"/>
        <v>4711106</v>
      </c>
      <c r="W161" s="40">
        <f t="shared" ca="1" si="4"/>
        <v>4706</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x14ac:dyDescent="0.25">
      <c r="A162" s="68" t="s">
        <v>280</v>
      </c>
      <c r="B162" s="69"/>
      <c r="C162" s="69"/>
      <c r="D162" s="69"/>
      <c r="E162" s="69"/>
      <c r="F162" s="69"/>
      <c r="G162" s="69"/>
      <c r="H162" s="69"/>
      <c r="I162" s="70"/>
      <c r="J162" s="1" t="s">
        <v>252</v>
      </c>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25">
      <c r="A163" s="71" t="str">
        <f>A162</f>
        <v>16th, 17th, 19th, 40th &amp; 42nd  Floor</v>
      </c>
      <c r="B163" s="72"/>
      <c r="C163" s="77">
        <v>1</v>
      </c>
      <c r="D163" s="78"/>
      <c r="E163" s="19" t="s">
        <v>211</v>
      </c>
      <c r="F163" s="77">
        <f>(1.38*1.78+3.2*5.64+2.29*2.83+3.05*3.35+3.31*4.55+3.05*3.75+4.14*1.05+1.82*1.05+(2.29*1.46+1.38*2.14+2.44*1.53)+(3.2*1.08+2.29*1.08)+(0.6*(3.05+3.31+1.8)))*10.764</f>
        <v>977.51759039999968</v>
      </c>
      <c r="G163" s="78"/>
      <c r="H163" s="19">
        <v>0</v>
      </c>
      <c r="I163" s="19">
        <f>F163*(($I$105)+1)+H163</f>
        <v>1466.2763855999995</v>
      </c>
      <c r="J163" s="1"/>
      <c r="K163" s="1"/>
      <c r="L163" s="1"/>
      <c r="M163" s="1"/>
      <c r="N163" s="1"/>
      <c r="O163" s="1"/>
      <c r="P163" s="1"/>
      <c r="Q163" s="1"/>
      <c r="R163" s="1"/>
      <c r="S163" s="1"/>
      <c r="T163" s="1"/>
      <c r="U163" s="40" t="str">
        <f ca="1">V163&amp;""&amp;",..,"&amp;""&amp;W163</f>
        <v>1601,..,4201</v>
      </c>
      <c r="V163" s="40">
        <f ca="1">(SUMPRODUCT(MID(0&amp;(LEFT(A162,SUM(LEN(A162)-LEN(SUBSTITUTE(A162,{"0","1","2","3"},""))))), LARGE(INDEX(ISNUMBER(--MID((LEFT(A162,SUM(LEN(A162)-LEN(SUBSTITUTE(A162,{"0","1","2","3"},""))))), ROW(INDIRECT("1:"&amp;LEN((LEFT(A162,SUM(LEN(A162)-LEN(SUBSTITUTE(A162,{"0","1","2","3"},"")))))))), 1)) * ROW(INDIRECT("1:"&amp;LEN((LEFT(A162,SUM(LEN(A162)-LEN(SUBSTITUTE(A162,{"0","1","2","3"},"")))))))), 0), ROW(INDIRECT("1:"&amp;LEN((LEFT(A162,SUM(LEN(A162)-LEN(SUBSTITUTE(A162,{"0","1","2","3"},"")))))))))+1, 1) * 10^ROW(INDIRECT("1:"&amp;LEN((LEFT(A162,SUM(LEN(A162)-LEN(SUBSTITUTE(A162,{"0","1","2","3"},""))))))))/10))*100+1</f>
        <v>1601</v>
      </c>
      <c r="W163" s="40">
        <f ca="1">(SUMPRODUCT(MID(0&amp;(--TRIM(RIGHT(SUBSTITUTE(LEFT(A162,_xlfn.AGGREGATE(16,6,FIND({0,1,2,3,4,5,6,7,8,9},A162,ROW(INDIRECT("1:"&amp;LEN(A162)))),1)),"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",LEN(A162))),LEN(A162)))))))/10))*100+1</f>
        <v>4201</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73"/>
      <c r="B164" s="74"/>
      <c r="C164" s="77">
        <v>2</v>
      </c>
      <c r="D164" s="78"/>
      <c r="E164" s="19" t="s">
        <v>211</v>
      </c>
      <c r="F164" s="77">
        <f>(1.38*1.78+3.2*5.64+2.29*2.83+3.05*3.35+3.31*4.55+3.05*3.75+4.14*1.05+1.82*1.05+(2.29*1.46+1.38*2.14+2.44*1.53)+(3.2*1.08+2.29*1.08)+(0.6*(3.05+3.31+1.8)))*10.764</f>
        <v>977.51759039999968</v>
      </c>
      <c r="G164" s="78"/>
      <c r="H164" s="19">
        <v>0</v>
      </c>
      <c r="I164" s="19">
        <f>F164*(($I$105)+1)+H164</f>
        <v>1466.2763855999995</v>
      </c>
      <c r="J164" s="1"/>
      <c r="K164" s="1"/>
      <c r="L164" s="1"/>
      <c r="M164" s="1"/>
      <c r="N164" s="1"/>
      <c r="O164" s="1"/>
      <c r="P164" s="1"/>
      <c r="Q164" s="1"/>
      <c r="R164" s="1"/>
      <c r="S164" s="1"/>
      <c r="T164" s="1"/>
      <c r="U164" s="40" t="str">
        <f ca="1">V164&amp;""&amp;",..,"&amp;""&amp;W164</f>
        <v>1602,..,4202</v>
      </c>
      <c r="V164" s="40">
        <f ca="1">V163+1</f>
        <v>1602</v>
      </c>
      <c r="W164" s="40">
        <f ca="1">W163+1</f>
        <v>4202</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73"/>
      <c r="B165" s="74"/>
      <c r="C165" s="77">
        <v>3</v>
      </c>
      <c r="D165" s="78"/>
      <c r="E165" s="19" t="s">
        <v>238</v>
      </c>
      <c r="F165" s="77">
        <f>(1.95*1.53+1.25*3.05+3*3.08+3.05*3.5+2.75*3.08+3.65*8.38+3.59*4.6+4.26*3.59+1*1.73+1*1.22+(1.53*2.29+1.38*2.44+2.44*1.53+2.44*1.53)+(3.9*1.53+2.75*1.53+1*1.53)+(0.6*(3+3.4+4.26+3.59+2.8)))*10.764</f>
        <v>1472.4850607999999</v>
      </c>
      <c r="G165" s="78"/>
      <c r="H165" s="19">
        <v>0</v>
      </c>
      <c r="I165" s="19">
        <f>F165*(($I$105)+1)+H165</f>
        <v>2208.7275912</v>
      </c>
      <c r="J165" s="1"/>
      <c r="K165" s="1"/>
      <c r="L165" s="1"/>
      <c r="M165" s="1"/>
      <c r="N165" s="1"/>
      <c r="O165" s="1"/>
      <c r="P165" s="1"/>
      <c r="Q165" s="1"/>
      <c r="R165" s="1"/>
      <c r="S165" s="1"/>
      <c r="T165" s="1"/>
      <c r="U165" s="40" t="str">
        <f ca="1">V165&amp;""&amp;",..,"&amp;""&amp;W165</f>
        <v>1603,..,4203</v>
      </c>
      <c r="V165" s="40">
        <f ca="1">V164+1</f>
        <v>1603</v>
      </c>
      <c r="W165" s="40">
        <f ca="1">W164+1</f>
        <v>4203</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73"/>
      <c r="B166" s="74"/>
      <c r="C166" s="77">
        <v>4</v>
      </c>
      <c r="D166" s="78"/>
      <c r="E166" s="19" t="s">
        <v>257</v>
      </c>
      <c r="F166" s="77">
        <f>(1.9*2.47+3.05*4.12+6.55*4.55+3.36*3.35+7.2*3.97+3.36*4.7+3.05*3.35+3.35*4.55+3.35*3.97+1.6*3.97+(2.29*1.38+1.38*2.14+2.85*1.53+2.29*1.38+2.29*1.38+1.38*2.14+2.85*1.53+1.38*0.54+1.05*5.29+1.15*1.53+1.38*1.06+1.2*1.38+3.05*1.05+1*1.38)+(1*2.44+1*2.44+1.07*3.36+1.07*3.36)+(0.6*(6.55+7.2+3.05+3.35)))*10.764</f>
        <v>2280.1800996000002</v>
      </c>
      <c r="G166" s="78"/>
      <c r="H166" s="19">
        <v>0</v>
      </c>
      <c r="I166" s="19">
        <f>F166*(($I$105)+1)+H166</f>
        <v>3420.2701494000003</v>
      </c>
      <c r="J166" s="1"/>
      <c r="K166" s="1"/>
      <c r="L166" s="1"/>
      <c r="M166" s="1"/>
      <c r="N166" s="1"/>
      <c r="O166" s="1"/>
      <c r="P166" s="1"/>
      <c r="Q166" s="1"/>
      <c r="R166" s="1"/>
      <c r="S166" s="1"/>
      <c r="T166" s="1"/>
      <c r="U166" s="40" t="e">
        <f>V166&amp;""&amp;",..,"&amp;""&amp;W166</f>
        <v>#REF!</v>
      </c>
      <c r="V166" s="40" t="e">
        <f>#REF!+1</f>
        <v>#REF!</v>
      </c>
      <c r="W166" s="40" t="e">
        <f>#REF!+1</f>
        <v>#REF!</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75"/>
      <c r="B167" s="76"/>
      <c r="C167" s="77">
        <v>6</v>
      </c>
      <c r="D167" s="78"/>
      <c r="E167" s="19" t="s">
        <v>238</v>
      </c>
      <c r="F167" s="77">
        <f>(1.95*1.53+1.25*3.05+3*3.08+3.05*3.5+2.75*3.08+3.65*8.38+3.59*4.6+4.26*3.59+1*1.73+1*1.22+(1.53*2.29+1.38*2.44+2.44*1.53+2.44*1.53)+(3.9*1.53+2.75*1.53+1*1.53)+(0.6*(3+3.4+4.26+3.59+2.8)))*10.764</f>
        <v>1472.4850607999999</v>
      </c>
      <c r="G167" s="78"/>
      <c r="H167" s="19">
        <v>0</v>
      </c>
      <c r="I167" s="19">
        <f>F167*(($I$105)+1)+H167</f>
        <v>2208.7275912</v>
      </c>
      <c r="J167" s="1"/>
      <c r="K167" s="1"/>
      <c r="L167" s="1"/>
      <c r="M167" s="1"/>
      <c r="N167" s="1"/>
      <c r="O167" s="1"/>
      <c r="P167" s="1"/>
      <c r="Q167" s="1"/>
      <c r="R167" s="1"/>
      <c r="S167" s="1"/>
      <c r="T167" s="1"/>
      <c r="U167" s="40" t="e">
        <f>V167&amp;""&amp;",..,"&amp;""&amp;W167</f>
        <v>#REF!</v>
      </c>
      <c r="V167" s="40" t="e">
        <f>V166+1</f>
        <v>#REF!</v>
      </c>
      <c r="W167" s="40" t="e">
        <f>W166+1</f>
        <v>#REF!</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68" t="s">
        <v>258</v>
      </c>
      <c r="B168" s="69"/>
      <c r="C168" s="69"/>
      <c r="D168" s="69"/>
      <c r="E168" s="69"/>
      <c r="F168" s="69"/>
      <c r="G168" s="69"/>
      <c r="H168" s="69"/>
      <c r="I168" s="70"/>
      <c r="J168" s="1" t="s">
        <v>252</v>
      </c>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25">
      <c r="A169" s="71" t="str">
        <f>A168</f>
        <v>5th, 10th, 15th, 20th &amp; 25th  Floor (Part Refuge Area)</v>
      </c>
      <c r="B169" s="72"/>
      <c r="C169" s="77">
        <v>1</v>
      </c>
      <c r="D169" s="78"/>
      <c r="E169" s="19" t="s">
        <v>211</v>
      </c>
      <c r="F169" s="77">
        <f>(1.38*1.78+3.2*5.64+2.29*2.83+3.05*3.35+3.31*4.55+3.05*3.75+4.14*1.05+1.82*1.05+(2.29*1.46+1.38*2.14+2.44*1.53)+(3.2*1.08+2.29*1.08)+(0.6*(3.05+3.31+1.8)))*10.764</f>
        <v>977.51759039999968</v>
      </c>
      <c r="G169" s="78"/>
      <c r="H169" s="19">
        <v>0</v>
      </c>
      <c r="I169" s="19">
        <f t="shared" ref="I169:I174" si="5">F169*(($I$105)+1)+H169</f>
        <v>1466.2763855999995</v>
      </c>
      <c r="J169" s="1"/>
      <c r="K169" s="1"/>
      <c r="L169" s="1"/>
      <c r="M169" s="1"/>
      <c r="N169" s="1"/>
      <c r="O169" s="1"/>
      <c r="P169" s="1"/>
      <c r="Q169" s="1"/>
      <c r="R169" s="1"/>
      <c r="S169" s="1"/>
      <c r="T169" s="1"/>
      <c r="U169" s="40" t="str">
        <f t="shared" ref="U169:U174" ca="1" si="6">V169&amp;""&amp;",..,"&amp;""&amp;W169</f>
        <v>5101,..,2501</v>
      </c>
      <c r="V169" s="40">
        <f ca="1">(SUMPRODUCT(MID(0&amp;(LEFT(A168,SUM(LEN(A168)-LEN(SUBSTITUTE(A168,{"0","1","2","3"},""))))), LARGE(INDEX(ISNUMBER(--MID((LEFT(A168,SUM(LEN(A168)-LEN(SUBSTITUTE(A168,{"0","1","2","3"},""))))), ROW(INDIRECT("1:"&amp;LEN((LEFT(A168,SUM(LEN(A168)-LEN(SUBSTITUTE(A168,{"0","1","2","3"},"")))))))), 1)) * ROW(INDIRECT("1:"&amp;LEN((LEFT(A168,SUM(LEN(A168)-LEN(SUBSTITUTE(A168,{"0","1","2","3"},"")))))))), 0), ROW(INDIRECT("1:"&amp;LEN((LEFT(A168,SUM(LEN(A168)-LEN(SUBSTITUTE(A168,{"0","1","2","3"},"")))))))))+1, 1) * 10^ROW(INDIRECT("1:"&amp;LEN((LEFT(A168,SUM(LEN(A168)-LEN(SUBSTITUTE(A168,{"0","1","2","3"},""))))))))/10))*100+1</f>
        <v>5101</v>
      </c>
      <c r="W169" s="40">
        <f ca="1">(SUMPRODUCT(MID(0&amp;(--TRIM(RIGHT(SUBSTITUTE(LEFT(A168,_xlfn.AGGREGATE(16,6,FIND({0,1,2,3,4,5,6,7,8,9},A168,ROW(INDIRECT("1:"&amp;LEN(A168)))),1)),"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2501</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73"/>
      <c r="B170" s="74"/>
      <c r="C170" s="77">
        <v>2</v>
      </c>
      <c r="D170" s="78"/>
      <c r="E170" s="19" t="s">
        <v>211</v>
      </c>
      <c r="F170" s="77">
        <f>(1.38*1.78+3.2*5.64+2.29*2.83+3.05*3.35+3.31*4.55+3.05*3.75+4.14*1.05+1.82*1.05+(2.29*1.46+1.38*2.14+2.44*1.53)+(3.2*1.08+2.29*1.08)+(0.6*(3.05+3.31+1.8)))*10.764</f>
        <v>977.51759039999968</v>
      </c>
      <c r="G170" s="78"/>
      <c r="H170" s="19">
        <v>0</v>
      </c>
      <c r="I170" s="19">
        <f t="shared" si="5"/>
        <v>1466.2763855999995</v>
      </c>
      <c r="J170" s="1"/>
      <c r="K170" s="1"/>
      <c r="L170" s="1"/>
      <c r="M170" s="1"/>
      <c r="N170" s="1"/>
      <c r="O170" s="1"/>
      <c r="P170" s="1"/>
      <c r="Q170" s="1"/>
      <c r="R170" s="1"/>
      <c r="S170" s="1"/>
      <c r="T170" s="1"/>
      <c r="U170" s="40" t="str">
        <f t="shared" ca="1" si="6"/>
        <v>5102,..,2502</v>
      </c>
      <c r="V170" s="40">
        <f ca="1">V169+1</f>
        <v>5102</v>
      </c>
      <c r="W170" s="40">
        <f ca="1">W169+1</f>
        <v>2502</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25">
      <c r="A171" s="73"/>
      <c r="B171" s="74"/>
      <c r="C171" s="77">
        <v>3</v>
      </c>
      <c r="D171" s="78"/>
      <c r="E171" s="19" t="s">
        <v>238</v>
      </c>
      <c r="F171" s="77">
        <f>(1.95*1.53+1.25*3.05+3*3.08+3.05*3.5+2.75*3.08+3.65*8.38+3.59*4.6+4.26*3.59+1*1.73+1*1.22+(1.53*2.29+1.38*2.44+2.44*1.53+2.44*1.53)+(3.9*1.53+2.75*1.53+1*1.53)+(0.6*(3+3.4+4.26+3.59+2.8)))*10.764</f>
        <v>1472.4850607999999</v>
      </c>
      <c r="G171" s="78"/>
      <c r="H171" s="19">
        <v>0</v>
      </c>
      <c r="I171" s="19">
        <f t="shared" si="5"/>
        <v>2208.7275912</v>
      </c>
      <c r="J171" s="1"/>
      <c r="K171" s="1"/>
      <c r="L171" s="1"/>
      <c r="M171" s="1"/>
      <c r="N171" s="1"/>
      <c r="O171" s="1"/>
      <c r="P171" s="1"/>
      <c r="Q171" s="1"/>
      <c r="R171" s="1"/>
      <c r="S171" s="1"/>
      <c r="T171" s="1"/>
      <c r="U171" s="40" t="str">
        <f t="shared" ca="1" si="6"/>
        <v>5103,..,2503</v>
      </c>
      <c r="V171" s="40">
        <f t="shared" ref="V171:W174" ca="1" si="7">V170+1</f>
        <v>5103</v>
      </c>
      <c r="W171" s="40">
        <f t="shared" ca="1" si="7"/>
        <v>2503</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73"/>
      <c r="B172" s="74"/>
      <c r="C172" s="77">
        <v>4</v>
      </c>
      <c r="D172" s="78"/>
      <c r="E172" s="77" t="s">
        <v>237</v>
      </c>
      <c r="F172" s="79">
        <f>(1.9*2.59+3.36*6.23+3.05*2.44+2.89*1.68+3.05*3.35+3.36*4.55+3.45*3.97+3.13*1.05+1.85*1.05+(1.38*2.14+1.38*1.06+2.85*1.53+2.29*1.38)+(3.36*1.07+1*2.44))*10.764</f>
        <v>1082.3621796</v>
      </c>
      <c r="G172" s="79"/>
      <c r="H172" s="79">
        <v>0</v>
      </c>
      <c r="I172" s="79">
        <f t="shared" si="5"/>
        <v>1623.5432694000001</v>
      </c>
      <c r="J172" s="1"/>
      <c r="K172" s="1"/>
      <c r="L172" s="1"/>
      <c r="M172" s="1"/>
      <c r="N172" s="1"/>
      <c r="O172" s="1"/>
      <c r="P172" s="1"/>
      <c r="Q172" s="1"/>
      <c r="R172" s="1"/>
      <c r="S172" s="1"/>
      <c r="T172" s="1"/>
      <c r="U172" s="1" t="str">
        <f t="shared" ca="1" si="6"/>
        <v>5104,..,2504</v>
      </c>
      <c r="V172" s="1">
        <f t="shared" ca="1" si="7"/>
        <v>5104</v>
      </c>
      <c r="W172" s="1">
        <f t="shared" ca="1" si="7"/>
        <v>2504</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73"/>
      <c r="B173" s="74"/>
      <c r="C173" s="77">
        <v>5</v>
      </c>
      <c r="D173" s="78"/>
      <c r="E173" s="19" t="s">
        <v>211</v>
      </c>
      <c r="F173" s="77">
        <f>(1.9*2.59+3.36*6.23+3.05*2.44+2.89*2.73+3.05*3.35+3.36*4.55+3.45*3.97+1.85*1.05+(1.38*2.14+1.38*1.06+2.85*1.53+2.29*1.38)+(3.36*1.07+1*2.44)+(0.6*(3.35+3.05+3.45)))*10.764</f>
        <v>1143.2648915999998</v>
      </c>
      <c r="G173" s="78"/>
      <c r="H173" s="19">
        <v>0</v>
      </c>
      <c r="I173" s="19">
        <f t="shared" si="5"/>
        <v>1714.8973373999997</v>
      </c>
      <c r="J173" s="1"/>
      <c r="K173" s="1"/>
      <c r="L173" s="1"/>
      <c r="M173" s="1"/>
      <c r="N173" s="1"/>
      <c r="O173" s="1"/>
      <c r="P173" s="1"/>
      <c r="Q173" s="1"/>
      <c r="R173" s="1"/>
      <c r="S173" s="1"/>
      <c r="T173" s="1"/>
      <c r="U173" s="40" t="str">
        <f t="shared" ca="1" si="6"/>
        <v>5105,..,2505</v>
      </c>
      <c r="V173" s="40">
        <f t="shared" ca="1" si="7"/>
        <v>5105</v>
      </c>
      <c r="W173" s="40">
        <f t="shared" ca="1" si="7"/>
        <v>2505</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75"/>
      <c r="B174" s="76"/>
      <c r="C174" s="77">
        <v>6</v>
      </c>
      <c r="D174" s="78"/>
      <c r="E174" s="19" t="s">
        <v>238</v>
      </c>
      <c r="F174" s="77">
        <f>(1.95*1.53+1.25*3.05+3*3.08+3.05*3.5+2.75*3.08+3.65*8.38+3.59*4.6+4.26*3.59+1*1.73+1*1.22+(1.53*2.29+1.38*2.44+2.44*1.53+2.44*1.53)+(3.9*1.53+2.75*1.53+1*1.53)+(0.6*(3+3.4+4.26+3.59+2.8)))*10.764</f>
        <v>1472.4850607999999</v>
      </c>
      <c r="G174" s="78"/>
      <c r="H174" s="19">
        <v>0</v>
      </c>
      <c r="I174" s="19">
        <f t="shared" si="5"/>
        <v>2208.7275912</v>
      </c>
      <c r="J174" s="1"/>
      <c r="K174" s="1"/>
      <c r="L174" s="1"/>
      <c r="M174" s="1"/>
      <c r="N174" s="1"/>
      <c r="O174" s="1"/>
      <c r="P174" s="1"/>
      <c r="Q174" s="1"/>
      <c r="R174" s="1"/>
      <c r="S174" s="1"/>
      <c r="T174" s="1"/>
      <c r="U174" s="40" t="str">
        <f t="shared" ca="1" si="6"/>
        <v>5106,..,2506</v>
      </c>
      <c r="V174" s="40">
        <f t="shared" ca="1" si="7"/>
        <v>5106</v>
      </c>
      <c r="W174" s="40">
        <f t="shared" ca="1" si="7"/>
        <v>2506</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x14ac:dyDescent="0.25">
      <c r="A175" s="68" t="s">
        <v>281</v>
      </c>
      <c r="B175" s="69"/>
      <c r="C175" s="69"/>
      <c r="D175" s="69"/>
      <c r="E175" s="69"/>
      <c r="F175" s="69"/>
      <c r="G175" s="69"/>
      <c r="H175" s="69"/>
      <c r="I175" s="70"/>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71" t="str">
        <f>A175</f>
        <v>8th &amp; 33rd  Floor</v>
      </c>
      <c r="B176" s="72"/>
      <c r="C176" s="77">
        <v>1</v>
      </c>
      <c r="D176" s="78"/>
      <c r="E176" s="19" t="s">
        <v>257</v>
      </c>
      <c r="F176" s="77">
        <f>(1.85*1.63+6.55*5.64+2.29*2.83+6.51*3.35+5.36*1.2+3.05*3.75+2.29*2.83+3.05*3.35+3.31*4.85+3.05*3.75+(2.44*1.53+1.38*2.14+2.29*1.46+1.38*2.13+2.44*1.53+2.29*1.46)+(4.14*1.05+1.8*1.05+3.84*1.05+2.29*1.08+2.29*1.08)+6.55*1.08+(0.6*(2.44+2.59+2.69+2.44)))*10.764</f>
        <v>1923.9207624000001</v>
      </c>
      <c r="G176" s="78"/>
      <c r="H176" s="19">
        <v>0</v>
      </c>
      <c r="I176" s="19">
        <f>F176*(($I$105)+1)+H176</f>
        <v>2885.8811436000001</v>
      </c>
      <c r="J176" s="1"/>
      <c r="K176" s="1"/>
      <c r="L176" s="1"/>
      <c r="M176" s="1"/>
      <c r="N176" s="1"/>
      <c r="O176" s="1"/>
      <c r="P176" s="1"/>
      <c r="Q176" s="1"/>
      <c r="R176" s="1"/>
      <c r="S176" s="1"/>
      <c r="T176" s="1"/>
      <c r="U176" s="40" t="str">
        <f ca="1">V176&amp;""&amp;",..,"&amp;""&amp;W176</f>
        <v>801,..,3301</v>
      </c>
      <c r="V176" s="40">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801</v>
      </c>
      <c r="W176" s="40">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3301</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73"/>
      <c r="B177" s="74"/>
      <c r="C177" s="77">
        <v>3</v>
      </c>
      <c r="D177" s="78"/>
      <c r="E177" s="19" t="s">
        <v>238</v>
      </c>
      <c r="F177" s="77">
        <f>(1.95*1.53+1.25*3.05+3*3.08+3.05*3.5+2.75*3.08+3.65*8.38+3.59*4.6+4.26*3.59+1*1.73+1*1.22+(1.53*2.29+1.38*2.44+2.44*1.53+2.44*1.53)+(3.9*1.53+2.75*1.53+1*1.53)+(0.6*(3+3.4+4.26+3.59+2.8)))*10.764</f>
        <v>1472.4850607999999</v>
      </c>
      <c r="G177" s="78"/>
      <c r="H177" s="19">
        <v>0</v>
      </c>
      <c r="I177" s="19">
        <f>F177*(($I$105)+1)+H177</f>
        <v>2208.7275912</v>
      </c>
      <c r="J177" s="1"/>
      <c r="K177" s="1"/>
      <c r="L177" s="1"/>
      <c r="M177" s="1"/>
      <c r="N177" s="1"/>
      <c r="O177" s="1"/>
      <c r="P177" s="1"/>
      <c r="Q177" s="1"/>
      <c r="R177" s="1"/>
      <c r="S177" s="1"/>
      <c r="T177" s="1"/>
      <c r="U177" s="40" t="e">
        <f>V177&amp;""&amp;",..,"&amp;""&amp;W177</f>
        <v>#REF!</v>
      </c>
      <c r="V177" s="40" t="e">
        <f>#REF!+1</f>
        <v>#REF!</v>
      </c>
      <c r="W177" s="40" t="e">
        <f>#REF!+1</f>
        <v>#REF!</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73"/>
      <c r="B178" s="74"/>
      <c r="C178" s="77">
        <v>4</v>
      </c>
      <c r="D178" s="78"/>
      <c r="E178" s="19" t="s">
        <v>211</v>
      </c>
      <c r="F178" s="77">
        <f>(1.9*2.59+3.36*6.23+3.05*2.44+2.89*2.73+3.05*3.35+3.36*4.55+3.45*3.97+1.85*1.05+(1.38*2.14+1.38*1.06+2.85*1.53+2.29*1.38)+(3.36*1.07+1*2.44)+(0.6*(3.35+3.05+3.45)))*10.764</f>
        <v>1143.2648915999998</v>
      </c>
      <c r="G178" s="78"/>
      <c r="H178" s="19">
        <v>0</v>
      </c>
      <c r="I178" s="19">
        <f>F178*(($I$105)+1)+H178</f>
        <v>1714.8973373999997</v>
      </c>
      <c r="J178" s="1"/>
      <c r="K178" s="1"/>
      <c r="L178" s="1"/>
      <c r="M178" s="1"/>
      <c r="N178" s="1"/>
      <c r="O178" s="1"/>
      <c r="P178" s="1"/>
      <c r="Q178" s="1"/>
      <c r="R178" s="1"/>
      <c r="S178" s="1"/>
      <c r="T178" s="1"/>
      <c r="U178" s="40" t="e">
        <f>V178&amp;""&amp;",..,"&amp;""&amp;W178</f>
        <v>#REF!</v>
      </c>
      <c r="V178" s="40" t="e">
        <f t="shared" ref="V178:W180" si="8">V177+1</f>
        <v>#REF!</v>
      </c>
      <c r="W178" s="40" t="e">
        <f t="shared" si="8"/>
        <v>#REF!</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73"/>
      <c r="B179" s="74"/>
      <c r="C179" s="77">
        <v>5</v>
      </c>
      <c r="D179" s="78"/>
      <c r="E179" s="19" t="s">
        <v>211</v>
      </c>
      <c r="F179" s="77">
        <f>(1.9*2.59+3.36*6.23+3.05*2.44+2.89*2.73+3.05*3.35+3.36*4.55+3.45*3.97+1.85*1.05+(1.38*2.14+1.38*1.06+2.85*1.53+2.29*1.38)+(3.36*1.07+1*2.44)+(0.6*(3.35+3.05+3.45)))*10.764</f>
        <v>1143.2648915999998</v>
      </c>
      <c r="G179" s="78"/>
      <c r="H179" s="19">
        <v>0</v>
      </c>
      <c r="I179" s="19">
        <f>F179*(($I$105)+1)+H179</f>
        <v>1714.8973373999997</v>
      </c>
      <c r="J179" s="1"/>
      <c r="K179" s="1"/>
      <c r="L179" s="1"/>
      <c r="M179" s="1"/>
      <c r="N179" s="1"/>
      <c r="O179" s="1"/>
      <c r="P179" s="1"/>
      <c r="Q179" s="1"/>
      <c r="R179" s="1"/>
      <c r="S179" s="1"/>
      <c r="T179" s="1"/>
      <c r="U179" s="40" t="e">
        <f>V179&amp;""&amp;",..,"&amp;""&amp;W179</f>
        <v>#REF!</v>
      </c>
      <c r="V179" s="40" t="e">
        <f t="shared" si="8"/>
        <v>#REF!</v>
      </c>
      <c r="W179" s="40" t="e">
        <f t="shared" si="8"/>
        <v>#REF!</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66" customHeight="1" x14ac:dyDescent="0.25">
      <c r="A180" s="75"/>
      <c r="B180" s="76"/>
      <c r="C180" s="77">
        <v>6</v>
      </c>
      <c r="D180" s="78"/>
      <c r="E180" s="19" t="s">
        <v>282</v>
      </c>
      <c r="F180" s="77">
        <f>((1.5*1.78+1.53*0.9+6.85*4.9+3.05*3.08+3.35*3.48+2.15*3.08+2.37*2.44+3.59*4.6+4.26*3.59+1.22*1.4+1.38*1.52+1.53*1.38+(2.43*1.52+2.43*1.53+1.53*2.29+1*1.53)+(1.75*1.53+1.53*3.55)+(0.6*(2+3.35+2.8+3.59+4.26)))+(2.75*3.08+3.65*4.73+6.85*3.5+3.59*4.6+4.26*3.59+1.25*2.75+1.53*1.38+1.53*1.38)+(2.44*1.53+2.44*1.53+1.93*1.5+1.38*2.44+1.53*2.74)+1.75*1.53+1.53*3.55+(0.8*(3.55+4.26+3.59+2.9)))*10.764</f>
        <v>2858.8581215999998</v>
      </c>
      <c r="G180" s="78"/>
      <c r="H180" s="19">
        <v>0</v>
      </c>
      <c r="I180" s="19">
        <f>F180*(($I$105)+1)+H180</f>
        <v>4288.2871823999994</v>
      </c>
      <c r="J180" s="1"/>
      <c r="K180" s="1"/>
      <c r="L180" s="1"/>
      <c r="M180" s="1"/>
      <c r="N180" s="1"/>
      <c r="O180" s="1"/>
      <c r="P180" s="1"/>
      <c r="Q180" s="1"/>
      <c r="R180" s="1"/>
      <c r="S180" s="1"/>
      <c r="T180" s="1"/>
      <c r="U180" s="40" t="e">
        <f>V180&amp;""&amp;",..,"&amp;""&amp;W180</f>
        <v>#REF!</v>
      </c>
      <c r="V180" s="40" t="e">
        <f t="shared" si="8"/>
        <v>#REF!</v>
      </c>
      <c r="W180" s="40" t="e">
        <f t="shared" si="8"/>
        <v>#REF!</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x14ac:dyDescent="0.25">
      <c r="A181" s="68" t="s">
        <v>283</v>
      </c>
      <c r="B181" s="69"/>
      <c r="C181" s="69"/>
      <c r="D181" s="69"/>
      <c r="E181" s="69"/>
      <c r="F181" s="69"/>
      <c r="G181" s="69"/>
      <c r="H181" s="69"/>
      <c r="I181" s="70"/>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71" t="str">
        <f>A181</f>
        <v>9th Floor</v>
      </c>
      <c r="B182" s="72"/>
      <c r="C182" s="77">
        <v>1</v>
      </c>
      <c r="D182" s="78"/>
      <c r="E182" s="19" t="s">
        <v>211</v>
      </c>
      <c r="F182" s="77">
        <f>(1.38*1.78+3.2*5.64+2.29*2.83+3.05*3.35+3.31*4.55+3.05*3.75+4.14*1.05+1.82*1.05+(2.29*1.46+1.38*2.14+2.44*1.53)+(3.2*1.08+2.29*1.08)+(0.6*(3.05+3.31+1.8)))*10.764</f>
        <v>977.51759039999968</v>
      </c>
      <c r="G182" s="78"/>
      <c r="H182" s="19">
        <v>0</v>
      </c>
      <c r="I182" s="19">
        <f>F182*(($I$105)+1)+H182</f>
        <v>1466.2763855999995</v>
      </c>
      <c r="J182" s="1"/>
      <c r="K182" s="1"/>
      <c r="L182" s="1"/>
      <c r="M182" s="1"/>
      <c r="N182" s="1"/>
      <c r="O182" s="1"/>
      <c r="P182" s="1"/>
      <c r="Q182" s="1"/>
      <c r="R182" s="1"/>
      <c r="S182" s="1"/>
      <c r="T182" s="1"/>
      <c r="U182" s="40" t="e">
        <f t="shared" ref="U182:U187" ca="1" si="9">V182&amp;""&amp;",..,"&amp;""&amp;W182</f>
        <v>#REF!</v>
      </c>
      <c r="V182" s="40" t="e">
        <f ca="1">(SUMPRODUCT(MID(0&amp;(LEFT(A181,SUM(LEN(A181)-LEN(SUBSTITUTE(A181,{"0","1","2","3"},""))))), LARGE(INDEX(ISNUMBER(--MID((LEFT(A181,SUM(LEN(A181)-LEN(SUBSTITUTE(A181,{"0","1","2","3"},""))))), ROW(INDIRECT("1:"&amp;LEN((LEFT(A181,SUM(LEN(A181)-LEN(SUBSTITUTE(A181,{"0","1","2","3"},"")))))))), 1)) * ROW(INDIRECT("1:"&amp;LEN((LEFT(A181,SUM(LEN(A181)-LEN(SUBSTITUTE(A181,{"0","1","2","3"},"")))))))), 0), ROW(INDIRECT("1:"&amp;LEN((LEFT(A181,SUM(LEN(A181)-LEN(SUBSTITUTE(A181,{"0","1","2","3"},"")))))))))+1, 1) * 10^ROW(INDIRECT("1:"&amp;LEN((LEFT(A181,SUM(LEN(A181)-LEN(SUBSTITUTE(A181,{"0","1","2","3"},""))))))))/10))*100+1</f>
        <v>#REF!</v>
      </c>
      <c r="W182" s="40">
        <f ca="1">(SUMPRODUCT(MID(0&amp;(--TRIM(RIGHT(SUBSTITUTE(LEFT(A181,_xlfn.AGGREGATE(16,6,FIND({0,1,2,3,4,5,6,7,8,9},A181,ROW(INDIRECT("1:"&amp;LEN(A181)))),1)),"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",LEN(A181))),LEN(A181)))))))/10))*100+1</f>
        <v>901</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73"/>
      <c r="B183" s="74"/>
      <c r="C183" s="77">
        <v>2</v>
      </c>
      <c r="D183" s="78"/>
      <c r="E183" s="19" t="s">
        <v>211</v>
      </c>
      <c r="F183" s="77">
        <f>(1.38*1.78+3.2*5.64+2.29*2.83+3.05*3.35+3.31*4.55+3.05*3.75+4.14*1.05+1.82*1.05+(2.29*1.46+1.38*2.14+2.44*1.53)+(3.2*1.08+2.29*1.08)+(0.6*(3.05+3.31+1.8)))*10.764</f>
        <v>977.51759039999968</v>
      </c>
      <c r="G183" s="78"/>
      <c r="H183" s="19">
        <v>0</v>
      </c>
      <c r="I183" s="19">
        <f>F183*(($I$105)+1)+H183</f>
        <v>1466.2763855999995</v>
      </c>
      <c r="J183" s="1"/>
      <c r="K183" s="1"/>
      <c r="L183" s="1"/>
      <c r="M183" s="1"/>
      <c r="N183" s="1"/>
      <c r="O183" s="1"/>
      <c r="P183" s="1"/>
      <c r="Q183" s="1"/>
      <c r="R183" s="1"/>
      <c r="S183" s="1"/>
      <c r="T183" s="1"/>
      <c r="U183" s="40" t="e">
        <f t="shared" ca="1" si="9"/>
        <v>#REF!</v>
      </c>
      <c r="V183" s="40" t="e">
        <f ca="1">V182+1</f>
        <v>#REF!</v>
      </c>
      <c r="W183" s="40">
        <f ca="1">W182+1</f>
        <v>902</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73"/>
      <c r="B184" s="74"/>
      <c r="C184" s="77">
        <v>3</v>
      </c>
      <c r="D184" s="78"/>
      <c r="E184" s="19" t="s">
        <v>238</v>
      </c>
      <c r="F184" s="77">
        <f>(1.95*1.53+1.25*3.05+3*3.08+3.05*3.5+2.75*3.08+3.65*8.38+3.59*4.6+4.26*3.59+1*1.73+1*1.22+(1.53*2.29+1.38*2.44+2.44*1.53+2.44*1.53)+(3.9*1.53+2.75*1.53+1*1.53)+(0.6*(3+3.4+4.26+3.59+2.8)))*10.764</f>
        <v>1472.4850607999999</v>
      </c>
      <c r="G184" s="78"/>
      <c r="H184" s="19">
        <v>0</v>
      </c>
      <c r="I184" s="19">
        <f>F184*(($I$105)+1)+H184</f>
        <v>2208.7275912</v>
      </c>
      <c r="J184" s="1"/>
      <c r="K184" s="1"/>
      <c r="L184" s="1"/>
      <c r="M184" s="1"/>
      <c r="N184" s="1"/>
      <c r="O184" s="1"/>
      <c r="P184" s="1"/>
      <c r="Q184" s="1"/>
      <c r="R184" s="1"/>
      <c r="S184" s="1"/>
      <c r="T184" s="1"/>
      <c r="U184" s="40" t="e">
        <f t="shared" ca="1" si="9"/>
        <v>#REF!</v>
      </c>
      <c r="V184" s="40" t="e">
        <f t="shared" ref="V184:W187" ca="1" si="10">V183+1</f>
        <v>#REF!</v>
      </c>
      <c r="W184" s="40">
        <f t="shared" ca="1" si="10"/>
        <v>903</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73"/>
      <c r="B185" s="74"/>
      <c r="C185" s="77">
        <v>4</v>
      </c>
      <c r="D185" s="78"/>
      <c r="E185" s="19" t="s">
        <v>211</v>
      </c>
      <c r="F185" s="77">
        <f>(1.9*2.59+3.36*6.23+3.05*2.44+2.89*2.73+3.05*3.35+3.36*4.55+3.45*3.97+1.85*1.05+(1.38*2.14+1.38*1.06+2.85*1.53+2.29*1.38)+(3.36*1.07+1*2.44)+(0.6*(3.35+3.05+3.45)))*10.764</f>
        <v>1143.2648915999998</v>
      </c>
      <c r="G185" s="78"/>
      <c r="H185" s="19">
        <v>0</v>
      </c>
      <c r="I185" s="19">
        <f>F185*(($I$105)+1)+H185</f>
        <v>1714.8973373999997</v>
      </c>
      <c r="J185" s="1"/>
      <c r="K185" s="1"/>
      <c r="L185" s="1"/>
      <c r="M185" s="1"/>
      <c r="N185" s="1"/>
      <c r="O185" s="1"/>
      <c r="P185" s="1"/>
      <c r="Q185" s="1"/>
      <c r="R185" s="1"/>
      <c r="S185" s="1"/>
      <c r="T185" s="1"/>
      <c r="U185" s="40" t="e">
        <f t="shared" ca="1" si="9"/>
        <v>#REF!</v>
      </c>
      <c r="V185" s="40" t="e">
        <f t="shared" ca="1" si="10"/>
        <v>#REF!</v>
      </c>
      <c r="W185" s="40">
        <f t="shared" ca="1" si="10"/>
        <v>904</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73"/>
      <c r="B186" s="74"/>
      <c r="C186" s="77">
        <v>5</v>
      </c>
      <c r="D186" s="78"/>
      <c r="E186" s="19" t="s">
        <v>211</v>
      </c>
      <c r="F186" s="77">
        <f>(1.9*2.59+3.36*6.23+3.05*2.44+2.89*2.73+3.05*3.35+3.36*4.55+3.45*3.97+1.85*1.05+(1.38*2.14+1.38*1.06+2.85*1.53+2.29*1.38)+(3.36*1.07+1*2.44)+(0.6*(3.35+3.05+3.45)))*10.764</f>
        <v>1143.2648915999998</v>
      </c>
      <c r="G186" s="78"/>
      <c r="H186" s="19">
        <v>0</v>
      </c>
      <c r="I186" s="19">
        <f>F186*(($I$105)+1)+H186</f>
        <v>1714.8973373999997</v>
      </c>
      <c r="J186" s="1"/>
      <c r="K186" s="1"/>
      <c r="L186" s="1"/>
      <c r="M186" s="1"/>
      <c r="N186" s="1"/>
      <c r="O186" s="1"/>
      <c r="P186" s="1"/>
      <c r="Q186" s="1"/>
      <c r="R186" s="1"/>
      <c r="S186" s="1"/>
      <c r="T186" s="1"/>
      <c r="U186" s="40" t="e">
        <f t="shared" ca="1" si="9"/>
        <v>#REF!</v>
      </c>
      <c r="V186" s="40" t="e">
        <f t="shared" ca="1" si="10"/>
        <v>#REF!</v>
      </c>
      <c r="W186" s="40">
        <f t="shared" ca="1" si="10"/>
        <v>905</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75"/>
      <c r="B187" s="76"/>
      <c r="C187" s="77">
        <v>6</v>
      </c>
      <c r="D187" s="78"/>
      <c r="E187" s="77" t="s">
        <v>284</v>
      </c>
      <c r="F187" s="79"/>
      <c r="G187" s="79"/>
      <c r="H187" s="79"/>
      <c r="I187" s="78"/>
      <c r="J187" s="1"/>
      <c r="K187" s="1"/>
      <c r="L187" s="1"/>
      <c r="M187" s="1"/>
      <c r="N187" s="1"/>
      <c r="O187" s="1"/>
      <c r="P187" s="1"/>
      <c r="Q187" s="1"/>
      <c r="R187" s="1"/>
      <c r="S187" s="1"/>
      <c r="T187" s="1"/>
      <c r="U187" s="40" t="e">
        <f t="shared" ca="1" si="9"/>
        <v>#REF!</v>
      </c>
      <c r="V187" s="40" t="e">
        <f t="shared" ca="1" si="10"/>
        <v>#REF!</v>
      </c>
      <c r="W187" s="40">
        <f t="shared" ca="1" si="10"/>
        <v>906</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68" t="s">
        <v>285</v>
      </c>
      <c r="B188" s="69"/>
      <c r="C188" s="69"/>
      <c r="D188" s="69"/>
      <c r="E188" s="69"/>
      <c r="F188" s="69"/>
      <c r="G188" s="69"/>
      <c r="H188" s="69"/>
      <c r="I188" s="70"/>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71" t="str">
        <f>A188</f>
        <v>34th Floor (Part Refuge Area)</v>
      </c>
      <c r="B189" s="72"/>
      <c r="C189" s="77">
        <v>1</v>
      </c>
      <c r="D189" s="78"/>
      <c r="E189" s="19" t="s">
        <v>257</v>
      </c>
      <c r="F189" s="77">
        <f>(1.85*1.63+6.55*5.64+2.29*2.83+6.51*3.35+5.36*1.2+3.05*3.75+2.29*2.83+3.05*3.35+3.31*4.85+3.05*3.75+(2.44*1.53+1.38*2.14+2.29*1.46+1.38*2.13+2.44*1.53+2.29*1.46)+(4.14*1.05+1.8*1.05+3.84*1.05+2.29*1.08+2.29*1.08)+6.55*1.08+(0.6*(2.44+2.59+2.69+2.44)))*10.764</f>
        <v>1923.9207624000001</v>
      </c>
      <c r="G189" s="78"/>
      <c r="H189" s="19">
        <v>0</v>
      </c>
      <c r="I189" s="19">
        <f>F189*(($I$105)+1)+H189</f>
        <v>2885.8811436000001</v>
      </c>
      <c r="J189" s="1"/>
      <c r="K189" s="1"/>
      <c r="L189" s="1"/>
      <c r="M189" s="1"/>
      <c r="N189" s="1"/>
      <c r="O189" s="1"/>
      <c r="P189" s="1"/>
      <c r="Q189" s="1"/>
      <c r="R189" s="1"/>
      <c r="S189" s="1"/>
      <c r="T189" s="1"/>
      <c r="U189" s="40" t="str">
        <f ca="1">V189&amp;""&amp;",..,"&amp;""&amp;W189</f>
        <v>301,..,3401</v>
      </c>
      <c r="V189" s="40">
        <f ca="1">(SUMPRODUCT(MID(0&amp;(LEFT(A188,SUM(LEN(A188)-LEN(SUBSTITUTE(A188,{"0","1","2","3"},""))))), LARGE(INDEX(ISNUMBER(--MID((LEFT(A188,SUM(LEN(A188)-LEN(SUBSTITUTE(A188,{"0","1","2","3"},""))))), ROW(INDIRECT("1:"&amp;LEN((LEFT(A188,SUM(LEN(A188)-LEN(SUBSTITUTE(A188,{"0","1","2","3"},"")))))))), 1)) * ROW(INDIRECT("1:"&amp;LEN((LEFT(A188,SUM(LEN(A188)-LEN(SUBSTITUTE(A188,{"0","1","2","3"},"")))))))), 0), ROW(INDIRECT("1:"&amp;LEN((LEFT(A188,SUM(LEN(A188)-LEN(SUBSTITUTE(A188,{"0","1","2","3"},"")))))))))+1, 1) * 10^ROW(INDIRECT("1:"&amp;LEN((LEFT(A188,SUM(LEN(A188)-LEN(SUBSTITUTE(A188,{"0","1","2","3"},""))))))))/10))*100+1</f>
        <v>301</v>
      </c>
      <c r="W189" s="40">
        <f ca="1">(SUMPRODUCT(MID(0&amp;(--TRIM(RIGHT(SUBSTITUTE(LEFT(A188,_xlfn.AGGREGATE(16,6,FIND({0,1,2,3,4,5,6,7,8,9},A188,ROW(INDIRECT("1:"&amp;LEN(A188)))),1)),"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3401</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73"/>
      <c r="B190" s="74"/>
      <c r="C190" s="77">
        <v>3</v>
      </c>
      <c r="D190" s="78"/>
      <c r="E190" s="19" t="s">
        <v>238</v>
      </c>
      <c r="F190" s="77">
        <f>(1.95*1.53+1.25*3.05+3*3.08+3.05*3.5+2.75*3.08+3.65*8.38+3.59*4.6+4.26*3.59+1*1.73+1*1.22+(1.53*2.29+1.38*2.44+2.44*1.53+2.44*1.53)+(3.9*1.53+2.75*1.53+1*1.53)+(0.6*(3+3.4+4.26+3.59+2.8)))*10.764</f>
        <v>1472.4850607999999</v>
      </c>
      <c r="G190" s="78"/>
      <c r="H190" s="19">
        <v>0</v>
      </c>
      <c r="I190" s="19">
        <f>F190*(($I$105)+1)+H190</f>
        <v>2208.7275912</v>
      </c>
      <c r="J190" s="1"/>
      <c r="K190" s="1"/>
      <c r="L190" s="1"/>
      <c r="M190" s="1"/>
      <c r="N190" s="1"/>
      <c r="O190" s="1"/>
      <c r="P190" s="1"/>
      <c r="Q190" s="1"/>
      <c r="R190" s="1"/>
      <c r="S190" s="1"/>
      <c r="T190" s="1"/>
      <c r="U190" s="40" t="e">
        <f>V190&amp;""&amp;",..,"&amp;""&amp;W190</f>
        <v>#REF!</v>
      </c>
      <c r="V190" s="40" t="e">
        <f>#REF!+1</f>
        <v>#REF!</v>
      </c>
      <c r="W190" s="40" t="e">
        <f>#REF!+1</f>
        <v>#REF!</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73"/>
      <c r="B191" s="74"/>
      <c r="C191" s="77">
        <v>4</v>
      </c>
      <c r="D191" s="78"/>
      <c r="E191" s="77" t="s">
        <v>237</v>
      </c>
      <c r="F191" s="79">
        <f>(1.9*2.59+3.36*6.23+3.05*2.44+2.89*1.68+3.05*3.35+3.36*4.55+3.45*3.97+3.13*1.05+1.85*1.05+(1.38*2.14+1.38*1.06+2.85*1.53+2.29*1.38)+(3.36*1.07+1*2.44)+(0.6*(3.35+3.05+3.45)))*10.764</f>
        <v>1145.9774195999998</v>
      </c>
      <c r="G191" s="79"/>
      <c r="H191" s="79">
        <v>0</v>
      </c>
      <c r="I191" s="79">
        <f>F191*(($I$105)+1)+H191</f>
        <v>1718.9661293999998</v>
      </c>
      <c r="J191" s="1"/>
      <c r="K191" s="1"/>
      <c r="L191" s="1"/>
      <c r="M191" s="1"/>
      <c r="N191" s="1"/>
      <c r="O191" s="1"/>
      <c r="P191" s="1"/>
      <c r="Q191" s="1"/>
      <c r="R191" s="1"/>
      <c r="S191" s="1"/>
      <c r="T191" s="1"/>
      <c r="U191" s="1" t="e">
        <f>V191&amp;""&amp;",..,"&amp;""&amp;W191</f>
        <v>#REF!</v>
      </c>
      <c r="V191" s="1" t="e">
        <f t="shared" ref="V191:W193" si="11">V190+1</f>
        <v>#REF!</v>
      </c>
      <c r="W191" s="1" t="e">
        <f t="shared" si="11"/>
        <v>#REF!</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73"/>
      <c r="B192" s="74"/>
      <c r="C192" s="77">
        <v>5</v>
      </c>
      <c r="D192" s="78"/>
      <c r="E192" s="19" t="s">
        <v>211</v>
      </c>
      <c r="F192" s="77">
        <f>(1.9*2.59+3.36*6.23+3.05*2.44+2.89*2.73+3.05*3.35+3.36*4.55+3.45*3.97+1.85*1.05+(1.38*2.14+1.38*1.06+2.85*1.53+2.29*1.38)+(3.36*1.07+1*2.44)+(0.6*(3.35+3.05+3.45)))*10.764</f>
        <v>1143.2648915999998</v>
      </c>
      <c r="G192" s="78"/>
      <c r="H192" s="19">
        <v>0</v>
      </c>
      <c r="I192" s="19">
        <f>F192*(($I$105)+1)+H192</f>
        <v>1714.8973373999997</v>
      </c>
      <c r="J192" s="1"/>
      <c r="K192" s="1"/>
      <c r="L192" s="1"/>
      <c r="M192" s="1"/>
      <c r="N192" s="1"/>
      <c r="O192" s="1"/>
      <c r="P192" s="1"/>
      <c r="Q192" s="1"/>
      <c r="R192" s="1"/>
      <c r="S192" s="1"/>
      <c r="T192" s="1"/>
      <c r="U192" s="40" t="e">
        <f>V192&amp;""&amp;",..,"&amp;""&amp;W192</f>
        <v>#REF!</v>
      </c>
      <c r="V192" s="40" t="e">
        <f t="shared" si="11"/>
        <v>#REF!</v>
      </c>
      <c r="W192" s="40" t="e">
        <f t="shared" si="11"/>
        <v>#REF!</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75"/>
      <c r="B193" s="76"/>
      <c r="C193" s="77">
        <v>6</v>
      </c>
      <c r="D193" s="78"/>
      <c r="E193" s="77" t="s">
        <v>286</v>
      </c>
      <c r="F193" s="79">
        <f>(1.2*1.53+1.2*3.05+1.53*0.6+3*3.08+3.05*3.5+2.75*3.08+3.65*3.53+3.65*4.85+3.59*4.6+4.26*3.59+1*1.93+0.98*1.22+(1.53*2.14+1.38*2.44+2.44*1.53+2.44*1.53)+(3.82*1.53+2.75*1.53+1*1.53)+(0.6*(3+3.4+4.26+3.59+2.8)))*10.764</f>
        <v>1466.4755195999999</v>
      </c>
      <c r="G193" s="79"/>
      <c r="H193" s="79">
        <v>0</v>
      </c>
      <c r="I193" s="78">
        <f>F193*(($I$105)+1)+H193</f>
        <v>2199.7132793999999</v>
      </c>
      <c r="J193" s="1"/>
      <c r="K193" s="1"/>
      <c r="L193" s="1"/>
      <c r="M193" s="1"/>
      <c r="N193" s="1"/>
      <c r="O193" s="1"/>
      <c r="P193" s="1"/>
      <c r="Q193" s="1"/>
      <c r="R193" s="1"/>
      <c r="S193" s="1"/>
      <c r="T193" s="1"/>
      <c r="U193" s="40" t="e">
        <f>V193&amp;""&amp;",..,"&amp;""&amp;W193</f>
        <v>#REF!</v>
      </c>
      <c r="V193" s="40" t="e">
        <f t="shared" si="11"/>
        <v>#REF!</v>
      </c>
      <c r="W193" s="40" t="e">
        <f t="shared" si="11"/>
        <v>#REF!</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x14ac:dyDescent="0.25">
      <c r="A194" s="68" t="s">
        <v>289</v>
      </c>
      <c r="B194" s="69"/>
      <c r="C194" s="69"/>
      <c r="D194" s="69"/>
      <c r="E194" s="69"/>
      <c r="F194" s="69"/>
      <c r="G194" s="69"/>
      <c r="H194" s="69"/>
      <c r="I194" s="70"/>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71" t="str">
        <f>A194</f>
        <v>29th  &amp; 39th Floor (Part Refuge Area)</v>
      </c>
      <c r="B195" s="72"/>
      <c r="C195" s="77">
        <v>1</v>
      </c>
      <c r="D195" s="78"/>
      <c r="E195" s="19" t="s">
        <v>257</v>
      </c>
      <c r="F195" s="77">
        <f>(1.85*1.63+6.55*5.64+2.29*2.83+6.51*3.35+5.36*1.2+3.05*3.75+2.29*2.83+3.05*3.35+3.31*4.85+3.05*3.75+(2.44*1.53+1.38*2.14+2.29*1.46+1.38*2.13+2.44*1.53+2.29*1.46)+(4.14*1.05+1.8*1.05+3.84*1.05+2.29*1.08+2.29*1.08)+6.55*1.08+(0.6*(2.44+2.59+2.69+2.44)))*10.764</f>
        <v>1923.9207624000001</v>
      </c>
      <c r="G195" s="78"/>
      <c r="H195" s="19">
        <v>0</v>
      </c>
      <c r="I195" s="19">
        <f>F195*(($I$105)+1)+H195</f>
        <v>2885.8811436000001</v>
      </c>
      <c r="J195" s="1"/>
      <c r="K195" s="1"/>
      <c r="L195" s="1"/>
      <c r="M195" s="1"/>
      <c r="N195" s="1"/>
      <c r="O195" s="1"/>
      <c r="P195" s="1"/>
      <c r="Q195" s="1"/>
      <c r="R195" s="1"/>
      <c r="S195" s="1"/>
      <c r="T195" s="1"/>
      <c r="U195" s="40" t="str">
        <f ca="1">V195&amp;""&amp;",..,"&amp;""&amp;W195</f>
        <v>2901,..,3901</v>
      </c>
      <c r="V195" s="40">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2901</v>
      </c>
      <c r="W195" s="40">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3901</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73"/>
      <c r="B196" s="74"/>
      <c r="C196" s="77">
        <v>3</v>
      </c>
      <c r="D196" s="78"/>
      <c r="E196" s="19" t="s">
        <v>238</v>
      </c>
      <c r="F196" s="77">
        <f>(1.95*1.53+1.25*3.05+3*3.08+3.05*3.5+2.75*3.08+3.65*8.38+3.59*4.6+4.26*3.59+1*1.73+1*1.22+(1.53*2.29+1.38*2.44+2.44*1.53+2.44*1.53)+(3.9*1.53+2.75*1.53+1*1.53)+(0.6*(3+3.4+4.26+3.59+2.8)))*10.764</f>
        <v>1472.4850607999999</v>
      </c>
      <c r="G196" s="78"/>
      <c r="H196" s="19">
        <v>0</v>
      </c>
      <c r="I196" s="19">
        <f>F196*(($I$105)+1)+H196</f>
        <v>2208.7275912</v>
      </c>
      <c r="J196" s="1"/>
      <c r="K196" s="1"/>
      <c r="L196" s="1"/>
      <c r="M196" s="1"/>
      <c r="N196" s="1"/>
      <c r="O196" s="1"/>
      <c r="P196" s="1"/>
      <c r="Q196" s="1"/>
      <c r="R196" s="1"/>
      <c r="S196" s="1"/>
      <c r="T196" s="1"/>
      <c r="U196" s="40" t="e">
        <f>V196&amp;""&amp;",..,"&amp;""&amp;W196</f>
        <v>#REF!</v>
      </c>
      <c r="V196" s="40" t="e">
        <f>#REF!+1</f>
        <v>#REF!</v>
      </c>
      <c r="W196" s="40" t="e">
        <f>#REF!+1</f>
        <v>#REF!</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73"/>
      <c r="B197" s="74"/>
      <c r="C197" s="77">
        <v>4</v>
      </c>
      <c r="D197" s="78"/>
      <c r="E197" s="77" t="s">
        <v>237</v>
      </c>
      <c r="F197" s="79">
        <f>(1.9*2.59+3.36*6.23+3.05*2.44+2.89*1.68+3.05*3.35+3.36*4.55+3.45*3.97+3.13*1.05+1.85*1.05+(1.38*2.14+1.38*1.06+2.85*1.53+2.29*1.38)+(3.36*1.07+1*2.44)+(0.6*(3.35+3.05+3.45)))*10.764</f>
        <v>1145.9774195999998</v>
      </c>
      <c r="G197" s="79"/>
      <c r="H197" s="79">
        <v>0</v>
      </c>
      <c r="I197" s="79">
        <f>F197*(($I$105)+1)+H197</f>
        <v>1718.9661293999998</v>
      </c>
      <c r="J197" s="1"/>
      <c r="K197" s="1"/>
      <c r="L197" s="1"/>
      <c r="M197" s="1"/>
      <c r="N197" s="1"/>
      <c r="O197" s="1"/>
      <c r="P197" s="1"/>
      <c r="Q197" s="1"/>
      <c r="R197" s="1"/>
      <c r="S197" s="1"/>
      <c r="T197" s="1"/>
      <c r="U197" s="1" t="e">
        <f>V197&amp;""&amp;",..,"&amp;""&amp;W197</f>
        <v>#REF!</v>
      </c>
      <c r="V197" s="1" t="e">
        <f t="shared" ref="V197:W199" si="12">V196+1</f>
        <v>#REF!</v>
      </c>
      <c r="W197" s="1" t="e">
        <f t="shared" si="12"/>
        <v>#REF!</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73"/>
      <c r="B198" s="74"/>
      <c r="C198" s="77">
        <v>5</v>
      </c>
      <c r="D198" s="78"/>
      <c r="E198" s="51" t="s">
        <v>211</v>
      </c>
      <c r="F198" s="77">
        <f>(1.9*2.59+3.36*6.23+3.05*2.44+2.89*2.73+3.05*3.35+3.36*4.55+3.45*3.97+1.85*1.05+(1.38*2.14+1.38*1.06+2.85*1.53+2.29*1.38)+(3.36*1.07+1*2.44)+(0.6*(3.35+3.05+3.45)))*10.764</f>
        <v>1143.2648915999998</v>
      </c>
      <c r="G198" s="78"/>
      <c r="H198" s="19">
        <v>0</v>
      </c>
      <c r="I198" s="19">
        <f>F198*(($I$105)+1)+H198</f>
        <v>1714.8973373999997</v>
      </c>
      <c r="J198" s="1"/>
      <c r="K198" s="1"/>
      <c r="L198" s="1"/>
      <c r="M198" s="1"/>
      <c r="N198" s="1"/>
      <c r="O198" s="1"/>
      <c r="P198" s="1"/>
      <c r="Q198" s="1"/>
      <c r="R198" s="1"/>
      <c r="S198" s="1"/>
      <c r="T198" s="1"/>
      <c r="U198" s="40" t="e">
        <f>V198&amp;""&amp;",..,"&amp;""&amp;W198</f>
        <v>#REF!</v>
      </c>
      <c r="V198" s="40" t="e">
        <f t="shared" si="12"/>
        <v>#REF!</v>
      </c>
      <c r="W198" s="40" t="e">
        <f t="shared" si="12"/>
        <v>#REF!</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75"/>
      <c r="B199" s="76"/>
      <c r="C199" s="77">
        <v>6</v>
      </c>
      <c r="D199" s="78"/>
      <c r="E199" s="51" t="s">
        <v>238</v>
      </c>
      <c r="F199" s="77">
        <f>(1.95*1.53+1.25*3.05+3*3.08+3.05*3.5+2.75*3.08+3.65*8.38+3.59*4.6+4.26*3.59+1*1.73+1*1.22+(1.53*2.29+1.38*2.44+2.44*1.53+2.44*1.53)+(3.9*1.53+2.75*1.53+1*1.53)+(0.6*(3+3.4+4.26+3.59+2.8)))*10.764</f>
        <v>1472.4850607999999</v>
      </c>
      <c r="G199" s="78"/>
      <c r="H199" s="19">
        <v>0</v>
      </c>
      <c r="I199" s="19">
        <f>F199*(($I$105)+1)+H199</f>
        <v>2208.7275912</v>
      </c>
      <c r="J199" s="1"/>
      <c r="K199" s="1"/>
      <c r="L199" s="1"/>
      <c r="M199" s="1"/>
      <c r="N199" s="1"/>
      <c r="O199" s="1"/>
      <c r="P199" s="1"/>
      <c r="Q199" s="1"/>
      <c r="R199" s="1"/>
      <c r="S199" s="1"/>
      <c r="T199" s="1"/>
      <c r="U199" s="40" t="e">
        <f>V199&amp;""&amp;",..,"&amp;""&amp;W199</f>
        <v>#REF!</v>
      </c>
      <c r="V199" s="40" t="e">
        <f t="shared" si="12"/>
        <v>#REF!</v>
      </c>
      <c r="W199" s="40" t="e">
        <f t="shared" si="12"/>
        <v>#REF!</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x14ac:dyDescent="0.25">
      <c r="A200" s="68" t="s">
        <v>287</v>
      </c>
      <c r="B200" s="69"/>
      <c r="C200" s="69"/>
      <c r="D200" s="69"/>
      <c r="E200" s="69"/>
      <c r="F200" s="69"/>
      <c r="G200" s="69"/>
      <c r="H200" s="69"/>
      <c r="I200" s="70"/>
      <c r="J200" s="1" t="s">
        <v>252</v>
      </c>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71" t="str">
        <f>A200</f>
        <v>41st  &amp; 43rd  Floor</v>
      </c>
      <c r="B201" s="72"/>
      <c r="C201" s="77">
        <v>1</v>
      </c>
      <c r="D201" s="78"/>
      <c r="E201" s="19" t="s">
        <v>257</v>
      </c>
      <c r="F201" s="77">
        <f>(1.85*1.63+6.55*5.64+2.29*2.83+6.51*3.35+5.36*1.2+3.05*3.75+2.29*2.83+3.05*3.35+3.31*4.85+3.05*3.75+(2.44*1.53+1.38*2.14+2.29*1.46+1.38*2.13+2.44*1.53+2.29*1.46)+(4.14*1.05+1.8*1.05+3.84*1.05+2.29*1.08+2.29*1.08)+6.55*1.08+(0.6*(2.44+2.59+2.69+2.44)))*10.764</f>
        <v>1923.9207624000001</v>
      </c>
      <c r="G201" s="78"/>
      <c r="H201" s="19">
        <v>0</v>
      </c>
      <c r="I201" s="19">
        <f>F201*(($I$105)+1)+H201</f>
        <v>2885.8811436000001</v>
      </c>
      <c r="J201" s="1"/>
      <c r="K201" s="1"/>
      <c r="L201" s="1"/>
      <c r="M201" s="1"/>
      <c r="N201" s="1"/>
      <c r="O201" s="1"/>
      <c r="P201" s="1"/>
      <c r="Q201" s="1"/>
      <c r="R201" s="1"/>
      <c r="S201" s="1"/>
      <c r="T201" s="1"/>
      <c r="U201" s="40" t="str">
        <f ca="1">V201&amp;""&amp;",..,"&amp;""&amp;W201</f>
        <v>4101,..,4301</v>
      </c>
      <c r="V201" s="40">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4101</v>
      </c>
      <c r="W201" s="40">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4301</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73"/>
      <c r="B202" s="74"/>
      <c r="C202" s="77">
        <v>3</v>
      </c>
      <c r="D202" s="78"/>
      <c r="E202" s="19" t="s">
        <v>238</v>
      </c>
      <c r="F202" s="77">
        <f>(1.95*1.53+1.25*3.05+3*3.08+3.05*3.5+2.75*3.08+3.65*8.38+3.59*4.6+4.26*3.59+1*1.73+1*1.22+(1.53*2.29+1.38*2.44+2.44*1.53+2.44*1.53)+(3.9*1.53+2.75*1.53+1*1.53)+(0.6*(3+3.4+4.26+3.59+2.8)))*10.764</f>
        <v>1472.4850607999999</v>
      </c>
      <c r="G202" s="78"/>
      <c r="H202" s="19">
        <v>0</v>
      </c>
      <c r="I202" s="19">
        <f>F202*(($I$105)+1)+H202</f>
        <v>2208.7275912</v>
      </c>
      <c r="J202" s="1"/>
      <c r="K202" s="1"/>
      <c r="L202" s="1"/>
      <c r="M202" s="1"/>
      <c r="N202" s="1"/>
      <c r="O202" s="1"/>
      <c r="P202" s="1"/>
      <c r="Q202" s="1"/>
      <c r="R202" s="1"/>
      <c r="S202" s="1"/>
      <c r="T202" s="1"/>
      <c r="U202" s="40" t="e">
        <f>V202&amp;""&amp;",..,"&amp;""&amp;W202</f>
        <v>#REF!</v>
      </c>
      <c r="V202" s="40" t="e">
        <f>#REF!+1</f>
        <v>#REF!</v>
      </c>
      <c r="W202" s="40" t="e">
        <f>#REF!+1</f>
        <v>#REF!</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73"/>
      <c r="B203" s="74"/>
      <c r="C203" s="77">
        <v>4</v>
      </c>
      <c r="D203" s="78"/>
      <c r="E203" s="19" t="s">
        <v>257</v>
      </c>
      <c r="F203" s="77">
        <f>(1.9*2.47+3.05*4.12+6.55*4.55+3.36*3.35+7.2*3.97+3.36*4.7+3.05*3.35+3.35*4.55+3.35*3.97+1.6*3.97+(2.29*1.38+1.38*2.14+2.85*1.53+2.29*1.38+2.29*1.38+1.38*2.14+2.85*1.53+1.38*0.54+1.05*5.29+1.15*1.53+1.38*1.06+1.2*1.38+3.05*1.05+1*1.38)+(1*2.44+1*2.44+1.07*3.36+1.07*3.36)+(0.6*(6.55+7.2+3.05+3.35)))*10.764</f>
        <v>2280.1800996000002</v>
      </c>
      <c r="G203" s="78"/>
      <c r="H203" s="19">
        <v>0</v>
      </c>
      <c r="I203" s="19">
        <f>F203*(($I$105)+1)+H203</f>
        <v>3420.2701494000003</v>
      </c>
      <c r="J203" s="1"/>
      <c r="K203" s="1"/>
      <c r="L203" s="1"/>
      <c r="M203" s="1"/>
      <c r="N203" s="1"/>
      <c r="O203" s="1"/>
      <c r="P203" s="1"/>
      <c r="Q203" s="1"/>
      <c r="R203" s="1"/>
      <c r="S203" s="1"/>
      <c r="T203" s="1"/>
      <c r="U203" s="40" t="e">
        <f>V203&amp;""&amp;",..,"&amp;""&amp;W203</f>
        <v>#REF!</v>
      </c>
      <c r="V203" s="40" t="e">
        <f>#REF!+1</f>
        <v>#REF!</v>
      </c>
      <c r="W203" s="40" t="e">
        <f>#REF!+1</f>
        <v>#REF!</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75"/>
      <c r="B204" s="76"/>
      <c r="C204" s="77">
        <v>6</v>
      </c>
      <c r="D204" s="78"/>
      <c r="E204" s="19" t="s">
        <v>238</v>
      </c>
      <c r="F204" s="77">
        <f>(1.95*1.53+1.25*3.05+3*3.08+3.05*3.5+2.75*3.08+3.65*8.38+3.59*4.6+4.26*3.59+1*1.73+1*1.22+(1.53*2.29+1.38*2.44+2.44*1.53+2.44*1.53)+(3.9*1.53+2.75*1.53+1*1.53)+(0.6*(3+3.4+4.26+3.59+2.8)))*10.764</f>
        <v>1472.4850607999999</v>
      </c>
      <c r="G204" s="78"/>
      <c r="H204" s="19">
        <v>0</v>
      </c>
      <c r="I204" s="19">
        <f>F204*(($I$105)+1)+H204</f>
        <v>2208.7275912</v>
      </c>
      <c r="J204" s="1"/>
      <c r="K204" s="1"/>
      <c r="L204" s="1"/>
      <c r="M204" s="1"/>
      <c r="N204" s="1"/>
      <c r="O204" s="1"/>
      <c r="P204" s="1"/>
      <c r="Q204" s="1"/>
      <c r="R204" s="1"/>
      <c r="S204" s="1"/>
      <c r="T204" s="1"/>
      <c r="U204" s="40" t="e">
        <f>V204&amp;""&amp;",..,"&amp;""&amp;W204</f>
        <v>#REF!</v>
      </c>
      <c r="V204" s="40" t="e">
        <f>V203+1</f>
        <v>#REF!</v>
      </c>
      <c r="W204" s="40" t="e">
        <f>W203+1</f>
        <v>#REF!</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68" t="s">
        <v>288</v>
      </c>
      <c r="B205" s="69"/>
      <c r="C205" s="69"/>
      <c r="D205" s="69"/>
      <c r="E205" s="69"/>
      <c r="F205" s="69"/>
      <c r="G205" s="69"/>
      <c r="H205" s="69"/>
      <c r="I205" s="7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71" t="str">
        <f>A205</f>
        <v>44th Floor (Part Refuge Area)</v>
      </c>
      <c r="B206" s="72"/>
      <c r="C206" s="77">
        <v>1</v>
      </c>
      <c r="D206" s="78"/>
      <c r="E206" s="19" t="s">
        <v>211</v>
      </c>
      <c r="F206" s="77">
        <f>(1.38*1.78+3.2*5.64+2.29*2.83+3.05*3.35+3.31*4.55+3.05*3.75+4.14*1.05+1.82*1.05+(2.29*1.46+1.38*2.14+2.44*1.53)+(3.2*1.08+2.29*1.08)+(0.6*(3.05+3.31+1.8)))*10.764</f>
        <v>977.51759039999968</v>
      </c>
      <c r="G206" s="78"/>
      <c r="H206" s="19">
        <v>0</v>
      </c>
      <c r="I206" s="19">
        <f t="shared" ref="I206:I211" si="13">F206*(($I$105)+1)+H206</f>
        <v>1466.2763855999995</v>
      </c>
      <c r="J206" s="1"/>
      <c r="K206" s="1"/>
      <c r="L206" s="1"/>
      <c r="M206" s="1"/>
      <c r="N206" s="1"/>
      <c r="O206" s="1"/>
      <c r="P206" s="1"/>
      <c r="Q206" s="1"/>
      <c r="R206" s="1"/>
      <c r="S206" s="1"/>
      <c r="T206" s="1"/>
      <c r="U206" s="40" t="e">
        <f t="shared" ref="U206:U211" ca="1" si="14">V206&amp;""&amp;",..,"&amp;""&amp;W206</f>
        <v>#REF!</v>
      </c>
      <c r="V206" s="40" t="e">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#REF!</v>
      </c>
      <c r="W206" s="40">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4401</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73"/>
      <c r="B207" s="74"/>
      <c r="C207" s="77">
        <v>2</v>
      </c>
      <c r="D207" s="78"/>
      <c r="E207" s="19" t="s">
        <v>211</v>
      </c>
      <c r="F207" s="77">
        <f>(1.38*1.78+3.2*5.64+2.29*2.83+3.05*3.35+3.31*4.55+3.05*3.75+4.14*1.05+1.82*1.05+(2.29*1.46+1.38*2.14+2.44*1.53)+(3.2*1.08+2.29*1.08)+(0.6*(3.05+3.31+1.8)))*10.764</f>
        <v>977.51759039999968</v>
      </c>
      <c r="G207" s="78"/>
      <c r="H207" s="19">
        <v>0</v>
      </c>
      <c r="I207" s="19">
        <f t="shared" si="13"/>
        <v>1466.2763855999995</v>
      </c>
      <c r="J207" s="1"/>
      <c r="K207" s="1"/>
      <c r="L207" s="1"/>
      <c r="M207" s="1"/>
      <c r="N207" s="1"/>
      <c r="O207" s="1"/>
      <c r="P207" s="1"/>
      <c r="Q207" s="1"/>
      <c r="R207" s="1"/>
      <c r="S207" s="1"/>
      <c r="T207" s="1"/>
      <c r="U207" s="40" t="e">
        <f t="shared" ca="1" si="14"/>
        <v>#REF!</v>
      </c>
      <c r="V207" s="40" t="e">
        <f ca="1">V206+1</f>
        <v>#REF!</v>
      </c>
      <c r="W207" s="40">
        <f ca="1">W206+1</f>
        <v>4402</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73"/>
      <c r="B208" s="74"/>
      <c r="C208" s="77">
        <v>3</v>
      </c>
      <c r="D208" s="78"/>
      <c r="E208" s="19" t="s">
        <v>238</v>
      </c>
      <c r="F208" s="77">
        <f>(1.95*1.53+1.25*3.05+3*3.08+3.05*3.5+2.75*3.08+3.65*8.38+3.59*4.6+4.26*3.59+1*1.73+1*1.22+(1.53*2.29+1.38*2.44+2.44*1.53+2.44*1.53)+(3.9*1.53+2.75*1.53+1*1.53)+(0.6*(3+3.4+4.26+3.59+2.8)))*10.764</f>
        <v>1472.4850607999999</v>
      </c>
      <c r="G208" s="78"/>
      <c r="H208" s="19">
        <v>0</v>
      </c>
      <c r="I208" s="19">
        <f t="shared" si="13"/>
        <v>2208.7275912</v>
      </c>
      <c r="J208" s="1"/>
      <c r="K208" s="1"/>
      <c r="L208" s="1"/>
      <c r="M208" s="1"/>
      <c r="N208" s="1"/>
      <c r="O208" s="1"/>
      <c r="P208" s="1"/>
      <c r="Q208" s="1"/>
      <c r="R208" s="1"/>
      <c r="S208" s="1"/>
      <c r="T208" s="1"/>
      <c r="U208" s="40" t="e">
        <f t="shared" si="14"/>
        <v>#REF!</v>
      </c>
      <c r="V208" s="40" t="e">
        <f>#REF!+1</f>
        <v>#REF!</v>
      </c>
      <c r="W208" s="40" t="e">
        <f>#REF!+1</f>
        <v>#REF!</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73"/>
      <c r="B209" s="74"/>
      <c r="C209" s="77">
        <v>4</v>
      </c>
      <c r="D209" s="78"/>
      <c r="E209" s="77" t="s">
        <v>237</v>
      </c>
      <c r="F209" s="79">
        <f>(1.9*2.59+3.36*6.23+3.05*2.44+2.89*1.68+3.05*3.35+3.36*4.55+3.45*3.97+3.13*1.05+1.85*1.05+(1.38*2.14+1.38*1.06+2.85*1.53+2.29*1.38)+(3.36*1.07+1*2.44)+(0.6*(3.35+3.05+3.45)))*10.764</f>
        <v>1145.9774195999998</v>
      </c>
      <c r="G209" s="79"/>
      <c r="H209" s="79">
        <v>0</v>
      </c>
      <c r="I209" s="79">
        <f t="shared" si="13"/>
        <v>1718.9661293999998</v>
      </c>
      <c r="J209" s="1"/>
      <c r="K209" s="1"/>
      <c r="L209" s="1"/>
      <c r="M209" s="1"/>
      <c r="N209" s="1"/>
      <c r="O209" s="1"/>
      <c r="P209" s="1"/>
      <c r="Q209" s="1"/>
      <c r="R209" s="1"/>
      <c r="S209" s="1"/>
      <c r="T209" s="1"/>
      <c r="U209" s="1" t="e">
        <f t="shared" si="14"/>
        <v>#REF!</v>
      </c>
      <c r="V209" s="1" t="e">
        <f t="shared" ref="V209:W211" si="15">V208+1</f>
        <v>#REF!</v>
      </c>
      <c r="W209" s="1" t="e">
        <f t="shared" si="15"/>
        <v>#REF!</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73"/>
      <c r="B210" s="74"/>
      <c r="C210" s="77">
        <v>5</v>
      </c>
      <c r="D210" s="78"/>
      <c r="E210" s="51" t="s">
        <v>238</v>
      </c>
      <c r="F210" s="77">
        <f>(1.9*2.59+3.36*6.23+3.05*2.44+2.89*2.73+3.05*3.35+3.36*4.55+3.45*3.97+1.85*1.05+3.36*4.7+3.36*1.07+1.37*2.89+3.91*2.81+2.29*1.37+1.05*3.91+(1.38*2.14+1.38*1.06+2.85*1.53+2.29*1.38)+(3.36*1.07+1*2.44)+(0.6*(3.35+3.05+3.45)))*10.764</f>
        <v>1590.7932611999997</v>
      </c>
      <c r="G210" s="78"/>
      <c r="H210" s="19">
        <v>0</v>
      </c>
      <c r="I210" s="19">
        <f t="shared" si="13"/>
        <v>2386.1898917999997</v>
      </c>
      <c r="J210" s="1"/>
      <c r="K210" s="1"/>
      <c r="L210" s="1"/>
      <c r="M210" s="1"/>
      <c r="N210" s="1"/>
      <c r="O210" s="1"/>
      <c r="P210" s="1"/>
      <c r="Q210" s="1"/>
      <c r="R210" s="1"/>
      <c r="S210" s="1"/>
      <c r="T210" s="1"/>
      <c r="U210" s="40" t="e">
        <f t="shared" si="14"/>
        <v>#REF!</v>
      </c>
      <c r="V210" s="40" t="e">
        <f t="shared" si="15"/>
        <v>#REF!</v>
      </c>
      <c r="W210" s="40" t="e">
        <f t="shared" si="15"/>
        <v>#REF!</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75"/>
      <c r="B211" s="76"/>
      <c r="C211" s="77">
        <v>6</v>
      </c>
      <c r="D211" s="78"/>
      <c r="E211" s="51" t="s">
        <v>238</v>
      </c>
      <c r="F211" s="77">
        <f>(1.95*1.53+1.25*3.05+3*3.08+3.05*3.5+2.75*3.08+3.65*8.38+3.59*4.6+4.26*3.59+1*1.73+1*1.22+(1.53*2.29+1.38*2.44+2.44*1.53+2.44*1.53)+(3.9*1.53+2.75*1.53+1*1.53)+(0.6*(3+3.4+4.26+3.59+2.8)))*10.764</f>
        <v>1472.4850607999999</v>
      </c>
      <c r="G211" s="78"/>
      <c r="H211" s="19">
        <v>0</v>
      </c>
      <c r="I211" s="19">
        <f t="shared" si="13"/>
        <v>2208.7275912</v>
      </c>
      <c r="J211" s="1"/>
      <c r="K211" s="1"/>
      <c r="L211" s="1"/>
      <c r="M211" s="1"/>
      <c r="N211" s="1"/>
      <c r="O211" s="1"/>
      <c r="P211" s="1"/>
      <c r="Q211" s="1"/>
      <c r="R211" s="1"/>
      <c r="S211" s="1"/>
      <c r="T211" s="1"/>
      <c r="U211" s="40" t="e">
        <f t="shared" si="14"/>
        <v>#REF!</v>
      </c>
      <c r="V211" s="40" t="e">
        <f t="shared" si="15"/>
        <v>#REF!</v>
      </c>
      <c r="W211" s="40" t="e">
        <f t="shared" si="15"/>
        <v>#REF!</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x14ac:dyDescent="0.25">
      <c r="A212" s="68" t="s">
        <v>259</v>
      </c>
      <c r="B212" s="69"/>
      <c r="C212" s="69"/>
      <c r="D212" s="69"/>
      <c r="E212" s="69"/>
      <c r="F212" s="69"/>
      <c r="G212" s="69"/>
      <c r="H212" s="69"/>
      <c r="I212" s="70"/>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71" t="str">
        <f>A212</f>
        <v>49th Floor (Part Refuge Area)</v>
      </c>
      <c r="B213" s="72"/>
      <c r="C213" s="77">
        <v>1</v>
      </c>
      <c r="D213" s="78"/>
      <c r="E213" s="19" t="s">
        <v>257</v>
      </c>
      <c r="F213" s="77">
        <f>(1.85*1.63+6.55*5.64+2.29*2.83+6.51*3.35+5.36*1.2+3.05*3.75+2.29*2.83+3.05*3.35+3.31*4.85+3.05*3.75+(2.44*1.53+1.38*2.14+2.29*1.46+1.38*2.13+2.44*1.53+2.29*1.46)+(4.14*1.05+1.8*1.05+3.84*1.05+2.29*1.08+2.29*1.08)+6.55*1.08+(0.6*(2.44+2.59+2.69+2.44)))*10.764</f>
        <v>1923.9207624000001</v>
      </c>
      <c r="G213" s="78"/>
      <c r="H213" s="19">
        <v>0</v>
      </c>
      <c r="I213" s="19">
        <f>F213*(($I$105)+1)+H213</f>
        <v>2885.8811436000001</v>
      </c>
      <c r="J213" s="1"/>
      <c r="K213" s="1"/>
      <c r="L213" s="1"/>
      <c r="M213" s="1"/>
      <c r="N213" s="1"/>
      <c r="O213" s="1"/>
      <c r="P213" s="1"/>
      <c r="Q213" s="1"/>
      <c r="R213" s="1"/>
      <c r="S213" s="1"/>
      <c r="T213" s="1"/>
      <c r="U213" s="40" t="e">
        <f ca="1">V213&amp;""&amp;",..,"&amp;""&amp;W213</f>
        <v>#REF!</v>
      </c>
      <c r="V213" s="40" t="e">
        <f ca="1">(SUMPRODUCT(MID(0&amp;(LEFT(A212,SUM(LEN(A212)-LEN(SUBSTITUTE(A212,{"0","1","2","3"},""))))), LARGE(INDEX(ISNUMBER(--MID((LEFT(A212,SUM(LEN(A212)-LEN(SUBSTITUTE(A212,{"0","1","2","3"},""))))), ROW(INDIRECT("1:"&amp;LEN((LEFT(A212,SUM(LEN(A212)-LEN(SUBSTITUTE(A212,{"0","1","2","3"},"")))))))), 1)) * ROW(INDIRECT("1:"&amp;LEN((LEFT(A212,SUM(LEN(A212)-LEN(SUBSTITUTE(A212,{"0","1","2","3"},"")))))))), 0), ROW(INDIRECT("1:"&amp;LEN((LEFT(A212,SUM(LEN(A212)-LEN(SUBSTITUTE(A212,{"0","1","2","3"},"")))))))))+1, 1) * 10^ROW(INDIRECT("1:"&amp;LEN((LEFT(A212,SUM(LEN(A212)-LEN(SUBSTITUTE(A212,{"0","1","2","3"},""))))))))/10))*100+1</f>
        <v>#REF!</v>
      </c>
      <c r="W213" s="40">
        <f ca="1">(SUMPRODUCT(MID(0&amp;(--TRIM(RIGHT(SUBSTITUTE(LEFT(A212,_xlfn.AGGREGATE(16,6,FIND({0,1,2,3,4,5,6,7,8,9},A212,ROW(INDIRECT("1:"&amp;LEN(A212)))),1)),"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",LEN(A212))),LEN(A212)))))))/10))*100+1</f>
        <v>4901</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73"/>
      <c r="B214" s="74"/>
      <c r="C214" s="77">
        <v>3</v>
      </c>
      <c r="D214" s="78"/>
      <c r="E214" s="19" t="s">
        <v>238</v>
      </c>
      <c r="F214" s="77">
        <f>(1.95*1.53+1.25*3.05+3*3.08+3.05*3.5+2.75*3.08+3.65*8.38+3.59*4.6+4.26*3.59+1*1.73+1*1.22+(1.53*2.29+1.38*2.44+2.44*1.53+2.44*1.53)+(3.9*1.53+2.75*1.53+1*1.53)+(0.6*(3+3.4+4.26+3.59+2.8)))*10.764</f>
        <v>1472.4850607999999</v>
      </c>
      <c r="G214" s="78"/>
      <c r="H214" s="19">
        <v>0</v>
      </c>
      <c r="I214" s="19">
        <f>F214*(($I$105)+1)+H214</f>
        <v>2208.7275912</v>
      </c>
      <c r="J214" s="1"/>
      <c r="K214" s="1"/>
      <c r="L214" s="1"/>
      <c r="M214" s="1"/>
      <c r="N214" s="1"/>
      <c r="O214" s="1"/>
      <c r="P214" s="1"/>
      <c r="Q214" s="1"/>
      <c r="R214" s="1"/>
      <c r="S214" s="1"/>
      <c r="T214" s="1"/>
      <c r="U214" s="40" t="e">
        <f>V214&amp;""&amp;",..,"&amp;""&amp;W214</f>
        <v>#REF!</v>
      </c>
      <c r="V214" s="40" t="e">
        <f>#REF!+1</f>
        <v>#REF!</v>
      </c>
      <c r="W214" s="40" t="e">
        <f>#REF!+1</f>
        <v>#REF!</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73"/>
      <c r="B215" s="74"/>
      <c r="C215" s="77">
        <v>4</v>
      </c>
      <c r="D215" s="78"/>
      <c r="E215" s="77" t="s">
        <v>237</v>
      </c>
      <c r="F215" s="79">
        <f>(1.9*2.59+3.36*6.23+3.05*2.44+2.89*1.68+3.05*3.35+3.36*4.55+3.45*3.97+3.13*1.05+1.85*1.05+(1.38*2.14+1.38*1.06+2.85*1.53+2.29*1.38)+(3.36*1.07+1*2.44)+(0.6*(3.35+3.05+3.45)))*10.764</f>
        <v>1145.9774195999998</v>
      </c>
      <c r="G215" s="79"/>
      <c r="H215" s="79">
        <v>0</v>
      </c>
      <c r="I215" s="79">
        <f>F215*(($I$105)+1)+H215</f>
        <v>1718.9661293999998</v>
      </c>
      <c r="J215" s="1"/>
      <c r="K215" s="1"/>
      <c r="L215" s="1"/>
      <c r="M215" s="1"/>
      <c r="N215" s="1"/>
      <c r="O215" s="1"/>
      <c r="P215" s="1"/>
      <c r="Q215" s="1"/>
      <c r="R215" s="1"/>
      <c r="S215" s="1"/>
      <c r="T215" s="1"/>
      <c r="U215" s="1" t="e">
        <f>V215&amp;""&amp;",..,"&amp;""&amp;W215</f>
        <v>#REF!</v>
      </c>
      <c r="V215" s="1" t="e">
        <f t="shared" ref="V215:W217" si="16">V214+1</f>
        <v>#REF!</v>
      </c>
      <c r="W215" s="1" t="e">
        <f t="shared" si="16"/>
        <v>#REF!</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73"/>
      <c r="B216" s="74"/>
      <c r="C216" s="77">
        <v>5</v>
      </c>
      <c r="D216" s="78"/>
      <c r="E216" s="51" t="s">
        <v>238</v>
      </c>
      <c r="F216" s="77">
        <f>(1.9*2.59+3.36*6.23+3.05*2.44+2.89*2.73+3.05*3.35+3.36*4.55+3.45*3.97+1.85*1.05+3.36*4.7+3.36*1.07+1.37*2.89+3.91*2.81+2.29*1.37+1.05*3.91+(1.38*2.14+1.38*1.06+2.85*1.53+2.29*1.38)+(3.36*1.07+1*2.44)+(0.6*(3.35+3.05+3.45)))*10.764</f>
        <v>1590.7932611999997</v>
      </c>
      <c r="G216" s="78"/>
      <c r="H216" s="19">
        <v>0</v>
      </c>
      <c r="I216" s="19">
        <f>F216*(($I$105)+1)+H216</f>
        <v>2386.1898917999997</v>
      </c>
      <c r="J216" s="1"/>
      <c r="K216" s="1"/>
      <c r="L216" s="1"/>
      <c r="M216" s="1"/>
      <c r="N216" s="1"/>
      <c r="O216" s="1"/>
      <c r="P216" s="1"/>
      <c r="Q216" s="1"/>
      <c r="R216" s="1"/>
      <c r="S216" s="1"/>
      <c r="T216" s="1"/>
      <c r="U216" s="40" t="e">
        <f>V216&amp;""&amp;",..,"&amp;""&amp;W216</f>
        <v>#REF!</v>
      </c>
      <c r="V216" s="40" t="e">
        <f t="shared" si="16"/>
        <v>#REF!</v>
      </c>
      <c r="W216" s="40" t="e">
        <f t="shared" si="16"/>
        <v>#REF!</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75"/>
      <c r="B217" s="76"/>
      <c r="C217" s="77">
        <v>6</v>
      </c>
      <c r="D217" s="78"/>
      <c r="E217" s="51" t="s">
        <v>238</v>
      </c>
      <c r="F217" s="77">
        <f>(1.95*1.53+1.25*3.05+3*3.08+3.05*3.5+2.75*3.08+3.65*8.38+3.59*4.6+4.26*3.59+1*1.73+1*1.22+(1.53*2.29+1.38*2.44+2.44*1.53+2.44*1.53)+(3.9*1.53+2.75*1.53+1*1.53)+(0.6*(3+3.4+4.26+3.59+2.8)))*10.764</f>
        <v>1472.4850607999999</v>
      </c>
      <c r="G217" s="78"/>
      <c r="H217" s="19">
        <v>0</v>
      </c>
      <c r="I217" s="19">
        <f>F217*(($I$105)+1)+H217</f>
        <v>2208.7275912</v>
      </c>
      <c r="J217" s="1"/>
      <c r="K217" s="1"/>
      <c r="L217" s="1"/>
      <c r="M217" s="1"/>
      <c r="N217" s="1"/>
      <c r="O217" s="1"/>
      <c r="P217" s="1"/>
      <c r="Q217" s="1"/>
      <c r="R217" s="1"/>
      <c r="S217" s="1"/>
      <c r="T217" s="1"/>
      <c r="U217" s="40" t="e">
        <f>V217&amp;""&amp;",..,"&amp;""&amp;W217</f>
        <v>#REF!</v>
      </c>
      <c r="V217" s="40" t="e">
        <f t="shared" si="16"/>
        <v>#REF!</v>
      </c>
      <c r="W217" s="40" t="e">
        <f t="shared" si="16"/>
        <v>#REF!</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x14ac:dyDescent="0.25">
      <c r="A218" s="68" t="s">
        <v>260</v>
      </c>
      <c r="B218" s="69"/>
      <c r="C218" s="69"/>
      <c r="D218" s="69"/>
      <c r="E218" s="69"/>
      <c r="F218" s="69"/>
      <c r="G218" s="69"/>
      <c r="H218" s="69"/>
      <c r="I218" s="70"/>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71" t="str">
        <f>A218</f>
        <v>50th Floor</v>
      </c>
      <c r="B219" s="72"/>
      <c r="C219" s="77">
        <v>1</v>
      </c>
      <c r="D219" s="78"/>
      <c r="E219" s="19" t="s">
        <v>257</v>
      </c>
      <c r="F219" s="77">
        <f>(1.85*1.63+6.55*5.64+2.29*2.83+6.51*3.35+5.36*1.2+3.05*3.75+2.29*2.83+3.05*3.35+3.31*4.85+3.05*3.75+(2.44*1.53+1.38*2.14+2.29*1.46+1.38*2.13+2.44*1.53+2.29*1.46)+(4.14*1.05+1.8*1.05+3.84*1.05+2.29*1.08+2.29*1.08)+6.55*1.08+(0.6*(2.44+2.59+2.69+2.44)))*10.764</f>
        <v>1923.9207624000001</v>
      </c>
      <c r="G219" s="78"/>
      <c r="H219" s="19">
        <v>0</v>
      </c>
      <c r="I219" s="19">
        <f>F219*(($I$105)+1)+H219</f>
        <v>2885.8811436000001</v>
      </c>
      <c r="J219" s="1"/>
      <c r="K219" s="1"/>
      <c r="L219" s="1"/>
      <c r="M219" s="1"/>
      <c r="N219" s="1"/>
      <c r="O219" s="1"/>
      <c r="P219" s="1"/>
      <c r="Q219" s="1"/>
      <c r="R219" s="1"/>
      <c r="S219" s="1"/>
      <c r="T219" s="1"/>
      <c r="U219" s="40" t="str">
        <f ca="1">V219&amp;""&amp;",..,"&amp;""&amp;W219</f>
        <v>501,..,5001</v>
      </c>
      <c r="V219" s="40">
        <f ca="1">(SUMPRODUCT(MID(0&amp;(LEFT(A218,SUM(LEN(A218)-LEN(SUBSTITUTE(A218,{"0","1","2","3"},""))))), LARGE(INDEX(ISNUMBER(--MID((LEFT(A218,SUM(LEN(A218)-LEN(SUBSTITUTE(A218,{"0","1","2","3"},""))))), ROW(INDIRECT("1:"&amp;LEN((LEFT(A218,SUM(LEN(A218)-LEN(SUBSTITUTE(A218,{"0","1","2","3"},"")))))))), 1)) * ROW(INDIRECT("1:"&amp;LEN((LEFT(A218,SUM(LEN(A218)-LEN(SUBSTITUTE(A218,{"0","1","2","3"},"")))))))), 0), ROW(INDIRECT("1:"&amp;LEN((LEFT(A218,SUM(LEN(A218)-LEN(SUBSTITUTE(A218,{"0","1","2","3"},"")))))))))+1, 1) * 10^ROW(INDIRECT("1:"&amp;LEN((LEFT(A218,SUM(LEN(A218)-LEN(SUBSTITUTE(A218,{"0","1","2","3"},""))))))))/10))*100+1</f>
        <v>501</v>
      </c>
      <c r="W219" s="40">
        <f ca="1">(SUMPRODUCT(MID(0&amp;(--TRIM(RIGHT(SUBSTITUTE(LEFT(A218,_xlfn.AGGREGATE(16,6,FIND({0,1,2,3,4,5,6,7,8,9},A218,ROW(INDIRECT("1:"&amp;LEN(A218)))),1)),"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",LEN(A218))),LEN(A218)))))))/10))*100+1</f>
        <v>5001</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40.5" customHeight="1" x14ac:dyDescent="0.25">
      <c r="A220" s="73"/>
      <c r="B220" s="74"/>
      <c r="C220" s="77">
        <v>3</v>
      </c>
      <c r="D220" s="78"/>
      <c r="E220" s="19" t="s">
        <v>262</v>
      </c>
      <c r="F220" s="77">
        <f>((2.3*1.93+1.52*1.7+1.43*0.45+3.05*3.5+3.83*3.33+5*3.68+2.48*1.23+7.64*3.28+1.31*1.32+1.31*1.52+4.29*3.59+3.59*0.55+3.59*0.55+(1.38*1.05+1.52*2.29+2.13*1.22+2.13*1.37)+(7.64*1.5+3.28*1.5+2.4*1.53)+(0.6*(2.8+4+2.48+2.2)))+(2.6*1.5+4.75*3.33+3.83*1.38+5.25*3.37+5.44*3.37+4.26*3.53+4.8*3.01+3.58*3.53+3.53*2.2)+(1.53*2.61+1.38*3.33+2.44*1.53+1.53*3.59+1.53*1.35)+1.53*1.8+(0.8*(3.55+4.26+2.9)))*10.764</f>
        <v>3015.873666</v>
      </c>
      <c r="G220" s="78"/>
      <c r="H220" s="19">
        <v>0</v>
      </c>
      <c r="I220" s="19">
        <f>F220*(($I$105)+1)+H220</f>
        <v>4523.8104990000002</v>
      </c>
      <c r="J220" s="1"/>
      <c r="K220" s="1"/>
      <c r="L220" s="1"/>
      <c r="M220" s="1"/>
      <c r="N220" s="1"/>
      <c r="O220" s="1"/>
      <c r="P220" s="1"/>
      <c r="Q220" s="1"/>
      <c r="R220" s="1"/>
      <c r="S220" s="1"/>
      <c r="T220" s="1"/>
      <c r="U220" s="40" t="e">
        <f>V220&amp;""&amp;",..,"&amp;""&amp;W220</f>
        <v>#REF!</v>
      </c>
      <c r="V220" s="40" t="e">
        <f>#REF!+1</f>
        <v>#REF!</v>
      </c>
      <c r="W220" s="40" t="e">
        <f>#REF!+1</f>
        <v>#REF!</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42" customHeight="1" x14ac:dyDescent="0.25">
      <c r="A221" s="73"/>
      <c r="B221" s="74"/>
      <c r="C221" s="77">
        <v>4</v>
      </c>
      <c r="D221" s="78"/>
      <c r="E221" s="19" t="s">
        <v>263</v>
      </c>
      <c r="F221" s="77">
        <f>((1.9*4.88+2.3*1.3+3.35*4.55+3.05*3.35+2.74*2.42+3.36*7.52+7.2*5.41+3.51*3.98+2.05*2.25+4.2*4.12+6.55*3.98+1.22*1.78+1.9*5.49+1.77*1.2+3.55*0.57+3.08*0.57+1.22*1.45+2.09*1.05+(2.85*1.52+1.37*2.29+1.75*1.96+1.38*2.63+2.85*2.1+2.69*1.59)+(5.95*0.9+1.22*14.37+0.5*7.25*1.67+0.5*7.25*1.67)+(0.6*(6.55+6.95)))+(1.9*3.25+3.36*2.77+1.31*1.35+2.89*1.26+2.89*2.66+1.22*1.45+2.85*1.53+5.8*0.57+6.55*3.98+1.38*2.12+1.38*2.29+3.36*4.55+1.53*5.7+3.8*3.63+3.36*4.55+1.38*2.63+1.38*1.76+6.8*4.55+1.99*1.21+4.59*0.57+2.85*1.53+1.22*1.68+2.69*1.84+4.2*2.22+2.55*0.49+1.5*1.46+3.39*1.9+1.53*3.4))*10.764</f>
        <v>4972.2209783999997</v>
      </c>
      <c r="G221" s="78"/>
      <c r="H221" s="19">
        <v>0</v>
      </c>
      <c r="I221" s="19">
        <f>F221*(($I$105)+1)+H221</f>
        <v>7458.3314675999991</v>
      </c>
      <c r="J221" s="1"/>
      <c r="K221" s="1"/>
      <c r="L221" s="1"/>
      <c r="M221" s="1"/>
      <c r="N221" s="1"/>
      <c r="O221" s="1"/>
      <c r="P221" s="1"/>
      <c r="Q221" s="1"/>
      <c r="R221" s="1"/>
      <c r="S221" s="1"/>
      <c r="T221" s="1"/>
      <c r="U221" s="40" t="e">
        <f>V221&amp;""&amp;",..,"&amp;""&amp;W221</f>
        <v>#REF!</v>
      </c>
      <c r="V221" s="40" t="e">
        <f>V220+1</f>
        <v>#REF!</v>
      </c>
      <c r="W221" s="40" t="e">
        <f>W220+1</f>
        <v>#REF!</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40.5" customHeight="1" x14ac:dyDescent="0.25">
      <c r="A222" s="75"/>
      <c r="B222" s="76"/>
      <c r="C222" s="77">
        <v>6</v>
      </c>
      <c r="D222" s="78"/>
      <c r="E222" s="19" t="s">
        <v>262</v>
      </c>
      <c r="F222" s="77">
        <f>((2.3*1.93+1.52*1.7+1.43*0.45+3.05*3.5+3.83*3.33+5*3.68+2.48*1.23+7.65*3.28+1.31*1.32+1.31*1.52+4.29*3.59+3.59*0.55+3.59*0.55+(1.38*1.05+1.52*2.29+2.13*1.22+2.13*1.37)+(7.64*1.5+3.28*1.5+2.4*1.53)+(0.6*(2.8+4+2.48+2.2)))+(2.6*1.5+4.75*3.33+3.83*1.38+5.25*3.37+5.44*3.37+4.26*3.53+4.8*3.01+3.58*3.53+3.53*2.2)+(1.53*2.61+1.38*3.33+2.44*1.53+1.53*3.59+1.53*1.35)+1.53*1.8+(0.8*(3.55+4.26+2.9)))*10.764</f>
        <v>3016.2267251999997</v>
      </c>
      <c r="G222" s="78"/>
      <c r="H222" s="19">
        <v>0</v>
      </c>
      <c r="I222" s="19">
        <f>F222*(($I$105)+1)+H222</f>
        <v>4524.3400877999993</v>
      </c>
      <c r="J222" s="1"/>
      <c r="K222" s="1"/>
      <c r="L222" s="1"/>
      <c r="M222" s="1"/>
      <c r="N222" s="1"/>
      <c r="O222" s="1"/>
      <c r="P222" s="1"/>
      <c r="Q222" s="1"/>
      <c r="R222" s="1"/>
      <c r="S222" s="1"/>
      <c r="T222" s="1"/>
      <c r="U222" s="40" t="e">
        <f>V222&amp;""&amp;",..,"&amp;""&amp;W222</f>
        <v>#REF!</v>
      </c>
      <c r="V222" s="40" t="e">
        <f>#REF!+1</f>
        <v>#REF!</v>
      </c>
      <c r="W222" s="40" t="e">
        <f>#REF!+1</f>
        <v>#REF!</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x14ac:dyDescent="0.25">
      <c r="A223" s="68" t="s">
        <v>261</v>
      </c>
      <c r="B223" s="69"/>
      <c r="C223" s="69"/>
      <c r="D223" s="69"/>
      <c r="E223" s="69"/>
      <c r="F223" s="69"/>
      <c r="G223" s="69"/>
      <c r="H223" s="69"/>
      <c r="I223" s="70"/>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71" t="str">
        <f>A223</f>
        <v>51st Floor</v>
      </c>
      <c r="B224" s="72"/>
      <c r="C224" s="77">
        <v>1</v>
      </c>
      <c r="D224" s="78"/>
      <c r="E224" s="19" t="s">
        <v>257</v>
      </c>
      <c r="F224" s="77">
        <f>(1.85*1.63+6.55*5.64+2.29*2.83+6.51*3.35+5.36*1.2+3.05*3.75+2.29*2.83+3.05*3.35+3.31*4.85+3.05*3.75+(2.44*1.53+1.38*2.14+2.29*1.46+1.38*2.13+2.44*1.53+2.29*1.46)+(4.14*1.05+1.8*1.05+3.84*1.05+2.29*1.08+2.29*1.08)+6.55*1.08+(0.6*(2.44+2.59+2.69+2.44)))*10.764</f>
        <v>1923.9207624000001</v>
      </c>
      <c r="G224" s="78"/>
      <c r="H224" s="19">
        <v>0</v>
      </c>
      <c r="I224" s="19">
        <f>F224*(($I$105)+1)+H224</f>
        <v>2885.8811436000001</v>
      </c>
      <c r="J224" s="1"/>
      <c r="K224" s="1"/>
      <c r="L224" s="1"/>
      <c r="M224" s="1"/>
      <c r="N224" s="1"/>
      <c r="O224" s="1"/>
      <c r="P224" s="1"/>
      <c r="Q224" s="1"/>
      <c r="R224" s="1"/>
      <c r="S224" s="1"/>
      <c r="T224" s="1"/>
      <c r="U224" s="40" t="str">
        <f ca="1">V224&amp;""&amp;",..,"&amp;""&amp;W224</f>
        <v>501,..,5101</v>
      </c>
      <c r="V224" s="40">
        <f ca="1">(SUMPRODUCT(MID(0&amp;(LEFT(A223,SUM(LEN(A223)-LEN(SUBSTITUTE(A223,{"0","1","2","3"},""))))), LARGE(INDEX(ISNUMBER(--MID((LEFT(A223,SUM(LEN(A223)-LEN(SUBSTITUTE(A223,{"0","1","2","3"},""))))), ROW(INDIRECT("1:"&amp;LEN((LEFT(A223,SUM(LEN(A223)-LEN(SUBSTITUTE(A223,{"0","1","2","3"},"")))))))), 1)) * ROW(INDIRECT("1:"&amp;LEN((LEFT(A223,SUM(LEN(A223)-LEN(SUBSTITUTE(A223,{"0","1","2","3"},"")))))))), 0), ROW(INDIRECT("1:"&amp;LEN((LEFT(A223,SUM(LEN(A223)-LEN(SUBSTITUTE(A223,{"0","1","2","3"},"")))))))))+1, 1) * 10^ROW(INDIRECT("1:"&amp;LEN((LEFT(A223,SUM(LEN(A223)-LEN(SUBSTITUTE(A223,{"0","1","2","3"},""))))))))/10))*100+1</f>
        <v>501</v>
      </c>
      <c r="W224" s="40">
        <f ca="1">(SUMPRODUCT(MID(0&amp;(--TRIM(RIGHT(SUBSTITUTE(LEFT(A223,_xlfn.AGGREGATE(16,6,FIND({0,1,2,3,4,5,6,7,8,9},A223,ROW(INDIRECT("1:"&amp;LEN(A223)))),1)),"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5101</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40.5" customHeight="1" x14ac:dyDescent="0.25">
      <c r="A225" s="73"/>
      <c r="B225" s="74"/>
      <c r="C225" s="77">
        <v>3</v>
      </c>
      <c r="D225" s="78"/>
      <c r="E225" s="77" t="s">
        <v>264</v>
      </c>
      <c r="F225" s="79"/>
      <c r="G225" s="79"/>
      <c r="H225" s="79"/>
      <c r="I225" s="78"/>
      <c r="J225" s="1"/>
      <c r="K225" s="1"/>
      <c r="L225" s="1"/>
      <c r="M225" s="1"/>
      <c r="N225" s="1"/>
      <c r="O225" s="1"/>
      <c r="P225" s="1"/>
      <c r="Q225" s="1"/>
      <c r="R225" s="1"/>
      <c r="S225" s="1"/>
      <c r="T225" s="1"/>
      <c r="U225" s="40" t="e">
        <f>V225&amp;""&amp;",..,"&amp;""&amp;W225</f>
        <v>#REF!</v>
      </c>
      <c r="V225" s="40" t="e">
        <f>#REF!+1</f>
        <v>#REF!</v>
      </c>
      <c r="W225" s="40" t="e">
        <f>#REF!+1</f>
        <v>#REF!</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40.5" customHeight="1" x14ac:dyDescent="0.25">
      <c r="A226" s="73"/>
      <c r="B226" s="74"/>
      <c r="C226" s="77">
        <v>4</v>
      </c>
      <c r="D226" s="78"/>
      <c r="E226" s="77" t="s">
        <v>265</v>
      </c>
      <c r="F226" s="79"/>
      <c r="G226" s="79"/>
      <c r="H226" s="79"/>
      <c r="I226" s="78"/>
      <c r="J226" s="1"/>
      <c r="K226" s="1"/>
      <c r="L226" s="1"/>
      <c r="M226" s="1"/>
      <c r="N226" s="1"/>
      <c r="O226" s="1"/>
      <c r="P226" s="1"/>
      <c r="Q226" s="1"/>
      <c r="R226" s="1"/>
      <c r="S226" s="1"/>
      <c r="T226" s="1"/>
      <c r="U226" s="40" t="e">
        <f>V226&amp;""&amp;",..,"&amp;""&amp;W226</f>
        <v>#REF!</v>
      </c>
      <c r="V226" s="40" t="e">
        <f>V225+1</f>
        <v>#REF!</v>
      </c>
      <c r="W226" s="40" t="e">
        <f>W225+1</f>
        <v>#REF!</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40.5" customHeight="1" x14ac:dyDescent="0.25">
      <c r="A227" s="75"/>
      <c r="B227" s="76"/>
      <c r="C227" s="77">
        <v>6</v>
      </c>
      <c r="D227" s="78"/>
      <c r="E227" s="77" t="s">
        <v>264</v>
      </c>
      <c r="F227" s="79"/>
      <c r="G227" s="79"/>
      <c r="H227" s="79"/>
      <c r="I227" s="78"/>
      <c r="J227" s="1"/>
      <c r="K227" s="1"/>
      <c r="L227" s="1"/>
      <c r="M227" s="1"/>
      <c r="N227" s="1"/>
      <c r="O227" s="1"/>
      <c r="P227" s="1"/>
      <c r="Q227" s="1"/>
      <c r="R227" s="1"/>
      <c r="S227" s="1"/>
      <c r="T227" s="1"/>
      <c r="U227" s="40" t="e">
        <f>V227&amp;""&amp;",..,"&amp;""&amp;W227</f>
        <v>#REF!</v>
      </c>
      <c r="V227" s="40" t="e">
        <f>#REF!+1</f>
        <v>#REF!</v>
      </c>
      <c r="W227" s="40" t="e">
        <f>#REF!+1</f>
        <v>#REF!</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x14ac:dyDescent="0.25">
      <c r="A228" s="68" t="s">
        <v>277</v>
      </c>
      <c r="B228" s="69"/>
      <c r="C228" s="69"/>
      <c r="D228" s="69"/>
      <c r="E228" s="69"/>
      <c r="F228" s="69"/>
      <c r="G228" s="69"/>
      <c r="H228" s="69"/>
      <c r="I228" s="8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x14ac:dyDescent="0.25">
      <c r="A229" s="68" t="s">
        <v>204</v>
      </c>
      <c r="B229" s="69"/>
      <c r="C229" s="69"/>
      <c r="D229" s="69"/>
      <c r="E229" s="69"/>
      <c r="F229" s="69"/>
      <c r="G229" s="69"/>
      <c r="H229" s="69"/>
      <c r="I229" s="8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x14ac:dyDescent="0.25">
      <c r="A230" s="68" t="s">
        <v>205</v>
      </c>
      <c r="B230" s="69"/>
      <c r="C230" s="69"/>
      <c r="D230" s="69"/>
      <c r="E230" s="69"/>
      <c r="F230" s="69"/>
      <c r="G230" s="69"/>
      <c r="H230" s="69"/>
      <c r="I230" s="8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x14ac:dyDescent="0.25">
      <c r="A231" s="68" t="s">
        <v>270</v>
      </c>
      <c r="B231" s="69"/>
      <c r="C231" s="69"/>
      <c r="D231" s="69"/>
      <c r="E231" s="69"/>
      <c r="F231" s="69"/>
      <c r="G231" s="69"/>
      <c r="H231" s="69"/>
      <c r="I231" s="8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x14ac:dyDescent="0.25">
      <c r="A232" s="68" t="s">
        <v>207</v>
      </c>
      <c r="B232" s="69"/>
      <c r="C232" s="69"/>
      <c r="D232" s="69"/>
      <c r="E232" s="69"/>
      <c r="F232" s="69"/>
      <c r="G232" s="69"/>
      <c r="H232" s="69"/>
      <c r="I232" s="8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x14ac:dyDescent="0.25">
      <c r="A233" s="68" t="s">
        <v>208</v>
      </c>
      <c r="B233" s="69"/>
      <c r="C233" s="69"/>
      <c r="D233" s="69"/>
      <c r="E233" s="69"/>
      <c r="F233" s="69"/>
      <c r="G233" s="69"/>
      <c r="H233" s="69"/>
      <c r="I233" s="8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71" t="str">
        <f>A233</f>
        <v>4th Podium Floor For Residential, Parking &amp; Amenities</v>
      </c>
      <c r="B234" s="72"/>
      <c r="C234" s="80" t="s">
        <v>212</v>
      </c>
      <c r="D234" s="80"/>
      <c r="E234" s="77" t="s">
        <v>209</v>
      </c>
      <c r="F234" s="79"/>
      <c r="G234" s="79"/>
      <c r="H234" s="79"/>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25">
      <c r="A235" s="73"/>
      <c r="B235" s="74"/>
      <c r="C235" s="80" t="s">
        <v>213</v>
      </c>
      <c r="D235" s="80"/>
      <c r="E235" s="77" t="s">
        <v>209</v>
      </c>
      <c r="F235" s="79"/>
      <c r="G235" s="79"/>
      <c r="H235" s="79">
        <v>0</v>
      </c>
      <c r="I235" s="79">
        <f>F235*(($I$105)+1)+H235</f>
        <v>0</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73"/>
      <c r="B236" s="74"/>
      <c r="C236" s="80" t="s">
        <v>214</v>
      </c>
      <c r="D236" s="80"/>
      <c r="E236" s="77" t="s">
        <v>209</v>
      </c>
      <c r="F236" s="79"/>
      <c r="G236" s="79"/>
      <c r="H236" s="79">
        <v>1</v>
      </c>
      <c r="I236" s="79">
        <f>F236*(($I$105)+1)+H236</f>
        <v>1</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73"/>
      <c r="B237" s="74"/>
      <c r="C237" s="80" t="s">
        <v>215</v>
      </c>
      <c r="D237" s="80"/>
      <c r="E237" s="19" t="s">
        <v>211</v>
      </c>
      <c r="F237" s="77">
        <f>(1.9*2.59+3.36*6.23+3.05*2.44+2.89*2.73+3.05*3.35+3.36*4.55+3.45*3.97+1.85*1.05+(1.38*2.14+1.38*1.06+2.85*1.53+2.29*1.38)+(3.36*1.07+1*2.44)+(0.6*(3.35+3.05+3.45)))*10.764</f>
        <v>1143.2648915999998</v>
      </c>
      <c r="G237" s="78"/>
      <c r="H237" s="19">
        <v>0</v>
      </c>
      <c r="I237" s="19">
        <f>F237*(($I$105)+1)+H237</f>
        <v>1714.8973373999997</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75"/>
      <c r="B238" s="76"/>
      <c r="C238" s="80" t="s">
        <v>216</v>
      </c>
      <c r="D238" s="80"/>
      <c r="E238" s="19" t="s">
        <v>211</v>
      </c>
      <c r="F238" s="77">
        <f>(1.9*2.59+3.36*6.23+3.05*2.44+2.89*2.73+3.05*3.35+3.36*4.55+3.45*3.97+1.85*1.05+(1.38*2.14+1.38*1.06+2.85*1.53+2.29*1.38)+(3.36*1.07+1*2.44)+(0.6*(3.35+3.05+3.45)))*10.764</f>
        <v>1143.2648915999998</v>
      </c>
      <c r="G238" s="78"/>
      <c r="H238" s="19">
        <v>0</v>
      </c>
      <c r="I238" s="19">
        <f>F238*(($I$105)+1)+H238</f>
        <v>1714.8973373999997</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x14ac:dyDescent="0.25">
      <c r="A239" s="68" t="s">
        <v>217</v>
      </c>
      <c r="B239" s="69"/>
      <c r="C239" s="69"/>
      <c r="D239" s="69"/>
      <c r="E239" s="69"/>
      <c r="F239" s="69"/>
      <c r="G239" s="69"/>
      <c r="H239" s="69"/>
      <c r="I239" s="8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71" t="str">
        <f>A239</f>
        <v>5th Podium Floor For Residential, Parking &amp; Amenities</v>
      </c>
      <c r="B240" s="72"/>
      <c r="C240" s="80" t="s">
        <v>218</v>
      </c>
      <c r="D240" s="80"/>
      <c r="E240" s="77" t="s">
        <v>209</v>
      </c>
      <c r="F240" s="79"/>
      <c r="G240" s="79"/>
      <c r="H240" s="79"/>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73"/>
      <c r="B241" s="74"/>
      <c r="C241" s="80" t="s">
        <v>219</v>
      </c>
      <c r="D241" s="80"/>
      <c r="E241" s="77" t="s">
        <v>209</v>
      </c>
      <c r="F241" s="79"/>
      <c r="G241" s="79"/>
      <c r="H241" s="79">
        <v>0</v>
      </c>
      <c r="I241" s="79">
        <f>F241*(($I$105)+1)+H241</f>
        <v>0</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73"/>
      <c r="B242" s="74"/>
      <c r="C242" s="80" t="s">
        <v>220</v>
      </c>
      <c r="D242" s="80"/>
      <c r="E242" s="77" t="s">
        <v>209</v>
      </c>
      <c r="F242" s="79"/>
      <c r="G242" s="79"/>
      <c r="H242" s="79">
        <v>1</v>
      </c>
      <c r="I242" s="79">
        <f>F242*(($I$105)+1)+H242</f>
        <v>1</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73"/>
      <c r="B243" s="74"/>
      <c r="C243" s="80" t="s">
        <v>221</v>
      </c>
      <c r="D243" s="80"/>
      <c r="E243" s="19" t="s">
        <v>211</v>
      </c>
      <c r="F243" s="77">
        <f>(1.9*2.59+3.36*6.23+3.05*2.44+2.89*2.73+3.05*3.35+3.36*4.55+3.45*3.97+1.85*1.05+(1.38*2.14+1.38*1.06+2.85*1.53+2.29*1.38)+(3.36*1.07+1*2.44)+(0.6*(3.35+3.05+3.45)))*10.764</f>
        <v>1143.2648915999998</v>
      </c>
      <c r="G243" s="78"/>
      <c r="H243" s="19">
        <v>0</v>
      </c>
      <c r="I243" s="19">
        <f>F243*(($I$105)+1)+H243</f>
        <v>1714.8973373999997</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75"/>
      <c r="B244" s="76"/>
      <c r="C244" s="80" t="s">
        <v>222</v>
      </c>
      <c r="D244" s="80"/>
      <c r="E244" s="19" t="s">
        <v>211</v>
      </c>
      <c r="F244" s="77">
        <f>(1.9*2.59+3.36*6.23+3.05*2.44+2.89*2.73+3.05*3.35+3.36*4.55+3.45*3.97+1.85*1.05+(1.38*2.14+1.38*1.06+2.85*1.53+2.29*1.38)+(3.36*1.07+1*2.44)+(0.6*(3.35+3.05+3.45)))*10.764</f>
        <v>1143.2648915999998</v>
      </c>
      <c r="G244" s="78"/>
      <c r="H244" s="19">
        <v>0</v>
      </c>
      <c r="I244" s="19">
        <f>F244*(($I$105)+1)+H244</f>
        <v>1714.8973373999997</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x14ac:dyDescent="0.25">
      <c r="A245" s="68" t="s">
        <v>271</v>
      </c>
      <c r="B245" s="69"/>
      <c r="C245" s="69"/>
      <c r="D245" s="69"/>
      <c r="E245" s="69"/>
      <c r="F245" s="69"/>
      <c r="G245" s="69"/>
      <c r="H245" s="69"/>
      <c r="I245" s="8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71" t="str">
        <f>A245</f>
        <v>6th Podium Floor For Residential, Parking &amp; Amenities</v>
      </c>
      <c r="B246" s="72"/>
      <c r="C246" s="80" t="s">
        <v>224</v>
      </c>
      <c r="D246" s="80"/>
      <c r="E246" s="77" t="s">
        <v>209</v>
      </c>
      <c r="F246" s="79"/>
      <c r="G246" s="79"/>
      <c r="H246" s="79"/>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73"/>
      <c r="B247" s="74"/>
      <c r="C247" s="80" t="s">
        <v>225</v>
      </c>
      <c r="D247" s="80"/>
      <c r="E247" s="77" t="s">
        <v>209</v>
      </c>
      <c r="F247" s="79"/>
      <c r="G247" s="79"/>
      <c r="H247" s="79">
        <v>0</v>
      </c>
      <c r="I247" s="79">
        <f>F247*(($I$105)+1)+H247</f>
        <v>0</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73"/>
      <c r="B248" s="74"/>
      <c r="C248" s="80" t="s">
        <v>226</v>
      </c>
      <c r="D248" s="80"/>
      <c r="E248" s="77" t="s">
        <v>209</v>
      </c>
      <c r="F248" s="79"/>
      <c r="G248" s="79"/>
      <c r="H248" s="79">
        <v>1</v>
      </c>
      <c r="I248" s="79">
        <f>F248*(($I$105)+1)+H248</f>
        <v>1</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73"/>
      <c r="B249" s="74"/>
      <c r="C249" s="80" t="s">
        <v>227</v>
      </c>
      <c r="D249" s="80"/>
      <c r="E249" s="19" t="s">
        <v>211</v>
      </c>
      <c r="F249" s="77">
        <f>(1.9*2.59+3.36*6.23+3.05*2.44+2.89*2.73+3.05*3.35+3.36*4.55+3.45*3.97+1.85*1.05+(1.38*2.14+1.38*1.06+2.85*1.53+2.29*1.38)+(3.36*1.07+1*2.44)+(0.6*(3.35+3.05+3.45)))*10.764</f>
        <v>1143.2648915999998</v>
      </c>
      <c r="G249" s="78"/>
      <c r="H249" s="19">
        <v>0</v>
      </c>
      <c r="I249" s="19">
        <f>F249*(($I$105)+1)+H249</f>
        <v>1714.8973373999997</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75"/>
      <c r="B250" s="76"/>
      <c r="C250" s="80" t="s">
        <v>228</v>
      </c>
      <c r="D250" s="80"/>
      <c r="E250" s="19" t="s">
        <v>211</v>
      </c>
      <c r="F250" s="77">
        <f>(1.9*2.59+3.36*6.23+3.05*2.44+2.89*2.73+3.05*3.35+3.36*4.55+3.45*3.97+1.85*1.05+(1.38*2.14+1.38*1.06+2.85*1.53+2.29*1.38)+(3.36*1.07+1*2.44)+(0.6*(3.35+3.05+3.45)))*10.764</f>
        <v>1143.2648915999998</v>
      </c>
      <c r="G250" s="78"/>
      <c r="H250" s="19">
        <v>0</v>
      </c>
      <c r="I250" s="19">
        <f>F250*(($I$105)+1)+H250</f>
        <v>1714.8973373999997</v>
      </c>
      <c r="J250" s="1">
        <f>25-5-2</f>
        <v>18</v>
      </c>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x14ac:dyDescent="0.25">
      <c r="A251" s="68" t="s">
        <v>229</v>
      </c>
      <c r="B251" s="69"/>
      <c r="C251" s="69"/>
      <c r="D251" s="69"/>
      <c r="E251" s="69"/>
      <c r="F251" s="69"/>
      <c r="G251" s="69"/>
      <c r="H251" s="69"/>
      <c r="I251" s="8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71" t="str">
        <f>A251</f>
        <v>Stilt / Podium Top Floor For Residential, Amenities &amp; Refuge Area</v>
      </c>
      <c r="B252" s="72"/>
      <c r="C252" s="80" t="s">
        <v>230</v>
      </c>
      <c r="D252" s="80"/>
      <c r="E252" s="77" t="s">
        <v>236</v>
      </c>
      <c r="F252" s="79"/>
      <c r="G252" s="79"/>
      <c r="H252" s="79"/>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25">
      <c r="A253" s="73"/>
      <c r="B253" s="74"/>
      <c r="C253" s="80" t="s">
        <v>231</v>
      </c>
      <c r="D253" s="80"/>
      <c r="E253" s="77" t="s">
        <v>236</v>
      </c>
      <c r="F253" s="79"/>
      <c r="G253" s="79"/>
      <c r="H253" s="79"/>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25">
      <c r="A254" s="73"/>
      <c r="B254" s="74"/>
      <c r="C254" s="80" t="s">
        <v>232</v>
      </c>
      <c r="D254" s="80"/>
      <c r="E254" s="19" t="s">
        <v>238</v>
      </c>
      <c r="F254" s="77">
        <f>(1.95*1.53+1.25*3.05+3*3.08+3.05*3.5+2.75*3.08+3.65*8.38+3.59*4.6+4.26*3.59+1*1.73+1*1.22+(1.53*2.29+1.38*2.44+2.44*1.53+2.44*1.53)+(3.9*1.53+2.75*1.53+1*1.53)+(0.6*(3+3.4+4.26+3.59+2.8)))*10.764</f>
        <v>1472.4850607999999</v>
      </c>
      <c r="G254" s="78"/>
      <c r="H254" s="19">
        <v>0</v>
      </c>
      <c r="I254" s="19">
        <f>F254*(($I$105)+1)+H254</f>
        <v>2208.7275912</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25">
      <c r="A255" s="73"/>
      <c r="B255" s="74"/>
      <c r="C255" s="80" t="s">
        <v>233</v>
      </c>
      <c r="D255" s="80"/>
      <c r="E255" s="77" t="s">
        <v>237</v>
      </c>
      <c r="F255" s="79"/>
      <c r="G255" s="79"/>
      <c r="H255" s="79">
        <v>1</v>
      </c>
      <c r="I255" s="79">
        <f>F255*(($I$105)+1)+H255</f>
        <v>1</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25">
      <c r="A256" s="75"/>
      <c r="B256" s="76"/>
      <c r="C256" s="80" t="s">
        <v>234</v>
      </c>
      <c r="D256" s="80"/>
      <c r="E256" s="19" t="s">
        <v>211</v>
      </c>
      <c r="F256" s="77">
        <f>(1.9*2.59+3.36*6.23+3.05*2.44+2.89*2.73+3.05*3.35+3.36*4.55+3.45*3.97+1.85*1.05+(1.38*2.14+1.38*1.06+2.85*1.53+2.29*1.38)+(3.36*1.07+1*2.44)+(0.6*(3.35+3.05+3.45)))*10.764</f>
        <v>1143.2648915999998</v>
      </c>
      <c r="G256" s="78"/>
      <c r="H256" s="19">
        <v>0</v>
      </c>
      <c r="I256" s="19">
        <f>F256*(($I$105)+1)+H256</f>
        <v>1714.8973373999997</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x14ac:dyDescent="0.25">
      <c r="A257" s="68" t="s">
        <v>272</v>
      </c>
      <c r="B257" s="69"/>
      <c r="C257" s="69"/>
      <c r="D257" s="69"/>
      <c r="E257" s="69"/>
      <c r="F257" s="69"/>
      <c r="G257" s="69"/>
      <c r="H257" s="69"/>
      <c r="I257" s="8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71" t="str">
        <f>A257</f>
        <v>1st Floor For Residential &amp; Club House</v>
      </c>
      <c r="B258" s="72"/>
      <c r="C258" s="80">
        <v>1</v>
      </c>
      <c r="D258" s="80"/>
      <c r="E258" s="77" t="s">
        <v>273</v>
      </c>
      <c r="F258" s="79"/>
      <c r="G258" s="79"/>
      <c r="H258" s="79"/>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73"/>
      <c r="B259" s="74"/>
      <c r="C259" s="80">
        <v>2</v>
      </c>
      <c r="D259" s="80"/>
      <c r="E259" s="77" t="s">
        <v>273</v>
      </c>
      <c r="F259" s="79"/>
      <c r="G259" s="79"/>
      <c r="H259" s="79"/>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73"/>
      <c r="B260" s="74"/>
      <c r="C260" s="80">
        <v>3</v>
      </c>
      <c r="D260" s="80"/>
      <c r="E260" s="19" t="s">
        <v>238</v>
      </c>
      <c r="F260" s="77">
        <f>(1.95*1.53+1.25*3.05+3*3.08+3.05*3.5+2.75*3.08+3.65*8.38+3.59*4.6+4.26*3.59+1*1.73+1*1.22+(1.53*2.29+1.38*2.44+2.44*1.53+2.44*1.53)+(3.9*1.53+2.75*1.53+1*1.53)+(0.6*(3+3.4+4.26+3.59+2.8)))*10.764</f>
        <v>1472.4850607999999</v>
      </c>
      <c r="G260" s="78"/>
      <c r="H260" s="19">
        <v>0</v>
      </c>
      <c r="I260" s="19">
        <f>F260*(($I$105)+1)+H260</f>
        <v>2208.7275912</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73"/>
      <c r="B261" s="74"/>
      <c r="C261" s="80">
        <v>4</v>
      </c>
      <c r="D261" s="80"/>
      <c r="E261" s="19" t="s">
        <v>211</v>
      </c>
      <c r="F261" s="77">
        <f>(1.9*2.59+3.36*6.23+3.05*2.44+2.89*2.73+3.05*3.35+3.36*4.55+3.45*3.97+1.85*1.05+(1.38*2.14+1.38*1.06+2.85*1.53+2.29*1.38)+(3.36*1.07+1*2.44)+(0.6*(3.35+3.05+3.45)))*10.764</f>
        <v>1143.2648915999998</v>
      </c>
      <c r="G261" s="78"/>
      <c r="H261" s="19">
        <v>0</v>
      </c>
      <c r="I261" s="19">
        <f>F261*(($I$105)+1)+H261</f>
        <v>1714.8973373999997</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75"/>
      <c r="B262" s="76"/>
      <c r="C262" s="80">
        <v>5</v>
      </c>
      <c r="D262" s="80"/>
      <c r="E262" s="19" t="s">
        <v>211</v>
      </c>
      <c r="F262" s="77">
        <f>(1.9*2.59+3.36*6.23+3.05*2.44+2.89*2.73+3.05*3.35+3.36*4.55+3.45*3.97+1.85*1.05+(1.38*2.14+1.38*1.06+2.85*1.53+2.29*1.38)+(3.36*1.07+1*2.44)+(0.6*(3.35+3.05+3.45)))*10.764</f>
        <v>1143.2648915999998</v>
      </c>
      <c r="G262" s="78"/>
      <c r="H262" s="19">
        <v>0</v>
      </c>
      <c r="I262" s="19">
        <f>F262*(($I$105)+1)+H262</f>
        <v>1714.8973373999997</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x14ac:dyDescent="0.25">
      <c r="A263" s="68" t="s">
        <v>274</v>
      </c>
      <c r="B263" s="69"/>
      <c r="C263" s="69"/>
      <c r="D263" s="69"/>
      <c r="E263" s="69"/>
      <c r="F263" s="69"/>
      <c r="G263" s="69"/>
      <c r="H263" s="69"/>
      <c r="I263" s="70"/>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71" t="str">
        <f>A263</f>
        <v>2nd Floor</v>
      </c>
      <c r="B264" s="72"/>
      <c r="C264" s="77">
        <v>1</v>
      </c>
      <c r="D264" s="78"/>
      <c r="E264" s="19" t="s">
        <v>211</v>
      </c>
      <c r="F264" s="77">
        <f>(1.38*1.76+3.2*5.64+2.29*2.83+3.05*3.35+3.31*4.55+3.05*3.75+4.14*1.05+1.82*1.05+(2.29*1.46+1.38*2.14+2.44*1.53)+(3.2*1.08+2.29*1.08)+(0.6*(3.05+3.31+1.8)))*10.764</f>
        <v>977.22050399999978</v>
      </c>
      <c r="G264" s="78"/>
      <c r="H264" s="19">
        <v>0</v>
      </c>
      <c r="I264" s="19">
        <f>F264*(($I$105)+1)+H264</f>
        <v>1465.8307559999996</v>
      </c>
      <c r="J264" s="1"/>
      <c r="K264" s="1"/>
      <c r="L264" s="1"/>
      <c r="M264" s="1"/>
      <c r="N264" s="1"/>
      <c r="O264" s="1"/>
      <c r="P264" s="1"/>
      <c r="Q264" s="1"/>
      <c r="R264" s="1"/>
      <c r="S264" s="1"/>
      <c r="T264" s="1"/>
      <c r="U264" s="40" t="str">
        <f ca="1">V264&amp;""&amp;",..,"&amp;""&amp;W264</f>
        <v>201,..,201</v>
      </c>
      <c r="V264" s="40">
        <f ca="1">(SUMPRODUCT(MID(0&amp;(LEFT(A263,SUM(LEN(A263)-LEN(SUBSTITUTE(A263,{"0","1","2","3"},""))))), LARGE(INDEX(ISNUMBER(--MID((LEFT(A263,SUM(LEN(A263)-LEN(SUBSTITUTE(A263,{"0","1","2","3"},""))))), ROW(INDIRECT("1:"&amp;LEN((LEFT(A263,SUM(LEN(A263)-LEN(SUBSTITUTE(A263,{"0","1","2","3"},"")))))))), 1)) * ROW(INDIRECT("1:"&amp;LEN((LEFT(A263,SUM(LEN(A263)-LEN(SUBSTITUTE(A263,{"0","1","2","3"},"")))))))), 0), ROW(INDIRECT("1:"&amp;LEN((LEFT(A263,SUM(LEN(A263)-LEN(SUBSTITUTE(A263,{"0","1","2","3"},"")))))))))+1, 1) * 10^ROW(INDIRECT("1:"&amp;LEN((LEFT(A263,SUM(LEN(A263)-LEN(SUBSTITUTE(A263,{"0","1","2","3"},""))))))))/10))*100+1</f>
        <v>201</v>
      </c>
      <c r="W264" s="40">
        <f ca="1">(SUMPRODUCT(MID(0&amp;(--TRIM(RIGHT(SUBSTITUTE(LEFT(A263,_xlfn.AGGREGATE(16,6,FIND({0,1,2,3,4,5,6,7,8,9},A263,ROW(INDIRECT("1:"&amp;LEN(A263)))),1))," ",REPT(" ",LEN(A263))),LEN(A263)))), LARGE(INDEX(ISNUMBER(--MID((--TRIM(RIGHT(SUBSTITUTE(LEFT(A263,_xlfn.AGGREGATE(16,6,FIND({0,1,2,3,4,5,6,7,8,9},A263,ROW(INDIRECT("1:"&amp;LEN(A263)))),1))," ",REPT(" ",LEN(A263))),LEN(A263)))), ROW(INDIRECT("1:"&amp;LEN((--TRIM(RIGHT(SUBSTITUTE(LEFT(A263,_xlfn.AGGREGATE(16,6,FIND({0,1,2,3,4,5,6,7,8,9},A263,ROW(INDIRECT("1:"&amp;LEN(A263)))),1))," ",REPT(" ",LEN(A263))),LEN(A263))))))), 1)) * ROW(INDIRECT("1:"&amp;LEN((--TRIM(RIGHT(SUBSTITUTE(LEFT(A263,_xlfn.AGGREGATE(16,6,FIND({0,1,2,3,4,5,6,7,8,9},A263,ROW(INDIRECT("1:"&amp;LEN(A263)))),1))," ",REPT(" ",LEN(A263))),LEN(A263))))))), 0), ROW(INDIRECT("1:"&amp;LEN((--TRIM(RIGHT(SUBSTITUTE(LEFT(A263,_xlfn.AGGREGATE(16,6,FIND({0,1,2,3,4,5,6,7,8,9},A263,ROW(INDIRECT("1:"&amp;LEN(A263)))),1))," ",REPT(" ",LEN(A263))),LEN(A263))))))))+1, 1) * 10^ROW(INDIRECT("1:"&amp;LEN((--TRIM(RIGHT(SUBSTITUTE(LEFT(A263,_xlfn.AGGREGATE(16,6,FIND({0,1,2,3,4,5,6,7,8,9},A263,ROW(INDIRECT("1:"&amp;LEN(A263)))),1))," ",REPT(" ",LEN(A263))),LEN(A263)))))))/10))*100+1</f>
        <v>201</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73"/>
      <c r="B265" s="74"/>
      <c r="C265" s="77">
        <v>2</v>
      </c>
      <c r="D265" s="78"/>
      <c r="E265" s="19" t="s">
        <v>211</v>
      </c>
      <c r="F265" s="77">
        <f>(1.38*1.76+3.2*5.64+2.29*2.83+3.05*3.35+3.31*4.55+3.05*3.75+4.14*1.05+1.82*1.05+(2.29*1.46+1.38*2.14+2.44*1.53)+(3.2*1.08+2.29*1.08)+(0.6*(3.05+3.31+1.8)))*10.764</f>
        <v>977.22050399999978</v>
      </c>
      <c r="G265" s="78"/>
      <c r="H265" s="19">
        <v>0</v>
      </c>
      <c r="I265" s="19">
        <f>F265*(($I$105)+1)+H265</f>
        <v>1465.8307559999996</v>
      </c>
      <c r="J265" s="1"/>
      <c r="K265" s="1"/>
      <c r="L265" s="1"/>
      <c r="M265" s="1"/>
      <c r="N265" s="1"/>
      <c r="O265" s="1"/>
      <c r="P265" s="1"/>
      <c r="Q265" s="1"/>
      <c r="R265" s="1"/>
      <c r="S265" s="1"/>
      <c r="T265" s="1"/>
      <c r="U265" s="40" t="str">
        <f ca="1">V265&amp;""&amp;",..,"&amp;""&amp;W265</f>
        <v>202,..,202</v>
      </c>
      <c r="V265" s="40">
        <f ca="1">V264+1</f>
        <v>202</v>
      </c>
      <c r="W265" s="40">
        <f ca="1">W264+1</f>
        <v>202</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73"/>
      <c r="B266" s="74"/>
      <c r="C266" s="77">
        <v>3</v>
      </c>
      <c r="D266" s="78"/>
      <c r="E266" s="19" t="s">
        <v>238</v>
      </c>
      <c r="F266" s="77">
        <f>(1.95*1.53+1.25*3.05+3*3.08+3.05*3.5+2.75*3.08+3.65*8.38+3.59*4.6+4.26*3.59+1*1.73+1*1.22+(1.53*2.29+1.38*2.44+2.44*1.53+2.44*1.53)+(3.9*1.53+2.75*1.53+1*1.53)+(0.6*(3+3.4+4.26+3.59+2.8)))*10.764</f>
        <v>1472.4850607999999</v>
      </c>
      <c r="G266" s="78"/>
      <c r="H266" s="19">
        <v>0</v>
      </c>
      <c r="I266" s="19">
        <f>F266*(($I$105)+1)+H266</f>
        <v>2208.7275912</v>
      </c>
      <c r="J266" s="1"/>
      <c r="K266" s="1"/>
      <c r="L266" s="1"/>
      <c r="M266" s="1"/>
      <c r="N266" s="1"/>
      <c r="O266" s="1"/>
      <c r="P266" s="1"/>
      <c r="Q266" s="1"/>
      <c r="R266" s="1"/>
      <c r="S266" s="1"/>
      <c r="T266" s="1"/>
      <c r="U266" s="40" t="str">
        <f ca="1">V266&amp;""&amp;",..,"&amp;""&amp;W266</f>
        <v>203,..,203</v>
      </c>
      <c r="V266" s="40">
        <f t="shared" ref="V266:W268" ca="1" si="17">V265+1</f>
        <v>203</v>
      </c>
      <c r="W266" s="40">
        <f t="shared" ca="1" si="17"/>
        <v>203</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73"/>
      <c r="B267" s="74"/>
      <c r="C267" s="77">
        <v>4</v>
      </c>
      <c r="D267" s="78"/>
      <c r="E267" s="19" t="s">
        <v>211</v>
      </c>
      <c r="F267" s="77">
        <f>(1.9*2.59+3.36*6.23+3.05*2.44+2.89*2.73+3.05*3.35+3.36*4.55+3.45*3.97+1.85*1.05+(1.38*2.14+1.38*1.06+2.85*1.53+2.29*1.38)+(3.36*1.07+1*2.44)+(0.6*(3.35+3.05+3.45)))*10.764</f>
        <v>1143.2648915999998</v>
      </c>
      <c r="G267" s="78"/>
      <c r="H267" s="19">
        <v>0</v>
      </c>
      <c r="I267" s="19">
        <f>F267*(($I$105)+1)+H267</f>
        <v>1714.8973373999997</v>
      </c>
      <c r="J267" s="1"/>
      <c r="K267" s="1"/>
      <c r="L267" s="1"/>
      <c r="M267" s="1"/>
      <c r="N267" s="1"/>
      <c r="O267" s="1"/>
      <c r="P267" s="1"/>
      <c r="Q267" s="1"/>
      <c r="R267" s="1"/>
      <c r="S267" s="1"/>
      <c r="T267" s="1"/>
      <c r="U267" s="40" t="str">
        <f ca="1">V267&amp;""&amp;",..,"&amp;""&amp;W267</f>
        <v>204,..,204</v>
      </c>
      <c r="V267" s="40">
        <f t="shared" ca="1" si="17"/>
        <v>204</v>
      </c>
      <c r="W267" s="40">
        <f t="shared" ca="1" si="17"/>
        <v>204</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75"/>
      <c r="B268" s="76"/>
      <c r="C268" s="77">
        <v>5</v>
      </c>
      <c r="D268" s="78"/>
      <c r="E268" s="19" t="s">
        <v>211</v>
      </c>
      <c r="F268" s="77">
        <f>(1.9*2.59+3.36*6.23+3.05*2.44+2.89*2.73+3.05*3.35+3.36*4.55+3.45*3.97+1.85*1.05+(1.38*2.14+1.38*1.06+2.85*1.53+2.29*1.38)+(3.36*1.07+1*2.44)+(0.6*(3.35+3.05+3.45)))*10.764</f>
        <v>1143.2648915999998</v>
      </c>
      <c r="G268" s="78"/>
      <c r="H268" s="19">
        <v>0</v>
      </c>
      <c r="I268" s="19">
        <f>F268*(($I$105)+1)+H268</f>
        <v>1714.8973373999997</v>
      </c>
      <c r="J268" s="1"/>
      <c r="K268" s="1"/>
      <c r="L268" s="1"/>
      <c r="M268" s="1"/>
      <c r="N268" s="1"/>
      <c r="O268" s="1"/>
      <c r="P268" s="1"/>
      <c r="Q268" s="1"/>
      <c r="R268" s="1"/>
      <c r="S268" s="1"/>
      <c r="T268" s="1"/>
      <c r="U268" s="40" t="str">
        <f ca="1">V268&amp;""&amp;",..,"&amp;""&amp;W268</f>
        <v>205,..,205</v>
      </c>
      <c r="V268" s="40">
        <f t="shared" ca="1" si="17"/>
        <v>205</v>
      </c>
      <c r="W268" s="40">
        <f t="shared" ca="1" si="17"/>
        <v>205</v>
      </c>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x14ac:dyDescent="0.25">
      <c r="A269" s="68" t="s">
        <v>275</v>
      </c>
      <c r="B269" s="69"/>
      <c r="C269" s="69"/>
      <c r="D269" s="69"/>
      <c r="E269" s="69"/>
      <c r="F269" s="69"/>
      <c r="G269" s="69"/>
      <c r="H269" s="69"/>
      <c r="I269" s="70"/>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71" t="str">
        <f>A269</f>
        <v>3rd, 4th, 6th to  9th, 11th to 14th, 16th to 19th, 21st to 24th Floor</v>
      </c>
      <c r="B270" s="72"/>
      <c r="C270" s="77">
        <v>1</v>
      </c>
      <c r="D270" s="78"/>
      <c r="E270" s="19" t="s">
        <v>211</v>
      </c>
      <c r="F270" s="77">
        <f>(1.35*1.78+3.2*5.64+2.29*2.83+3.05*3.35+3.31*4.55+3.05*3.75+4.14*1.05+1.82*1.05+(2.29*1.46+1.38*2.14+2.44*1.53)+(3.2*1.08+2.29*1.08)+(0.6*(3.05+3.31+1.8)))*10.764</f>
        <v>976.94279279999978</v>
      </c>
      <c r="G270" s="78"/>
      <c r="H270" s="19">
        <v>0</v>
      </c>
      <c r="I270" s="19">
        <f t="shared" ref="I270:I275" si="18">F270*(($I$105)+1)+H270</f>
        <v>1465.4141891999998</v>
      </c>
      <c r="J270" s="1"/>
      <c r="K270" s="1"/>
      <c r="L270" s="1"/>
      <c r="M270" s="1"/>
      <c r="N270" s="1"/>
      <c r="O270" s="1"/>
      <c r="P270" s="1"/>
      <c r="Q270" s="1"/>
      <c r="R270" s="1"/>
      <c r="S270" s="1"/>
      <c r="T270" s="1"/>
      <c r="U270" s="40" t="str">
        <f t="shared" ref="U270:U275" ca="1" si="19">V270&amp;""&amp;",..,"&amp;""&amp;W270</f>
        <v>3401,..,2401</v>
      </c>
      <c r="V270" s="40">
        <f ca="1">(SUMPRODUCT(MID(0&amp;(LEFT(A269,SUM(LEN(A269)-LEN(SUBSTITUTE(A269,{"0","1","2","3"},""))))), LARGE(INDEX(ISNUMBER(--MID((LEFT(A269,SUM(LEN(A269)-LEN(SUBSTITUTE(A269,{"0","1","2","3"},""))))), ROW(INDIRECT("1:"&amp;LEN((LEFT(A269,SUM(LEN(A269)-LEN(SUBSTITUTE(A269,{"0","1","2","3"},"")))))))), 1)) * ROW(INDIRECT("1:"&amp;LEN((LEFT(A269,SUM(LEN(A269)-LEN(SUBSTITUTE(A269,{"0","1","2","3"},"")))))))), 0), ROW(INDIRECT("1:"&amp;LEN((LEFT(A269,SUM(LEN(A269)-LEN(SUBSTITUTE(A269,{"0","1","2","3"},"")))))))))+1, 1) * 10^ROW(INDIRECT("1:"&amp;LEN((LEFT(A269,SUM(LEN(A269)-LEN(SUBSTITUTE(A269,{"0","1","2","3"},""))))))))/10))*100+1</f>
        <v>3401</v>
      </c>
      <c r="W270" s="40">
        <f ca="1">(SUMPRODUCT(MID(0&amp;(--TRIM(RIGHT(SUBSTITUTE(LEFT(A269,_xlfn.AGGREGATE(16,6,FIND({0,1,2,3,4,5,6,7,8,9},A269,ROW(INDIRECT("1:"&amp;LEN(A269)))),1))," ",REPT(" ",LEN(A269))),LEN(A269)))), LARGE(INDEX(ISNUMBER(--MID((--TRIM(RIGHT(SUBSTITUTE(LEFT(A269,_xlfn.AGGREGATE(16,6,FIND({0,1,2,3,4,5,6,7,8,9},A269,ROW(INDIRECT("1:"&amp;LEN(A269)))),1))," ",REPT(" ",LEN(A269))),LEN(A269)))), ROW(INDIRECT("1:"&amp;LEN((--TRIM(RIGHT(SUBSTITUTE(LEFT(A269,_xlfn.AGGREGATE(16,6,FIND({0,1,2,3,4,5,6,7,8,9},A269,ROW(INDIRECT("1:"&amp;LEN(A269)))),1))," ",REPT(" ",LEN(A269))),LEN(A269))))))), 1)) * ROW(INDIRECT("1:"&amp;LEN((--TRIM(RIGHT(SUBSTITUTE(LEFT(A269,_xlfn.AGGREGATE(16,6,FIND({0,1,2,3,4,5,6,7,8,9},A269,ROW(INDIRECT("1:"&amp;LEN(A269)))),1))," ",REPT(" ",LEN(A269))),LEN(A269))))))), 0), ROW(INDIRECT("1:"&amp;LEN((--TRIM(RIGHT(SUBSTITUTE(LEFT(A269,_xlfn.AGGREGATE(16,6,FIND({0,1,2,3,4,5,6,7,8,9},A269,ROW(INDIRECT("1:"&amp;LEN(A269)))),1))," ",REPT(" ",LEN(A269))),LEN(A269))))))))+1, 1) * 10^ROW(INDIRECT("1:"&amp;LEN((--TRIM(RIGHT(SUBSTITUTE(LEFT(A269,_xlfn.AGGREGATE(16,6,FIND({0,1,2,3,4,5,6,7,8,9},A269,ROW(INDIRECT("1:"&amp;LEN(A269)))),1))," ",REPT(" ",LEN(A269))),LEN(A269)))))))/10))*100+1</f>
        <v>2401</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25">
      <c r="A271" s="73"/>
      <c r="B271" s="74"/>
      <c r="C271" s="77">
        <v>2</v>
      </c>
      <c r="D271" s="78"/>
      <c r="E271" s="19" t="s">
        <v>211</v>
      </c>
      <c r="F271" s="77">
        <f>(1.35*1.78+3.2*5.64+2.29*2.83+3.05*3.35+3.31*4.55+3.05*3.75+4.14*1.05+1.82*1.05+(2.29*1.46+1.38*2.14+2.44*1.53)+(3.2*1.08+2.29*1.08)+(0.6*(3.05+3.31+1.8)))*10.764</f>
        <v>976.94279279999978</v>
      </c>
      <c r="G271" s="78"/>
      <c r="H271" s="19">
        <v>0</v>
      </c>
      <c r="I271" s="19">
        <f t="shared" si="18"/>
        <v>1465.4141891999998</v>
      </c>
      <c r="J271" s="1"/>
      <c r="K271" s="1"/>
      <c r="L271" s="1"/>
      <c r="M271" s="1"/>
      <c r="N271" s="1"/>
      <c r="O271" s="1"/>
      <c r="P271" s="1"/>
      <c r="Q271" s="1"/>
      <c r="R271" s="1"/>
      <c r="S271" s="1"/>
      <c r="T271" s="1"/>
      <c r="U271" s="40" t="str">
        <f t="shared" ca="1" si="19"/>
        <v>3402,..,2402</v>
      </c>
      <c r="V271" s="40">
        <f t="shared" ref="V271:W275" ca="1" si="20">V270+1</f>
        <v>3402</v>
      </c>
      <c r="W271" s="40">
        <f t="shared" ca="1" si="20"/>
        <v>2402</v>
      </c>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73"/>
      <c r="B272" s="74"/>
      <c r="C272" s="77">
        <v>3</v>
      </c>
      <c r="D272" s="78"/>
      <c r="E272" s="19" t="s">
        <v>238</v>
      </c>
      <c r="F272" s="77">
        <f>(1.95*1.53+1.25*3.05+3*3.08+3.05*3.5+2.75*3.08+3.65*8.38+3.59*4.6+4.26*3.59+1*1.73+1*1.22+(1.53*2.29+1.38*2.44+2.44*1.53+2.44*1.53)+(3.9*1.53+2.75*1.53+1*1.53)+(0.6*(3+3.4+4.26+3.59+2.8)))*10.764</f>
        <v>1472.4850607999999</v>
      </c>
      <c r="G272" s="78"/>
      <c r="H272" s="19">
        <v>0</v>
      </c>
      <c r="I272" s="19">
        <f t="shared" si="18"/>
        <v>2208.7275912</v>
      </c>
      <c r="J272" s="1"/>
      <c r="K272" s="1"/>
      <c r="L272" s="1"/>
      <c r="M272" s="1"/>
      <c r="N272" s="1"/>
      <c r="O272" s="1"/>
      <c r="P272" s="1"/>
      <c r="Q272" s="1"/>
      <c r="R272" s="1"/>
      <c r="S272" s="1"/>
      <c r="T272" s="1"/>
      <c r="U272" s="40" t="str">
        <f t="shared" ca="1" si="19"/>
        <v>3403,..,2403</v>
      </c>
      <c r="V272" s="40">
        <f t="shared" ca="1" si="20"/>
        <v>3403</v>
      </c>
      <c r="W272" s="40">
        <f t="shared" ca="1" si="20"/>
        <v>2403</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73"/>
      <c r="B273" s="74"/>
      <c r="C273" s="77">
        <v>4</v>
      </c>
      <c r="D273" s="78"/>
      <c r="E273" s="19" t="s">
        <v>211</v>
      </c>
      <c r="F273" s="77">
        <f>(1.9*2.59+3.36*6.23+3.05*2.44+2.89*2.73+3.05*3.35+3.36*4.55+3.45*3.97+1.85*1.05+(1.38*2.14+1.38*1.06+2.85*1.53+2.29*1.38)+(3.36*1.07+1*2.44)+(0.6*(3.35+3.05+3.45)))*10.764</f>
        <v>1143.2648915999998</v>
      </c>
      <c r="G273" s="78"/>
      <c r="H273" s="19">
        <v>0</v>
      </c>
      <c r="I273" s="19">
        <f t="shared" si="18"/>
        <v>1714.8973373999997</v>
      </c>
      <c r="J273" s="1"/>
      <c r="K273" s="1"/>
      <c r="L273" s="1"/>
      <c r="M273" s="1"/>
      <c r="N273" s="1"/>
      <c r="O273" s="1"/>
      <c r="P273" s="1"/>
      <c r="Q273" s="1"/>
      <c r="R273" s="1"/>
      <c r="S273" s="1"/>
      <c r="T273" s="1"/>
      <c r="U273" s="40" t="str">
        <f t="shared" ca="1" si="19"/>
        <v>3404,..,2404</v>
      </c>
      <c r="V273" s="40">
        <f t="shared" ca="1" si="20"/>
        <v>3404</v>
      </c>
      <c r="W273" s="40">
        <f t="shared" ca="1" si="20"/>
        <v>2404</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73"/>
      <c r="B274" s="74"/>
      <c r="C274" s="77">
        <v>5</v>
      </c>
      <c r="D274" s="78"/>
      <c r="E274" s="19" t="s">
        <v>211</v>
      </c>
      <c r="F274" s="77">
        <f>(1.9*2.59+3.36*6.23+3.05*2.44+2.89*2.73+3.05*3.35+3.36*4.55+3.45*3.97+1.85*1.05+(1.38*2.14+1.38*1.06+2.85*1.53+2.29*1.38)+(3.36*1.07+1*2.44)+(0.6*(3.35+3.05+3.45)))*10.764</f>
        <v>1143.2648915999998</v>
      </c>
      <c r="G274" s="78"/>
      <c r="H274" s="19">
        <v>0</v>
      </c>
      <c r="I274" s="19">
        <f t="shared" si="18"/>
        <v>1714.8973373999997</v>
      </c>
      <c r="J274" s="1"/>
      <c r="K274" s="1"/>
      <c r="L274" s="1"/>
      <c r="M274" s="1"/>
      <c r="N274" s="1"/>
      <c r="O274" s="1"/>
      <c r="P274" s="1"/>
      <c r="Q274" s="1"/>
      <c r="R274" s="1"/>
      <c r="S274" s="1"/>
      <c r="T274" s="1"/>
      <c r="U274" s="40" t="str">
        <f t="shared" ca="1" si="19"/>
        <v>3405,..,2405</v>
      </c>
      <c r="V274" s="40">
        <f t="shared" ca="1" si="20"/>
        <v>3405</v>
      </c>
      <c r="W274" s="40">
        <f t="shared" ca="1" si="20"/>
        <v>2405</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75"/>
      <c r="B275" s="76"/>
      <c r="C275" s="77">
        <v>6</v>
      </c>
      <c r="D275" s="78"/>
      <c r="E275" s="19" t="s">
        <v>238</v>
      </c>
      <c r="F275" s="77">
        <f>(1.95*1.53+1.25*3.05+3*3.08+3.05*3.5+2.75*3.08+3.65*8.38+3.59*4.6+4.26*3.59+1*1.73+1*1.22+(1.53*2.29+1.38*2.44+2.44*1.53+2.44*1.53)+(3.9*1.53+2.75*1.53+1*1.53)+(0.6*(3+3.4+4.26+3.59+2.8)))*10.764</f>
        <v>1472.4850607999999</v>
      </c>
      <c r="G275" s="78"/>
      <c r="H275" s="19">
        <v>0</v>
      </c>
      <c r="I275" s="19">
        <f t="shared" si="18"/>
        <v>2208.7275912</v>
      </c>
      <c r="J275" s="1"/>
      <c r="K275" s="1"/>
      <c r="L275" s="1"/>
      <c r="M275" s="1"/>
      <c r="N275" s="1"/>
      <c r="O275" s="1"/>
      <c r="P275" s="1"/>
      <c r="Q275" s="1"/>
      <c r="R275" s="1"/>
      <c r="S275" s="1"/>
      <c r="T275" s="1"/>
      <c r="U275" s="40" t="str">
        <f t="shared" ca="1" si="19"/>
        <v>3406,..,2406</v>
      </c>
      <c r="V275" s="40">
        <f t="shared" ca="1" si="20"/>
        <v>3406</v>
      </c>
      <c r="W275" s="40">
        <f t="shared" ca="1" si="20"/>
        <v>2406</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x14ac:dyDescent="0.25">
      <c r="A276" s="68" t="s">
        <v>276</v>
      </c>
      <c r="B276" s="69"/>
      <c r="C276" s="69"/>
      <c r="D276" s="69"/>
      <c r="E276" s="69"/>
      <c r="F276" s="69"/>
      <c r="G276" s="69"/>
      <c r="H276" s="69"/>
      <c r="I276" s="70"/>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71" t="str">
        <f>A276</f>
        <v>5th, 10th, 15th, 20th &amp; 25th Floor (Part Refuge Area)</v>
      </c>
      <c r="B277" s="72"/>
      <c r="C277" s="77">
        <v>1</v>
      </c>
      <c r="D277" s="78"/>
      <c r="E277" s="19" t="s">
        <v>211</v>
      </c>
      <c r="F277" s="77">
        <f>(1.35*1.78+3.2*5.64+2.29*2.83+3.05*3.35+3.31*4.55+3.05*3.75+4.14*1.05+1.82*1.05+(2.29*1.46+1.38*2.14+2.44*1.53)+(3.2*1.08+2.29*1.08)+(0.6*(3.05+3.31+1.8)))*10.764</f>
        <v>976.94279279999978</v>
      </c>
      <c r="G277" s="78"/>
      <c r="H277" s="19">
        <v>0</v>
      </c>
      <c r="I277" s="19">
        <f t="shared" ref="I277:I282" si="21">F277*(($I$105)+1)+H277</f>
        <v>1465.4141891999998</v>
      </c>
      <c r="J277" s="1"/>
      <c r="K277" s="1"/>
      <c r="L277" s="1"/>
      <c r="M277" s="1"/>
      <c r="N277" s="1"/>
      <c r="O277" s="1"/>
      <c r="P277" s="1"/>
      <c r="Q277" s="1"/>
      <c r="R277" s="1"/>
      <c r="S277" s="1"/>
      <c r="T277" s="1"/>
      <c r="U277" s="40" t="str">
        <f t="shared" ref="U277:U282" ca="1" si="22">V277&amp;""&amp;",..,"&amp;""&amp;W277</f>
        <v>5101,..,2501</v>
      </c>
      <c r="V277" s="40">
        <f ca="1">(SUMPRODUCT(MID(0&amp;(LEFT(A276,SUM(LEN(A276)-LEN(SUBSTITUTE(A276,{"0","1","2","3"},""))))), LARGE(INDEX(ISNUMBER(--MID((LEFT(A276,SUM(LEN(A276)-LEN(SUBSTITUTE(A276,{"0","1","2","3"},""))))), ROW(INDIRECT("1:"&amp;LEN((LEFT(A276,SUM(LEN(A276)-LEN(SUBSTITUTE(A276,{"0","1","2","3"},"")))))))), 1)) * ROW(INDIRECT("1:"&amp;LEN((LEFT(A276,SUM(LEN(A276)-LEN(SUBSTITUTE(A276,{"0","1","2","3"},"")))))))), 0), ROW(INDIRECT("1:"&amp;LEN((LEFT(A276,SUM(LEN(A276)-LEN(SUBSTITUTE(A276,{"0","1","2","3"},"")))))))))+1, 1) * 10^ROW(INDIRECT("1:"&amp;LEN((LEFT(A276,SUM(LEN(A276)-LEN(SUBSTITUTE(A276,{"0","1","2","3"},""))))))))/10))*100+1</f>
        <v>5101</v>
      </c>
      <c r="W277" s="40">
        <f ca="1">(SUMPRODUCT(MID(0&amp;(--TRIM(RIGHT(SUBSTITUTE(LEFT(A276,_xlfn.AGGREGATE(16,6,FIND({0,1,2,3,4,5,6,7,8,9},A276,ROW(INDIRECT("1:"&amp;LEN(A276)))),1)),"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",LEN(A276))),LEN(A276)))))))/10))*100+1</f>
        <v>2501</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73"/>
      <c r="B278" s="74"/>
      <c r="C278" s="77">
        <v>2</v>
      </c>
      <c r="D278" s="78"/>
      <c r="E278" s="19" t="s">
        <v>211</v>
      </c>
      <c r="F278" s="77">
        <f>(1.35*1.78+3.2*5.64+2.29*2.83+3.05*3.35+3.31*4.55+3.05*3.75+4.14*1.05+1.82*1.05+(2.29*1.46+1.38*2.14+2.44*1.53)+(3.2*1.08+2.29*1.08)+(0.6*(3.05+3.31+1.8)))*10.764</f>
        <v>976.94279279999978</v>
      </c>
      <c r="G278" s="78"/>
      <c r="H278" s="19">
        <v>0</v>
      </c>
      <c r="I278" s="19">
        <f t="shared" si="21"/>
        <v>1465.4141891999998</v>
      </c>
      <c r="J278" s="1"/>
      <c r="K278" s="1"/>
      <c r="L278" s="1"/>
      <c r="M278" s="1"/>
      <c r="N278" s="1"/>
      <c r="O278" s="1"/>
      <c r="P278" s="1"/>
      <c r="Q278" s="1"/>
      <c r="R278" s="1"/>
      <c r="S278" s="1"/>
      <c r="T278" s="1"/>
      <c r="U278" s="40" t="str">
        <f t="shared" ca="1" si="22"/>
        <v>5102,..,2502</v>
      </c>
      <c r="V278" s="40">
        <f t="shared" ref="V278:W282" ca="1" si="23">V277+1</f>
        <v>5102</v>
      </c>
      <c r="W278" s="40">
        <f t="shared" ca="1" si="23"/>
        <v>2502</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73"/>
      <c r="B279" s="74"/>
      <c r="C279" s="77">
        <v>3</v>
      </c>
      <c r="D279" s="78"/>
      <c r="E279" s="19" t="s">
        <v>238</v>
      </c>
      <c r="F279" s="77">
        <f>(1.95*1.53+1.25*3.05+3*3.08+3.05*3.5+2.75*3.08+3.65*8.38+3.59*4.6+4.26*3.59+1*1.73+1*1.22+(1.53*2.29+1.38*2.44+2.44*1.53+2.44*1.53)+(3.9*1.53+2.75*1.53+1*1.53)+(0.6*(3+3.4+4.26+3.59+2.8)))*10.764</f>
        <v>1472.4850607999999</v>
      </c>
      <c r="G279" s="78"/>
      <c r="H279" s="19">
        <v>0</v>
      </c>
      <c r="I279" s="19">
        <f t="shared" si="21"/>
        <v>2208.7275912</v>
      </c>
      <c r="J279" s="1"/>
      <c r="K279" s="1"/>
      <c r="L279" s="1"/>
      <c r="M279" s="1"/>
      <c r="N279" s="1"/>
      <c r="O279" s="1"/>
      <c r="P279" s="1"/>
      <c r="Q279" s="1"/>
      <c r="R279" s="1"/>
      <c r="S279" s="1"/>
      <c r="T279" s="1"/>
      <c r="U279" s="40" t="str">
        <f t="shared" ca="1" si="22"/>
        <v>5103,..,2503</v>
      </c>
      <c r="V279" s="40">
        <f t="shared" ca="1" si="23"/>
        <v>5103</v>
      </c>
      <c r="W279" s="40">
        <f t="shared" ca="1" si="23"/>
        <v>2503</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73"/>
      <c r="B280" s="74"/>
      <c r="C280" s="77">
        <v>4</v>
      </c>
      <c r="D280" s="78"/>
      <c r="E280" s="77" t="s">
        <v>237</v>
      </c>
      <c r="F280" s="79"/>
      <c r="G280" s="79"/>
      <c r="H280" s="79"/>
      <c r="I280" s="78"/>
      <c r="J280" s="1"/>
      <c r="K280" s="1"/>
      <c r="L280" s="1"/>
      <c r="M280" s="1"/>
      <c r="N280" s="1"/>
      <c r="O280" s="1"/>
      <c r="P280" s="1"/>
      <c r="Q280" s="1"/>
      <c r="R280" s="1"/>
      <c r="S280" s="1"/>
      <c r="T280" s="1"/>
      <c r="U280" s="40" t="str">
        <f t="shared" ca="1" si="22"/>
        <v>5104,..,2504</v>
      </c>
      <c r="V280" s="40">
        <f t="shared" ca="1" si="23"/>
        <v>5104</v>
      </c>
      <c r="W280" s="40">
        <f t="shared" ca="1" si="23"/>
        <v>2504</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73"/>
      <c r="B281" s="74"/>
      <c r="C281" s="77">
        <v>5</v>
      </c>
      <c r="D281" s="78"/>
      <c r="E281" s="19" t="s">
        <v>211</v>
      </c>
      <c r="F281" s="77">
        <f>(1.9*2.59+3.36*6.23+3.05*2.44+2.89*2.73+3.05*3.35+3.36*4.55+3.45*3.97+1.85*1.05+(1.38*2.14+1.38*1.06+2.85*1.53+2.29*1.38)+(3.36*1.07+1*2.44)+(0.6*(3.35+3.05+3.45)))*10.764</f>
        <v>1143.2648915999998</v>
      </c>
      <c r="G281" s="78"/>
      <c r="H281" s="19">
        <v>0</v>
      </c>
      <c r="I281" s="19">
        <f t="shared" si="21"/>
        <v>1714.8973373999997</v>
      </c>
      <c r="J281" s="1"/>
      <c r="K281" s="1"/>
      <c r="L281" s="1"/>
      <c r="M281" s="1"/>
      <c r="N281" s="1"/>
      <c r="O281" s="1"/>
      <c r="P281" s="1"/>
      <c r="Q281" s="1"/>
      <c r="R281" s="1"/>
      <c r="S281" s="1"/>
      <c r="T281" s="1"/>
      <c r="U281" s="40" t="str">
        <f t="shared" ca="1" si="22"/>
        <v>5105,..,2505</v>
      </c>
      <c r="V281" s="40">
        <f t="shared" ca="1" si="23"/>
        <v>5105</v>
      </c>
      <c r="W281" s="40">
        <f t="shared" ca="1" si="23"/>
        <v>2505</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75"/>
      <c r="B282" s="76"/>
      <c r="C282" s="77">
        <v>6</v>
      </c>
      <c r="D282" s="78"/>
      <c r="E282" s="19" t="s">
        <v>238</v>
      </c>
      <c r="F282" s="77">
        <f>(1.95*1.53+1.25*3.05+3*3.08+3.05*3.5+2.75*3.08+3.65*8.38+3.59*4.6+4.26*3.59+1*1.73+1*1.22+(1.53*2.29+1.38*2.44+2.44*1.53+2.44*1.53)+(3.9*1.53+2.75*1.53+1*1.53)+(0.6*(3+3.4+4.26+3.59+2.8)))*10.764</f>
        <v>1472.4850607999999</v>
      </c>
      <c r="G282" s="78"/>
      <c r="H282" s="19">
        <v>0</v>
      </c>
      <c r="I282" s="19">
        <f t="shared" si="21"/>
        <v>2208.7275912</v>
      </c>
      <c r="J282" s="1"/>
      <c r="K282" s="1"/>
      <c r="L282" s="1"/>
      <c r="M282" s="1"/>
      <c r="N282" s="1"/>
      <c r="O282" s="1"/>
      <c r="P282" s="1"/>
      <c r="Q282" s="1"/>
      <c r="R282" s="1"/>
      <c r="S282" s="1"/>
      <c r="T282" s="1"/>
      <c r="U282" s="40" t="str">
        <f t="shared" ca="1" si="22"/>
        <v>5106,..,2506</v>
      </c>
      <c r="V282" s="40">
        <f t="shared" ca="1" si="23"/>
        <v>5106</v>
      </c>
      <c r="W282" s="40">
        <f t="shared" ca="1" si="23"/>
        <v>2506</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x14ac:dyDescent="0.25">
      <c r="A283" s="68" t="s">
        <v>297</v>
      </c>
      <c r="B283" s="69"/>
      <c r="C283" s="69"/>
      <c r="D283" s="69"/>
      <c r="E283" s="69"/>
      <c r="F283" s="69"/>
      <c r="G283" s="69"/>
      <c r="H283" s="69"/>
      <c r="I283" s="70"/>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71" t="str">
        <f>A283</f>
        <v>26th to 28th, 30th, 31st, 33rd, 35th, 37th, 38th, 41st, 42nd &amp; 45th to 47th Floor</v>
      </c>
      <c r="B284" s="72"/>
      <c r="C284" s="77">
        <v>1</v>
      </c>
      <c r="D284" s="78"/>
      <c r="E284" s="19" t="s">
        <v>211</v>
      </c>
      <c r="F284" s="77">
        <f>(86.98+(0.6*(3.05+3.31+1.8)))*10.764</f>
        <v>988.95326399999999</v>
      </c>
      <c r="G284" s="78"/>
      <c r="H284" s="19">
        <v>0</v>
      </c>
      <c r="I284" s="19">
        <f t="shared" ref="I284:I289" si="24">F284*(($I$105)+1)+H284</f>
        <v>1483.4298960000001</v>
      </c>
      <c r="J284" s="1"/>
      <c r="K284" s="1"/>
      <c r="L284" s="1"/>
      <c r="M284" s="1"/>
      <c r="N284" s="1"/>
      <c r="O284" s="1"/>
      <c r="P284" s="1"/>
      <c r="Q284" s="1"/>
      <c r="R284" s="1"/>
      <c r="S284" s="1"/>
      <c r="T284" s="1"/>
      <c r="U284" s="40" t="str">
        <f t="shared" ref="U284:U289" ca="1" si="25">V284&amp;""&amp;",..,"&amp;""&amp;W284</f>
        <v>262801,..,4701</v>
      </c>
      <c r="V284" s="40">
        <f ca="1">(SUMPRODUCT(MID(0&amp;(LEFT(A283,SUM(LEN(A283)-LEN(SUBSTITUTE(A283,{"0","1","2","3"},""))))), LARGE(INDEX(ISNUMBER(--MID((LEFT(A283,SUM(LEN(A283)-LEN(SUBSTITUTE(A283,{"0","1","2","3"},""))))), ROW(INDIRECT("1:"&amp;LEN((LEFT(A283,SUM(LEN(A283)-LEN(SUBSTITUTE(A283,{"0","1","2","3"},"")))))))), 1)) * ROW(INDIRECT("1:"&amp;LEN((LEFT(A283,SUM(LEN(A283)-LEN(SUBSTITUTE(A283,{"0","1","2","3"},"")))))))), 0), ROW(INDIRECT("1:"&amp;LEN((LEFT(A283,SUM(LEN(A283)-LEN(SUBSTITUTE(A283,{"0","1","2","3"},"")))))))))+1, 1) * 10^ROW(INDIRECT("1:"&amp;LEN((LEFT(A283,SUM(LEN(A283)-LEN(SUBSTITUTE(A283,{"0","1","2","3"},""))))))))/10))*100+1</f>
        <v>262801</v>
      </c>
      <c r="W284" s="40">
        <f ca="1">(SUMPRODUCT(MID(0&amp;(--TRIM(RIGHT(SUBSTITUTE(LEFT(A283,_xlfn.AGGREGATE(16,6,FIND({0,1,2,3,4,5,6,7,8,9},A283,ROW(INDIRECT("1:"&amp;LEN(A283)))),1)),"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4701</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73"/>
      <c r="B285" s="74"/>
      <c r="C285" s="77">
        <v>2</v>
      </c>
      <c r="D285" s="78"/>
      <c r="E285" s="19" t="s">
        <v>211</v>
      </c>
      <c r="F285" s="77">
        <f>(86.98+(0.6*(3.05+3.31+1.8)))*10.764</f>
        <v>988.95326399999999</v>
      </c>
      <c r="G285" s="78"/>
      <c r="H285" s="19">
        <v>0</v>
      </c>
      <c r="I285" s="19">
        <f t="shared" si="24"/>
        <v>1483.4298960000001</v>
      </c>
      <c r="J285" s="1"/>
      <c r="K285" s="1"/>
      <c r="L285" s="1"/>
      <c r="M285" s="1"/>
      <c r="N285" s="1"/>
      <c r="O285" s="1"/>
      <c r="P285" s="1"/>
      <c r="Q285" s="1"/>
      <c r="R285" s="1"/>
      <c r="S285" s="1"/>
      <c r="T285" s="1"/>
      <c r="U285" s="40" t="str">
        <f t="shared" ca="1" si="25"/>
        <v>262802,..,4702</v>
      </c>
      <c r="V285" s="40">
        <f t="shared" ref="V285:W289" ca="1" si="26">V284+1</f>
        <v>262802</v>
      </c>
      <c r="W285" s="40">
        <f t="shared" ca="1" si="26"/>
        <v>4702</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73"/>
      <c r="B286" s="74"/>
      <c r="C286" s="77">
        <v>3</v>
      </c>
      <c r="D286" s="78"/>
      <c r="E286" s="19" t="s">
        <v>238</v>
      </c>
      <c r="F286" s="77">
        <f>(129.6+(0.6*(3+3.4+4.26+3.59+2.8)))*10.764</f>
        <v>1505.1301199999998</v>
      </c>
      <c r="G286" s="78"/>
      <c r="H286" s="19">
        <v>0</v>
      </c>
      <c r="I286" s="19">
        <f t="shared" si="24"/>
        <v>2257.6951799999997</v>
      </c>
      <c r="J286" s="1"/>
      <c r="K286" s="1"/>
      <c r="L286" s="1"/>
      <c r="M286" s="1"/>
      <c r="N286" s="1"/>
      <c r="O286" s="1"/>
      <c r="P286" s="1"/>
      <c r="Q286" s="1"/>
      <c r="R286" s="1"/>
      <c r="S286" s="1"/>
      <c r="T286" s="1"/>
      <c r="U286" s="40" t="str">
        <f t="shared" ca="1" si="25"/>
        <v>262803,..,4703</v>
      </c>
      <c r="V286" s="40">
        <f t="shared" ca="1" si="26"/>
        <v>262803</v>
      </c>
      <c r="W286" s="40">
        <f t="shared" ca="1" si="26"/>
        <v>4703</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73"/>
      <c r="B287" s="74"/>
      <c r="C287" s="77">
        <v>4</v>
      </c>
      <c r="D287" s="78"/>
      <c r="E287" s="19" t="s">
        <v>211</v>
      </c>
      <c r="F287" s="77">
        <f>(101.5+(0.6*(3.35+3.05+3.45)))*10.764</f>
        <v>1156.1612399999999</v>
      </c>
      <c r="G287" s="78"/>
      <c r="H287" s="19">
        <v>0</v>
      </c>
      <c r="I287" s="19">
        <f t="shared" si="24"/>
        <v>1734.2418599999999</v>
      </c>
      <c r="J287" s="1"/>
      <c r="K287" s="1"/>
      <c r="L287" s="1"/>
      <c r="M287" s="1"/>
      <c r="N287" s="1"/>
      <c r="O287" s="1"/>
      <c r="P287" s="1"/>
      <c r="Q287" s="1"/>
      <c r="R287" s="1"/>
      <c r="S287" s="1"/>
      <c r="T287" s="1"/>
      <c r="U287" s="40" t="str">
        <f t="shared" ca="1" si="25"/>
        <v>262804,..,4704</v>
      </c>
      <c r="V287" s="40">
        <f t="shared" ca="1" si="26"/>
        <v>262804</v>
      </c>
      <c r="W287" s="40">
        <f t="shared" ca="1" si="26"/>
        <v>4704</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73"/>
      <c r="B288" s="74"/>
      <c r="C288" s="77">
        <v>5</v>
      </c>
      <c r="D288" s="78"/>
      <c r="E288" s="19" t="s">
        <v>211</v>
      </c>
      <c r="F288" s="77">
        <f>(101.5+(0.6*(3.35+3.05+3.45)))*10.764</f>
        <v>1156.1612399999999</v>
      </c>
      <c r="G288" s="78"/>
      <c r="H288" s="19">
        <v>0</v>
      </c>
      <c r="I288" s="19">
        <f t="shared" si="24"/>
        <v>1734.2418599999999</v>
      </c>
      <c r="J288" s="1"/>
      <c r="K288" s="1"/>
      <c r="L288" s="1"/>
      <c r="M288" s="1"/>
      <c r="N288" s="1"/>
      <c r="O288" s="1"/>
      <c r="P288" s="1"/>
      <c r="Q288" s="1"/>
      <c r="R288" s="1"/>
      <c r="S288" s="1"/>
      <c r="T288" s="1"/>
      <c r="U288" s="40" t="str">
        <f t="shared" ca="1" si="25"/>
        <v>262805,..,4705</v>
      </c>
      <c r="V288" s="40">
        <f t="shared" ca="1" si="26"/>
        <v>262805</v>
      </c>
      <c r="W288" s="40">
        <f t="shared" ca="1" si="26"/>
        <v>4705</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75"/>
      <c r="B289" s="76"/>
      <c r="C289" s="77">
        <v>6</v>
      </c>
      <c r="D289" s="78"/>
      <c r="E289" s="19" t="s">
        <v>238</v>
      </c>
      <c r="F289" s="77">
        <f>(129.6+(0.6*(3+3.4+4.26+3.59+2.8)))*10.764</f>
        <v>1505.1301199999998</v>
      </c>
      <c r="G289" s="78"/>
      <c r="H289" s="19">
        <v>0</v>
      </c>
      <c r="I289" s="19">
        <f t="shared" si="24"/>
        <v>2257.6951799999997</v>
      </c>
      <c r="J289" s="1"/>
      <c r="K289" s="1"/>
      <c r="L289" s="1"/>
      <c r="M289" s="1"/>
      <c r="N289" s="1"/>
      <c r="O289" s="1"/>
      <c r="P289" s="1"/>
      <c r="Q289" s="1"/>
      <c r="R289" s="1"/>
      <c r="S289" s="1"/>
      <c r="T289" s="1"/>
      <c r="U289" s="40" t="str">
        <f t="shared" ca="1" si="25"/>
        <v>262806,..,4706</v>
      </c>
      <c r="V289" s="40">
        <f t="shared" ca="1" si="26"/>
        <v>262806</v>
      </c>
      <c r="W289" s="40">
        <f t="shared" ca="1" si="26"/>
        <v>4706</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x14ac:dyDescent="0.25">
      <c r="A290" s="68" t="s">
        <v>298</v>
      </c>
      <c r="B290" s="69"/>
      <c r="C290" s="69"/>
      <c r="D290" s="69"/>
      <c r="E290" s="69"/>
      <c r="F290" s="69"/>
      <c r="G290" s="69"/>
      <c r="H290" s="69"/>
      <c r="I290" s="70"/>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71" t="str">
        <f>A290</f>
        <v>29th &amp; 34th Floor (Part Refuge Area)</v>
      </c>
      <c r="B291" s="72"/>
      <c r="C291" s="77">
        <v>1</v>
      </c>
      <c r="D291" s="78"/>
      <c r="E291" s="19" t="s">
        <v>211</v>
      </c>
      <c r="F291" s="77">
        <f>(86.98+(0.6*(3.05+3.31+1.8)))*10.764</f>
        <v>988.95326399999999</v>
      </c>
      <c r="G291" s="78"/>
      <c r="H291" s="19">
        <v>0</v>
      </c>
      <c r="I291" s="19">
        <f>F291*(($I$105)+1)+H291</f>
        <v>1483.4298960000001</v>
      </c>
      <c r="J291" s="1"/>
      <c r="K291" s="1"/>
      <c r="L291" s="1"/>
      <c r="M291" s="1"/>
      <c r="N291" s="1"/>
      <c r="O291" s="1"/>
      <c r="P291" s="1"/>
      <c r="Q291" s="1"/>
      <c r="R291" s="1"/>
      <c r="S291" s="1"/>
      <c r="T291" s="1"/>
      <c r="U291" s="40" t="str">
        <f t="shared" ref="U291:U296" ca="1" si="27">V291&amp;""&amp;",..,"&amp;""&amp;W291</f>
        <v>2901,..,3401</v>
      </c>
      <c r="V291" s="40">
        <f ca="1">(SUMPRODUCT(MID(0&amp;(LEFT(A290,SUM(LEN(A290)-LEN(SUBSTITUTE(A290,{"0","1","2","3"},""))))), LARGE(INDEX(ISNUMBER(--MID((LEFT(A290,SUM(LEN(A290)-LEN(SUBSTITUTE(A290,{"0","1","2","3"},""))))), ROW(INDIRECT("1:"&amp;LEN((LEFT(A290,SUM(LEN(A290)-LEN(SUBSTITUTE(A290,{"0","1","2","3"},"")))))))), 1)) * ROW(INDIRECT("1:"&amp;LEN((LEFT(A290,SUM(LEN(A290)-LEN(SUBSTITUTE(A290,{"0","1","2","3"},"")))))))), 0), ROW(INDIRECT("1:"&amp;LEN((LEFT(A290,SUM(LEN(A290)-LEN(SUBSTITUTE(A290,{"0","1","2","3"},"")))))))))+1, 1) * 10^ROW(INDIRECT("1:"&amp;LEN((LEFT(A290,SUM(LEN(A290)-LEN(SUBSTITUTE(A290,{"0","1","2","3"},""))))))))/10))*100+1</f>
        <v>2901</v>
      </c>
      <c r="W291" s="40">
        <f ca="1">(SUMPRODUCT(MID(0&amp;(--TRIM(RIGHT(SUBSTITUTE(LEFT(A290,_xlfn.AGGREGATE(16,6,FIND({0,1,2,3,4,5,6,7,8,9},A290,ROW(INDIRECT("1:"&amp;LEN(A290)))),1))," ",REPT(" ",LEN(A290))),LEN(A290)))), LARGE(INDEX(ISNUMBER(--MID((--TRIM(RIGHT(SUBSTITUTE(LEFT(A290,_xlfn.AGGREGATE(16,6,FIND({0,1,2,3,4,5,6,7,8,9},A290,ROW(INDIRECT("1:"&amp;LEN(A290)))),1))," ",REPT(" ",LEN(A290))),LEN(A290)))), ROW(INDIRECT("1:"&amp;LEN((--TRIM(RIGHT(SUBSTITUTE(LEFT(A290,_xlfn.AGGREGATE(16,6,FIND({0,1,2,3,4,5,6,7,8,9},A290,ROW(INDIRECT("1:"&amp;LEN(A290)))),1))," ",REPT(" ",LEN(A290))),LEN(A290))))))), 1)) * ROW(INDIRECT("1:"&amp;LEN((--TRIM(RIGHT(SUBSTITUTE(LEFT(A290,_xlfn.AGGREGATE(16,6,FIND({0,1,2,3,4,5,6,7,8,9},A290,ROW(INDIRECT("1:"&amp;LEN(A290)))),1))," ",REPT(" ",LEN(A290))),LEN(A290))))))), 0), ROW(INDIRECT("1:"&amp;LEN((--TRIM(RIGHT(SUBSTITUTE(LEFT(A290,_xlfn.AGGREGATE(16,6,FIND({0,1,2,3,4,5,6,7,8,9},A290,ROW(INDIRECT("1:"&amp;LEN(A290)))),1))," ",REPT(" ",LEN(A290))),LEN(A290))))))))+1, 1) * 10^ROW(INDIRECT("1:"&amp;LEN((--TRIM(RIGHT(SUBSTITUTE(LEFT(A290,_xlfn.AGGREGATE(16,6,FIND({0,1,2,3,4,5,6,7,8,9},A290,ROW(INDIRECT("1:"&amp;LEN(A290)))),1))," ",REPT(" ",LEN(A290))),LEN(A290)))))))/10))*100+1</f>
        <v>3401</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73"/>
      <c r="B292" s="74"/>
      <c r="C292" s="77">
        <v>2</v>
      </c>
      <c r="D292" s="78"/>
      <c r="E292" s="19" t="s">
        <v>211</v>
      </c>
      <c r="F292" s="77">
        <f>(86.98+(0.6*(3.05+3.31+1.8)))*10.764</f>
        <v>988.95326399999999</v>
      </c>
      <c r="G292" s="78"/>
      <c r="H292" s="19">
        <v>0</v>
      </c>
      <c r="I292" s="19">
        <f>F292*(($I$105)+1)+H292</f>
        <v>1483.4298960000001</v>
      </c>
      <c r="J292" s="1"/>
      <c r="K292" s="1"/>
      <c r="L292" s="1"/>
      <c r="M292" s="1"/>
      <c r="N292" s="1"/>
      <c r="O292" s="1"/>
      <c r="P292" s="1"/>
      <c r="Q292" s="1"/>
      <c r="R292" s="1"/>
      <c r="S292" s="1"/>
      <c r="T292" s="1"/>
      <c r="U292" s="40" t="str">
        <f t="shared" ca="1" si="27"/>
        <v>2902,..,3402</v>
      </c>
      <c r="V292" s="40">
        <f t="shared" ref="V292:W296" ca="1" si="28">V291+1</f>
        <v>2902</v>
      </c>
      <c r="W292" s="40">
        <f t="shared" ca="1" si="28"/>
        <v>3402</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73"/>
      <c r="B293" s="74"/>
      <c r="C293" s="77">
        <v>3</v>
      </c>
      <c r="D293" s="78"/>
      <c r="E293" s="19" t="s">
        <v>238</v>
      </c>
      <c r="F293" s="77">
        <f>(129.6+(0.6*(3+3.4+4.26+3.59+2.8)))*10.764</f>
        <v>1505.1301199999998</v>
      </c>
      <c r="G293" s="78"/>
      <c r="H293" s="19">
        <v>0</v>
      </c>
      <c r="I293" s="19">
        <f>F293*(($I$105)+1)+H293</f>
        <v>2257.6951799999997</v>
      </c>
      <c r="J293" s="1"/>
      <c r="K293" s="1"/>
      <c r="L293" s="1"/>
      <c r="M293" s="1"/>
      <c r="N293" s="1"/>
      <c r="O293" s="1"/>
      <c r="P293" s="1"/>
      <c r="Q293" s="1"/>
      <c r="R293" s="1"/>
      <c r="S293" s="1"/>
      <c r="T293" s="1"/>
      <c r="U293" s="40" t="str">
        <f t="shared" ca="1" si="27"/>
        <v>2903,..,3403</v>
      </c>
      <c r="V293" s="40">
        <f t="shared" ca="1" si="28"/>
        <v>2903</v>
      </c>
      <c r="W293" s="40">
        <f t="shared" ca="1" si="28"/>
        <v>3403</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25">
      <c r="A294" s="73"/>
      <c r="B294" s="74"/>
      <c r="C294" s="77">
        <v>4</v>
      </c>
      <c r="D294" s="78"/>
      <c r="E294" s="77" t="s">
        <v>237</v>
      </c>
      <c r="F294" s="79"/>
      <c r="G294" s="79"/>
      <c r="H294" s="79"/>
      <c r="I294" s="78"/>
      <c r="J294" s="1"/>
      <c r="K294" s="1">
        <f>2.85*1.63+6.55*5.64+2.29*2.82+3.05*3.35+3.31*4.55+3.05*3.75+2.29*2.83+6.51*3.35+5.36*1.2+3.05*3.75+1.5*3.4+1.05*3.4+1.8*1.05+1.38*2.13+2.29*1.46+2.44*1.53+1.38*2.14+2.29*1.46+2.44*1.53</f>
        <v>161.52530000000002</v>
      </c>
      <c r="L294" s="1">
        <f>1.5*6.55+1*2+1.2</f>
        <v>13.024999999999999</v>
      </c>
      <c r="M294" s="1"/>
      <c r="N294" s="1"/>
      <c r="O294" s="1"/>
      <c r="P294" s="1"/>
      <c r="Q294" s="1"/>
      <c r="R294" s="1"/>
      <c r="S294" s="1"/>
      <c r="T294" s="1"/>
      <c r="U294" s="40" t="str">
        <f t="shared" ca="1" si="27"/>
        <v>2904,..,3404</v>
      </c>
      <c r="V294" s="40">
        <f t="shared" ca="1" si="28"/>
        <v>2904</v>
      </c>
      <c r="W294" s="40">
        <f t="shared" ca="1" si="28"/>
        <v>3404</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25">
      <c r="A295" s="73"/>
      <c r="B295" s="74"/>
      <c r="C295" s="77">
        <v>5</v>
      </c>
      <c r="D295" s="78"/>
      <c r="E295" s="19" t="s">
        <v>211</v>
      </c>
      <c r="F295" s="77">
        <f>(101.5+(0.6*(3.35+3.05+3.45)))*10.764</f>
        <v>1156.1612399999999</v>
      </c>
      <c r="G295" s="78"/>
      <c r="H295" s="19">
        <v>0</v>
      </c>
      <c r="I295" s="19">
        <f>F295*(($I$105)+1)+H295</f>
        <v>1734.2418599999999</v>
      </c>
      <c r="J295" s="1"/>
      <c r="K295" s="1"/>
      <c r="L295" s="1">
        <f>K294+L294</f>
        <v>174.55030000000002</v>
      </c>
      <c r="M295" s="1"/>
      <c r="N295" s="1"/>
      <c r="O295" s="1"/>
      <c r="P295" s="1"/>
      <c r="Q295" s="1"/>
      <c r="R295" s="1"/>
      <c r="S295" s="1"/>
      <c r="T295" s="1"/>
      <c r="U295" s="40" t="str">
        <f t="shared" ca="1" si="27"/>
        <v>2905,..,3405</v>
      </c>
      <c r="V295" s="40">
        <f t="shared" ca="1" si="28"/>
        <v>2905</v>
      </c>
      <c r="W295" s="40">
        <f t="shared" ca="1" si="28"/>
        <v>3405</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25">
      <c r="A296" s="75"/>
      <c r="B296" s="76"/>
      <c r="C296" s="77">
        <v>6</v>
      </c>
      <c r="D296" s="78"/>
      <c r="E296" s="19" t="s">
        <v>238</v>
      </c>
      <c r="F296" s="77">
        <f>(129.57+(0.6*(3+3.4+4.26+3.59+2.8)))*10.764</f>
        <v>1504.8071999999997</v>
      </c>
      <c r="G296" s="78"/>
      <c r="H296" s="19">
        <v>0</v>
      </c>
      <c r="I296" s="19">
        <f>F296*(($I$105)+1)+H296</f>
        <v>2257.2107999999998</v>
      </c>
      <c r="J296" s="1"/>
      <c r="K296" s="1"/>
      <c r="L296" s="1"/>
      <c r="M296" s="1"/>
      <c r="N296" s="1"/>
      <c r="O296" s="1"/>
      <c r="P296" s="1"/>
      <c r="Q296" s="1"/>
      <c r="R296" s="1"/>
      <c r="S296" s="1"/>
      <c r="T296" s="1"/>
      <c r="U296" s="40" t="str">
        <f t="shared" ca="1" si="27"/>
        <v>2906,..,3406</v>
      </c>
      <c r="V296" s="40">
        <f t="shared" ca="1" si="28"/>
        <v>2906</v>
      </c>
      <c r="W296" s="40">
        <f t="shared" ca="1" si="28"/>
        <v>3406</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x14ac:dyDescent="0.25">
      <c r="A297" s="68" t="s">
        <v>311</v>
      </c>
      <c r="B297" s="69"/>
      <c r="C297" s="69"/>
      <c r="D297" s="69"/>
      <c r="E297" s="69"/>
      <c r="F297" s="69"/>
      <c r="G297" s="69"/>
      <c r="H297" s="69"/>
      <c r="I297" s="70"/>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25">
      <c r="A298" s="71" t="str">
        <f>A297</f>
        <v>32nd, 36th &amp; 40th Floor</v>
      </c>
      <c r="B298" s="72"/>
      <c r="C298" s="77">
        <v>1</v>
      </c>
      <c r="D298" s="78"/>
      <c r="E298" s="19" t="s">
        <v>211</v>
      </c>
      <c r="F298" s="77">
        <f>(86.98+(0.6*(3.05+3.31+1.8)))*10.764</f>
        <v>988.95326399999999</v>
      </c>
      <c r="G298" s="78"/>
      <c r="H298" s="19">
        <v>0</v>
      </c>
      <c r="I298" s="19">
        <f t="shared" ref="I298:I303" si="29">F298*(($I$105)+1)+H298</f>
        <v>1483.4298960000001</v>
      </c>
      <c r="J298" s="1"/>
      <c r="K298" s="1"/>
      <c r="L298" s="1"/>
      <c r="M298" s="1"/>
      <c r="N298" s="1"/>
      <c r="O298" s="1"/>
      <c r="P298" s="1"/>
      <c r="Q298" s="1"/>
      <c r="R298" s="1"/>
      <c r="S298" s="1"/>
      <c r="T298" s="1"/>
      <c r="U298" s="40" t="str">
        <f t="shared" ref="U298:U303" ca="1" si="30">V298&amp;""&amp;",..,"&amp;""&amp;W298</f>
        <v>3201,..,4001</v>
      </c>
      <c r="V298" s="40">
        <f ca="1">(SUMPRODUCT(MID(0&amp;(LEFT(A297,SUM(LEN(A297)-LEN(SUBSTITUTE(A297,{"0","1","2","3"},""))))), LARGE(INDEX(ISNUMBER(--MID((LEFT(A297,SUM(LEN(A297)-LEN(SUBSTITUTE(A297,{"0","1","2","3"},""))))), ROW(INDIRECT("1:"&amp;LEN((LEFT(A297,SUM(LEN(A297)-LEN(SUBSTITUTE(A297,{"0","1","2","3"},"")))))))), 1)) * ROW(INDIRECT("1:"&amp;LEN((LEFT(A297,SUM(LEN(A297)-LEN(SUBSTITUTE(A297,{"0","1","2","3"},"")))))))), 0), ROW(INDIRECT("1:"&amp;LEN((LEFT(A297,SUM(LEN(A297)-LEN(SUBSTITUTE(A297,{"0","1","2","3"},"")))))))))+1, 1) * 10^ROW(INDIRECT("1:"&amp;LEN((LEFT(A297,SUM(LEN(A297)-LEN(SUBSTITUTE(A297,{"0","1","2","3"},""))))))))/10))*100+1</f>
        <v>3201</v>
      </c>
      <c r="W298" s="40">
        <f ca="1">(SUMPRODUCT(MID(0&amp;(--TRIM(RIGHT(SUBSTITUTE(LEFT(A297,_xlfn.AGGREGATE(16,6,FIND({0,1,2,3,4,5,6,7,8,9},A297,ROW(INDIRECT("1:"&amp;LEN(A297)))),1))," ",REPT(" ",LEN(A297))),LEN(A297)))), LARGE(INDEX(ISNUMBER(--MID((--TRIM(RIGHT(SUBSTITUTE(LEFT(A297,_xlfn.AGGREGATE(16,6,FIND({0,1,2,3,4,5,6,7,8,9},A297,ROW(INDIRECT("1:"&amp;LEN(A297)))),1))," ",REPT(" ",LEN(A297))),LEN(A297)))), ROW(INDIRECT("1:"&amp;LEN((--TRIM(RIGHT(SUBSTITUTE(LEFT(A297,_xlfn.AGGREGATE(16,6,FIND({0,1,2,3,4,5,6,7,8,9},A297,ROW(INDIRECT("1:"&amp;LEN(A297)))),1))," ",REPT(" ",LEN(A297))),LEN(A297))))))), 1)) * ROW(INDIRECT("1:"&amp;LEN((--TRIM(RIGHT(SUBSTITUTE(LEFT(A297,_xlfn.AGGREGATE(16,6,FIND({0,1,2,3,4,5,6,7,8,9},A297,ROW(INDIRECT("1:"&amp;LEN(A297)))),1))," ",REPT(" ",LEN(A297))),LEN(A297))))))), 0), ROW(INDIRECT("1:"&amp;LEN((--TRIM(RIGHT(SUBSTITUTE(LEFT(A297,_xlfn.AGGREGATE(16,6,FIND({0,1,2,3,4,5,6,7,8,9},A297,ROW(INDIRECT("1:"&amp;LEN(A297)))),1))," ",REPT(" ",LEN(A297))),LEN(A297))))))))+1, 1) * 10^ROW(INDIRECT("1:"&amp;LEN((--TRIM(RIGHT(SUBSTITUTE(LEFT(A297,_xlfn.AGGREGATE(16,6,FIND({0,1,2,3,4,5,6,7,8,9},A297,ROW(INDIRECT("1:"&amp;LEN(A297)))),1))," ",REPT(" ",LEN(A297))),LEN(A297)))))))/10))*100+1</f>
        <v>4001</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25">
      <c r="A299" s="73"/>
      <c r="B299" s="74"/>
      <c r="C299" s="77">
        <v>2</v>
      </c>
      <c r="D299" s="78"/>
      <c r="E299" s="19" t="s">
        <v>211</v>
      </c>
      <c r="F299" s="77">
        <f>(86.98+(0.6*(3.05+3.31+1.8)))*10.764</f>
        <v>988.95326399999999</v>
      </c>
      <c r="G299" s="78"/>
      <c r="H299" s="19">
        <v>0</v>
      </c>
      <c r="I299" s="19">
        <f t="shared" si="29"/>
        <v>1483.4298960000001</v>
      </c>
      <c r="J299" s="1"/>
      <c r="K299" s="1"/>
      <c r="L299" s="1"/>
      <c r="M299" s="1"/>
      <c r="N299" s="1"/>
      <c r="O299" s="1"/>
      <c r="P299" s="1"/>
      <c r="Q299" s="1"/>
      <c r="R299" s="1"/>
      <c r="S299" s="1"/>
      <c r="T299" s="1"/>
      <c r="U299" s="40" t="str">
        <f t="shared" ca="1" si="30"/>
        <v>3202,..,4002</v>
      </c>
      <c r="V299" s="40">
        <f t="shared" ref="V299:W299" ca="1" si="31">V298+1</f>
        <v>3202</v>
      </c>
      <c r="W299" s="40">
        <f t="shared" ca="1" si="31"/>
        <v>4002</v>
      </c>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73"/>
      <c r="B300" s="74"/>
      <c r="C300" s="77">
        <v>3</v>
      </c>
      <c r="D300" s="78"/>
      <c r="E300" s="19" t="s">
        <v>238</v>
      </c>
      <c r="F300" s="77">
        <f>(129.6+(0.6*(3+3.4+4.26+3.59+2.8)))*10.764</f>
        <v>1505.1301199999998</v>
      </c>
      <c r="G300" s="78"/>
      <c r="H300" s="19">
        <v>0</v>
      </c>
      <c r="I300" s="19">
        <f t="shared" si="29"/>
        <v>2257.6951799999997</v>
      </c>
      <c r="J300" s="1"/>
      <c r="K300" s="1"/>
      <c r="L300" s="1"/>
      <c r="M300" s="1"/>
      <c r="N300" s="1"/>
      <c r="O300" s="1"/>
      <c r="P300" s="1"/>
      <c r="Q300" s="1"/>
      <c r="R300" s="1"/>
      <c r="S300" s="1"/>
      <c r="T300" s="1"/>
      <c r="U300" s="40" t="str">
        <f t="shared" ca="1" si="30"/>
        <v>3203,..,4003</v>
      </c>
      <c r="V300" s="40">
        <f t="shared" ref="V300:W300" ca="1" si="32">V299+1</f>
        <v>3203</v>
      </c>
      <c r="W300" s="40">
        <f t="shared" ca="1" si="32"/>
        <v>4003</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73"/>
      <c r="B301" s="74"/>
      <c r="C301" s="77">
        <v>4</v>
      </c>
      <c r="D301" s="78"/>
      <c r="E301" s="19" t="s">
        <v>211</v>
      </c>
      <c r="F301" s="77">
        <f>(101.5+(0.6*(3.35+3.05+3.45)))*10.764</f>
        <v>1156.1612399999999</v>
      </c>
      <c r="G301" s="78"/>
      <c r="H301" s="19">
        <v>0</v>
      </c>
      <c r="I301" s="19">
        <f t="shared" si="29"/>
        <v>1734.2418599999999</v>
      </c>
      <c r="J301" s="1"/>
      <c r="K301" s="1"/>
      <c r="L301" s="1"/>
      <c r="M301" s="1"/>
      <c r="N301" s="1"/>
      <c r="O301" s="1"/>
      <c r="P301" s="1"/>
      <c r="Q301" s="1"/>
      <c r="R301" s="1"/>
      <c r="S301" s="1"/>
      <c r="T301" s="1"/>
      <c r="U301" s="40" t="str">
        <f t="shared" ca="1" si="30"/>
        <v>3204,..,4004</v>
      </c>
      <c r="V301" s="40">
        <f t="shared" ref="V301:W301" ca="1" si="33">V300+1</f>
        <v>3204</v>
      </c>
      <c r="W301" s="40">
        <f t="shared" ca="1" si="33"/>
        <v>4004</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73"/>
      <c r="B302" s="74"/>
      <c r="C302" s="77">
        <v>5</v>
      </c>
      <c r="D302" s="78"/>
      <c r="E302" s="19" t="s">
        <v>211</v>
      </c>
      <c r="F302" s="77">
        <f>(101.5+(0.6*(3.35+3.05+3.45)))*10.764</f>
        <v>1156.1612399999999</v>
      </c>
      <c r="G302" s="78"/>
      <c r="H302" s="19">
        <v>0</v>
      </c>
      <c r="I302" s="19">
        <f t="shared" si="29"/>
        <v>1734.2418599999999</v>
      </c>
      <c r="J302" s="1"/>
      <c r="K302" s="1"/>
      <c r="L302" s="1"/>
      <c r="M302" s="1"/>
      <c r="N302" s="1"/>
      <c r="O302" s="1"/>
      <c r="P302" s="1"/>
      <c r="Q302" s="1"/>
      <c r="R302" s="1"/>
      <c r="S302" s="1"/>
      <c r="T302" s="1"/>
      <c r="U302" s="40" t="str">
        <f t="shared" ca="1" si="30"/>
        <v>3205,..,4005</v>
      </c>
      <c r="V302" s="40">
        <f t="shared" ref="V302:W302" ca="1" si="34">V301+1</f>
        <v>3205</v>
      </c>
      <c r="W302" s="40">
        <f t="shared" ca="1" si="34"/>
        <v>4005</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75"/>
      <c r="B303" s="76"/>
      <c r="C303" s="77">
        <v>6</v>
      </c>
      <c r="D303" s="78"/>
      <c r="E303" s="19" t="s">
        <v>238</v>
      </c>
      <c r="F303" s="77">
        <f>(129.6+(0.6*(3+3.4+4.26+3.59+2.8)))*10.764</f>
        <v>1505.1301199999998</v>
      </c>
      <c r="G303" s="78"/>
      <c r="H303" s="19">
        <v>0</v>
      </c>
      <c r="I303" s="19">
        <f t="shared" si="29"/>
        <v>2257.6951799999997</v>
      </c>
      <c r="J303" s="1"/>
      <c r="K303" s="1"/>
      <c r="L303" s="1"/>
      <c r="M303" s="1"/>
      <c r="N303" s="1"/>
      <c r="O303" s="1"/>
      <c r="P303" s="1"/>
      <c r="Q303" s="1"/>
      <c r="R303" s="1"/>
      <c r="S303" s="1"/>
      <c r="T303" s="1"/>
      <c r="U303" s="40" t="str">
        <f t="shared" ca="1" si="30"/>
        <v>3206,..,4006</v>
      </c>
      <c r="V303" s="40">
        <f t="shared" ref="V303:W303" ca="1" si="35">V302+1</f>
        <v>3206</v>
      </c>
      <c r="W303" s="40">
        <f t="shared" ca="1" si="35"/>
        <v>4006</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x14ac:dyDescent="0.25">
      <c r="A304" s="68" t="s">
        <v>312</v>
      </c>
      <c r="B304" s="69"/>
      <c r="C304" s="69"/>
      <c r="D304" s="69"/>
      <c r="E304" s="69"/>
      <c r="F304" s="69"/>
      <c r="G304" s="69"/>
      <c r="H304" s="69"/>
      <c r="I304" s="70"/>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71" t="str">
        <f>A304</f>
        <v>39th Floor (Part Refuge Area)</v>
      </c>
      <c r="B305" s="72"/>
      <c r="C305" s="77">
        <v>1</v>
      </c>
      <c r="D305" s="78"/>
      <c r="E305" s="19" t="s">
        <v>211</v>
      </c>
      <c r="F305" s="77">
        <f>(86.98+(0.6*(3.05+3.31+1.8)))*10.764</f>
        <v>988.95326399999999</v>
      </c>
      <c r="G305" s="78"/>
      <c r="H305" s="19">
        <v>0</v>
      </c>
      <c r="I305" s="19">
        <f>F305*(($I$105)+1)+H305</f>
        <v>1483.4298960000001</v>
      </c>
      <c r="J305" s="1"/>
      <c r="K305" s="1"/>
      <c r="L305" s="1"/>
      <c r="M305" s="1"/>
      <c r="N305" s="1"/>
      <c r="O305" s="1"/>
      <c r="P305" s="1"/>
      <c r="Q305" s="1"/>
      <c r="R305" s="1"/>
      <c r="S305" s="1"/>
      <c r="T305" s="1"/>
      <c r="U305" s="40" t="str">
        <f t="shared" ref="U305:U310" ca="1" si="36">V305&amp;""&amp;",..,"&amp;""&amp;W305</f>
        <v>301,..,3901</v>
      </c>
      <c r="V305" s="40">
        <f ca="1">(SUMPRODUCT(MID(0&amp;(LEFT(A304,SUM(LEN(A304)-LEN(SUBSTITUTE(A304,{"0","1","2","3"},""))))), LARGE(INDEX(ISNUMBER(--MID((LEFT(A304,SUM(LEN(A304)-LEN(SUBSTITUTE(A304,{"0","1","2","3"},""))))), ROW(INDIRECT("1:"&amp;LEN((LEFT(A304,SUM(LEN(A304)-LEN(SUBSTITUTE(A304,{"0","1","2","3"},"")))))))), 1)) * ROW(INDIRECT("1:"&amp;LEN((LEFT(A304,SUM(LEN(A304)-LEN(SUBSTITUTE(A304,{"0","1","2","3"},"")))))))), 0), ROW(INDIRECT("1:"&amp;LEN((LEFT(A304,SUM(LEN(A304)-LEN(SUBSTITUTE(A304,{"0","1","2","3"},"")))))))))+1, 1) * 10^ROW(INDIRECT("1:"&amp;LEN((LEFT(A304,SUM(LEN(A304)-LEN(SUBSTITUTE(A304,{"0","1","2","3"},""))))))))/10))*100+1</f>
        <v>301</v>
      </c>
      <c r="W305" s="40">
        <f ca="1">(SUMPRODUCT(MID(0&amp;(--TRIM(RIGHT(SUBSTITUTE(LEFT(A304,_xlfn.AGGREGATE(16,6,FIND({0,1,2,3,4,5,6,7,8,9},A304,ROW(INDIRECT("1:"&amp;LEN(A304)))),1))," ",REPT(" ",LEN(A304))),LEN(A304)))), LARGE(INDEX(ISNUMBER(--MID((--TRIM(RIGHT(SUBSTITUTE(LEFT(A304,_xlfn.AGGREGATE(16,6,FIND({0,1,2,3,4,5,6,7,8,9},A304,ROW(INDIRECT("1:"&amp;LEN(A304)))),1))," ",REPT(" ",LEN(A304))),LEN(A304)))), ROW(INDIRECT("1:"&amp;LEN((--TRIM(RIGHT(SUBSTITUTE(LEFT(A304,_xlfn.AGGREGATE(16,6,FIND({0,1,2,3,4,5,6,7,8,9},A304,ROW(INDIRECT("1:"&amp;LEN(A304)))),1))," ",REPT(" ",LEN(A304))),LEN(A304))))))), 1)) * ROW(INDIRECT("1:"&amp;LEN((--TRIM(RIGHT(SUBSTITUTE(LEFT(A304,_xlfn.AGGREGATE(16,6,FIND({0,1,2,3,4,5,6,7,8,9},A304,ROW(INDIRECT("1:"&amp;LEN(A304)))),1))," ",REPT(" ",LEN(A304))),LEN(A304))))))), 0), ROW(INDIRECT("1:"&amp;LEN((--TRIM(RIGHT(SUBSTITUTE(LEFT(A304,_xlfn.AGGREGATE(16,6,FIND({0,1,2,3,4,5,6,7,8,9},A304,ROW(INDIRECT("1:"&amp;LEN(A304)))),1))," ",REPT(" ",LEN(A304))),LEN(A304))))))))+1, 1) * 10^ROW(INDIRECT("1:"&amp;LEN((--TRIM(RIGHT(SUBSTITUTE(LEFT(A304,_xlfn.AGGREGATE(16,6,FIND({0,1,2,3,4,5,6,7,8,9},A304,ROW(INDIRECT("1:"&amp;LEN(A304)))),1))," ",REPT(" ",LEN(A304))),LEN(A304)))))))/10))*100+1</f>
        <v>3901</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73"/>
      <c r="B306" s="74"/>
      <c r="C306" s="77">
        <v>2</v>
      </c>
      <c r="D306" s="78"/>
      <c r="E306" s="19" t="s">
        <v>211</v>
      </c>
      <c r="F306" s="77">
        <f>(86.98+(0.6*(3.05+3.31+1.8)))*10.764</f>
        <v>988.95326399999999</v>
      </c>
      <c r="G306" s="78"/>
      <c r="H306" s="19">
        <v>0</v>
      </c>
      <c r="I306" s="19">
        <f>F306*(($I$105)+1)+H306</f>
        <v>1483.4298960000001</v>
      </c>
      <c r="J306" s="1"/>
      <c r="K306" s="1"/>
      <c r="L306" s="1"/>
      <c r="M306" s="1"/>
      <c r="N306" s="1"/>
      <c r="O306" s="1"/>
      <c r="P306" s="1"/>
      <c r="Q306" s="1"/>
      <c r="R306" s="1"/>
      <c r="S306" s="1"/>
      <c r="T306" s="1"/>
      <c r="U306" s="40" t="str">
        <f t="shared" ca="1" si="36"/>
        <v>302,..,3902</v>
      </c>
      <c r="V306" s="40">
        <f t="shared" ref="V306:W306" ca="1" si="37">V305+1</f>
        <v>302</v>
      </c>
      <c r="W306" s="40">
        <f t="shared" ca="1" si="37"/>
        <v>3902</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25">
      <c r="A307" s="73"/>
      <c r="B307" s="74"/>
      <c r="C307" s="77">
        <v>3</v>
      </c>
      <c r="D307" s="78"/>
      <c r="E307" s="19" t="s">
        <v>238</v>
      </c>
      <c r="F307" s="77">
        <f>(129.6+(0.6*(3+3.4+4.26+3.59+2.8)))*10.764</f>
        <v>1505.1301199999998</v>
      </c>
      <c r="G307" s="78"/>
      <c r="H307" s="19">
        <v>0</v>
      </c>
      <c r="I307" s="19">
        <f>F307*(($I$105)+1)+H307</f>
        <v>2257.6951799999997</v>
      </c>
      <c r="J307" s="1"/>
      <c r="K307" s="1"/>
      <c r="L307" s="1"/>
      <c r="M307" s="1"/>
      <c r="N307" s="1"/>
      <c r="O307" s="1"/>
      <c r="P307" s="1"/>
      <c r="Q307" s="1"/>
      <c r="R307" s="1"/>
      <c r="S307" s="1"/>
      <c r="T307" s="1"/>
      <c r="U307" s="40" t="str">
        <f t="shared" ca="1" si="36"/>
        <v>303,..,3903</v>
      </c>
      <c r="V307" s="40">
        <f t="shared" ref="V307:W307" ca="1" si="38">V306+1</f>
        <v>303</v>
      </c>
      <c r="W307" s="40">
        <f t="shared" ca="1" si="38"/>
        <v>3903</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25">
      <c r="A308" s="73"/>
      <c r="B308" s="74"/>
      <c r="C308" s="77">
        <v>4</v>
      </c>
      <c r="D308" s="78"/>
      <c r="E308" s="77" t="s">
        <v>237</v>
      </c>
      <c r="F308" s="79"/>
      <c r="G308" s="79"/>
      <c r="H308" s="79"/>
      <c r="I308" s="78"/>
      <c r="J308" s="1"/>
      <c r="K308" s="1">
        <f>2.85*1.63+6.55*5.64+2.29*2.82+3.05*3.35+3.31*4.55+3.05*3.75+2.29*2.83+6.51*3.35+5.36*1.2+3.05*3.75+1.5*3.4+1.05*3.4+1.8*1.05+1.38*2.13+2.29*1.46+2.44*1.53+1.38*2.14+2.29*1.46+2.44*1.53</f>
        <v>161.52530000000002</v>
      </c>
      <c r="L308" s="1">
        <f>1.5*6.55+1*2+1.2</f>
        <v>13.024999999999999</v>
      </c>
      <c r="M308" s="1"/>
      <c r="N308" s="1"/>
      <c r="O308" s="1"/>
      <c r="P308" s="1"/>
      <c r="Q308" s="1"/>
      <c r="R308" s="1"/>
      <c r="S308" s="1"/>
      <c r="T308" s="1"/>
      <c r="U308" s="40" t="str">
        <f t="shared" ca="1" si="36"/>
        <v>304,..,3904</v>
      </c>
      <c r="V308" s="40">
        <f t="shared" ref="V308:W308" ca="1" si="39">V307+1</f>
        <v>304</v>
      </c>
      <c r="W308" s="40">
        <f t="shared" ca="1" si="39"/>
        <v>3904</v>
      </c>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73"/>
      <c r="B309" s="74"/>
      <c r="C309" s="77">
        <v>5</v>
      </c>
      <c r="D309" s="78"/>
      <c r="E309" s="19" t="s">
        <v>211</v>
      </c>
      <c r="F309" s="77">
        <f>(101.5+(0.6*(3.35+3.05+3.45)))*10.764</f>
        <v>1156.1612399999999</v>
      </c>
      <c r="G309" s="78"/>
      <c r="H309" s="19">
        <v>0</v>
      </c>
      <c r="I309" s="19">
        <f>F309*(($I$105)+1)+H309</f>
        <v>1734.2418599999999</v>
      </c>
      <c r="J309" s="1"/>
      <c r="K309" s="1"/>
      <c r="L309" s="1">
        <f>K308+L308</f>
        <v>174.55030000000002</v>
      </c>
      <c r="M309" s="1"/>
      <c r="N309" s="1"/>
      <c r="O309" s="1"/>
      <c r="P309" s="1"/>
      <c r="Q309" s="1"/>
      <c r="R309" s="1"/>
      <c r="S309" s="1"/>
      <c r="T309" s="1"/>
      <c r="U309" s="40" t="str">
        <f t="shared" ca="1" si="36"/>
        <v>305,..,3905</v>
      </c>
      <c r="V309" s="40">
        <f t="shared" ref="V309:W309" ca="1" si="40">V308+1</f>
        <v>305</v>
      </c>
      <c r="W309" s="40">
        <f t="shared" ca="1" si="40"/>
        <v>3905</v>
      </c>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75"/>
      <c r="B310" s="76"/>
      <c r="C310" s="77">
        <v>6</v>
      </c>
      <c r="D310" s="78"/>
      <c r="E310" s="19" t="s">
        <v>238</v>
      </c>
      <c r="F310" s="77">
        <f>(129.57+(0.6*(3+3.4+4.26+3.59+2.8)))*10.764</f>
        <v>1504.8071999999997</v>
      </c>
      <c r="G310" s="78"/>
      <c r="H310" s="19">
        <v>0</v>
      </c>
      <c r="I310" s="19">
        <f>F310*(($I$105)+1)+H310</f>
        <v>2257.2107999999998</v>
      </c>
      <c r="J310" s="1"/>
      <c r="K310" s="1"/>
      <c r="L310" s="1"/>
      <c r="M310" s="1"/>
      <c r="N310" s="1"/>
      <c r="O310" s="1"/>
      <c r="P310" s="1"/>
      <c r="Q310" s="1"/>
      <c r="R310" s="1"/>
      <c r="S310" s="1"/>
      <c r="T310" s="1"/>
      <c r="U310" s="40" t="str">
        <f t="shared" ca="1" si="36"/>
        <v>306,..,3906</v>
      </c>
      <c r="V310" s="40">
        <f t="shared" ref="V310:W310" ca="1" si="41">V309+1</f>
        <v>306</v>
      </c>
      <c r="W310" s="40">
        <f t="shared" ca="1" si="41"/>
        <v>3906</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x14ac:dyDescent="0.25">
      <c r="A311" s="68" t="s">
        <v>299</v>
      </c>
      <c r="B311" s="69"/>
      <c r="C311" s="69"/>
      <c r="D311" s="69"/>
      <c r="E311" s="69"/>
      <c r="F311" s="69"/>
      <c r="G311" s="69"/>
      <c r="H311" s="69"/>
      <c r="I311" s="70"/>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71" t="str">
        <f>A311</f>
        <v xml:space="preserve">43rd Floor </v>
      </c>
      <c r="B312" s="72"/>
      <c r="C312" s="77">
        <v>1</v>
      </c>
      <c r="D312" s="78"/>
      <c r="E312" s="19" t="s">
        <v>211</v>
      </c>
      <c r="F312" s="77">
        <f>(86.98+(0.6*(3.05+3.31+1.8)))*10.764</f>
        <v>988.95326399999999</v>
      </c>
      <c r="G312" s="78"/>
      <c r="H312" s="19">
        <v>0</v>
      </c>
      <c r="I312" s="19">
        <f t="shared" ref="I312:I317" si="42">F312*(($I$105)+1)+H312</f>
        <v>1483.4298960000001</v>
      </c>
      <c r="J312" s="1"/>
      <c r="K312" s="1"/>
      <c r="L312" s="1"/>
      <c r="M312" s="1"/>
      <c r="N312" s="1"/>
      <c r="O312" s="1"/>
      <c r="P312" s="1"/>
      <c r="Q312" s="1"/>
      <c r="R312" s="1"/>
      <c r="S312" s="1"/>
      <c r="T312" s="1"/>
      <c r="U312" s="40" t="str">
        <f t="shared" ref="U312:U317" ca="1" si="43">V312&amp;""&amp;",..,"&amp;""&amp;W312</f>
        <v>401,..,4301</v>
      </c>
      <c r="V312" s="40">
        <f ca="1">(SUMPRODUCT(MID(0&amp;(LEFT(A311,SUM(LEN(A311)-LEN(SUBSTITUTE(A311,{"0","1","2","3"},""))))), LARGE(INDEX(ISNUMBER(--MID((LEFT(A311,SUM(LEN(A311)-LEN(SUBSTITUTE(A311,{"0","1","2","3"},""))))), ROW(INDIRECT("1:"&amp;LEN((LEFT(A311,SUM(LEN(A311)-LEN(SUBSTITUTE(A311,{"0","1","2","3"},"")))))))), 1)) * ROW(INDIRECT("1:"&amp;LEN((LEFT(A311,SUM(LEN(A311)-LEN(SUBSTITUTE(A311,{"0","1","2","3"},"")))))))), 0), ROW(INDIRECT("1:"&amp;LEN((LEFT(A311,SUM(LEN(A311)-LEN(SUBSTITUTE(A311,{"0","1","2","3"},"")))))))))+1, 1) * 10^ROW(INDIRECT("1:"&amp;LEN((LEFT(A311,SUM(LEN(A311)-LEN(SUBSTITUTE(A311,{"0","1","2","3"},""))))))))/10))*100+1</f>
        <v>401</v>
      </c>
      <c r="W312" s="40">
        <f ca="1">(SUMPRODUCT(MID(0&amp;(--TRIM(RIGHT(SUBSTITUTE(LEFT(A311,_xlfn.AGGREGATE(16,6,FIND({0,1,2,3,4,5,6,7,8,9},A311,ROW(INDIRECT("1:"&amp;LEN(A311)))),1))," ",REPT(" ",LEN(A311))),LEN(A311)))), LARGE(INDEX(ISNUMBER(--MID((--TRIM(RIGHT(SUBSTITUTE(LEFT(A311,_xlfn.AGGREGATE(16,6,FIND({0,1,2,3,4,5,6,7,8,9},A311,ROW(INDIRECT("1:"&amp;LEN(A311)))),1))," ",REPT(" ",LEN(A311))),LEN(A311)))), ROW(INDIRECT("1:"&amp;LEN((--TRIM(RIGHT(SUBSTITUTE(LEFT(A311,_xlfn.AGGREGATE(16,6,FIND({0,1,2,3,4,5,6,7,8,9},A311,ROW(INDIRECT("1:"&amp;LEN(A311)))),1))," ",REPT(" ",LEN(A311))),LEN(A311))))))), 1)) * ROW(INDIRECT("1:"&amp;LEN((--TRIM(RIGHT(SUBSTITUTE(LEFT(A311,_xlfn.AGGREGATE(16,6,FIND({0,1,2,3,4,5,6,7,8,9},A311,ROW(INDIRECT("1:"&amp;LEN(A311)))),1))," ",REPT(" ",LEN(A311))),LEN(A311))))))), 0), ROW(INDIRECT("1:"&amp;LEN((--TRIM(RIGHT(SUBSTITUTE(LEFT(A311,_xlfn.AGGREGATE(16,6,FIND({0,1,2,3,4,5,6,7,8,9},A311,ROW(INDIRECT("1:"&amp;LEN(A311)))),1))," ",REPT(" ",LEN(A311))),LEN(A311))))))))+1, 1) * 10^ROW(INDIRECT("1:"&amp;LEN((--TRIM(RIGHT(SUBSTITUTE(LEFT(A311,_xlfn.AGGREGATE(16,6,FIND({0,1,2,3,4,5,6,7,8,9},A311,ROW(INDIRECT("1:"&amp;LEN(A311)))),1))," ",REPT(" ",LEN(A311))),LEN(A311)))))))/10))*100+1</f>
        <v>4301</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73"/>
      <c r="B313" s="74"/>
      <c r="C313" s="77">
        <v>2</v>
      </c>
      <c r="D313" s="78"/>
      <c r="E313" s="19" t="s">
        <v>211</v>
      </c>
      <c r="F313" s="77">
        <f>(86.98+(0.6*(3.05+3.31+1.8)))*10.764</f>
        <v>988.95326399999999</v>
      </c>
      <c r="G313" s="78"/>
      <c r="H313" s="19">
        <v>0</v>
      </c>
      <c r="I313" s="19">
        <f t="shared" si="42"/>
        <v>1483.4298960000001</v>
      </c>
      <c r="J313" s="1"/>
      <c r="K313" s="1"/>
      <c r="L313" s="1"/>
      <c r="M313" s="1"/>
      <c r="N313" s="1"/>
      <c r="O313" s="1"/>
      <c r="P313" s="1"/>
      <c r="Q313" s="1"/>
      <c r="R313" s="1"/>
      <c r="S313" s="1"/>
      <c r="T313" s="1"/>
      <c r="U313" s="40" t="str">
        <f t="shared" ca="1" si="43"/>
        <v>402,..,4302</v>
      </c>
      <c r="V313" s="40">
        <f t="shared" ref="V313:W317" ca="1" si="44">V312+1</f>
        <v>402</v>
      </c>
      <c r="W313" s="40">
        <f t="shared" ca="1" si="44"/>
        <v>4302</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42.75" customHeight="1" x14ac:dyDescent="0.25">
      <c r="A314" s="73"/>
      <c r="B314" s="74"/>
      <c r="C314" s="77">
        <v>3</v>
      </c>
      <c r="D314" s="78"/>
      <c r="E314" s="48" t="s">
        <v>301</v>
      </c>
      <c r="F314" s="77">
        <f>(272.57+(0.6*(3+3.4+4.26+3.05+4.26+4.8)))*10.764</f>
        <v>3081.0012479999996</v>
      </c>
      <c r="G314" s="78"/>
      <c r="H314" s="19">
        <v>0</v>
      </c>
      <c r="I314" s="19">
        <f t="shared" si="42"/>
        <v>4621.5018719999989</v>
      </c>
      <c r="J314" s="1"/>
      <c r="K314" s="1"/>
      <c r="L314" s="1"/>
      <c r="M314" s="1"/>
      <c r="N314" s="1"/>
      <c r="O314" s="1"/>
      <c r="P314" s="1"/>
      <c r="Q314" s="1"/>
      <c r="R314" s="1"/>
      <c r="S314" s="1"/>
      <c r="T314" s="1"/>
      <c r="U314" s="40" t="str">
        <f t="shared" ca="1" si="43"/>
        <v>403,..,4303</v>
      </c>
      <c r="V314" s="40">
        <f t="shared" ca="1" si="44"/>
        <v>403</v>
      </c>
      <c r="W314" s="40">
        <f t="shared" ca="1" si="44"/>
        <v>4303</v>
      </c>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40.5" customHeight="1" x14ac:dyDescent="0.25">
      <c r="A315" s="73"/>
      <c r="B315" s="74"/>
      <c r="C315" s="77">
        <v>4</v>
      </c>
      <c r="D315" s="78"/>
      <c r="E315" s="19" t="s">
        <v>302</v>
      </c>
      <c r="F315" s="77">
        <f>(191.58+(0.6*(3.35+3.05+3.82+2.74)))*10.764</f>
        <v>2145.867984</v>
      </c>
      <c r="G315" s="78"/>
      <c r="H315" s="19">
        <v>0</v>
      </c>
      <c r="I315" s="19">
        <f t="shared" si="42"/>
        <v>3218.8019759999997</v>
      </c>
      <c r="J315" s="1"/>
      <c r="K315" s="1"/>
      <c r="L315" s="1"/>
      <c r="M315" s="1"/>
      <c r="N315" s="1"/>
      <c r="O315" s="1"/>
      <c r="P315" s="1"/>
      <c r="Q315" s="1"/>
      <c r="R315" s="1"/>
      <c r="S315" s="1"/>
      <c r="T315" s="1"/>
      <c r="U315" s="40" t="str">
        <f t="shared" ca="1" si="43"/>
        <v>404,..,4304</v>
      </c>
      <c r="V315" s="40">
        <f t="shared" ca="1" si="44"/>
        <v>404</v>
      </c>
      <c r="W315" s="40">
        <f t="shared" ca="1" si="44"/>
        <v>4304</v>
      </c>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39.75" customHeight="1" x14ac:dyDescent="0.25">
      <c r="A316" s="73"/>
      <c r="B316" s="74"/>
      <c r="C316" s="77">
        <v>5</v>
      </c>
      <c r="D316" s="78"/>
      <c r="E316" s="19" t="s">
        <v>302</v>
      </c>
      <c r="F316" s="77">
        <f>(190.51+(0.6*(3.35+3.05+3.82+2.74)))*10.764</f>
        <v>2134.350504</v>
      </c>
      <c r="G316" s="78"/>
      <c r="H316" s="19">
        <v>0</v>
      </c>
      <c r="I316" s="19">
        <f t="shared" si="42"/>
        <v>3201.525756</v>
      </c>
      <c r="J316" s="1"/>
      <c r="K316" s="1"/>
      <c r="L316" s="1"/>
      <c r="M316" s="1"/>
      <c r="N316" s="1"/>
      <c r="O316" s="1"/>
      <c r="P316" s="1"/>
      <c r="Q316" s="1"/>
      <c r="R316" s="1"/>
      <c r="S316" s="1"/>
      <c r="T316" s="1"/>
      <c r="U316" s="40" t="str">
        <f t="shared" ca="1" si="43"/>
        <v>405,..,4305</v>
      </c>
      <c r="V316" s="40">
        <f t="shared" ca="1" si="44"/>
        <v>405</v>
      </c>
      <c r="W316" s="40">
        <f t="shared" ca="1" si="44"/>
        <v>4305</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39.75" customHeight="1" x14ac:dyDescent="0.25">
      <c r="A317" s="75"/>
      <c r="B317" s="76"/>
      <c r="C317" s="77">
        <v>6</v>
      </c>
      <c r="D317" s="78"/>
      <c r="E317" s="19" t="s">
        <v>301</v>
      </c>
      <c r="F317" s="77">
        <f>(273.09+(0.6*(3+3.4+4.26+3.05+4.26+4.8)))*10.764</f>
        <v>3086.5985279999991</v>
      </c>
      <c r="G317" s="78"/>
      <c r="H317" s="19">
        <v>0</v>
      </c>
      <c r="I317" s="19">
        <f t="shared" si="42"/>
        <v>4629.8977919999988</v>
      </c>
      <c r="J317" s="1"/>
      <c r="K317" s="1"/>
      <c r="L317" s="1"/>
      <c r="M317" s="1"/>
      <c r="N317" s="1"/>
      <c r="O317" s="1"/>
      <c r="P317" s="1"/>
      <c r="Q317" s="1"/>
      <c r="R317" s="1"/>
      <c r="S317" s="1"/>
      <c r="T317" s="1"/>
      <c r="U317" s="40" t="str">
        <f t="shared" ca="1" si="43"/>
        <v>406,..,4306</v>
      </c>
      <c r="V317" s="40">
        <f t="shared" ca="1" si="44"/>
        <v>406</v>
      </c>
      <c r="W317" s="40">
        <f t="shared" ca="1" si="44"/>
        <v>4306</v>
      </c>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x14ac:dyDescent="0.25">
      <c r="A318" s="68" t="s">
        <v>300</v>
      </c>
      <c r="B318" s="69"/>
      <c r="C318" s="69"/>
      <c r="D318" s="69"/>
      <c r="E318" s="69"/>
      <c r="F318" s="69"/>
      <c r="G318" s="69"/>
      <c r="H318" s="69"/>
      <c r="I318" s="70"/>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25">
      <c r="A319" s="71" t="str">
        <f>A318</f>
        <v xml:space="preserve">44th Floor </v>
      </c>
      <c r="B319" s="72"/>
      <c r="C319" s="77">
        <v>1</v>
      </c>
      <c r="D319" s="78"/>
      <c r="E319" s="19" t="s">
        <v>211</v>
      </c>
      <c r="F319" s="77">
        <f>(86.98+(0.6*(3.05+3.31+1.8)))*10.764</f>
        <v>988.95326399999999</v>
      </c>
      <c r="G319" s="78"/>
      <c r="H319" s="19">
        <v>0</v>
      </c>
      <c r="I319" s="19">
        <f t="shared" ref="I319:I324" si="45">F319*(($I$105)+1)+H319</f>
        <v>1483.4298960000001</v>
      </c>
      <c r="J319" s="1"/>
      <c r="K319" s="1"/>
      <c r="L319" s="1"/>
      <c r="M319" s="1"/>
      <c r="N319" s="1"/>
      <c r="O319" s="1"/>
      <c r="P319" s="1"/>
      <c r="Q319" s="1"/>
      <c r="R319" s="1"/>
      <c r="S319" s="1"/>
      <c r="T319" s="1"/>
      <c r="U319" s="40" t="e">
        <f t="shared" ref="U319:U324" ca="1" si="46">V319&amp;""&amp;",..,"&amp;""&amp;W319</f>
        <v>#REF!</v>
      </c>
      <c r="V319" s="40" t="e">
        <f ca="1">(SUMPRODUCT(MID(0&amp;(LEFT(A318,SUM(LEN(A318)-LEN(SUBSTITUTE(A318,{"0","1","2","3"},""))))), LARGE(INDEX(ISNUMBER(--MID((LEFT(A318,SUM(LEN(A318)-LEN(SUBSTITUTE(A318,{"0","1","2","3"},""))))), ROW(INDIRECT("1:"&amp;LEN((LEFT(A318,SUM(LEN(A318)-LEN(SUBSTITUTE(A318,{"0","1","2","3"},"")))))))), 1)) * ROW(INDIRECT("1:"&amp;LEN((LEFT(A318,SUM(LEN(A318)-LEN(SUBSTITUTE(A318,{"0","1","2","3"},"")))))))), 0), ROW(INDIRECT("1:"&amp;LEN((LEFT(A318,SUM(LEN(A318)-LEN(SUBSTITUTE(A318,{"0","1","2","3"},"")))))))))+1, 1) * 10^ROW(INDIRECT("1:"&amp;LEN((LEFT(A318,SUM(LEN(A318)-LEN(SUBSTITUTE(A318,{"0","1","2","3"},""))))))))/10))*100+1</f>
        <v>#REF!</v>
      </c>
      <c r="W319" s="40">
        <f ca="1">(SUMPRODUCT(MID(0&amp;(--TRIM(RIGHT(SUBSTITUTE(LEFT(A318,_xlfn.AGGREGATE(16,6,FIND({0,1,2,3,4,5,6,7,8,9},A318,ROW(INDIRECT("1:"&amp;LEN(A318)))),1))," ",REPT(" ",LEN(A318))),LEN(A318)))), LARGE(INDEX(ISNUMBER(--MID((--TRIM(RIGHT(SUBSTITUTE(LEFT(A318,_xlfn.AGGREGATE(16,6,FIND({0,1,2,3,4,5,6,7,8,9},A318,ROW(INDIRECT("1:"&amp;LEN(A318)))),1))," ",REPT(" ",LEN(A318))),LEN(A318)))), ROW(INDIRECT("1:"&amp;LEN((--TRIM(RIGHT(SUBSTITUTE(LEFT(A318,_xlfn.AGGREGATE(16,6,FIND({0,1,2,3,4,5,6,7,8,9},A318,ROW(INDIRECT("1:"&amp;LEN(A318)))),1))," ",REPT(" ",LEN(A318))),LEN(A318))))))), 1)) * ROW(INDIRECT("1:"&amp;LEN((--TRIM(RIGHT(SUBSTITUTE(LEFT(A318,_xlfn.AGGREGATE(16,6,FIND({0,1,2,3,4,5,6,7,8,9},A318,ROW(INDIRECT("1:"&amp;LEN(A318)))),1))," ",REPT(" ",LEN(A318))),LEN(A318))))))), 0), ROW(INDIRECT("1:"&amp;LEN((--TRIM(RIGHT(SUBSTITUTE(LEFT(A318,_xlfn.AGGREGATE(16,6,FIND({0,1,2,3,4,5,6,7,8,9},A318,ROW(INDIRECT("1:"&amp;LEN(A318)))),1))," ",REPT(" ",LEN(A318))),LEN(A318))))))))+1, 1) * 10^ROW(INDIRECT("1:"&amp;LEN((--TRIM(RIGHT(SUBSTITUTE(LEFT(A318,_xlfn.AGGREGATE(16,6,FIND({0,1,2,3,4,5,6,7,8,9},A318,ROW(INDIRECT("1:"&amp;LEN(A318)))),1))," ",REPT(" ",LEN(A318))),LEN(A318)))))))/10))*100+1</f>
        <v>4401</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73"/>
      <c r="B320" s="74"/>
      <c r="C320" s="77">
        <v>2</v>
      </c>
      <c r="D320" s="78"/>
      <c r="E320" s="19" t="s">
        <v>211</v>
      </c>
      <c r="F320" s="77">
        <f>(86.98+(0.6*(3.05+3.31+1.8)))*10.764</f>
        <v>988.95326399999999</v>
      </c>
      <c r="G320" s="78"/>
      <c r="H320" s="19">
        <v>0</v>
      </c>
      <c r="I320" s="19">
        <f t="shared" si="45"/>
        <v>1483.4298960000001</v>
      </c>
      <c r="J320" s="1"/>
      <c r="K320" s="1"/>
      <c r="L320" s="1"/>
      <c r="M320" s="1"/>
      <c r="N320" s="1"/>
      <c r="O320" s="1"/>
      <c r="P320" s="1"/>
      <c r="Q320" s="1"/>
      <c r="R320" s="1"/>
      <c r="S320" s="1"/>
      <c r="T320" s="1"/>
      <c r="U320" s="40" t="e">
        <f t="shared" ca="1" si="46"/>
        <v>#REF!</v>
      </c>
      <c r="V320" s="40" t="e">
        <f t="shared" ref="V320:W324" ca="1" si="47">V319+1</f>
        <v>#REF!</v>
      </c>
      <c r="W320" s="40">
        <f t="shared" ca="1" si="47"/>
        <v>4402</v>
      </c>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73"/>
      <c r="B321" s="74"/>
      <c r="C321" s="77">
        <v>3</v>
      </c>
      <c r="D321" s="78"/>
      <c r="E321" s="77" t="s">
        <v>303</v>
      </c>
      <c r="F321" s="79"/>
      <c r="G321" s="79"/>
      <c r="H321" s="79"/>
      <c r="I321" s="78"/>
      <c r="J321" s="1"/>
      <c r="K321" s="1"/>
      <c r="L321" s="1"/>
      <c r="M321" s="1"/>
      <c r="N321" s="1"/>
      <c r="O321" s="1"/>
      <c r="P321" s="1"/>
      <c r="Q321" s="1"/>
      <c r="R321" s="1"/>
      <c r="S321" s="1"/>
      <c r="T321" s="1"/>
      <c r="U321" s="40" t="e">
        <f t="shared" ca="1" si="46"/>
        <v>#REF!</v>
      </c>
      <c r="V321" s="40" t="e">
        <f t="shared" ca="1" si="47"/>
        <v>#REF!</v>
      </c>
      <c r="W321" s="40">
        <f t="shared" ca="1" si="47"/>
        <v>4403</v>
      </c>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25">
      <c r="A322" s="73"/>
      <c r="B322" s="74"/>
      <c r="C322" s="77">
        <v>4</v>
      </c>
      <c r="D322" s="78"/>
      <c r="E322" s="77" t="s">
        <v>304</v>
      </c>
      <c r="F322" s="79">
        <f>(191.58+(0.6*(3.35+3.05+3.82+2.74)))*10.764</f>
        <v>2145.867984</v>
      </c>
      <c r="G322" s="79"/>
      <c r="H322" s="79">
        <v>0</v>
      </c>
      <c r="I322" s="78">
        <f t="shared" si="45"/>
        <v>3218.8019759999997</v>
      </c>
      <c r="J322" s="1"/>
      <c r="K322" s="1"/>
      <c r="L322" s="1"/>
      <c r="M322" s="1"/>
      <c r="N322" s="1"/>
      <c r="O322" s="1"/>
      <c r="P322" s="1"/>
      <c r="Q322" s="1"/>
      <c r="R322" s="1"/>
      <c r="S322" s="1"/>
      <c r="T322" s="1"/>
      <c r="U322" s="40" t="e">
        <f t="shared" ca="1" si="46"/>
        <v>#REF!</v>
      </c>
      <c r="V322" s="40" t="e">
        <f t="shared" ca="1" si="47"/>
        <v>#REF!</v>
      </c>
      <c r="W322" s="40">
        <f t="shared" ca="1" si="47"/>
        <v>4404</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73"/>
      <c r="B323" s="74"/>
      <c r="C323" s="77">
        <v>5</v>
      </c>
      <c r="D323" s="78"/>
      <c r="E323" s="77" t="s">
        <v>304</v>
      </c>
      <c r="F323" s="79">
        <f>(190.51+(0.6*(3.35+3.05+3.82+2.74)))*10.764</f>
        <v>2134.350504</v>
      </c>
      <c r="G323" s="79"/>
      <c r="H323" s="79">
        <v>0</v>
      </c>
      <c r="I323" s="78">
        <f t="shared" si="45"/>
        <v>3201.525756</v>
      </c>
      <c r="J323" s="1"/>
      <c r="K323" s="1"/>
      <c r="L323" s="1"/>
      <c r="M323" s="1"/>
      <c r="N323" s="1"/>
      <c r="O323" s="1"/>
      <c r="P323" s="1"/>
      <c r="Q323" s="1"/>
      <c r="R323" s="1"/>
      <c r="S323" s="1"/>
      <c r="T323" s="1"/>
      <c r="U323" s="40" t="e">
        <f t="shared" ca="1" si="46"/>
        <v>#REF!</v>
      </c>
      <c r="V323" s="40" t="e">
        <f t="shared" ca="1" si="47"/>
        <v>#REF!</v>
      </c>
      <c r="W323" s="40">
        <f t="shared" ca="1" si="47"/>
        <v>4405</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25">
      <c r="A324" s="75"/>
      <c r="B324" s="76"/>
      <c r="C324" s="77">
        <v>6</v>
      </c>
      <c r="D324" s="78"/>
      <c r="E324" s="77" t="s">
        <v>303</v>
      </c>
      <c r="F324" s="79">
        <f>(273.09+(0.6*(3+3.4+4.26+3.05+4.26+4.8)))*10.764</f>
        <v>3086.5985279999991</v>
      </c>
      <c r="G324" s="79"/>
      <c r="H324" s="79">
        <v>0</v>
      </c>
      <c r="I324" s="78">
        <f t="shared" si="45"/>
        <v>4629.8977919999988</v>
      </c>
      <c r="J324" s="1"/>
      <c r="K324" s="1"/>
      <c r="L324" s="1"/>
      <c r="M324" s="1"/>
      <c r="N324" s="1"/>
      <c r="O324" s="1"/>
      <c r="P324" s="1"/>
      <c r="Q324" s="1"/>
      <c r="R324" s="1"/>
      <c r="S324" s="1"/>
      <c r="T324" s="1"/>
      <c r="U324" s="40" t="e">
        <f t="shared" ca="1" si="46"/>
        <v>#REF!</v>
      </c>
      <c r="V324" s="40" t="e">
        <f t="shared" ca="1" si="47"/>
        <v>#REF!</v>
      </c>
      <c r="W324" s="40">
        <f t="shared" ca="1" si="47"/>
        <v>4406</v>
      </c>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x14ac:dyDescent="0.25">
      <c r="A325" s="68" t="s">
        <v>305</v>
      </c>
      <c r="B325" s="69"/>
      <c r="C325" s="69"/>
      <c r="D325" s="69"/>
      <c r="E325" s="69"/>
      <c r="F325" s="69"/>
      <c r="G325" s="69"/>
      <c r="H325" s="69"/>
      <c r="I325" s="70"/>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25">
      <c r="A326" s="71" t="str">
        <f>A325</f>
        <v xml:space="preserve">48th Floor </v>
      </c>
      <c r="B326" s="72"/>
      <c r="C326" s="77">
        <v>1</v>
      </c>
      <c r="D326" s="78"/>
      <c r="E326" s="19" t="s">
        <v>257</v>
      </c>
      <c r="F326" s="77">
        <f>(175.1+(0.6*(3.05+3.31+1.8+3.31+3.05)))*10.764</f>
        <v>1978.5523679999997</v>
      </c>
      <c r="G326" s="78"/>
      <c r="H326" s="19">
        <v>0</v>
      </c>
      <c r="I326" s="19">
        <f>F326*(($I$105)+1)+H326</f>
        <v>2967.8285519999995</v>
      </c>
      <c r="J326" s="1"/>
      <c r="K326" s="1"/>
      <c r="L326" s="1"/>
      <c r="M326" s="1"/>
      <c r="N326" s="1"/>
      <c r="O326" s="1"/>
      <c r="P326" s="1"/>
      <c r="Q326" s="1"/>
      <c r="R326" s="1"/>
      <c r="S326" s="1"/>
      <c r="T326" s="1"/>
      <c r="U326" s="40" t="e">
        <f ca="1">V326&amp;""&amp;",..,"&amp;""&amp;W326</f>
        <v>#REF!</v>
      </c>
      <c r="V326" s="40" t="e">
        <f ca="1">(SUMPRODUCT(MID(0&amp;(LEFT(A325,SUM(LEN(A325)-LEN(SUBSTITUTE(A325,{"0","1","2","3"},""))))), LARGE(INDEX(ISNUMBER(--MID((LEFT(A325,SUM(LEN(A325)-LEN(SUBSTITUTE(A325,{"0","1","2","3"},""))))), ROW(INDIRECT("1:"&amp;LEN((LEFT(A325,SUM(LEN(A325)-LEN(SUBSTITUTE(A325,{"0","1","2","3"},"")))))))), 1)) * ROW(INDIRECT("1:"&amp;LEN((LEFT(A325,SUM(LEN(A325)-LEN(SUBSTITUTE(A325,{"0","1","2","3"},"")))))))), 0), ROW(INDIRECT("1:"&amp;LEN((LEFT(A325,SUM(LEN(A325)-LEN(SUBSTITUTE(A325,{"0","1","2","3"},"")))))))))+1, 1) * 10^ROW(INDIRECT("1:"&amp;LEN((LEFT(A325,SUM(LEN(A325)-LEN(SUBSTITUTE(A325,{"0","1","2","3"},""))))))))/10))*100+1</f>
        <v>#REF!</v>
      </c>
      <c r="W326" s="40">
        <f ca="1">(SUMPRODUCT(MID(0&amp;(--TRIM(RIGHT(SUBSTITUTE(LEFT(A325,_xlfn.AGGREGATE(16,6,FIND({0,1,2,3,4,5,6,7,8,9},A325,ROW(INDIRECT("1:"&amp;LEN(A325)))),1))," ",REPT(" ",LEN(A325))),LEN(A325)))), LARGE(INDEX(ISNUMBER(--MID((--TRIM(RIGHT(SUBSTITUTE(LEFT(A325,_xlfn.AGGREGATE(16,6,FIND({0,1,2,3,4,5,6,7,8,9},A325,ROW(INDIRECT("1:"&amp;LEN(A325)))),1))," ",REPT(" ",LEN(A325))),LEN(A325)))), ROW(INDIRECT("1:"&amp;LEN((--TRIM(RIGHT(SUBSTITUTE(LEFT(A325,_xlfn.AGGREGATE(16,6,FIND({0,1,2,3,4,5,6,7,8,9},A325,ROW(INDIRECT("1:"&amp;LEN(A325)))),1))," ",REPT(" ",LEN(A325))),LEN(A325))))))), 1)) * ROW(INDIRECT("1:"&amp;LEN((--TRIM(RIGHT(SUBSTITUTE(LEFT(A325,_xlfn.AGGREGATE(16,6,FIND({0,1,2,3,4,5,6,7,8,9},A325,ROW(INDIRECT("1:"&amp;LEN(A325)))),1))," ",REPT(" ",LEN(A325))),LEN(A325))))))), 0), ROW(INDIRECT("1:"&amp;LEN((--TRIM(RIGHT(SUBSTITUTE(LEFT(A325,_xlfn.AGGREGATE(16,6,FIND({0,1,2,3,4,5,6,7,8,9},A325,ROW(INDIRECT("1:"&amp;LEN(A325)))),1))," ",REPT(" ",LEN(A325))),LEN(A325))))))))+1, 1) * 10^ROW(INDIRECT("1:"&amp;LEN((--TRIM(RIGHT(SUBSTITUTE(LEFT(A325,_xlfn.AGGREGATE(16,6,FIND({0,1,2,3,4,5,6,7,8,9},A325,ROW(INDIRECT("1:"&amp;LEN(A325)))),1))," ",REPT(" ",LEN(A325))),LEN(A325)))))))/10))*100+1</f>
        <v>4801</v>
      </c>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42.75" customHeight="1" x14ac:dyDescent="0.25">
      <c r="A327" s="73"/>
      <c r="B327" s="74"/>
      <c r="C327" s="77">
        <v>3</v>
      </c>
      <c r="D327" s="78"/>
      <c r="E327" s="48" t="s">
        <v>307</v>
      </c>
      <c r="F327" s="77">
        <f>(272.57+(0.6*(3+3.4+4.26+3.05+4.26+4.8)))*10.764</f>
        <v>3081.0012479999996</v>
      </c>
      <c r="G327" s="78"/>
      <c r="H327" s="19">
        <v>0</v>
      </c>
      <c r="I327" s="19">
        <f>F327*(($I$105)+1)+H327</f>
        <v>4621.5018719999989</v>
      </c>
      <c r="J327" s="1"/>
      <c r="K327" s="1"/>
      <c r="L327" s="1"/>
      <c r="M327" s="1"/>
      <c r="N327" s="1"/>
      <c r="O327" s="1"/>
      <c r="P327" s="1"/>
      <c r="Q327" s="1"/>
      <c r="R327" s="1"/>
      <c r="S327" s="1"/>
      <c r="T327" s="1"/>
      <c r="U327" s="40" t="e">
        <f>V327&amp;""&amp;",..,"&amp;""&amp;W327</f>
        <v>#REF!</v>
      </c>
      <c r="V327" s="40" t="e">
        <f>#REF!+1</f>
        <v>#REF!</v>
      </c>
      <c r="W327" s="40" t="e">
        <f>#REF!+1</f>
        <v>#REF!</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40.5" customHeight="1" x14ac:dyDescent="0.25">
      <c r="A328" s="73"/>
      <c r="B328" s="74"/>
      <c r="C328" s="77">
        <v>4</v>
      </c>
      <c r="D328" s="78"/>
      <c r="E328" s="19" t="s">
        <v>308</v>
      </c>
      <c r="F328" s="77">
        <f>(191.58+(0.6*(3.35+3.05+3.82+2.74)))*10.764</f>
        <v>2145.867984</v>
      </c>
      <c r="G328" s="78"/>
      <c r="H328" s="19">
        <v>0</v>
      </c>
      <c r="I328" s="19">
        <f>F328*(($I$105)+1)+H328</f>
        <v>3218.8019759999997</v>
      </c>
      <c r="J328" s="1"/>
      <c r="K328" s="1"/>
      <c r="L328" s="1"/>
      <c r="M328" s="1"/>
      <c r="N328" s="1"/>
      <c r="O328" s="1"/>
      <c r="P328" s="1"/>
      <c r="Q328" s="1"/>
      <c r="R328" s="1"/>
      <c r="S328" s="1"/>
      <c r="T328" s="1"/>
      <c r="U328" s="40" t="e">
        <f>V328&amp;""&amp;",..,"&amp;""&amp;W328</f>
        <v>#REF!</v>
      </c>
      <c r="V328" s="40" t="e">
        <f t="shared" ref="V328:W330" si="48">V327+1</f>
        <v>#REF!</v>
      </c>
      <c r="W328" s="40" t="e">
        <f t="shared" si="48"/>
        <v>#REF!</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39.75" customHeight="1" x14ac:dyDescent="0.25">
      <c r="A329" s="73"/>
      <c r="B329" s="74"/>
      <c r="C329" s="77">
        <v>5</v>
      </c>
      <c r="D329" s="78"/>
      <c r="E329" s="19" t="s">
        <v>308</v>
      </c>
      <c r="F329" s="77">
        <f>(190.51+(0.6*(3.35+3.05+3.82+2.74)))*10.764</f>
        <v>2134.350504</v>
      </c>
      <c r="G329" s="78"/>
      <c r="H329" s="19">
        <v>0</v>
      </c>
      <c r="I329" s="19">
        <f>F329*(($I$105)+1)+H329</f>
        <v>3201.525756</v>
      </c>
      <c r="J329" s="1"/>
      <c r="K329" s="1"/>
      <c r="L329" s="1"/>
      <c r="M329" s="1"/>
      <c r="N329" s="1"/>
      <c r="O329" s="1"/>
      <c r="P329" s="1"/>
      <c r="Q329" s="1"/>
      <c r="R329" s="1"/>
      <c r="S329" s="1"/>
      <c r="T329" s="1"/>
      <c r="U329" s="40" t="e">
        <f>V329&amp;""&amp;",..,"&amp;""&amp;W329</f>
        <v>#REF!</v>
      </c>
      <c r="V329" s="40" t="e">
        <f t="shared" si="48"/>
        <v>#REF!</v>
      </c>
      <c r="W329" s="40" t="e">
        <f t="shared" si="48"/>
        <v>#REF!</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39.75" customHeight="1" x14ac:dyDescent="0.25">
      <c r="A330" s="75"/>
      <c r="B330" s="76"/>
      <c r="C330" s="77">
        <v>6</v>
      </c>
      <c r="D330" s="78"/>
      <c r="E330" s="48" t="s">
        <v>307</v>
      </c>
      <c r="F330" s="77">
        <f>(273.09+(0.6*(3+3.4+4.26+3.05+4.26+4.8)))*10.764</f>
        <v>3086.5985279999991</v>
      </c>
      <c r="G330" s="78"/>
      <c r="H330" s="19">
        <v>0</v>
      </c>
      <c r="I330" s="19">
        <f>F330*(($I$105)+1)+H330</f>
        <v>4629.8977919999988</v>
      </c>
      <c r="J330" s="1"/>
      <c r="K330" s="1"/>
      <c r="L330" s="1"/>
      <c r="M330" s="1"/>
      <c r="N330" s="1"/>
      <c r="O330" s="1"/>
      <c r="P330" s="1"/>
      <c r="Q330" s="1"/>
      <c r="R330" s="1"/>
      <c r="S330" s="1"/>
      <c r="T330" s="1"/>
      <c r="U330" s="40" t="e">
        <f>V330&amp;""&amp;",..,"&amp;""&amp;W330</f>
        <v>#REF!</v>
      </c>
      <c r="V330" s="40" t="e">
        <f t="shared" si="48"/>
        <v>#REF!</v>
      </c>
      <c r="W330" s="40" t="e">
        <f t="shared" si="48"/>
        <v>#REF!</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x14ac:dyDescent="0.25">
      <c r="A331" s="68" t="s">
        <v>306</v>
      </c>
      <c r="B331" s="69"/>
      <c r="C331" s="69"/>
      <c r="D331" s="69"/>
      <c r="E331" s="69"/>
      <c r="F331" s="69"/>
      <c r="G331" s="69"/>
      <c r="H331" s="69"/>
      <c r="I331" s="70"/>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25">
      <c r="A332" s="71" t="str">
        <f>A331</f>
        <v xml:space="preserve">49th Floor </v>
      </c>
      <c r="B332" s="72"/>
      <c r="C332" s="77">
        <v>1</v>
      </c>
      <c r="D332" s="78"/>
      <c r="E332" s="19" t="s">
        <v>257</v>
      </c>
      <c r="F332" s="77">
        <f>(175.1+(0.6*(3.05+3.31+1.8+3.31+3.05)))*10.764</f>
        <v>1978.5523679999997</v>
      </c>
      <c r="G332" s="78"/>
      <c r="H332" s="19">
        <v>0</v>
      </c>
      <c r="I332" s="19">
        <f>F332*(($I$105)+1)+H332</f>
        <v>2967.8285519999995</v>
      </c>
      <c r="J332" s="1"/>
      <c r="K332" s="1"/>
      <c r="L332" s="1"/>
      <c r="M332" s="1"/>
      <c r="N332" s="1"/>
      <c r="O332" s="1"/>
      <c r="P332" s="1"/>
      <c r="Q332" s="1"/>
      <c r="R332" s="1"/>
      <c r="S332" s="1"/>
      <c r="T332" s="1"/>
      <c r="U332" s="40" t="e">
        <f t="shared" ref="U332:U336" ca="1" si="49">V332&amp;""&amp;",..,"&amp;""&amp;W332</f>
        <v>#REF!</v>
      </c>
      <c r="V332" s="40" t="e">
        <f ca="1">(SUMPRODUCT(MID(0&amp;(LEFT(A331,SUM(LEN(A331)-LEN(SUBSTITUTE(A331,{"0","1","2","3"},""))))), LARGE(INDEX(ISNUMBER(--MID((LEFT(A331,SUM(LEN(A331)-LEN(SUBSTITUTE(A331,{"0","1","2","3"},""))))), ROW(INDIRECT("1:"&amp;LEN((LEFT(A331,SUM(LEN(A331)-LEN(SUBSTITUTE(A331,{"0","1","2","3"},"")))))))), 1)) * ROW(INDIRECT("1:"&amp;LEN((LEFT(A331,SUM(LEN(A331)-LEN(SUBSTITUTE(A331,{"0","1","2","3"},"")))))))), 0), ROW(INDIRECT("1:"&amp;LEN((LEFT(A331,SUM(LEN(A331)-LEN(SUBSTITUTE(A331,{"0","1","2","3"},"")))))))))+1, 1) * 10^ROW(INDIRECT("1:"&amp;LEN((LEFT(A331,SUM(LEN(A331)-LEN(SUBSTITUTE(A331,{"0","1","2","3"},""))))))))/10))*100+1</f>
        <v>#REF!</v>
      </c>
      <c r="W332" s="40">
        <f ca="1">(SUMPRODUCT(MID(0&amp;(--TRIM(RIGHT(SUBSTITUTE(LEFT(A331,_xlfn.AGGREGATE(16,6,FIND({0,1,2,3,4,5,6,7,8,9},A331,ROW(INDIRECT("1:"&amp;LEN(A331)))),1))," ",REPT(" ",LEN(A331))),LEN(A331)))), LARGE(INDEX(ISNUMBER(--MID((--TRIM(RIGHT(SUBSTITUTE(LEFT(A331,_xlfn.AGGREGATE(16,6,FIND({0,1,2,3,4,5,6,7,8,9},A331,ROW(INDIRECT("1:"&amp;LEN(A331)))),1))," ",REPT(" ",LEN(A331))),LEN(A331)))), ROW(INDIRECT("1:"&amp;LEN((--TRIM(RIGHT(SUBSTITUTE(LEFT(A331,_xlfn.AGGREGATE(16,6,FIND({0,1,2,3,4,5,6,7,8,9},A331,ROW(INDIRECT("1:"&amp;LEN(A331)))),1))," ",REPT(" ",LEN(A331))),LEN(A331))))))), 1)) * ROW(INDIRECT("1:"&amp;LEN((--TRIM(RIGHT(SUBSTITUTE(LEFT(A331,_xlfn.AGGREGATE(16,6,FIND({0,1,2,3,4,5,6,7,8,9},A331,ROW(INDIRECT("1:"&amp;LEN(A331)))),1))," ",REPT(" ",LEN(A331))),LEN(A331))))))), 0), ROW(INDIRECT("1:"&amp;LEN((--TRIM(RIGHT(SUBSTITUTE(LEFT(A331,_xlfn.AGGREGATE(16,6,FIND({0,1,2,3,4,5,6,7,8,9},A331,ROW(INDIRECT("1:"&amp;LEN(A331)))),1))," ",REPT(" ",LEN(A331))),LEN(A331))))))))+1, 1) * 10^ROW(INDIRECT("1:"&amp;LEN((--TRIM(RIGHT(SUBSTITUTE(LEFT(A331,_xlfn.AGGREGATE(16,6,FIND({0,1,2,3,4,5,6,7,8,9},A331,ROW(INDIRECT("1:"&amp;LEN(A331)))),1))," ",REPT(" ",LEN(A331))),LEN(A331)))))))/10))*100+1</f>
        <v>4901</v>
      </c>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25">
      <c r="A333" s="73"/>
      <c r="B333" s="74"/>
      <c r="C333" s="77">
        <v>3</v>
      </c>
      <c r="D333" s="78"/>
      <c r="E333" s="77" t="s">
        <v>309</v>
      </c>
      <c r="F333" s="79"/>
      <c r="G333" s="79"/>
      <c r="H333" s="79"/>
      <c r="I333" s="78"/>
      <c r="J333" s="1"/>
      <c r="K333" s="1"/>
      <c r="L333" s="1"/>
      <c r="M333" s="1"/>
      <c r="N333" s="1"/>
      <c r="O333" s="1"/>
      <c r="P333" s="1"/>
      <c r="Q333" s="1"/>
      <c r="R333" s="1"/>
      <c r="S333" s="1"/>
      <c r="T333" s="1"/>
      <c r="U333" s="40" t="e">
        <f t="shared" si="49"/>
        <v>#REF!</v>
      </c>
      <c r="V333" s="40" t="e">
        <f>#REF!+1</f>
        <v>#REF!</v>
      </c>
      <c r="W333" s="40" t="e">
        <f>#REF!+1</f>
        <v>#REF!</v>
      </c>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25">
      <c r="A334" s="73"/>
      <c r="B334" s="74"/>
      <c r="C334" s="77">
        <v>4</v>
      </c>
      <c r="D334" s="78"/>
      <c r="E334" s="77" t="s">
        <v>310</v>
      </c>
      <c r="F334" s="79">
        <f>(191.58+(0.6*(3.35+3.05+3.82+2.74)))*10.764</f>
        <v>2145.867984</v>
      </c>
      <c r="G334" s="79"/>
      <c r="H334" s="79">
        <v>0</v>
      </c>
      <c r="I334" s="78">
        <f>F334*(($I$105)+1)+H334</f>
        <v>3218.8019759999997</v>
      </c>
      <c r="J334" s="1"/>
      <c r="K334" s="1"/>
      <c r="L334" s="1"/>
      <c r="M334" s="1"/>
      <c r="N334" s="1"/>
      <c r="O334" s="1"/>
      <c r="P334" s="1"/>
      <c r="Q334" s="1"/>
      <c r="R334" s="1"/>
      <c r="S334" s="1"/>
      <c r="T334" s="1"/>
      <c r="U334" s="40" t="e">
        <f t="shared" si="49"/>
        <v>#REF!</v>
      </c>
      <c r="V334" s="40" t="e">
        <f t="shared" ref="V334:W336" si="50">V333+1</f>
        <v>#REF!</v>
      </c>
      <c r="W334" s="40" t="e">
        <f t="shared" si="50"/>
        <v>#REF!</v>
      </c>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73"/>
      <c r="B335" s="74"/>
      <c r="C335" s="77">
        <v>5</v>
      </c>
      <c r="D335" s="78"/>
      <c r="E335" s="77" t="s">
        <v>310</v>
      </c>
      <c r="F335" s="79">
        <f>(190.51+(0.6*(3.35+3.05+3.82+2.74)))*10.764</f>
        <v>2134.350504</v>
      </c>
      <c r="G335" s="79"/>
      <c r="H335" s="79">
        <v>0</v>
      </c>
      <c r="I335" s="78">
        <f>F335*(($I$105)+1)+H335</f>
        <v>3201.525756</v>
      </c>
      <c r="J335" s="1"/>
      <c r="K335" s="1"/>
      <c r="L335" s="1"/>
      <c r="M335" s="1"/>
      <c r="N335" s="1"/>
      <c r="O335" s="1"/>
      <c r="P335" s="1"/>
      <c r="Q335" s="1"/>
      <c r="R335" s="1"/>
      <c r="S335" s="1"/>
      <c r="T335" s="1"/>
      <c r="U335" s="40" t="e">
        <f t="shared" si="49"/>
        <v>#REF!</v>
      </c>
      <c r="V335" s="40" t="e">
        <f t="shared" si="50"/>
        <v>#REF!</v>
      </c>
      <c r="W335" s="40" t="e">
        <f t="shared" si="50"/>
        <v>#REF!</v>
      </c>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25">
      <c r="A336" s="75"/>
      <c r="B336" s="76"/>
      <c r="C336" s="77">
        <v>6</v>
      </c>
      <c r="D336" s="78"/>
      <c r="E336" s="77" t="s">
        <v>309</v>
      </c>
      <c r="F336" s="79">
        <f>(273.09+(0.6*(3+3.4+4.26+3.05+4.26+4.8)))*10.764</f>
        <v>3086.5985279999991</v>
      </c>
      <c r="G336" s="79"/>
      <c r="H336" s="79">
        <v>0</v>
      </c>
      <c r="I336" s="78">
        <f>F336*(($I$105)+1)+H336</f>
        <v>4629.8977919999988</v>
      </c>
      <c r="J336" s="1"/>
      <c r="K336" s="1"/>
      <c r="L336" s="1"/>
      <c r="M336" s="1"/>
      <c r="N336" s="1"/>
      <c r="O336" s="1"/>
      <c r="P336" s="1"/>
      <c r="Q336" s="1"/>
      <c r="R336" s="1"/>
      <c r="S336" s="1"/>
      <c r="T336" s="1"/>
      <c r="U336" s="40" t="e">
        <f t="shared" si="49"/>
        <v>#REF!</v>
      </c>
      <c r="V336" s="40" t="e">
        <f t="shared" si="50"/>
        <v>#REF!</v>
      </c>
      <c r="W336" s="40" t="e">
        <f t="shared" si="50"/>
        <v>#REF!</v>
      </c>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x14ac:dyDescent="0.25">
      <c r="A337" s="68" t="s">
        <v>313</v>
      </c>
      <c r="B337" s="69"/>
      <c r="C337" s="69"/>
      <c r="D337" s="69"/>
      <c r="E337" s="69"/>
      <c r="F337" s="69"/>
      <c r="G337" s="69"/>
      <c r="H337" s="69"/>
      <c r="I337" s="70"/>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25">
      <c r="A338" s="71" t="str">
        <f>A337</f>
        <v xml:space="preserve">50th Floor </v>
      </c>
      <c r="B338" s="72"/>
      <c r="C338" s="77">
        <v>1</v>
      </c>
      <c r="D338" s="78"/>
      <c r="E338" s="19" t="s">
        <v>257</v>
      </c>
      <c r="F338" s="77">
        <f>(175.1+(0.6*(3.05+3.31+1.8)))*10.764</f>
        <v>1937.4769439999998</v>
      </c>
      <c r="G338" s="78"/>
      <c r="H338" s="19">
        <v>0</v>
      </c>
      <c r="I338" s="19">
        <f>F338*(($I$105)+1)+H338</f>
        <v>2906.2154159999995</v>
      </c>
      <c r="J338" s="1"/>
      <c r="K338" s="1"/>
      <c r="L338" s="1"/>
      <c r="M338" s="1"/>
      <c r="N338" s="1"/>
      <c r="O338" s="1"/>
      <c r="P338" s="1"/>
      <c r="Q338" s="1"/>
      <c r="R338" s="1"/>
      <c r="S338" s="1"/>
      <c r="T338" s="1"/>
      <c r="U338" s="40" t="str">
        <f ca="1">V338&amp;""&amp;",..,"&amp;""&amp;W338</f>
        <v>501,..,5001</v>
      </c>
      <c r="V338" s="40">
        <f ca="1">(SUMPRODUCT(MID(0&amp;(LEFT(A337,SUM(LEN(A337)-LEN(SUBSTITUTE(A337,{"0","1","2","3"},""))))), LARGE(INDEX(ISNUMBER(--MID((LEFT(A337,SUM(LEN(A337)-LEN(SUBSTITUTE(A337,{"0","1","2","3"},""))))), ROW(INDIRECT("1:"&amp;LEN((LEFT(A337,SUM(LEN(A337)-LEN(SUBSTITUTE(A337,{"0","1","2","3"},"")))))))), 1)) * ROW(INDIRECT("1:"&amp;LEN((LEFT(A337,SUM(LEN(A337)-LEN(SUBSTITUTE(A337,{"0","1","2","3"},"")))))))), 0), ROW(INDIRECT("1:"&amp;LEN((LEFT(A337,SUM(LEN(A337)-LEN(SUBSTITUTE(A337,{"0","1","2","3"},"")))))))))+1, 1) * 10^ROW(INDIRECT("1:"&amp;LEN((LEFT(A337,SUM(LEN(A337)-LEN(SUBSTITUTE(A337,{"0","1","2","3"},""))))))))/10))*100+1</f>
        <v>501</v>
      </c>
      <c r="W338" s="40">
        <f ca="1">(SUMPRODUCT(MID(0&amp;(--TRIM(RIGHT(SUBSTITUTE(LEFT(A337,_xlfn.AGGREGATE(16,6,FIND({0,1,2,3,4,5,6,7,8,9},A337,ROW(INDIRECT("1:"&amp;LEN(A337)))),1))," ",REPT(" ",LEN(A337))),LEN(A337)))), LARGE(INDEX(ISNUMBER(--MID((--TRIM(RIGHT(SUBSTITUTE(LEFT(A337,_xlfn.AGGREGATE(16,6,FIND({0,1,2,3,4,5,6,7,8,9},A337,ROW(INDIRECT("1:"&amp;LEN(A337)))),1))," ",REPT(" ",LEN(A337))),LEN(A337)))), ROW(INDIRECT("1:"&amp;LEN((--TRIM(RIGHT(SUBSTITUTE(LEFT(A337,_xlfn.AGGREGATE(16,6,FIND({0,1,2,3,4,5,6,7,8,9},A337,ROW(INDIRECT("1:"&amp;LEN(A337)))),1))," ",REPT(" ",LEN(A337))),LEN(A337))))))), 1)) * ROW(INDIRECT("1:"&amp;LEN((--TRIM(RIGHT(SUBSTITUTE(LEFT(A337,_xlfn.AGGREGATE(16,6,FIND({0,1,2,3,4,5,6,7,8,9},A337,ROW(INDIRECT("1:"&amp;LEN(A337)))),1))," ",REPT(" ",LEN(A337))),LEN(A337))))))), 0), ROW(INDIRECT("1:"&amp;LEN((--TRIM(RIGHT(SUBSTITUTE(LEFT(A337,_xlfn.AGGREGATE(16,6,FIND({0,1,2,3,4,5,6,7,8,9},A337,ROW(INDIRECT("1:"&amp;LEN(A337)))),1))," ",REPT(" ",LEN(A337))),LEN(A337))))))))+1, 1) * 10^ROW(INDIRECT("1:"&amp;LEN((--TRIM(RIGHT(SUBSTITUTE(LEFT(A337,_xlfn.AGGREGATE(16,6,FIND({0,1,2,3,4,5,6,7,8,9},A337,ROW(INDIRECT("1:"&amp;LEN(A337)))),1))," ",REPT(" ",LEN(A337))),LEN(A337)))))))/10))*100+1</f>
        <v>5001</v>
      </c>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42.75" customHeight="1" x14ac:dyDescent="0.25">
      <c r="A339" s="73"/>
      <c r="B339" s="74"/>
      <c r="C339" s="77">
        <v>3</v>
      </c>
      <c r="D339" s="78"/>
      <c r="E339" s="48" t="s">
        <v>262</v>
      </c>
      <c r="F339" s="77">
        <f>(272.57+(0.6*(3+3.4+4.26+3.05+4.26+4.8)))*10.764</f>
        <v>3081.0012479999996</v>
      </c>
      <c r="G339" s="78"/>
      <c r="H339" s="19">
        <v>0</v>
      </c>
      <c r="I339" s="19">
        <f>F339*(($I$105)+1)+H339</f>
        <v>4621.5018719999989</v>
      </c>
      <c r="J339" s="1"/>
      <c r="K339" s="1"/>
      <c r="L339" s="1"/>
      <c r="M339" s="1"/>
      <c r="N339" s="1"/>
      <c r="O339" s="1"/>
      <c r="P339" s="1"/>
      <c r="Q339" s="1"/>
      <c r="R339" s="1"/>
      <c r="S339" s="1"/>
      <c r="T339" s="1"/>
      <c r="U339" s="40" t="e">
        <f>V339&amp;""&amp;",..,"&amp;""&amp;W339</f>
        <v>#REF!</v>
      </c>
      <c r="V339" s="40" t="e">
        <f>#REF!+1</f>
        <v>#REF!</v>
      </c>
      <c r="W339" s="40" t="e">
        <f>#REF!+1</f>
        <v>#REF!</v>
      </c>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40.5" customHeight="1" x14ac:dyDescent="0.25">
      <c r="A340" s="73"/>
      <c r="B340" s="74"/>
      <c r="C340" s="77">
        <v>4</v>
      </c>
      <c r="D340" s="78"/>
      <c r="E340" s="19" t="s">
        <v>263</v>
      </c>
      <c r="F340" s="77">
        <f>(433.31+(0.6*(6.8+3.36+3.36+6.8+6.55+3.05+3.35+12.61)))*10.764</f>
        <v>4960.4602320000004</v>
      </c>
      <c r="G340" s="78"/>
      <c r="H340" s="19">
        <v>0</v>
      </c>
      <c r="I340" s="19">
        <f>F340*(($I$105)+1)+H340</f>
        <v>7440.6903480000001</v>
      </c>
      <c r="J340" s="1"/>
      <c r="K340" s="1"/>
      <c r="L340" s="1"/>
      <c r="M340" s="1"/>
      <c r="N340" s="1"/>
      <c r="O340" s="1"/>
      <c r="P340" s="1"/>
      <c r="Q340" s="1"/>
      <c r="R340" s="1"/>
      <c r="S340" s="1"/>
      <c r="T340" s="1"/>
      <c r="U340" s="40" t="e">
        <f>V340&amp;""&amp;",..,"&amp;""&amp;W340</f>
        <v>#REF!</v>
      </c>
      <c r="V340" s="40" t="e">
        <f t="shared" ref="V340:W340" si="51">V339+1</f>
        <v>#REF!</v>
      </c>
      <c r="W340" s="40" t="e">
        <f t="shared" si="51"/>
        <v>#REF!</v>
      </c>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39.75" customHeight="1" x14ac:dyDescent="0.25">
      <c r="A341" s="75"/>
      <c r="B341" s="76"/>
      <c r="C341" s="77">
        <v>6</v>
      </c>
      <c r="D341" s="78"/>
      <c r="E341" s="48" t="s">
        <v>262</v>
      </c>
      <c r="F341" s="77">
        <f>(273.09+(0.6*(3+3.4+4.26+3.05+4.26+4.8)))*10.764</f>
        <v>3086.5985279999991</v>
      </c>
      <c r="G341" s="78"/>
      <c r="H341" s="19">
        <v>0</v>
      </c>
      <c r="I341" s="19">
        <f>F341*(($I$105)+1)+H341</f>
        <v>4629.8977919999988</v>
      </c>
      <c r="J341" s="1"/>
      <c r="K341" s="1"/>
      <c r="L341" s="1"/>
      <c r="M341" s="1"/>
      <c r="N341" s="1"/>
      <c r="O341" s="1"/>
      <c r="P341" s="1"/>
      <c r="Q341" s="1"/>
      <c r="R341" s="1"/>
      <c r="S341" s="1"/>
      <c r="T341" s="1"/>
      <c r="U341" s="40" t="e">
        <f>V341&amp;""&amp;",..,"&amp;""&amp;W341</f>
        <v>#REF!</v>
      </c>
      <c r="V341" s="40" t="e">
        <f>#REF!+1</f>
        <v>#REF!</v>
      </c>
      <c r="W341" s="40" t="e">
        <f>#REF!+1</f>
        <v>#REF!</v>
      </c>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x14ac:dyDescent="0.25">
      <c r="A342" s="68" t="s">
        <v>314</v>
      </c>
      <c r="B342" s="69"/>
      <c r="C342" s="69"/>
      <c r="D342" s="69"/>
      <c r="E342" s="69"/>
      <c r="F342" s="69"/>
      <c r="G342" s="69"/>
      <c r="H342" s="69"/>
      <c r="I342" s="70"/>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71" t="str">
        <f>A342</f>
        <v xml:space="preserve">51st Floor </v>
      </c>
      <c r="B343" s="72"/>
      <c r="C343" s="77">
        <v>1</v>
      </c>
      <c r="D343" s="78"/>
      <c r="E343" s="19" t="s">
        <v>257</v>
      </c>
      <c r="F343" s="77">
        <f>(175.1+(0.6*(3.05+3.31+1.8+3.31+3.05)))*10.764</f>
        <v>1978.5523679999997</v>
      </c>
      <c r="G343" s="78"/>
      <c r="H343" s="19">
        <v>0</v>
      </c>
      <c r="I343" s="19">
        <f>F343*(($I$105)+1)+H343</f>
        <v>2967.8285519999995</v>
      </c>
      <c r="J343" s="1"/>
      <c r="K343" s="1"/>
      <c r="L343" s="1"/>
      <c r="M343" s="1"/>
      <c r="N343" s="1"/>
      <c r="O343" s="1"/>
      <c r="P343" s="1"/>
      <c r="Q343" s="1"/>
      <c r="R343" s="1"/>
      <c r="S343" s="1"/>
      <c r="T343" s="1"/>
      <c r="U343" s="40" t="str">
        <f t="shared" ref="U343:U346" ca="1" si="52">V343&amp;""&amp;",..,"&amp;""&amp;W343</f>
        <v>501,..,5101</v>
      </c>
      <c r="V343" s="40">
        <f ca="1">(SUMPRODUCT(MID(0&amp;(LEFT(A342,SUM(LEN(A342)-LEN(SUBSTITUTE(A342,{"0","1","2","3"},""))))), LARGE(INDEX(ISNUMBER(--MID((LEFT(A342,SUM(LEN(A342)-LEN(SUBSTITUTE(A342,{"0","1","2","3"},""))))), ROW(INDIRECT("1:"&amp;LEN((LEFT(A342,SUM(LEN(A342)-LEN(SUBSTITUTE(A342,{"0","1","2","3"},"")))))))), 1)) * ROW(INDIRECT("1:"&amp;LEN((LEFT(A342,SUM(LEN(A342)-LEN(SUBSTITUTE(A342,{"0","1","2","3"},"")))))))), 0), ROW(INDIRECT("1:"&amp;LEN((LEFT(A342,SUM(LEN(A342)-LEN(SUBSTITUTE(A342,{"0","1","2","3"},"")))))))))+1, 1) * 10^ROW(INDIRECT("1:"&amp;LEN((LEFT(A342,SUM(LEN(A342)-LEN(SUBSTITUTE(A342,{"0","1","2","3"},""))))))))/10))*100+1</f>
        <v>501</v>
      </c>
      <c r="W343" s="40">
        <f ca="1">(SUMPRODUCT(MID(0&amp;(--TRIM(RIGHT(SUBSTITUTE(LEFT(A342,_xlfn.AGGREGATE(16,6,FIND({0,1,2,3,4,5,6,7,8,9},A342,ROW(INDIRECT("1:"&amp;LEN(A342)))),1))," ",REPT(" ",LEN(A342))),LEN(A342)))), LARGE(INDEX(ISNUMBER(--MID((--TRIM(RIGHT(SUBSTITUTE(LEFT(A342,_xlfn.AGGREGATE(16,6,FIND({0,1,2,3,4,5,6,7,8,9},A342,ROW(INDIRECT("1:"&amp;LEN(A342)))),1))," ",REPT(" ",LEN(A342))),LEN(A342)))), ROW(INDIRECT("1:"&amp;LEN((--TRIM(RIGHT(SUBSTITUTE(LEFT(A342,_xlfn.AGGREGATE(16,6,FIND({0,1,2,3,4,5,6,7,8,9},A342,ROW(INDIRECT("1:"&amp;LEN(A342)))),1))," ",REPT(" ",LEN(A342))),LEN(A342))))))), 1)) * ROW(INDIRECT("1:"&amp;LEN((--TRIM(RIGHT(SUBSTITUTE(LEFT(A342,_xlfn.AGGREGATE(16,6,FIND({0,1,2,3,4,5,6,7,8,9},A342,ROW(INDIRECT("1:"&amp;LEN(A342)))),1))," ",REPT(" ",LEN(A342))),LEN(A342))))))), 0), ROW(INDIRECT("1:"&amp;LEN((--TRIM(RIGHT(SUBSTITUTE(LEFT(A342,_xlfn.AGGREGATE(16,6,FIND({0,1,2,3,4,5,6,7,8,9},A342,ROW(INDIRECT("1:"&amp;LEN(A342)))),1))," ",REPT(" ",LEN(A342))),LEN(A342))))))))+1, 1) * 10^ROW(INDIRECT("1:"&amp;LEN((--TRIM(RIGHT(SUBSTITUTE(LEFT(A342,_xlfn.AGGREGATE(16,6,FIND({0,1,2,3,4,5,6,7,8,9},A342,ROW(INDIRECT("1:"&amp;LEN(A342)))),1))," ",REPT(" ",LEN(A342))),LEN(A342)))))))/10))*100+1</f>
        <v>5101</v>
      </c>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25">
      <c r="A344" s="73"/>
      <c r="B344" s="74"/>
      <c r="C344" s="77">
        <v>3</v>
      </c>
      <c r="D344" s="78"/>
      <c r="E344" s="77" t="s">
        <v>264</v>
      </c>
      <c r="F344" s="79"/>
      <c r="G344" s="79"/>
      <c r="H344" s="79"/>
      <c r="I344" s="78"/>
      <c r="J344" s="1"/>
      <c r="K344" s="1"/>
      <c r="L344" s="1"/>
      <c r="M344" s="1"/>
      <c r="N344" s="1"/>
      <c r="O344" s="1"/>
      <c r="P344" s="1"/>
      <c r="Q344" s="1"/>
      <c r="R344" s="1"/>
      <c r="S344" s="1"/>
      <c r="T344" s="1"/>
      <c r="U344" s="40" t="e">
        <f t="shared" si="52"/>
        <v>#REF!</v>
      </c>
      <c r="V344" s="40" t="e">
        <f>#REF!+1</f>
        <v>#REF!</v>
      </c>
      <c r="W344" s="40" t="e">
        <f>#REF!+1</f>
        <v>#REF!</v>
      </c>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73"/>
      <c r="B345" s="74"/>
      <c r="C345" s="77">
        <v>4</v>
      </c>
      <c r="D345" s="78"/>
      <c r="E345" s="77" t="s">
        <v>315</v>
      </c>
      <c r="F345" s="79">
        <f>(191.58+(0.6*(3.35+3.05+3.82+2.74)))*10.764</f>
        <v>2145.867984</v>
      </c>
      <c r="G345" s="79"/>
      <c r="H345" s="79">
        <v>0</v>
      </c>
      <c r="I345" s="78">
        <f>F345*(($I$105)+1)+H345</f>
        <v>3218.8019759999997</v>
      </c>
      <c r="J345" s="1"/>
      <c r="K345" s="1"/>
      <c r="L345" s="1"/>
      <c r="M345" s="1"/>
      <c r="N345" s="1"/>
      <c r="O345" s="1"/>
      <c r="P345" s="1"/>
      <c r="Q345" s="1"/>
      <c r="R345" s="1"/>
      <c r="S345" s="1"/>
      <c r="T345" s="1"/>
      <c r="U345" s="40" t="e">
        <f t="shared" si="52"/>
        <v>#REF!</v>
      </c>
      <c r="V345" s="40" t="e">
        <f t="shared" ref="V345:W345" si="53">V344+1</f>
        <v>#REF!</v>
      </c>
      <c r="W345" s="40" t="e">
        <f t="shared" si="53"/>
        <v>#REF!</v>
      </c>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75"/>
      <c r="B346" s="76"/>
      <c r="C346" s="77">
        <v>6</v>
      </c>
      <c r="D346" s="78"/>
      <c r="E346" s="77" t="s">
        <v>264</v>
      </c>
      <c r="F346" s="79">
        <f>(273.09+(0.6*(3+3.4+4.26+3.05+4.26+4.8)))*10.764</f>
        <v>3086.5985279999991</v>
      </c>
      <c r="G346" s="79"/>
      <c r="H346" s="79">
        <v>0</v>
      </c>
      <c r="I346" s="78">
        <f>F346*(($I$105)+1)+H346</f>
        <v>4629.8977919999988</v>
      </c>
      <c r="J346" s="1"/>
      <c r="K346" s="1"/>
      <c r="L346" s="1"/>
      <c r="M346" s="1"/>
      <c r="N346" s="1"/>
      <c r="O346" s="1"/>
      <c r="P346" s="1"/>
      <c r="Q346" s="1"/>
      <c r="R346" s="1"/>
      <c r="S346" s="1"/>
      <c r="T346" s="1"/>
      <c r="U346" s="40" t="e">
        <f t="shared" si="52"/>
        <v>#REF!</v>
      </c>
      <c r="V346" s="40" t="e">
        <f>#REF!+1</f>
        <v>#REF!</v>
      </c>
      <c r="W346" s="40" t="e">
        <f>#REF!+1</f>
        <v>#REF!</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ht="20.25" x14ac:dyDescent="0.25">
      <c r="A347" s="94" t="s">
        <v>73</v>
      </c>
      <c r="B347" s="94"/>
      <c r="C347" s="94"/>
      <c r="D347" s="94"/>
      <c r="E347" s="94"/>
      <c r="F347" s="94"/>
      <c r="G347" s="94"/>
      <c r="H347" s="94"/>
      <c r="I347" s="94"/>
    </row>
    <row r="348" spans="1:151 16227:16384" ht="168" customHeight="1" x14ac:dyDescent="0.25">
      <c r="A348" s="9" t="s">
        <v>81</v>
      </c>
      <c r="B348" s="12" t="s">
        <v>4</v>
      </c>
      <c r="C348" s="93" t="s">
        <v>327</v>
      </c>
      <c r="D348" s="93"/>
      <c r="E348" s="93"/>
      <c r="F348" s="93"/>
      <c r="G348" s="93"/>
      <c r="H348" s="93"/>
      <c r="I348" s="93"/>
      <c r="J348" s="1" t="s">
        <v>326</v>
      </c>
    </row>
    <row r="349" spans="1:151 16227:16384" ht="20.25" x14ac:dyDescent="0.25">
      <c r="A349" s="118" t="s">
        <v>255</v>
      </c>
      <c r="B349" s="118"/>
      <c r="C349" s="118"/>
      <c r="D349" s="118"/>
      <c r="E349" s="118"/>
      <c r="F349" s="118"/>
      <c r="G349" s="118"/>
      <c r="H349" s="118"/>
      <c r="I349" s="118"/>
    </row>
    <row r="350" spans="1:151 16227:16384" ht="20.25" x14ac:dyDescent="0.25">
      <c r="A350" s="101" t="s">
        <v>74</v>
      </c>
      <c r="B350" s="101"/>
      <c r="C350" s="101"/>
      <c r="D350" s="2" t="s">
        <v>4</v>
      </c>
      <c r="E350" s="64" t="str">
        <f>E3</f>
        <v>The Address By GS (Tower A &amp; B)</v>
      </c>
      <c r="F350" s="67"/>
      <c r="G350" s="67"/>
      <c r="H350" s="67"/>
      <c r="I350" s="65"/>
    </row>
    <row r="351" spans="1:151 16227:16384" ht="62.25" customHeight="1" x14ac:dyDescent="0.25">
      <c r="A351" s="101" t="s">
        <v>134</v>
      </c>
      <c r="B351" s="101"/>
      <c r="C351" s="101"/>
      <c r="D351" s="2" t="s">
        <v>4</v>
      </c>
      <c r="E351" s="64" t="str">
        <f>E9</f>
        <v>The Address by GS Tower A, Survey No.122(pt), 126B/2(pt), 126B/3(pt), near Smt. Sunitidevi Singhania School, Pokharan Road No.1, Panchpakhadi, Thane West,
Thane, Thane - 400606.</v>
      </c>
      <c r="F351" s="67"/>
      <c r="G351" s="67"/>
      <c r="H351" s="67"/>
      <c r="I351" s="65"/>
    </row>
    <row r="352" spans="1:151 16227:16384" ht="20.25" customHeight="1" x14ac:dyDescent="0.25">
      <c r="A352" s="128" t="s">
        <v>140</v>
      </c>
      <c r="B352" s="128"/>
      <c r="C352" s="128"/>
      <c r="D352" s="15" t="s">
        <v>4</v>
      </c>
      <c r="E352" s="129" t="str">
        <f>I3</f>
        <v>03/07/2025 at 01:29PM</v>
      </c>
      <c r="F352" s="130"/>
      <c r="G352" s="130"/>
      <c r="H352" s="130"/>
      <c r="I352" s="131"/>
    </row>
    <row r="353" spans="1:9" ht="20.25" x14ac:dyDescent="0.25">
      <c r="A353" s="27"/>
      <c r="B353" s="28"/>
      <c r="C353" s="28"/>
      <c r="D353" s="28"/>
      <c r="E353" s="28"/>
      <c r="F353" s="28"/>
      <c r="G353" s="28"/>
      <c r="H353" s="28"/>
      <c r="I353" s="24"/>
    </row>
    <row r="354" spans="1:9" ht="20.25" x14ac:dyDescent="0.25">
      <c r="A354" s="29"/>
      <c r="B354" s="30"/>
      <c r="C354" s="30"/>
      <c r="D354" s="30"/>
      <c r="E354" s="30"/>
      <c r="F354" s="30"/>
      <c r="G354" s="30"/>
      <c r="H354" s="30"/>
      <c r="I354" s="25"/>
    </row>
    <row r="355" spans="1:9" ht="20.25" x14ac:dyDescent="0.25">
      <c r="A355" s="29"/>
      <c r="B355" s="30"/>
      <c r="C355" s="30"/>
      <c r="D355" s="30"/>
      <c r="E355" s="30"/>
      <c r="F355" s="30"/>
      <c r="G355" s="30"/>
      <c r="H355" s="30"/>
      <c r="I355" s="25"/>
    </row>
    <row r="356" spans="1:9" ht="20.25" x14ac:dyDescent="0.25">
      <c r="A356" s="29"/>
      <c r="B356" s="30"/>
      <c r="C356" s="30"/>
      <c r="D356" s="30"/>
      <c r="E356" s="30"/>
      <c r="F356" s="30"/>
      <c r="G356" s="30"/>
      <c r="H356" s="30"/>
      <c r="I356" s="25"/>
    </row>
    <row r="357" spans="1:9" ht="20.25" x14ac:dyDescent="0.25">
      <c r="A357" s="29"/>
      <c r="B357" s="30"/>
      <c r="C357" s="30"/>
      <c r="D357" s="30"/>
      <c r="E357" s="30"/>
      <c r="F357" s="30"/>
      <c r="G357" s="30"/>
      <c r="H357" s="30"/>
      <c r="I357" s="25"/>
    </row>
    <row r="358" spans="1:9" ht="20.25" x14ac:dyDescent="0.25">
      <c r="A358" s="29"/>
      <c r="B358" s="30"/>
      <c r="C358" s="30"/>
      <c r="D358" s="30"/>
      <c r="E358" s="30"/>
      <c r="F358" s="30"/>
      <c r="G358" s="30"/>
      <c r="H358" s="30"/>
      <c r="I358" s="25"/>
    </row>
    <row r="359" spans="1:9" ht="20.25" x14ac:dyDescent="0.25">
      <c r="A359" s="29"/>
      <c r="B359" s="30"/>
      <c r="C359" s="30"/>
      <c r="D359" s="30"/>
      <c r="E359" s="30"/>
      <c r="F359" s="30"/>
      <c r="G359" s="30"/>
      <c r="H359" s="30"/>
      <c r="I359" s="25"/>
    </row>
    <row r="360" spans="1:9" ht="20.25" x14ac:dyDescent="0.25">
      <c r="A360" s="29"/>
      <c r="B360" s="30"/>
      <c r="C360" s="30"/>
      <c r="D360" s="30"/>
      <c r="E360" s="30"/>
      <c r="F360" s="30"/>
      <c r="G360" s="30"/>
      <c r="H360" s="30"/>
      <c r="I360" s="25"/>
    </row>
    <row r="361" spans="1:9" ht="20.25" x14ac:dyDescent="0.25">
      <c r="A361" s="29"/>
      <c r="B361" s="30"/>
      <c r="C361" s="30"/>
      <c r="D361" s="30"/>
      <c r="E361" s="30"/>
      <c r="F361" s="30"/>
      <c r="G361" s="30"/>
      <c r="H361" s="30"/>
      <c r="I361" s="25"/>
    </row>
    <row r="362" spans="1:9" ht="20.25" x14ac:dyDescent="0.25">
      <c r="A362" s="29"/>
      <c r="B362" s="30"/>
      <c r="C362" s="30"/>
      <c r="D362" s="30"/>
      <c r="E362" s="30"/>
      <c r="F362" s="30"/>
      <c r="G362" s="30"/>
      <c r="H362" s="30"/>
      <c r="I362" s="25"/>
    </row>
    <row r="363" spans="1:9" ht="20.25" x14ac:dyDescent="0.25">
      <c r="A363" s="29"/>
      <c r="B363" s="30"/>
      <c r="C363" s="30"/>
      <c r="D363" s="30"/>
      <c r="E363" s="30"/>
      <c r="F363" s="30"/>
      <c r="G363" s="30"/>
      <c r="H363" s="30"/>
      <c r="I363" s="25"/>
    </row>
    <row r="364" spans="1:9" ht="20.25" x14ac:dyDescent="0.25">
      <c r="A364" s="29"/>
      <c r="B364" s="30"/>
      <c r="C364" s="30"/>
      <c r="D364" s="30"/>
      <c r="E364" s="30"/>
      <c r="F364" s="30"/>
      <c r="G364" s="30"/>
      <c r="H364" s="30"/>
      <c r="I364" s="25"/>
    </row>
    <row r="365" spans="1:9" ht="20.25" x14ac:dyDescent="0.25">
      <c r="A365" s="29"/>
      <c r="B365" s="30"/>
      <c r="C365" s="30"/>
      <c r="D365" s="30"/>
      <c r="E365" s="30"/>
      <c r="F365" s="30"/>
      <c r="G365" s="30"/>
      <c r="H365" s="30"/>
      <c r="I365" s="25"/>
    </row>
    <row r="366" spans="1:9" ht="20.25" x14ac:dyDescent="0.25">
      <c r="A366" s="29"/>
      <c r="B366" s="30"/>
      <c r="C366" s="30"/>
      <c r="D366" s="30"/>
      <c r="E366" s="30"/>
      <c r="F366" s="30"/>
      <c r="G366" s="30"/>
      <c r="H366" s="30"/>
      <c r="I366" s="25"/>
    </row>
    <row r="367" spans="1:9" ht="20.25" x14ac:dyDescent="0.25">
      <c r="A367" s="29"/>
      <c r="B367" s="30"/>
      <c r="C367" s="30"/>
      <c r="D367" s="30"/>
      <c r="E367" s="30"/>
      <c r="F367" s="30"/>
      <c r="G367" s="30"/>
      <c r="H367" s="30"/>
      <c r="I367" s="25"/>
    </row>
    <row r="368" spans="1:9" ht="20.25" x14ac:dyDescent="0.25">
      <c r="A368" s="29"/>
      <c r="B368" s="30"/>
      <c r="C368" s="30"/>
      <c r="D368" s="30"/>
      <c r="E368" s="30"/>
      <c r="F368" s="30"/>
      <c r="G368" s="30"/>
      <c r="H368" s="30"/>
      <c r="I368" s="25"/>
    </row>
    <row r="369" spans="1:9" ht="20.25" x14ac:dyDescent="0.25">
      <c r="A369" s="29"/>
      <c r="B369" s="30"/>
      <c r="C369" s="30"/>
      <c r="D369" s="30"/>
      <c r="E369" s="30"/>
      <c r="F369" s="30"/>
      <c r="G369" s="30"/>
      <c r="H369" s="30"/>
      <c r="I369" s="25"/>
    </row>
    <row r="370" spans="1:9" ht="20.25" x14ac:dyDescent="0.25">
      <c r="A370" s="29"/>
      <c r="B370" s="30"/>
      <c r="C370" s="30"/>
      <c r="D370" s="30"/>
      <c r="E370" s="30"/>
      <c r="F370" s="30"/>
      <c r="G370" s="30"/>
      <c r="H370" s="30"/>
      <c r="I370" s="25"/>
    </row>
    <row r="371" spans="1:9" ht="20.25" x14ac:dyDescent="0.25">
      <c r="A371" s="29"/>
      <c r="B371" s="30"/>
      <c r="C371" s="30"/>
      <c r="D371" s="30"/>
      <c r="E371" s="30"/>
      <c r="F371" s="30"/>
      <c r="G371" s="30"/>
      <c r="H371" s="30"/>
      <c r="I371" s="25"/>
    </row>
    <row r="372" spans="1:9" ht="20.25" x14ac:dyDescent="0.25">
      <c r="A372" s="29"/>
      <c r="B372" s="30"/>
      <c r="C372" s="30"/>
      <c r="D372" s="30"/>
      <c r="E372" s="30"/>
      <c r="F372" s="30"/>
      <c r="G372" s="30"/>
      <c r="H372" s="30"/>
      <c r="I372" s="25"/>
    </row>
    <row r="373" spans="1:9" ht="20.25" x14ac:dyDescent="0.25">
      <c r="A373" s="29"/>
      <c r="B373" s="30"/>
      <c r="C373" s="30"/>
      <c r="D373" s="30"/>
      <c r="E373" s="30"/>
      <c r="F373" s="30"/>
      <c r="G373" s="30"/>
      <c r="H373" s="30"/>
      <c r="I373" s="25"/>
    </row>
    <row r="374" spans="1:9" ht="20.25" x14ac:dyDescent="0.25">
      <c r="A374" s="29"/>
      <c r="B374" s="30"/>
      <c r="C374" s="30"/>
      <c r="D374" s="30"/>
      <c r="E374" s="30"/>
      <c r="F374" s="30"/>
      <c r="G374" s="30"/>
      <c r="H374" s="30"/>
      <c r="I374" s="25"/>
    </row>
    <row r="375" spans="1:9" ht="20.25" x14ac:dyDescent="0.25">
      <c r="A375" s="29"/>
      <c r="B375" s="30"/>
      <c r="C375" s="30"/>
      <c r="D375" s="30"/>
      <c r="E375" s="30"/>
      <c r="F375" s="30"/>
      <c r="G375" s="30"/>
      <c r="H375" s="30"/>
      <c r="I375" s="25"/>
    </row>
    <row r="376" spans="1:9" ht="20.25" x14ac:dyDescent="0.25">
      <c r="A376" s="29"/>
      <c r="B376" s="30"/>
      <c r="C376" s="30"/>
      <c r="D376" s="30"/>
      <c r="E376" s="30"/>
      <c r="F376" s="30"/>
      <c r="G376" s="30"/>
      <c r="H376" s="30"/>
      <c r="I376" s="25"/>
    </row>
    <row r="377" spans="1:9" ht="20.25" x14ac:dyDescent="0.25">
      <c r="A377" s="29"/>
      <c r="B377" s="30"/>
      <c r="C377" s="30"/>
      <c r="D377" s="30"/>
      <c r="E377" s="30"/>
      <c r="F377" s="30"/>
      <c r="G377" s="30"/>
      <c r="H377" s="30"/>
      <c r="I377" s="25"/>
    </row>
    <row r="378" spans="1:9" ht="20.25" x14ac:dyDescent="0.25">
      <c r="A378" s="29"/>
      <c r="B378" s="30"/>
      <c r="C378" s="30"/>
      <c r="D378" s="30"/>
      <c r="E378" s="30"/>
      <c r="F378" s="30"/>
      <c r="G378" s="30"/>
      <c r="H378" s="30"/>
      <c r="I378" s="25"/>
    </row>
    <row r="379" spans="1:9" ht="20.25" x14ac:dyDescent="0.25">
      <c r="A379" s="29"/>
      <c r="B379" s="30"/>
      <c r="C379" s="30"/>
      <c r="D379" s="30"/>
      <c r="E379" s="30"/>
      <c r="F379" s="30"/>
      <c r="G379" s="30"/>
      <c r="H379" s="30"/>
      <c r="I379" s="25"/>
    </row>
    <row r="380" spans="1:9" ht="20.25" x14ac:dyDescent="0.25">
      <c r="A380" s="29"/>
      <c r="B380" s="30"/>
      <c r="C380" s="30"/>
      <c r="D380" s="30"/>
      <c r="E380" s="30"/>
      <c r="F380" s="30"/>
      <c r="G380" s="30"/>
      <c r="H380" s="30"/>
      <c r="I380" s="25"/>
    </row>
    <row r="381" spans="1:9" ht="20.25" hidden="1" x14ac:dyDescent="0.25">
      <c r="A381" s="29"/>
      <c r="B381" s="30"/>
      <c r="C381" s="30"/>
      <c r="D381" s="30"/>
      <c r="E381" s="30"/>
      <c r="F381" s="30"/>
      <c r="G381" s="30"/>
      <c r="H381" s="30"/>
      <c r="I381" s="25"/>
    </row>
    <row r="382" spans="1:9" ht="20.25" hidden="1" x14ac:dyDescent="0.25">
      <c r="A382" s="29"/>
      <c r="B382" s="30"/>
      <c r="C382" s="30"/>
      <c r="D382" s="30"/>
      <c r="E382" s="30"/>
      <c r="F382" s="30"/>
      <c r="G382" s="30"/>
      <c r="H382" s="30"/>
      <c r="I382" s="25"/>
    </row>
    <row r="383" spans="1:9" ht="20.25" hidden="1" x14ac:dyDescent="0.25">
      <c r="A383" s="29"/>
      <c r="B383" s="30"/>
      <c r="C383" s="30"/>
      <c r="D383" s="30"/>
      <c r="E383" s="30"/>
      <c r="F383" s="30"/>
      <c r="G383" s="30"/>
      <c r="H383" s="30"/>
      <c r="I383" s="25"/>
    </row>
    <row r="384" spans="1:9" ht="20.25" hidden="1" x14ac:dyDescent="0.25">
      <c r="A384" s="29"/>
      <c r="B384" s="30"/>
      <c r="C384" s="30"/>
      <c r="D384" s="30"/>
      <c r="E384" s="30"/>
      <c r="F384" s="30"/>
      <c r="G384" s="30"/>
      <c r="H384" s="30"/>
      <c r="I384" s="25"/>
    </row>
    <row r="385" spans="1:9" ht="20.25" hidden="1" x14ac:dyDescent="0.25">
      <c r="A385" s="29"/>
      <c r="B385" s="30"/>
      <c r="C385" s="30"/>
      <c r="D385" s="30"/>
      <c r="E385" s="30"/>
      <c r="F385" s="30"/>
      <c r="G385" s="30"/>
      <c r="H385" s="30"/>
      <c r="I385" s="25"/>
    </row>
    <row r="386" spans="1:9" ht="20.25" hidden="1" x14ac:dyDescent="0.25">
      <c r="A386" s="29"/>
      <c r="B386" s="30"/>
      <c r="C386" s="30"/>
      <c r="D386" s="30"/>
      <c r="E386" s="30"/>
      <c r="F386" s="30"/>
      <c r="G386" s="30"/>
      <c r="H386" s="30"/>
      <c r="I386" s="25"/>
    </row>
    <row r="387" spans="1:9" ht="20.25" hidden="1" x14ac:dyDescent="0.25">
      <c r="A387" s="29"/>
      <c r="B387" s="30"/>
      <c r="C387" s="30"/>
      <c r="D387" s="30"/>
      <c r="E387" s="30"/>
      <c r="F387" s="30"/>
      <c r="G387" s="30"/>
      <c r="H387" s="30"/>
      <c r="I387" s="25"/>
    </row>
    <row r="388" spans="1:9" ht="20.25" hidden="1" x14ac:dyDescent="0.25">
      <c r="A388" s="29"/>
      <c r="B388" s="30"/>
      <c r="C388" s="30"/>
      <c r="D388" s="30"/>
      <c r="E388" s="30"/>
      <c r="F388" s="30"/>
      <c r="G388" s="30"/>
      <c r="H388" s="30"/>
      <c r="I388" s="25"/>
    </row>
    <row r="389" spans="1:9" ht="20.25" hidden="1" x14ac:dyDescent="0.25">
      <c r="A389" s="29"/>
      <c r="B389" s="30"/>
      <c r="C389" s="30"/>
      <c r="D389" s="30"/>
      <c r="E389" s="30"/>
      <c r="F389" s="30"/>
      <c r="G389" s="30"/>
      <c r="H389" s="30"/>
      <c r="I389" s="25"/>
    </row>
    <row r="390" spans="1:9" ht="20.25" x14ac:dyDescent="0.25">
      <c r="A390" s="29"/>
      <c r="B390" s="30"/>
      <c r="C390" s="30"/>
      <c r="D390" s="30"/>
      <c r="E390" s="30"/>
      <c r="F390" s="30"/>
      <c r="G390" s="30"/>
      <c r="H390" s="30"/>
      <c r="I390" s="25"/>
    </row>
    <row r="391" spans="1:9" ht="20.25" x14ac:dyDescent="0.25">
      <c r="A391" s="29"/>
      <c r="B391" s="30"/>
      <c r="C391" s="30"/>
      <c r="D391" s="30"/>
      <c r="E391" s="30"/>
      <c r="F391" s="30"/>
      <c r="G391" s="30"/>
      <c r="H391" s="30"/>
      <c r="I391" s="25"/>
    </row>
    <row r="392" spans="1:9" ht="20.25" x14ac:dyDescent="0.25">
      <c r="A392" s="98" t="s">
        <v>82</v>
      </c>
      <c r="B392" s="99"/>
      <c r="C392" s="99"/>
      <c r="D392" s="99"/>
      <c r="E392" s="99"/>
      <c r="F392" s="99"/>
      <c r="G392" s="99"/>
      <c r="H392" s="99"/>
      <c r="I392" s="100"/>
    </row>
    <row r="393" spans="1:9" ht="20.25" x14ac:dyDescent="0.25">
      <c r="A393" s="27"/>
      <c r="B393" s="28"/>
      <c r="C393" s="28"/>
      <c r="D393" s="28"/>
      <c r="E393" s="28"/>
      <c r="F393" s="28"/>
      <c r="G393" s="28"/>
      <c r="H393" s="28"/>
      <c r="I393" s="24"/>
    </row>
    <row r="394" spans="1:9" ht="20.25" x14ac:dyDescent="0.25">
      <c r="A394" s="29"/>
      <c r="B394" s="30"/>
      <c r="C394" s="30"/>
      <c r="D394" s="30"/>
      <c r="E394" s="30"/>
      <c r="F394" s="30"/>
      <c r="G394" s="30"/>
      <c r="H394" s="30"/>
      <c r="I394" s="25"/>
    </row>
    <row r="395" spans="1:9" ht="20.25" x14ac:dyDescent="0.25">
      <c r="A395" s="29"/>
      <c r="B395" s="30"/>
      <c r="C395" s="30"/>
      <c r="D395" s="30"/>
      <c r="E395" s="30"/>
      <c r="F395" s="30"/>
      <c r="G395" s="30"/>
      <c r="H395" s="30"/>
      <c r="I395" s="25"/>
    </row>
    <row r="396" spans="1:9" ht="20.25" x14ac:dyDescent="0.25">
      <c r="A396" s="29"/>
      <c r="B396" s="30"/>
      <c r="C396" s="30"/>
      <c r="D396" s="30"/>
      <c r="E396" s="30"/>
      <c r="F396" s="30"/>
      <c r="G396" s="30"/>
      <c r="H396" s="30"/>
      <c r="I396" s="25"/>
    </row>
    <row r="397" spans="1:9" ht="20.25" x14ac:dyDescent="0.25">
      <c r="A397" s="29"/>
      <c r="B397" s="30"/>
      <c r="C397" s="30"/>
      <c r="D397" s="30"/>
      <c r="E397" s="30"/>
      <c r="F397" s="30"/>
      <c r="G397" s="30"/>
      <c r="H397" s="30"/>
      <c r="I397" s="25"/>
    </row>
    <row r="398" spans="1:9" ht="20.25" x14ac:dyDescent="0.25">
      <c r="A398" s="29"/>
      <c r="B398" s="30"/>
      <c r="C398" s="30"/>
      <c r="D398" s="30"/>
      <c r="E398" s="30"/>
      <c r="F398" s="30"/>
      <c r="G398" s="30"/>
      <c r="H398" s="30"/>
      <c r="I398" s="25"/>
    </row>
    <row r="399" spans="1:9" ht="20.25" x14ac:dyDescent="0.25">
      <c r="A399" s="29"/>
      <c r="B399" s="30"/>
      <c r="C399" s="30"/>
      <c r="D399" s="30"/>
      <c r="E399" s="30"/>
      <c r="F399" s="30"/>
      <c r="G399" s="30"/>
      <c r="H399" s="30"/>
      <c r="I399" s="25"/>
    </row>
    <row r="400" spans="1:9" ht="20.25" x14ac:dyDescent="0.25">
      <c r="A400" s="29"/>
      <c r="B400" s="30"/>
      <c r="C400" s="30"/>
      <c r="D400" s="30"/>
      <c r="E400" s="30"/>
      <c r="F400" s="30"/>
      <c r="G400" s="30"/>
      <c r="H400" s="30"/>
      <c r="I400" s="25"/>
    </row>
    <row r="401" spans="1:9" ht="20.25" x14ac:dyDescent="0.25">
      <c r="A401" s="29"/>
      <c r="B401" s="30"/>
      <c r="C401" s="30"/>
      <c r="D401" s="30"/>
      <c r="E401" s="30"/>
      <c r="F401" s="30"/>
      <c r="G401" s="30"/>
      <c r="H401" s="30"/>
      <c r="I401" s="25"/>
    </row>
    <row r="402" spans="1:9" ht="20.25" x14ac:dyDescent="0.25">
      <c r="A402" s="29"/>
      <c r="B402" s="30"/>
      <c r="C402" s="30"/>
      <c r="D402" s="30"/>
      <c r="E402" s="30"/>
      <c r="F402" s="30"/>
      <c r="G402" s="30"/>
      <c r="H402" s="30"/>
      <c r="I402" s="25"/>
    </row>
    <row r="403" spans="1:9" ht="20.25" x14ac:dyDescent="0.25">
      <c r="A403" s="29"/>
      <c r="B403" s="30"/>
      <c r="C403" s="30"/>
      <c r="D403" s="30"/>
      <c r="E403" s="30"/>
      <c r="F403" s="30"/>
      <c r="G403" s="30"/>
      <c r="H403" s="30"/>
      <c r="I403" s="25"/>
    </row>
    <row r="404" spans="1:9" ht="20.25" x14ac:dyDescent="0.25">
      <c r="A404" s="29"/>
      <c r="B404" s="30"/>
      <c r="C404" s="30"/>
      <c r="D404" s="30"/>
      <c r="E404" s="30"/>
      <c r="F404" s="30"/>
      <c r="G404" s="30"/>
      <c r="H404" s="30"/>
      <c r="I404" s="25"/>
    </row>
    <row r="405" spans="1:9" ht="20.25" x14ac:dyDescent="0.25">
      <c r="A405" s="29"/>
      <c r="B405" s="30"/>
      <c r="C405" s="30"/>
      <c r="D405" s="30"/>
      <c r="E405" s="30"/>
      <c r="F405" s="30"/>
      <c r="G405" s="30"/>
      <c r="H405" s="30"/>
      <c r="I405" s="25"/>
    </row>
    <row r="406" spans="1:9" ht="20.25" x14ac:dyDescent="0.25">
      <c r="A406" s="29"/>
      <c r="B406" s="30"/>
      <c r="C406" s="30"/>
      <c r="D406" s="30"/>
      <c r="E406" s="30"/>
      <c r="F406" s="30"/>
      <c r="G406" s="30"/>
      <c r="H406" s="30"/>
      <c r="I406" s="25"/>
    </row>
    <row r="407" spans="1:9" ht="20.25" x14ac:dyDescent="0.25">
      <c r="A407" s="29"/>
      <c r="B407" s="30"/>
      <c r="C407" s="30"/>
      <c r="D407" s="30"/>
      <c r="E407" s="30"/>
      <c r="F407" s="30"/>
      <c r="G407" s="30"/>
      <c r="H407" s="30"/>
      <c r="I407" s="25"/>
    </row>
    <row r="408" spans="1:9" ht="20.25" x14ac:dyDescent="0.25">
      <c r="A408" s="29"/>
      <c r="B408" s="30"/>
      <c r="C408" s="30"/>
      <c r="D408" s="30"/>
      <c r="E408" s="30"/>
      <c r="F408" s="30"/>
      <c r="G408" s="30"/>
      <c r="H408" s="30"/>
      <c r="I408" s="25"/>
    </row>
    <row r="409" spans="1:9" ht="20.25" x14ac:dyDescent="0.25">
      <c r="A409" s="29"/>
      <c r="B409" s="30"/>
      <c r="C409" s="30"/>
      <c r="D409" s="30"/>
      <c r="E409" s="30"/>
      <c r="F409" s="30"/>
      <c r="G409" s="30"/>
      <c r="H409" s="30"/>
      <c r="I409" s="25"/>
    </row>
    <row r="410" spans="1:9" ht="20.25" x14ac:dyDescent="0.25">
      <c r="A410" s="29"/>
      <c r="B410" s="30"/>
      <c r="C410" s="30"/>
      <c r="D410" s="30"/>
      <c r="E410" s="30"/>
      <c r="F410" s="30"/>
      <c r="G410" s="30"/>
      <c r="H410" s="30"/>
      <c r="I410" s="25"/>
    </row>
    <row r="411" spans="1:9" ht="20.25" x14ac:dyDescent="0.25">
      <c r="A411" s="29"/>
      <c r="B411" s="30"/>
      <c r="C411" s="30"/>
      <c r="D411" s="30"/>
      <c r="E411" s="30"/>
      <c r="F411" s="30"/>
      <c r="G411" s="30"/>
      <c r="H411" s="30"/>
      <c r="I411" s="25"/>
    </row>
    <row r="412" spans="1:9" ht="20.25" x14ac:dyDescent="0.25">
      <c r="A412" s="29"/>
      <c r="B412" s="30"/>
      <c r="C412" s="30"/>
      <c r="D412" s="30"/>
      <c r="E412" s="30"/>
      <c r="F412" s="30"/>
      <c r="G412" s="30"/>
      <c r="H412" s="30"/>
      <c r="I412" s="25"/>
    </row>
    <row r="413" spans="1:9" ht="20.25" x14ac:dyDescent="0.25">
      <c r="A413" s="29"/>
      <c r="B413" s="30"/>
      <c r="C413" s="30"/>
      <c r="D413" s="30"/>
      <c r="E413" s="30"/>
      <c r="F413" s="30"/>
      <c r="G413" s="30"/>
      <c r="H413" s="30"/>
      <c r="I413" s="25"/>
    </row>
    <row r="414" spans="1:9" ht="20.25" x14ac:dyDescent="0.25">
      <c r="A414" s="29"/>
      <c r="B414" s="30"/>
      <c r="C414" s="30"/>
      <c r="D414" s="30"/>
      <c r="E414" s="30"/>
      <c r="F414" s="30"/>
      <c r="G414" s="30"/>
      <c r="H414" s="30"/>
      <c r="I414" s="25"/>
    </row>
    <row r="415" spans="1:9" ht="20.25" x14ac:dyDescent="0.25">
      <c r="A415" s="29"/>
      <c r="B415" s="30"/>
      <c r="C415" s="30"/>
      <c r="D415" s="30"/>
      <c r="E415" s="30"/>
      <c r="F415" s="30"/>
      <c r="G415" s="30"/>
      <c r="H415" s="30"/>
      <c r="I415" s="25"/>
    </row>
    <row r="416" spans="1:9" ht="20.25" x14ac:dyDescent="0.25">
      <c r="A416" s="29"/>
      <c r="B416" s="30"/>
      <c r="C416" s="30"/>
      <c r="D416" s="30"/>
      <c r="E416" s="30"/>
      <c r="F416" s="30"/>
      <c r="G416" s="30"/>
      <c r="H416" s="30"/>
      <c r="I416" s="25"/>
    </row>
    <row r="417" spans="1:9" ht="20.25" x14ac:dyDescent="0.25">
      <c r="A417" s="29"/>
      <c r="B417" s="30"/>
      <c r="C417" s="30"/>
      <c r="D417" s="30"/>
      <c r="E417" s="30"/>
      <c r="F417" s="30"/>
      <c r="G417" s="30"/>
      <c r="H417" s="30"/>
      <c r="I417" s="25"/>
    </row>
    <row r="418" spans="1:9" ht="20.25" x14ac:dyDescent="0.25">
      <c r="A418" s="29"/>
      <c r="B418" s="30"/>
      <c r="C418" s="30"/>
      <c r="D418" s="30"/>
      <c r="E418" s="30"/>
      <c r="F418" s="30"/>
      <c r="G418" s="30"/>
      <c r="H418" s="30"/>
      <c r="I418" s="25"/>
    </row>
    <row r="419" spans="1:9" ht="20.25" x14ac:dyDescent="0.25">
      <c r="A419" s="29"/>
      <c r="B419" s="30"/>
      <c r="C419" s="30"/>
      <c r="D419" s="30"/>
      <c r="E419" s="30"/>
      <c r="F419" s="30"/>
      <c r="G419" s="30"/>
      <c r="H419" s="30"/>
      <c r="I419" s="25"/>
    </row>
    <row r="420" spans="1:9" ht="20.25" x14ac:dyDescent="0.25">
      <c r="A420" s="29"/>
      <c r="B420" s="30"/>
      <c r="C420" s="30"/>
      <c r="D420" s="30"/>
      <c r="E420" s="30"/>
      <c r="F420" s="30"/>
      <c r="G420" s="30"/>
      <c r="H420" s="30"/>
      <c r="I420" s="25"/>
    </row>
    <row r="421" spans="1:9" ht="20.25" x14ac:dyDescent="0.25">
      <c r="A421" s="29"/>
      <c r="B421" s="30"/>
      <c r="C421" s="30"/>
      <c r="D421" s="30"/>
      <c r="E421" s="30"/>
      <c r="F421" s="30"/>
      <c r="G421" s="30"/>
      <c r="H421" s="30"/>
      <c r="I421" s="25"/>
    </row>
    <row r="422" spans="1:9" ht="20.25" x14ac:dyDescent="0.25">
      <c r="A422" s="29"/>
      <c r="B422" s="30"/>
      <c r="C422" s="30"/>
      <c r="D422" s="30"/>
      <c r="E422" s="30"/>
      <c r="F422" s="30"/>
      <c r="G422" s="30"/>
      <c r="H422" s="30"/>
      <c r="I422" s="25"/>
    </row>
    <row r="423" spans="1:9" ht="20.25" x14ac:dyDescent="0.25">
      <c r="A423" s="29"/>
      <c r="B423" s="30"/>
      <c r="C423" s="30"/>
      <c r="D423" s="30"/>
      <c r="E423" s="30"/>
      <c r="F423" s="30"/>
      <c r="G423" s="30"/>
      <c r="H423" s="30"/>
      <c r="I423" s="25"/>
    </row>
    <row r="424" spans="1:9" ht="20.25" hidden="1" x14ac:dyDescent="0.25">
      <c r="A424" s="29"/>
      <c r="B424" s="30"/>
      <c r="C424" s="30"/>
      <c r="D424" s="30"/>
      <c r="E424" s="30"/>
      <c r="F424" s="30"/>
      <c r="G424" s="30"/>
      <c r="H424" s="30"/>
      <c r="I424" s="25"/>
    </row>
    <row r="425" spans="1:9" ht="20.25" hidden="1" x14ac:dyDescent="0.25">
      <c r="A425" s="29"/>
      <c r="B425" s="30"/>
      <c r="C425" s="30"/>
      <c r="D425" s="30"/>
      <c r="E425" s="30"/>
      <c r="F425" s="30"/>
      <c r="G425" s="30"/>
      <c r="H425" s="30"/>
      <c r="I425" s="25"/>
    </row>
    <row r="426" spans="1:9" ht="20.25" hidden="1" x14ac:dyDescent="0.25">
      <c r="A426" s="29"/>
      <c r="B426" s="30"/>
      <c r="C426" s="30"/>
      <c r="D426" s="30"/>
      <c r="E426" s="30"/>
      <c r="F426" s="30"/>
      <c r="G426" s="30"/>
      <c r="H426" s="30"/>
      <c r="I426" s="25"/>
    </row>
    <row r="427" spans="1:9" ht="20.25" hidden="1" x14ac:dyDescent="0.25">
      <c r="A427" s="29"/>
      <c r="B427" s="30"/>
      <c r="C427" s="30"/>
      <c r="D427" s="30"/>
      <c r="E427" s="30"/>
      <c r="F427" s="30"/>
      <c r="G427" s="30"/>
      <c r="H427" s="30"/>
      <c r="I427" s="25"/>
    </row>
    <row r="428" spans="1:9" ht="20.25" hidden="1" x14ac:dyDescent="0.25">
      <c r="A428" s="29"/>
      <c r="B428" s="30"/>
      <c r="C428" s="30"/>
      <c r="D428" s="30"/>
      <c r="E428" s="30"/>
      <c r="F428" s="30"/>
      <c r="G428" s="30"/>
      <c r="H428" s="30"/>
      <c r="I428" s="25"/>
    </row>
    <row r="429" spans="1:9" ht="20.25" hidden="1" x14ac:dyDescent="0.25">
      <c r="A429" s="29"/>
      <c r="B429" s="30"/>
      <c r="C429" s="30"/>
      <c r="D429" s="30"/>
      <c r="E429" s="30"/>
      <c r="F429" s="30"/>
      <c r="G429" s="30"/>
      <c r="H429" s="30"/>
      <c r="I429" s="25"/>
    </row>
    <row r="430" spans="1:9" ht="20.25" hidden="1" x14ac:dyDescent="0.25">
      <c r="A430" s="29"/>
      <c r="B430" s="30"/>
      <c r="C430" s="30"/>
      <c r="D430" s="30"/>
      <c r="E430" s="30"/>
      <c r="F430" s="30"/>
      <c r="G430" s="30"/>
      <c r="H430" s="30"/>
      <c r="I430" s="25"/>
    </row>
    <row r="431" spans="1:9" ht="20.25" hidden="1" x14ac:dyDescent="0.25">
      <c r="A431" s="29"/>
      <c r="B431" s="30"/>
      <c r="C431" s="30"/>
      <c r="D431" s="30"/>
      <c r="E431" s="30"/>
      <c r="F431" s="30"/>
      <c r="G431" s="30"/>
      <c r="H431" s="30"/>
      <c r="I431" s="25"/>
    </row>
    <row r="432" spans="1:9" ht="20.25" hidden="1" x14ac:dyDescent="0.25">
      <c r="A432" s="29"/>
      <c r="B432" s="30"/>
      <c r="C432" s="30"/>
      <c r="D432" s="30"/>
      <c r="E432" s="30"/>
      <c r="F432" s="30"/>
      <c r="G432" s="30"/>
      <c r="H432" s="30"/>
      <c r="I432" s="25"/>
    </row>
    <row r="433" spans="1:9" ht="20.25" hidden="1" x14ac:dyDescent="0.25">
      <c r="A433" s="29"/>
      <c r="B433" s="30"/>
      <c r="C433" s="30"/>
      <c r="D433" s="30"/>
      <c r="E433" s="30"/>
      <c r="F433" s="30"/>
      <c r="G433" s="30"/>
      <c r="H433" s="30"/>
      <c r="I433" s="25"/>
    </row>
    <row r="434" spans="1:9" ht="20.25" x14ac:dyDescent="0.25">
      <c r="A434" s="94" t="s">
        <v>28</v>
      </c>
      <c r="B434" s="94"/>
      <c r="C434" s="94"/>
      <c r="D434" s="94"/>
      <c r="E434" s="94"/>
      <c r="F434" s="94"/>
      <c r="G434" s="94"/>
      <c r="H434" s="94"/>
      <c r="I434" s="94"/>
    </row>
    <row r="435" spans="1:9" ht="20.25" x14ac:dyDescent="0.25">
      <c r="A435" s="119" t="s">
        <v>84</v>
      </c>
      <c r="B435" s="120"/>
      <c r="C435" s="120"/>
      <c r="D435" s="120"/>
      <c r="E435" s="120"/>
      <c r="F435" s="120"/>
      <c r="G435" s="120"/>
      <c r="H435" s="120"/>
      <c r="I435" s="121"/>
    </row>
    <row r="436" spans="1:9" ht="20.25" x14ac:dyDescent="0.25">
      <c r="A436" s="122" t="s">
        <v>85</v>
      </c>
      <c r="B436" s="123"/>
      <c r="C436" s="123"/>
      <c r="D436" s="123"/>
      <c r="E436" s="123"/>
      <c r="F436" s="123"/>
      <c r="G436" s="123"/>
      <c r="H436" s="123"/>
      <c r="I436" s="124"/>
    </row>
    <row r="437" spans="1:9" ht="45" customHeight="1" x14ac:dyDescent="0.25">
      <c r="A437" s="122" t="s">
        <v>86</v>
      </c>
      <c r="B437" s="123"/>
      <c r="C437" s="123"/>
      <c r="D437" s="123"/>
      <c r="E437" s="123"/>
      <c r="F437" s="123"/>
      <c r="G437" s="123"/>
      <c r="H437" s="123"/>
      <c r="I437" s="124"/>
    </row>
    <row r="438" spans="1:9" ht="42.75" customHeight="1" x14ac:dyDescent="0.25">
      <c r="A438" s="122" t="s">
        <v>87</v>
      </c>
      <c r="B438" s="123"/>
      <c r="C438" s="123"/>
      <c r="D438" s="123"/>
      <c r="E438" s="123"/>
      <c r="F438" s="123"/>
      <c r="G438" s="123"/>
      <c r="H438" s="123"/>
      <c r="I438" s="124"/>
    </row>
    <row r="439" spans="1:9" ht="20.25" x14ac:dyDescent="0.25">
      <c r="A439" s="122" t="s">
        <v>88</v>
      </c>
      <c r="B439" s="123"/>
      <c r="C439" s="123"/>
      <c r="D439" s="123"/>
      <c r="E439" s="123"/>
      <c r="F439" s="123"/>
      <c r="G439" s="123"/>
      <c r="H439" s="123"/>
      <c r="I439" s="124"/>
    </row>
    <row r="440" spans="1:9" ht="20.25" x14ac:dyDescent="0.25">
      <c r="A440" s="122" t="s">
        <v>89</v>
      </c>
      <c r="B440" s="123"/>
      <c r="C440" s="123"/>
      <c r="D440" s="123"/>
      <c r="E440" s="123"/>
      <c r="F440" s="123"/>
      <c r="G440" s="123"/>
      <c r="H440" s="123"/>
      <c r="I440" s="124"/>
    </row>
    <row r="441" spans="1:9" ht="45" customHeight="1" x14ac:dyDescent="0.25">
      <c r="A441" s="122" t="s">
        <v>90</v>
      </c>
      <c r="B441" s="123"/>
      <c r="C441" s="123"/>
      <c r="D441" s="123"/>
      <c r="E441" s="123"/>
      <c r="F441" s="123"/>
      <c r="G441" s="123"/>
      <c r="H441" s="123"/>
      <c r="I441" s="124"/>
    </row>
    <row r="442" spans="1:9" ht="45" customHeight="1" x14ac:dyDescent="0.25">
      <c r="A442" s="122" t="s">
        <v>91</v>
      </c>
      <c r="B442" s="123"/>
      <c r="C442" s="123"/>
      <c r="D442" s="123"/>
      <c r="E442" s="123"/>
      <c r="F442" s="123"/>
      <c r="G442" s="123"/>
      <c r="H442" s="123"/>
      <c r="I442" s="124"/>
    </row>
    <row r="443" spans="1:9" ht="20.25" x14ac:dyDescent="0.25">
      <c r="A443" s="125" t="s">
        <v>92</v>
      </c>
      <c r="B443" s="126"/>
      <c r="C443" s="126"/>
      <c r="D443" s="126"/>
      <c r="E443" s="126"/>
      <c r="F443" s="126"/>
      <c r="G443" s="126"/>
      <c r="H443" s="126"/>
      <c r="I443" s="127"/>
    </row>
    <row r="444" spans="1:9" ht="70.5" customHeight="1" x14ac:dyDescent="0.25">
      <c r="A444" s="56" t="s">
        <v>330</v>
      </c>
      <c r="B444" s="57"/>
      <c r="C444" s="57"/>
      <c r="D444" s="57"/>
      <c r="E444" s="57"/>
      <c r="F444" s="57"/>
      <c r="G444" s="57"/>
      <c r="H444" s="57"/>
      <c r="I444" s="58"/>
    </row>
  </sheetData>
  <mergeCells count="705">
    <mergeCell ref="A79:B79"/>
    <mergeCell ref="C79:D79"/>
    <mergeCell ref="A80:B80"/>
    <mergeCell ref="C80:D80"/>
    <mergeCell ref="A81:B81"/>
    <mergeCell ref="C81:D81"/>
    <mergeCell ref="A82:B82"/>
    <mergeCell ref="C82:D82"/>
    <mergeCell ref="C74:D74"/>
    <mergeCell ref="A75:B75"/>
    <mergeCell ref="C75:D75"/>
    <mergeCell ref="A76:B76"/>
    <mergeCell ref="C76:D76"/>
    <mergeCell ref="A77:B77"/>
    <mergeCell ref="C77:D77"/>
    <mergeCell ref="A78:B78"/>
    <mergeCell ref="C78:D78"/>
    <mergeCell ref="A342:I342"/>
    <mergeCell ref="A343:B346"/>
    <mergeCell ref="C343:D343"/>
    <mergeCell ref="F343:G343"/>
    <mergeCell ref="C344:D344"/>
    <mergeCell ref="E344:I344"/>
    <mergeCell ref="C345:D345"/>
    <mergeCell ref="E345:I345"/>
    <mergeCell ref="C346:D346"/>
    <mergeCell ref="E346:I346"/>
    <mergeCell ref="A337:I337"/>
    <mergeCell ref="A338:B341"/>
    <mergeCell ref="C338:D338"/>
    <mergeCell ref="F338:G338"/>
    <mergeCell ref="C339:D339"/>
    <mergeCell ref="F339:G339"/>
    <mergeCell ref="C340:D340"/>
    <mergeCell ref="F340:G340"/>
    <mergeCell ref="C341:D341"/>
    <mergeCell ref="F341:G341"/>
    <mergeCell ref="A304:I304"/>
    <mergeCell ref="A305:B310"/>
    <mergeCell ref="C305:D305"/>
    <mergeCell ref="F305:G305"/>
    <mergeCell ref="C306:D306"/>
    <mergeCell ref="F306:G306"/>
    <mergeCell ref="C307:D307"/>
    <mergeCell ref="F307:G307"/>
    <mergeCell ref="C308:D308"/>
    <mergeCell ref="E308:I308"/>
    <mergeCell ref="C309:D309"/>
    <mergeCell ref="F309:G309"/>
    <mergeCell ref="C310:D310"/>
    <mergeCell ref="F310:G310"/>
    <mergeCell ref="A297:I297"/>
    <mergeCell ref="A298:B303"/>
    <mergeCell ref="C298:D298"/>
    <mergeCell ref="F298:G298"/>
    <mergeCell ref="C299:D299"/>
    <mergeCell ref="F299:G299"/>
    <mergeCell ref="C300:D300"/>
    <mergeCell ref="F300:G300"/>
    <mergeCell ref="C301:D301"/>
    <mergeCell ref="F301:G301"/>
    <mergeCell ref="C302:D302"/>
    <mergeCell ref="F302:G302"/>
    <mergeCell ref="C303:D303"/>
    <mergeCell ref="F303:G303"/>
    <mergeCell ref="A331:I331"/>
    <mergeCell ref="A332:B336"/>
    <mergeCell ref="C332:D332"/>
    <mergeCell ref="F332:G332"/>
    <mergeCell ref="C333:D333"/>
    <mergeCell ref="E333:I333"/>
    <mergeCell ref="C334:D334"/>
    <mergeCell ref="E334:I334"/>
    <mergeCell ref="C335:D335"/>
    <mergeCell ref="E335:I335"/>
    <mergeCell ref="C336:D336"/>
    <mergeCell ref="E336:I336"/>
    <mergeCell ref="A325:I325"/>
    <mergeCell ref="A326:B330"/>
    <mergeCell ref="C326:D326"/>
    <mergeCell ref="F326:G326"/>
    <mergeCell ref="C327:D327"/>
    <mergeCell ref="F327:G327"/>
    <mergeCell ref="C328:D328"/>
    <mergeCell ref="F328:G328"/>
    <mergeCell ref="C329:D329"/>
    <mergeCell ref="F329:G329"/>
    <mergeCell ref="C330:D330"/>
    <mergeCell ref="F330:G330"/>
    <mergeCell ref="A318:I318"/>
    <mergeCell ref="A319:B324"/>
    <mergeCell ref="C319:D319"/>
    <mergeCell ref="F319:G319"/>
    <mergeCell ref="C320:D320"/>
    <mergeCell ref="F320:G320"/>
    <mergeCell ref="C321:D321"/>
    <mergeCell ref="C322:D322"/>
    <mergeCell ref="C323:D323"/>
    <mergeCell ref="C324:D324"/>
    <mergeCell ref="E321:I321"/>
    <mergeCell ref="E322:I322"/>
    <mergeCell ref="E323:I323"/>
    <mergeCell ref="E324:I324"/>
    <mergeCell ref="A311:I311"/>
    <mergeCell ref="A312:B317"/>
    <mergeCell ref="C312:D312"/>
    <mergeCell ref="F312:G312"/>
    <mergeCell ref="C313:D313"/>
    <mergeCell ref="F313:G313"/>
    <mergeCell ref="C314:D314"/>
    <mergeCell ref="F314:G314"/>
    <mergeCell ref="C315:D315"/>
    <mergeCell ref="F315:G315"/>
    <mergeCell ref="C316:D316"/>
    <mergeCell ref="F316:G316"/>
    <mergeCell ref="C317:D317"/>
    <mergeCell ref="F317:G317"/>
    <mergeCell ref="A218:I218"/>
    <mergeCell ref="C219:D219"/>
    <mergeCell ref="C226:D226"/>
    <mergeCell ref="E226:I226"/>
    <mergeCell ref="A224:B227"/>
    <mergeCell ref="E227:I227"/>
    <mergeCell ref="C227:D227"/>
    <mergeCell ref="C222:D222"/>
    <mergeCell ref="F222:G222"/>
    <mergeCell ref="A223:I223"/>
    <mergeCell ref="C224:D224"/>
    <mergeCell ref="F224:G224"/>
    <mergeCell ref="C225:D225"/>
    <mergeCell ref="E225:I225"/>
    <mergeCell ref="C202:D202"/>
    <mergeCell ref="F202:G202"/>
    <mergeCell ref="C203:D203"/>
    <mergeCell ref="F203:G203"/>
    <mergeCell ref="C204:D204"/>
    <mergeCell ref="F204:G204"/>
    <mergeCell ref="F219:G219"/>
    <mergeCell ref="C220:D220"/>
    <mergeCell ref="F220:G220"/>
    <mergeCell ref="C211:D211"/>
    <mergeCell ref="F211:G211"/>
    <mergeCell ref="A205:I205"/>
    <mergeCell ref="C208:D208"/>
    <mergeCell ref="F208:G208"/>
    <mergeCell ref="C206:D206"/>
    <mergeCell ref="F206:G206"/>
    <mergeCell ref="C207:D207"/>
    <mergeCell ref="F207:G207"/>
    <mergeCell ref="A201:B204"/>
    <mergeCell ref="A206:B211"/>
    <mergeCell ref="A213:B217"/>
    <mergeCell ref="A219:B222"/>
    <mergeCell ref="C221:D221"/>
    <mergeCell ref="F221:G221"/>
    <mergeCell ref="A163:B167"/>
    <mergeCell ref="A200:I200"/>
    <mergeCell ref="C201:D201"/>
    <mergeCell ref="F201:G201"/>
    <mergeCell ref="C198:D198"/>
    <mergeCell ref="F198:G198"/>
    <mergeCell ref="C174:D174"/>
    <mergeCell ref="F174:G174"/>
    <mergeCell ref="E172:I172"/>
    <mergeCell ref="C170:D170"/>
    <mergeCell ref="F170:G170"/>
    <mergeCell ref="C171:D171"/>
    <mergeCell ref="F171:G171"/>
    <mergeCell ref="C173:D173"/>
    <mergeCell ref="F173:G173"/>
    <mergeCell ref="C172:D172"/>
    <mergeCell ref="C179:D179"/>
    <mergeCell ref="F179:G179"/>
    <mergeCell ref="C180:D180"/>
    <mergeCell ref="F180:G180"/>
    <mergeCell ref="A181:I181"/>
    <mergeCell ref="A175:I175"/>
    <mergeCell ref="A168:I168"/>
    <mergeCell ref="C169:D169"/>
    <mergeCell ref="A103:I103"/>
    <mergeCell ref="F99:G99"/>
    <mergeCell ref="A96:F96"/>
    <mergeCell ref="A109:I109"/>
    <mergeCell ref="A110:I110"/>
    <mergeCell ref="E112:I112"/>
    <mergeCell ref="C29:E29"/>
    <mergeCell ref="C30:E30"/>
    <mergeCell ref="C31:E31"/>
    <mergeCell ref="C32:I32"/>
    <mergeCell ref="C47:E47"/>
    <mergeCell ref="A34:C34"/>
    <mergeCell ref="H34:I34"/>
    <mergeCell ref="H44:I44"/>
    <mergeCell ref="C44:D44"/>
    <mergeCell ref="H35:I35"/>
    <mergeCell ref="A43:B43"/>
    <mergeCell ref="A44:B44"/>
    <mergeCell ref="E44:G44"/>
    <mergeCell ref="E43:G43"/>
    <mergeCell ref="A45:B45"/>
    <mergeCell ref="C45:D45"/>
    <mergeCell ref="E45:G45"/>
    <mergeCell ref="H45:I45"/>
    <mergeCell ref="A143:I143"/>
    <mergeCell ref="A83:G83"/>
    <mergeCell ref="F151:G151"/>
    <mergeCell ref="C152:D152"/>
    <mergeCell ref="F152:G152"/>
    <mergeCell ref="F134:G134"/>
    <mergeCell ref="A123:I123"/>
    <mergeCell ref="C124:D124"/>
    <mergeCell ref="C348:I348"/>
    <mergeCell ref="A347:I347"/>
    <mergeCell ref="A84:I84"/>
    <mergeCell ref="A85:C85"/>
    <mergeCell ref="H85:I85"/>
    <mergeCell ref="A97:F97"/>
    <mergeCell ref="H97:I97"/>
    <mergeCell ref="C113:D113"/>
    <mergeCell ref="C114:D114"/>
    <mergeCell ref="H104:H105"/>
    <mergeCell ref="F104:G105"/>
    <mergeCell ref="E104:E105"/>
    <mergeCell ref="C104:D105"/>
    <mergeCell ref="A104:B105"/>
    <mergeCell ref="C118:D118"/>
    <mergeCell ref="C119:D119"/>
    <mergeCell ref="C141:D141"/>
    <mergeCell ref="F141:G141"/>
    <mergeCell ref="A136:I136"/>
    <mergeCell ref="A107:I107"/>
    <mergeCell ref="E137:I137"/>
    <mergeCell ref="E138:I138"/>
    <mergeCell ref="E139:I139"/>
    <mergeCell ref="A108:I108"/>
    <mergeCell ref="C137:D137"/>
    <mergeCell ref="E124:I124"/>
    <mergeCell ref="C125:D125"/>
    <mergeCell ref="E125:I125"/>
    <mergeCell ref="C126:D126"/>
    <mergeCell ref="E126:I126"/>
    <mergeCell ref="C127:D127"/>
    <mergeCell ref="F127:G127"/>
    <mergeCell ref="C135:D135"/>
    <mergeCell ref="F135:G135"/>
    <mergeCell ref="F128:G128"/>
    <mergeCell ref="A129:I129"/>
    <mergeCell ref="C130:D130"/>
    <mergeCell ref="E130:I130"/>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C43:D43"/>
    <mergeCell ref="C24:I24"/>
    <mergeCell ref="A1:I1"/>
    <mergeCell ref="A4:C4"/>
    <mergeCell ref="A350:C350"/>
    <mergeCell ref="H27:I27"/>
    <mergeCell ref="H28:I28"/>
    <mergeCell ref="A37:I37"/>
    <mergeCell ref="H47:I47"/>
    <mergeCell ref="H49:I49"/>
    <mergeCell ref="A42:I42"/>
    <mergeCell ref="A46:I46"/>
    <mergeCell ref="A98:I98"/>
    <mergeCell ref="H96:I96"/>
    <mergeCell ref="A2:C2"/>
    <mergeCell ref="E2:F2"/>
    <mergeCell ref="A41:C41"/>
    <mergeCell ref="H41:I41"/>
    <mergeCell ref="E4:F4"/>
    <mergeCell ref="E12:I12"/>
    <mergeCell ref="A6:C6"/>
    <mergeCell ref="A7:C7"/>
    <mergeCell ref="A8:C8"/>
    <mergeCell ref="E8:I8"/>
    <mergeCell ref="H7:I7"/>
    <mergeCell ref="G2:H2"/>
    <mergeCell ref="E9:I9"/>
    <mergeCell ref="A349:I349"/>
    <mergeCell ref="E351:I351"/>
    <mergeCell ref="A435:I435"/>
    <mergeCell ref="A441:I441"/>
    <mergeCell ref="A442:I442"/>
    <mergeCell ref="A443:I443"/>
    <mergeCell ref="A436:I436"/>
    <mergeCell ref="A437:I437"/>
    <mergeCell ref="A438:I438"/>
    <mergeCell ref="A439:I439"/>
    <mergeCell ref="A351:C351"/>
    <mergeCell ref="A434:I434"/>
    <mergeCell ref="A440:I440"/>
    <mergeCell ref="A392:I392"/>
    <mergeCell ref="E350:I350"/>
    <mergeCell ref="A352:C352"/>
    <mergeCell ref="E352:I352"/>
    <mergeCell ref="F144:G144"/>
    <mergeCell ref="H50:I50"/>
    <mergeCell ref="H36:I36"/>
    <mergeCell ref="A36:C36"/>
    <mergeCell ref="C140:D140"/>
    <mergeCell ref="F140:G140"/>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C28:E28"/>
    <mergeCell ref="C14:E14"/>
    <mergeCell ref="C15:E15"/>
    <mergeCell ref="C16:E16"/>
    <mergeCell ref="C17:E17"/>
    <mergeCell ref="C18:E18"/>
    <mergeCell ref="C19:E19"/>
    <mergeCell ref="C20:E20"/>
    <mergeCell ref="C21:E21"/>
    <mergeCell ref="C22:E22"/>
    <mergeCell ref="H48:I48"/>
    <mergeCell ref="A94:I94"/>
    <mergeCell ref="A90:C90"/>
    <mergeCell ref="H90:I90"/>
    <mergeCell ref="A91:C91"/>
    <mergeCell ref="H91:I91"/>
    <mergeCell ref="A92:C92"/>
    <mergeCell ref="H92:I92"/>
    <mergeCell ref="A93:C93"/>
    <mergeCell ref="H93:I93"/>
    <mergeCell ref="A86:C86"/>
    <mergeCell ref="H86:I86"/>
    <mergeCell ref="A88:C88"/>
    <mergeCell ref="H88:I88"/>
    <mergeCell ref="A89:C89"/>
    <mergeCell ref="H89:I89"/>
    <mergeCell ref="A87:C87"/>
    <mergeCell ref="H87:I87"/>
    <mergeCell ref="C48:E48"/>
    <mergeCell ref="C49:E49"/>
    <mergeCell ref="C72:D72"/>
    <mergeCell ref="A73:B73"/>
    <mergeCell ref="C73:D73"/>
    <mergeCell ref="A74:B74"/>
    <mergeCell ref="F169:G169"/>
    <mergeCell ref="C145:D145"/>
    <mergeCell ref="E145:I145"/>
    <mergeCell ref="C146:D146"/>
    <mergeCell ref="F146:G146"/>
    <mergeCell ref="F160:G160"/>
    <mergeCell ref="C161:D161"/>
    <mergeCell ref="C166:D166"/>
    <mergeCell ref="F166:G166"/>
    <mergeCell ref="A162:I162"/>
    <mergeCell ref="C163:D163"/>
    <mergeCell ref="F163:G163"/>
    <mergeCell ref="F158:G158"/>
    <mergeCell ref="C151:D151"/>
    <mergeCell ref="C167:D167"/>
    <mergeCell ref="F167:G167"/>
    <mergeCell ref="C164:D164"/>
    <mergeCell ref="F164:G164"/>
    <mergeCell ref="C157:D157"/>
    <mergeCell ref="A155:I155"/>
    <mergeCell ref="C165:D165"/>
    <mergeCell ref="F165:G165"/>
    <mergeCell ref="F157:G157"/>
    <mergeCell ref="C160:D160"/>
    <mergeCell ref="C147:D147"/>
    <mergeCell ref="F147:G147"/>
    <mergeCell ref="C148:D148"/>
    <mergeCell ref="F148:G148"/>
    <mergeCell ref="C144:D144"/>
    <mergeCell ref="C159:D159"/>
    <mergeCell ref="F159:G159"/>
    <mergeCell ref="C158:D158"/>
    <mergeCell ref="A149:I149"/>
    <mergeCell ref="C153:D153"/>
    <mergeCell ref="F153:G153"/>
    <mergeCell ref="C154:D154"/>
    <mergeCell ref="F154:G154"/>
    <mergeCell ref="C150:D150"/>
    <mergeCell ref="F150:G150"/>
    <mergeCell ref="C156:D156"/>
    <mergeCell ref="F156:G156"/>
    <mergeCell ref="E132:I132"/>
    <mergeCell ref="C134:D134"/>
    <mergeCell ref="C138:D138"/>
    <mergeCell ref="C139:D139"/>
    <mergeCell ref="C128:D128"/>
    <mergeCell ref="C131:D131"/>
    <mergeCell ref="E131:I131"/>
    <mergeCell ref="A124:B128"/>
    <mergeCell ref="C133:D133"/>
    <mergeCell ref="E133:I133"/>
    <mergeCell ref="A71:B71"/>
    <mergeCell ref="C71:D71"/>
    <mergeCell ref="F71:G82"/>
    <mergeCell ref="H71:I82"/>
    <mergeCell ref="A72:B72"/>
    <mergeCell ref="A101:B101"/>
    <mergeCell ref="C101:D101"/>
    <mergeCell ref="F101:G101"/>
    <mergeCell ref="C142:D142"/>
    <mergeCell ref="F142:G142"/>
    <mergeCell ref="E114:I114"/>
    <mergeCell ref="C115:D115"/>
    <mergeCell ref="F115:G115"/>
    <mergeCell ref="C116:D116"/>
    <mergeCell ref="A117:I117"/>
    <mergeCell ref="E118:I118"/>
    <mergeCell ref="E119:I119"/>
    <mergeCell ref="C120:D120"/>
    <mergeCell ref="A118:B122"/>
    <mergeCell ref="A112:B116"/>
    <mergeCell ref="C122:D122"/>
    <mergeCell ref="F122:G122"/>
    <mergeCell ref="E113:I113"/>
    <mergeCell ref="C132:D132"/>
    <mergeCell ref="C50:E50"/>
    <mergeCell ref="A67:I67"/>
    <mergeCell ref="A68:C69"/>
    <mergeCell ref="D68:D69"/>
    <mergeCell ref="F68:G68"/>
    <mergeCell ref="F69:G69"/>
    <mergeCell ref="A70:B70"/>
    <mergeCell ref="C70:D70"/>
    <mergeCell ref="F70:G70"/>
    <mergeCell ref="A51:I51"/>
    <mergeCell ref="A52:C53"/>
    <mergeCell ref="D52:D53"/>
    <mergeCell ref="F52:G52"/>
    <mergeCell ref="F53:G53"/>
    <mergeCell ref="A54:B54"/>
    <mergeCell ref="C54:D54"/>
    <mergeCell ref="F54:G54"/>
    <mergeCell ref="A55:B55"/>
    <mergeCell ref="C55:D55"/>
    <mergeCell ref="F55:G66"/>
    <mergeCell ref="H55:I66"/>
    <mergeCell ref="A56:B56"/>
    <mergeCell ref="C56:D56"/>
    <mergeCell ref="A57:B57"/>
    <mergeCell ref="H95:I95"/>
    <mergeCell ref="A95:F95"/>
    <mergeCell ref="A99:B99"/>
    <mergeCell ref="C99:D99"/>
    <mergeCell ref="A100:B100"/>
    <mergeCell ref="C100:D100"/>
    <mergeCell ref="F100:G100"/>
    <mergeCell ref="H83:I83"/>
    <mergeCell ref="A228:I228"/>
    <mergeCell ref="C184:D184"/>
    <mergeCell ref="F184:G184"/>
    <mergeCell ref="C185:D185"/>
    <mergeCell ref="F185:G185"/>
    <mergeCell ref="A182:B187"/>
    <mergeCell ref="C182:D182"/>
    <mergeCell ref="F182:G182"/>
    <mergeCell ref="C176:D176"/>
    <mergeCell ref="F176:G176"/>
    <mergeCell ref="C177:D177"/>
    <mergeCell ref="F177:G177"/>
    <mergeCell ref="C178:D178"/>
    <mergeCell ref="F178:G178"/>
    <mergeCell ref="A176:B180"/>
    <mergeCell ref="C186:D186"/>
    <mergeCell ref="A229:I229"/>
    <mergeCell ref="A230:I230"/>
    <mergeCell ref="A231:I231"/>
    <mergeCell ref="A232:I232"/>
    <mergeCell ref="A233:I233"/>
    <mergeCell ref="C234:D234"/>
    <mergeCell ref="E234:I234"/>
    <mergeCell ref="A102:B102"/>
    <mergeCell ref="C102:D102"/>
    <mergeCell ref="F102:G102"/>
    <mergeCell ref="A106:I106"/>
    <mergeCell ref="A150:B154"/>
    <mergeCell ref="A144:B148"/>
    <mergeCell ref="A137:B142"/>
    <mergeCell ref="A130:B135"/>
    <mergeCell ref="A156:B161"/>
    <mergeCell ref="F161:G161"/>
    <mergeCell ref="F116:G116"/>
    <mergeCell ref="A111:I111"/>
    <mergeCell ref="C112:D112"/>
    <mergeCell ref="E120:I120"/>
    <mergeCell ref="C121:D121"/>
    <mergeCell ref="F121:G121"/>
    <mergeCell ref="F183:G183"/>
    <mergeCell ref="C238:D238"/>
    <mergeCell ref="F238:G238"/>
    <mergeCell ref="A239:I239"/>
    <mergeCell ref="C240:D240"/>
    <mergeCell ref="E240:I240"/>
    <mergeCell ref="C241:D241"/>
    <mergeCell ref="E241:I241"/>
    <mergeCell ref="A234:B238"/>
    <mergeCell ref="C235:D235"/>
    <mergeCell ref="E235:I235"/>
    <mergeCell ref="C236:D236"/>
    <mergeCell ref="E236:I236"/>
    <mergeCell ref="C237:D237"/>
    <mergeCell ref="F237:G237"/>
    <mergeCell ref="A245:I245"/>
    <mergeCell ref="C246:D246"/>
    <mergeCell ref="E246:I246"/>
    <mergeCell ref="C247:D247"/>
    <mergeCell ref="E247:I247"/>
    <mergeCell ref="C248:D248"/>
    <mergeCell ref="E248:I248"/>
    <mergeCell ref="C242:D242"/>
    <mergeCell ref="E242:I242"/>
    <mergeCell ref="C243:D243"/>
    <mergeCell ref="F243:G243"/>
    <mergeCell ref="C244:D244"/>
    <mergeCell ref="F244:G244"/>
    <mergeCell ref="A240:B244"/>
    <mergeCell ref="A258:B262"/>
    <mergeCell ref="C256:D256"/>
    <mergeCell ref="F256:G256"/>
    <mergeCell ref="C254:D254"/>
    <mergeCell ref="F254:G254"/>
    <mergeCell ref="C253:D253"/>
    <mergeCell ref="E253:I253"/>
    <mergeCell ref="C255:D255"/>
    <mergeCell ref="E255:I255"/>
    <mergeCell ref="A252:B256"/>
    <mergeCell ref="C252:D252"/>
    <mergeCell ref="E252:I252"/>
    <mergeCell ref="A277:B282"/>
    <mergeCell ref="A276:I276"/>
    <mergeCell ref="C277:D277"/>
    <mergeCell ref="F277:G277"/>
    <mergeCell ref="C278:D278"/>
    <mergeCell ref="F278:G278"/>
    <mergeCell ref="C279:D279"/>
    <mergeCell ref="F279:G279"/>
    <mergeCell ref="C280:D280"/>
    <mergeCell ref="C189:D189"/>
    <mergeCell ref="F189:G189"/>
    <mergeCell ref="C183:D183"/>
    <mergeCell ref="C273:D273"/>
    <mergeCell ref="F273:G273"/>
    <mergeCell ref="C274:D274"/>
    <mergeCell ref="F274:G274"/>
    <mergeCell ref="C275:D275"/>
    <mergeCell ref="F275:G275"/>
    <mergeCell ref="A263:I263"/>
    <mergeCell ref="C264:D264"/>
    <mergeCell ref="F264:G264"/>
    <mergeCell ref="C265:D265"/>
    <mergeCell ref="F265:G265"/>
    <mergeCell ref="C266:D266"/>
    <mergeCell ref="F266:G266"/>
    <mergeCell ref="C261:D261"/>
    <mergeCell ref="F261:G261"/>
    <mergeCell ref="C262:D262"/>
    <mergeCell ref="F262:G262"/>
    <mergeCell ref="A257:I257"/>
    <mergeCell ref="C258:D258"/>
    <mergeCell ref="E258:I258"/>
    <mergeCell ref="C259:D259"/>
    <mergeCell ref="E197:I197"/>
    <mergeCell ref="C190:D190"/>
    <mergeCell ref="F190:G190"/>
    <mergeCell ref="C191:D191"/>
    <mergeCell ref="E191:I191"/>
    <mergeCell ref="C192:D192"/>
    <mergeCell ref="F192:G192"/>
    <mergeCell ref="A169:B174"/>
    <mergeCell ref="C199:D199"/>
    <mergeCell ref="F199:G199"/>
    <mergeCell ref="C193:D193"/>
    <mergeCell ref="E193:I193"/>
    <mergeCell ref="A194:I194"/>
    <mergeCell ref="C195:D195"/>
    <mergeCell ref="F195:G195"/>
    <mergeCell ref="F196:G196"/>
    <mergeCell ref="C196:D196"/>
    <mergeCell ref="C197:D197"/>
    <mergeCell ref="A189:B193"/>
    <mergeCell ref="A195:B199"/>
    <mergeCell ref="F186:G186"/>
    <mergeCell ref="C187:D187"/>
    <mergeCell ref="E187:I187"/>
    <mergeCell ref="A188:I188"/>
    <mergeCell ref="A212:I212"/>
    <mergeCell ref="C213:D213"/>
    <mergeCell ref="F213:G213"/>
    <mergeCell ref="C214:D214"/>
    <mergeCell ref="F214:G214"/>
    <mergeCell ref="C215:D215"/>
    <mergeCell ref="E215:I215"/>
    <mergeCell ref="C209:D209"/>
    <mergeCell ref="E209:I209"/>
    <mergeCell ref="C210:D210"/>
    <mergeCell ref="F210:G210"/>
    <mergeCell ref="F282:G282"/>
    <mergeCell ref="E280:I280"/>
    <mergeCell ref="E259:I259"/>
    <mergeCell ref="C260:D260"/>
    <mergeCell ref="F260:G260"/>
    <mergeCell ref="C249:D249"/>
    <mergeCell ref="F249:G249"/>
    <mergeCell ref="C250:D250"/>
    <mergeCell ref="F250:G250"/>
    <mergeCell ref="A251:I251"/>
    <mergeCell ref="A246:B250"/>
    <mergeCell ref="A270:B275"/>
    <mergeCell ref="A269:I269"/>
    <mergeCell ref="C270:D270"/>
    <mergeCell ref="F270:G270"/>
    <mergeCell ref="C271:D271"/>
    <mergeCell ref="F271:G271"/>
    <mergeCell ref="C272:D272"/>
    <mergeCell ref="F272:G272"/>
    <mergeCell ref="F267:G267"/>
    <mergeCell ref="C268:D268"/>
    <mergeCell ref="F268:G268"/>
    <mergeCell ref="A264:B268"/>
    <mergeCell ref="C267:D267"/>
    <mergeCell ref="J4:K4"/>
    <mergeCell ref="C23:I23"/>
    <mergeCell ref="A290:I290"/>
    <mergeCell ref="A291:B296"/>
    <mergeCell ref="C291:D291"/>
    <mergeCell ref="F291:G291"/>
    <mergeCell ref="C292:D292"/>
    <mergeCell ref="F292:G292"/>
    <mergeCell ref="C293:D293"/>
    <mergeCell ref="F293:G293"/>
    <mergeCell ref="C294:D294"/>
    <mergeCell ref="E294:I294"/>
    <mergeCell ref="C295:D295"/>
    <mergeCell ref="F295:G295"/>
    <mergeCell ref="C296:D296"/>
    <mergeCell ref="F296:G296"/>
    <mergeCell ref="A283:I283"/>
    <mergeCell ref="A284:B289"/>
    <mergeCell ref="C284:D284"/>
    <mergeCell ref="F284:G284"/>
    <mergeCell ref="C285:D285"/>
    <mergeCell ref="F285:G285"/>
    <mergeCell ref="C286:D286"/>
    <mergeCell ref="F286:G286"/>
    <mergeCell ref="C57:D57"/>
    <mergeCell ref="A58:B58"/>
    <mergeCell ref="C58:D58"/>
    <mergeCell ref="A59:B59"/>
    <mergeCell ref="C59:D59"/>
    <mergeCell ref="A60:B60"/>
    <mergeCell ref="C60:D60"/>
    <mergeCell ref="A61:B61"/>
    <mergeCell ref="C61:D61"/>
    <mergeCell ref="A444:I444"/>
    <mergeCell ref="A62:B62"/>
    <mergeCell ref="C62:D62"/>
    <mergeCell ref="A63:B63"/>
    <mergeCell ref="C63:D63"/>
    <mergeCell ref="A64:B64"/>
    <mergeCell ref="C64:D64"/>
    <mergeCell ref="A65:B65"/>
    <mergeCell ref="C65:D65"/>
    <mergeCell ref="A66:B66"/>
    <mergeCell ref="C66:D66"/>
    <mergeCell ref="C287:D287"/>
    <mergeCell ref="F287:G287"/>
    <mergeCell ref="C288:D288"/>
    <mergeCell ref="F288:G288"/>
    <mergeCell ref="C289:D289"/>
    <mergeCell ref="F289:G289"/>
    <mergeCell ref="C216:D216"/>
    <mergeCell ref="F216:G216"/>
    <mergeCell ref="C217:D217"/>
    <mergeCell ref="F217:G217"/>
    <mergeCell ref="C281:D281"/>
    <mergeCell ref="F281:G281"/>
    <mergeCell ref="C282:D282"/>
  </mergeCells>
  <phoneticPr fontId="12" type="noConversion"/>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2" scale="65" fitToHeight="0" orientation="portrait" r:id="rId2"/>
  <headerFooter>
    <oddHeader>&amp;C&amp;25&amp;G</oddHeader>
    <oddFooter>&amp;L&amp;"Times New Roman,Bold"&amp;16Ref No: &amp;F&amp;R&amp;"Times New Roman,Bold"&amp;16&amp;P</oddFooter>
  </headerFooter>
  <rowBreaks count="3" manualBreakCount="3">
    <brk id="50" max="16383" man="1"/>
    <brk id="346" max="16383" man="1"/>
    <brk id="391"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2025-07-04T10:51:29Z</cp:lastPrinted>
  <dcterms:created xsi:type="dcterms:W3CDTF">2010-11-23T11:42:48Z</dcterms:created>
  <dcterms:modified xsi:type="dcterms:W3CDTF">2025-07-04T10:52:52Z</dcterms:modified>
</cp:coreProperties>
</file>