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July 25\OLD\GHF\"/>
    </mc:Choice>
  </mc:AlternateContent>
  <xr:revisionPtr revIDLastSave="0" documentId="13_ncr:1_{46D76BCD-AE34-4885-B1BF-1ABC4DED434F}" xr6:coauthVersionLast="36" xr6:coauthVersionMax="36" xr10:uidLastSave="{00000000-0000-0000-0000-000000000000}"/>
  <bookViews>
    <workbookView xWindow="0" yWindow="0" windowWidth="20490" windowHeight="7125" xr2:uid="{00000000-000D-0000-FFFF-FFFF00000000}"/>
  </bookViews>
  <sheets>
    <sheet name="Report" sheetId="3" r:id="rId1"/>
  </sheets>
  <definedNames>
    <definedName name="_xlnm.Print_Area" localSheetId="0">Report!$A$1:$I$428</definedName>
  </definedNames>
  <calcPr calcId="191029"/>
</workbook>
</file>

<file path=xl/calcChain.xml><?xml version="1.0" encoding="utf-8"?>
<calcChain xmlns="http://schemas.openxmlformats.org/spreadsheetml/2006/main">
  <c r="J3" i="3" l="1"/>
  <c r="C59" i="3" l="1"/>
  <c r="C60" i="3" s="1"/>
  <c r="E10" i="3" l="1"/>
  <c r="C17" i="3"/>
  <c r="C61" i="3" l="1"/>
  <c r="M65" i="3"/>
  <c r="K63" i="3"/>
  <c r="K62" i="3"/>
  <c r="K61" i="3"/>
  <c r="I54" i="3"/>
  <c r="E66" i="3" l="1"/>
  <c r="K58" i="3"/>
  <c r="K59" i="3" s="1"/>
  <c r="K64" i="3" s="1"/>
  <c r="K57" i="3"/>
  <c r="C56" i="3" s="1"/>
  <c r="E65" i="3"/>
  <c r="E61" i="3"/>
  <c r="K56" i="3"/>
  <c r="E64" i="3"/>
  <c r="E60" i="3"/>
  <c r="E67" i="3"/>
  <c r="E63" i="3"/>
  <c r="E59" i="3"/>
  <c r="E62" i="3"/>
  <c r="E58" i="3"/>
  <c r="K55" i="3"/>
  <c r="K60" i="3" l="1"/>
  <c r="K65" i="3" s="1"/>
  <c r="C57" i="3" s="1"/>
  <c r="E57" i="3" s="1"/>
  <c r="E56" i="3"/>
  <c r="F56" i="3" l="1"/>
  <c r="J53" i="3" l="1"/>
  <c r="H56" i="3" s="1"/>
  <c r="F322" i="3"/>
  <c r="F324" i="3"/>
  <c r="I324" i="3" s="1"/>
  <c r="F330" i="3"/>
  <c r="I330" i="3" s="1"/>
  <c r="F329" i="3"/>
  <c r="I329" i="3" s="1"/>
  <c r="W328" i="3"/>
  <c r="W329" i="3" s="1"/>
  <c r="W330" i="3" s="1"/>
  <c r="V328" i="3"/>
  <c r="F327" i="3"/>
  <c r="I327" i="3" s="1"/>
  <c r="A327" i="3"/>
  <c r="F325" i="3"/>
  <c r="I325" i="3" s="1"/>
  <c r="W323" i="3"/>
  <c r="W324" i="3" s="1"/>
  <c r="W325" i="3" s="1"/>
  <c r="V323" i="3"/>
  <c r="F323" i="3"/>
  <c r="I323" i="3" s="1"/>
  <c r="I322" i="3"/>
  <c r="A322" i="3"/>
  <c r="F294" i="3"/>
  <c r="I294" i="3" s="1"/>
  <c r="F293" i="3"/>
  <c r="I293" i="3" s="1"/>
  <c r="L292" i="3"/>
  <c r="K292" i="3"/>
  <c r="F291" i="3"/>
  <c r="I291" i="3" s="1"/>
  <c r="F290" i="3"/>
  <c r="I290" i="3" s="1"/>
  <c r="F289" i="3"/>
  <c r="I289" i="3" s="1"/>
  <c r="A289" i="3"/>
  <c r="F287" i="3"/>
  <c r="I287" i="3" s="1"/>
  <c r="F286" i="3"/>
  <c r="I286" i="3" s="1"/>
  <c r="F285" i="3"/>
  <c r="I285" i="3" s="1"/>
  <c r="F284" i="3"/>
  <c r="I284" i="3" s="1"/>
  <c r="F283" i="3"/>
  <c r="I283" i="3" s="1"/>
  <c r="F282" i="3"/>
  <c r="I282" i="3" s="1"/>
  <c r="A282" i="3"/>
  <c r="F316" i="3"/>
  <c r="V322" i="3"/>
  <c r="V327" i="3"/>
  <c r="V282" i="3"/>
  <c r="W282" i="3"/>
  <c r="W322" i="3"/>
  <c r="W327" i="3"/>
  <c r="W289" i="3"/>
  <c r="V289" i="3"/>
  <c r="U323" i="3" l="1"/>
  <c r="U328" i="3"/>
  <c r="L293" i="3"/>
  <c r="U327" i="3"/>
  <c r="U322" i="3"/>
  <c r="V329" i="3"/>
  <c r="V324" i="3"/>
  <c r="U282" i="3"/>
  <c r="V283" i="3"/>
  <c r="W290" i="3"/>
  <c r="W291" i="3" s="1"/>
  <c r="W292" i="3" s="1"/>
  <c r="W293" i="3" s="1"/>
  <c r="W294" i="3" s="1"/>
  <c r="U289" i="3"/>
  <c r="V290" i="3"/>
  <c r="W283" i="3"/>
  <c r="W284" i="3" s="1"/>
  <c r="W285" i="3" s="1"/>
  <c r="W286" i="3" s="1"/>
  <c r="W287" i="3" s="1"/>
  <c r="E336" i="3"/>
  <c r="E335" i="3"/>
  <c r="E334" i="3"/>
  <c r="F320" i="3"/>
  <c r="I320" i="3" s="1"/>
  <c r="F319" i="3"/>
  <c r="I319" i="3" s="1"/>
  <c r="F318" i="3"/>
  <c r="I318" i="3" s="1"/>
  <c r="I316" i="3"/>
  <c r="A316" i="3"/>
  <c r="F314" i="3"/>
  <c r="I314" i="3" s="1"/>
  <c r="F313" i="3"/>
  <c r="I313" i="3" s="1"/>
  <c r="F312" i="3"/>
  <c r="I312" i="3" s="1"/>
  <c r="W311" i="3"/>
  <c r="W312" i="3" s="1"/>
  <c r="W313" i="3" s="1"/>
  <c r="W314" i="3" s="1"/>
  <c r="V311" i="3"/>
  <c r="V312" i="3" s="1"/>
  <c r="F311" i="3"/>
  <c r="I311" i="3" s="1"/>
  <c r="F310" i="3"/>
  <c r="I310" i="3" s="1"/>
  <c r="A310" i="3"/>
  <c r="F308" i="3"/>
  <c r="I308" i="3" s="1"/>
  <c r="F307" i="3"/>
  <c r="I307" i="3" s="1"/>
  <c r="F306" i="3"/>
  <c r="I306" i="3" s="1"/>
  <c r="F304" i="3"/>
  <c r="I304" i="3" s="1"/>
  <c r="F303" i="3"/>
  <c r="I303" i="3" s="1"/>
  <c r="A303" i="3"/>
  <c r="F301" i="3"/>
  <c r="I301" i="3" s="1"/>
  <c r="F300" i="3"/>
  <c r="I300" i="3" s="1"/>
  <c r="F299" i="3"/>
  <c r="I299" i="3" s="1"/>
  <c r="F298" i="3"/>
  <c r="I298" i="3" s="1"/>
  <c r="F297" i="3"/>
  <c r="I297" i="3" s="1"/>
  <c r="F296" i="3"/>
  <c r="I296" i="3" s="1"/>
  <c r="A296" i="3"/>
  <c r="F280" i="3"/>
  <c r="I280" i="3" s="1"/>
  <c r="F279" i="3"/>
  <c r="I279" i="3" s="1"/>
  <c r="L278" i="3"/>
  <c r="K278" i="3"/>
  <c r="F277" i="3"/>
  <c r="I277" i="3" s="1"/>
  <c r="F276" i="3"/>
  <c r="I276" i="3" s="1"/>
  <c r="F275" i="3"/>
  <c r="I275" i="3" s="1"/>
  <c r="A275" i="3"/>
  <c r="F273" i="3"/>
  <c r="I273" i="3" s="1"/>
  <c r="F272" i="3"/>
  <c r="I272" i="3" s="1"/>
  <c r="F271" i="3"/>
  <c r="I271" i="3" s="1"/>
  <c r="F270" i="3"/>
  <c r="I270" i="3" s="1"/>
  <c r="F269" i="3"/>
  <c r="I269" i="3" s="1"/>
  <c r="F268" i="3"/>
  <c r="I268" i="3" s="1"/>
  <c r="A268" i="3"/>
  <c r="F266" i="3"/>
  <c r="I266" i="3" s="1"/>
  <c r="F265" i="3"/>
  <c r="I265" i="3" s="1"/>
  <c r="F263" i="3"/>
  <c r="I263" i="3" s="1"/>
  <c r="F262" i="3"/>
  <c r="I262" i="3" s="1"/>
  <c r="F261" i="3"/>
  <c r="I261" i="3" s="1"/>
  <c r="A261" i="3"/>
  <c r="F259" i="3"/>
  <c r="I259" i="3" s="1"/>
  <c r="F258" i="3"/>
  <c r="I258" i="3" s="1"/>
  <c r="F257" i="3"/>
  <c r="I257" i="3" s="1"/>
  <c r="F256" i="3"/>
  <c r="I256" i="3" s="1"/>
  <c r="F255" i="3"/>
  <c r="I255" i="3" s="1"/>
  <c r="F254" i="3"/>
  <c r="I254" i="3" s="1"/>
  <c r="A254" i="3"/>
  <c r="F252" i="3"/>
  <c r="I252" i="3" s="1"/>
  <c r="F251" i="3"/>
  <c r="I251" i="3" s="1"/>
  <c r="F250" i="3"/>
  <c r="I250" i="3" s="1"/>
  <c r="F249" i="3"/>
  <c r="I249" i="3" s="1"/>
  <c r="F248" i="3"/>
  <c r="I248" i="3" s="1"/>
  <c r="A248" i="3"/>
  <c r="F246" i="3"/>
  <c r="I246" i="3" s="1"/>
  <c r="F245" i="3"/>
  <c r="I245" i="3" s="1"/>
  <c r="F244" i="3"/>
  <c r="I244" i="3" s="1"/>
  <c r="A242" i="3"/>
  <c r="F240" i="3"/>
  <c r="I240" i="3" s="1"/>
  <c r="I239" i="3"/>
  <c r="F238" i="3"/>
  <c r="I238" i="3" s="1"/>
  <c r="A236" i="3"/>
  <c r="J234" i="3"/>
  <c r="F234" i="3"/>
  <c r="I234" i="3" s="1"/>
  <c r="F233" i="3"/>
  <c r="I233" i="3" s="1"/>
  <c r="I232" i="3"/>
  <c r="I231" i="3"/>
  <c r="A230" i="3"/>
  <c r="F228" i="3"/>
  <c r="I228" i="3" s="1"/>
  <c r="F227" i="3"/>
  <c r="I226" i="3"/>
  <c r="I225" i="3"/>
  <c r="A224" i="3"/>
  <c r="F222" i="3"/>
  <c r="I222" i="3" s="1"/>
  <c r="F221" i="3"/>
  <c r="I220" i="3"/>
  <c r="I219" i="3"/>
  <c r="A218" i="3"/>
  <c r="W211" i="3"/>
  <c r="V211" i="3"/>
  <c r="W209" i="3"/>
  <c r="W210" i="3" s="1"/>
  <c r="V209" i="3"/>
  <c r="F208" i="3"/>
  <c r="I208" i="3" s="1"/>
  <c r="A208" i="3"/>
  <c r="W206" i="3"/>
  <c r="V206" i="3"/>
  <c r="F206" i="3"/>
  <c r="I206" i="3" s="1"/>
  <c r="F205" i="3"/>
  <c r="I205" i="3" s="1"/>
  <c r="W204" i="3"/>
  <c r="W205" i="3" s="1"/>
  <c r="V204" i="3"/>
  <c r="V205" i="3" s="1"/>
  <c r="F204" i="3"/>
  <c r="I204" i="3" s="1"/>
  <c r="F203" i="3"/>
  <c r="I203" i="3" s="1"/>
  <c r="A203" i="3"/>
  <c r="F201" i="3"/>
  <c r="I201" i="3" s="1"/>
  <c r="F200" i="3"/>
  <c r="I200" i="3" s="1"/>
  <c r="F199" i="3"/>
  <c r="I199" i="3" s="1"/>
  <c r="W198" i="3"/>
  <c r="W199" i="3" s="1"/>
  <c r="W200" i="3" s="1"/>
  <c r="W201" i="3" s="1"/>
  <c r="V198" i="3"/>
  <c r="V199" i="3" s="1"/>
  <c r="V200" i="3" s="1"/>
  <c r="F198" i="3"/>
  <c r="I198" i="3" s="1"/>
  <c r="F197" i="3"/>
  <c r="I197" i="3" s="1"/>
  <c r="A197" i="3"/>
  <c r="F195" i="3"/>
  <c r="I195" i="3" s="1"/>
  <c r="F194" i="3"/>
  <c r="I194" i="3" s="1"/>
  <c r="F193" i="3"/>
  <c r="I193" i="3" s="1"/>
  <c r="W192" i="3"/>
  <c r="W193" i="3" s="1"/>
  <c r="W194" i="3" s="1"/>
  <c r="W195" i="3" s="1"/>
  <c r="V192" i="3"/>
  <c r="F192" i="3"/>
  <c r="I192" i="3" s="1"/>
  <c r="F191" i="3"/>
  <c r="I191" i="3" s="1"/>
  <c r="F190" i="3"/>
  <c r="I190" i="3" s="1"/>
  <c r="A190" i="3"/>
  <c r="F188" i="3"/>
  <c r="I188" i="3" s="1"/>
  <c r="W187" i="3"/>
  <c r="V187" i="3"/>
  <c r="V188" i="3" s="1"/>
  <c r="F187" i="3"/>
  <c r="I187" i="3" s="1"/>
  <c r="W186" i="3"/>
  <c r="V186" i="3"/>
  <c r="F186" i="3"/>
  <c r="I186" i="3" s="1"/>
  <c r="F185" i="3"/>
  <c r="I185" i="3" s="1"/>
  <c r="A185" i="3"/>
  <c r="F183" i="3"/>
  <c r="I183" i="3" s="1"/>
  <c r="F182" i="3"/>
  <c r="I182" i="3" s="1"/>
  <c r="F181" i="3"/>
  <c r="I181" i="3" s="1"/>
  <c r="W180" i="3"/>
  <c r="W181" i="3" s="1"/>
  <c r="W182" i="3" s="1"/>
  <c r="W183" i="3" s="1"/>
  <c r="V180" i="3"/>
  <c r="V181" i="3" s="1"/>
  <c r="F180" i="3"/>
  <c r="I180" i="3" s="1"/>
  <c r="F179" i="3"/>
  <c r="I179" i="3" s="1"/>
  <c r="A179" i="3"/>
  <c r="F177" i="3"/>
  <c r="I177" i="3" s="1"/>
  <c r="F176" i="3"/>
  <c r="I176" i="3" s="1"/>
  <c r="F175" i="3"/>
  <c r="I175" i="3" s="1"/>
  <c r="W174" i="3"/>
  <c r="W175" i="3" s="1"/>
  <c r="W176" i="3" s="1"/>
  <c r="W177" i="3" s="1"/>
  <c r="V174" i="3"/>
  <c r="V175" i="3" s="1"/>
  <c r="V176" i="3" s="1"/>
  <c r="F174" i="3"/>
  <c r="I174" i="3" s="1"/>
  <c r="F173" i="3"/>
  <c r="I173" i="3" s="1"/>
  <c r="A173" i="3"/>
  <c r="F170" i="3"/>
  <c r="I170" i="3" s="1"/>
  <c r="F169" i="3"/>
  <c r="I169" i="3" s="1"/>
  <c r="F168" i="3"/>
  <c r="I168" i="3" s="1"/>
  <c r="F167" i="3"/>
  <c r="I167" i="3" s="1"/>
  <c r="F166" i="3"/>
  <c r="I166" i="3" s="1"/>
  <c r="A166" i="3"/>
  <c r="F164" i="3"/>
  <c r="I164" i="3" s="1"/>
  <c r="F163" i="3"/>
  <c r="I163" i="3" s="1"/>
  <c r="F162" i="3"/>
  <c r="I162" i="3" s="1"/>
  <c r="W161" i="3"/>
  <c r="W162" i="3" s="1"/>
  <c r="W163" i="3" s="1"/>
  <c r="W164" i="3" s="1"/>
  <c r="V161" i="3"/>
  <c r="F161" i="3"/>
  <c r="I161" i="3" s="1"/>
  <c r="F160" i="3"/>
  <c r="I160" i="3" s="1"/>
  <c r="A160" i="3"/>
  <c r="F158" i="3"/>
  <c r="I158" i="3" s="1"/>
  <c r="F157" i="3"/>
  <c r="I157" i="3" s="1"/>
  <c r="F156" i="3"/>
  <c r="I156" i="3" s="1"/>
  <c r="F155" i="3"/>
  <c r="I155" i="3" s="1"/>
  <c r="F154" i="3"/>
  <c r="I154" i="3" s="1"/>
  <c r="F153" i="3"/>
  <c r="I153" i="3" s="1"/>
  <c r="A153" i="3"/>
  <c r="F151" i="3"/>
  <c r="I151" i="3" s="1"/>
  <c r="W150" i="3"/>
  <c r="W151" i="3" s="1"/>
  <c r="V150" i="3"/>
  <c r="V151" i="3" s="1"/>
  <c r="F150" i="3"/>
  <c r="I150" i="3" s="1"/>
  <c r="F149" i="3"/>
  <c r="I149" i="3" s="1"/>
  <c r="F148" i="3"/>
  <c r="I148" i="3" s="1"/>
  <c r="F147" i="3"/>
  <c r="I147" i="3" s="1"/>
  <c r="A147" i="3"/>
  <c r="F145" i="3"/>
  <c r="I145" i="3" s="1"/>
  <c r="F144" i="3"/>
  <c r="I144" i="3" s="1"/>
  <c r="F143" i="3"/>
  <c r="I143" i="3" s="1"/>
  <c r="F142" i="3"/>
  <c r="I142" i="3" s="1"/>
  <c r="F141" i="3"/>
  <c r="I141" i="3" s="1"/>
  <c r="F140" i="3"/>
  <c r="I140" i="3" s="1"/>
  <c r="A140" i="3"/>
  <c r="F138" i="3"/>
  <c r="I138" i="3" s="1"/>
  <c r="F137" i="3"/>
  <c r="I137" i="3" s="1"/>
  <c r="F136" i="3"/>
  <c r="I136" i="3" s="1"/>
  <c r="W135" i="3"/>
  <c r="W136" i="3" s="1"/>
  <c r="W137" i="3" s="1"/>
  <c r="W138" i="3" s="1"/>
  <c r="V135" i="3"/>
  <c r="V136" i="3" s="1"/>
  <c r="V137" i="3" s="1"/>
  <c r="F135" i="3"/>
  <c r="I135" i="3" s="1"/>
  <c r="F134" i="3"/>
  <c r="I134" i="3" s="1"/>
  <c r="A134" i="3"/>
  <c r="F132" i="3"/>
  <c r="I132" i="3" s="1"/>
  <c r="F131" i="3"/>
  <c r="I131" i="3" s="1"/>
  <c r="F130" i="3"/>
  <c r="I130" i="3" s="1"/>
  <c r="C130" i="3"/>
  <c r="C131" i="3" s="1"/>
  <c r="C132" i="3" s="1"/>
  <c r="I129" i="3"/>
  <c r="F128" i="3"/>
  <c r="A128" i="3"/>
  <c r="F126" i="3"/>
  <c r="I126" i="3" s="1"/>
  <c r="F125" i="3"/>
  <c r="I125" i="3" s="1"/>
  <c r="F124" i="3"/>
  <c r="I124" i="3" s="1"/>
  <c r="I123" i="3"/>
  <c r="C123" i="3"/>
  <c r="C124" i="3" s="1"/>
  <c r="C125" i="3" s="1"/>
  <c r="C126" i="3" s="1"/>
  <c r="I122" i="3"/>
  <c r="I121" i="3"/>
  <c r="A121" i="3"/>
  <c r="F119" i="3"/>
  <c r="J119" i="3" s="1"/>
  <c r="F118" i="3"/>
  <c r="J118" i="3" s="1"/>
  <c r="I117" i="3"/>
  <c r="A114" i="3"/>
  <c r="F112" i="3"/>
  <c r="F111" i="3"/>
  <c r="I111" i="3" s="1"/>
  <c r="I110" i="3"/>
  <c r="I109" i="3"/>
  <c r="A108" i="3"/>
  <c r="F106" i="3"/>
  <c r="I106" i="3" s="1"/>
  <c r="F105" i="3"/>
  <c r="I105" i="3" s="1"/>
  <c r="I104" i="3"/>
  <c r="I103" i="3"/>
  <c r="A102" i="3"/>
  <c r="F100" i="3"/>
  <c r="I100" i="3" s="1"/>
  <c r="F99" i="3"/>
  <c r="I98" i="3"/>
  <c r="I97" i="3"/>
  <c r="A96" i="3"/>
  <c r="H80" i="3"/>
  <c r="H79" i="3"/>
  <c r="H81" i="3" s="1"/>
  <c r="J20" i="3"/>
  <c r="J19" i="3"/>
  <c r="I4" i="3"/>
  <c r="V310" i="3"/>
  <c r="W134" i="3"/>
  <c r="V296" i="3"/>
  <c r="W310" i="3"/>
  <c r="W254" i="3"/>
  <c r="W147" i="3"/>
  <c r="W179" i="3"/>
  <c r="V303" i="3"/>
  <c r="V248" i="3"/>
  <c r="W160" i="3"/>
  <c r="V197" i="3"/>
  <c r="W173" i="3"/>
  <c r="V190" i="3"/>
  <c r="W248" i="3"/>
  <c r="V173" i="3"/>
  <c r="V134" i="3"/>
  <c r="W185" i="3"/>
  <c r="V254" i="3"/>
  <c r="W153" i="3"/>
  <c r="W275" i="3"/>
  <c r="V153" i="3"/>
  <c r="V203" i="3"/>
  <c r="W140" i="3"/>
  <c r="W316" i="3"/>
  <c r="W268" i="3"/>
  <c r="V261" i="3"/>
  <c r="V316" i="3"/>
  <c r="V147" i="3"/>
  <c r="W197" i="3"/>
  <c r="V268" i="3"/>
  <c r="W296" i="3"/>
  <c r="V179" i="3"/>
  <c r="W166" i="3"/>
  <c r="V185" i="3"/>
  <c r="W203" i="3"/>
  <c r="W208" i="3"/>
  <c r="W303" i="3"/>
  <c r="V140" i="3"/>
  <c r="V160" i="3"/>
  <c r="V208" i="3"/>
  <c r="W261" i="3"/>
  <c r="V166" i="3"/>
  <c r="W190" i="3"/>
  <c r="V275" i="3"/>
  <c r="L279" i="3" l="1"/>
  <c r="U186" i="3"/>
  <c r="U206" i="3"/>
  <c r="U187" i="3"/>
  <c r="I221" i="3"/>
  <c r="F85" i="3"/>
  <c r="U209" i="3"/>
  <c r="H85" i="3"/>
  <c r="H84" i="3"/>
  <c r="U329" i="3"/>
  <c r="U324" i="3"/>
  <c r="U151" i="3"/>
  <c r="U192" i="3"/>
  <c r="V210" i="3"/>
  <c r="U210" i="3" s="1"/>
  <c r="I119" i="3"/>
  <c r="I99" i="3"/>
  <c r="V284" i="3"/>
  <c r="U283" i="3"/>
  <c r="V291" i="3"/>
  <c r="U290" i="3"/>
  <c r="J21" i="3"/>
  <c r="U135" i="3"/>
  <c r="U150" i="3"/>
  <c r="U180" i="3"/>
  <c r="U200" i="3"/>
  <c r="U211" i="3"/>
  <c r="U176" i="3"/>
  <c r="W188" i="3"/>
  <c r="U188" i="3" s="1"/>
  <c r="F84" i="3"/>
  <c r="V193" i="3"/>
  <c r="U193" i="3" s="1"/>
  <c r="W167" i="3"/>
  <c r="W168" i="3" s="1"/>
  <c r="W169" i="3" s="1"/>
  <c r="W170" i="3" s="1"/>
  <c r="W171" i="3" s="1"/>
  <c r="U153" i="3"/>
  <c r="V154" i="3"/>
  <c r="W141" i="3"/>
  <c r="W142" i="3" s="1"/>
  <c r="W143" i="3" s="1"/>
  <c r="W144" i="3" s="1"/>
  <c r="W145" i="3" s="1"/>
  <c r="W269" i="3"/>
  <c r="W270" i="3" s="1"/>
  <c r="W271" i="3" s="1"/>
  <c r="W272" i="3" s="1"/>
  <c r="W273" i="3" s="1"/>
  <c r="U134" i="3"/>
  <c r="W154" i="3"/>
  <c r="W155" i="3" s="1"/>
  <c r="W156" i="3" s="1"/>
  <c r="W157" i="3" s="1"/>
  <c r="W158" i="3" s="1"/>
  <c r="U316" i="3"/>
  <c r="V148" i="3"/>
  <c r="U147" i="3"/>
  <c r="U173" i="3"/>
  <c r="V249" i="3"/>
  <c r="U248" i="3"/>
  <c r="U140" i="3"/>
  <c r="V141" i="3"/>
  <c r="W148" i="3"/>
  <c r="W149" i="3" s="1"/>
  <c r="U160" i="3"/>
  <c r="U166" i="3"/>
  <c r="V167" i="3"/>
  <c r="U185" i="3"/>
  <c r="V191" i="3"/>
  <c r="U190" i="3"/>
  <c r="U197" i="3"/>
  <c r="W255" i="3"/>
  <c r="W256" i="3" s="1"/>
  <c r="W257" i="3" s="1"/>
  <c r="W258" i="3" s="1"/>
  <c r="W259" i="3" s="1"/>
  <c r="V304" i="3"/>
  <c r="U303" i="3"/>
  <c r="W317" i="3"/>
  <c r="W318" i="3" s="1"/>
  <c r="W319" i="3" s="1"/>
  <c r="W320" i="3" s="1"/>
  <c r="U179" i="3"/>
  <c r="W191" i="3"/>
  <c r="U203" i="3"/>
  <c r="W249" i="3"/>
  <c r="W250" i="3" s="1"/>
  <c r="W251" i="3" s="1"/>
  <c r="W252" i="3" s="1"/>
  <c r="V262" i="3"/>
  <c r="U261" i="3"/>
  <c r="V276" i="3"/>
  <c r="U275" i="3"/>
  <c r="V297" i="3"/>
  <c r="U296" i="3"/>
  <c r="W304" i="3"/>
  <c r="W305" i="3" s="1"/>
  <c r="W306" i="3" s="1"/>
  <c r="W307" i="3" s="1"/>
  <c r="W308" i="3" s="1"/>
  <c r="U310" i="3"/>
  <c r="U208" i="3"/>
  <c r="U254" i="3"/>
  <c r="V255" i="3"/>
  <c r="W262" i="3"/>
  <c r="W263" i="3" s="1"/>
  <c r="W264" i="3" s="1"/>
  <c r="W265" i="3" s="1"/>
  <c r="W266" i="3" s="1"/>
  <c r="U268" i="3"/>
  <c r="V269" i="3"/>
  <c r="W276" i="3"/>
  <c r="W277" i="3" s="1"/>
  <c r="W278" i="3" s="1"/>
  <c r="W279" i="3" s="1"/>
  <c r="W280" i="3" s="1"/>
  <c r="W297" i="3"/>
  <c r="W298" i="3" s="1"/>
  <c r="W299" i="3" s="1"/>
  <c r="W300" i="3" s="1"/>
  <c r="W301" i="3" s="1"/>
  <c r="I112" i="3"/>
  <c r="I118" i="3"/>
  <c r="J128" i="3"/>
  <c r="I128" i="3"/>
  <c r="U136" i="3"/>
  <c r="U137" i="3"/>
  <c r="V138" i="3"/>
  <c r="U138" i="3" s="1"/>
  <c r="U181" i="3"/>
  <c r="V182" i="3"/>
  <c r="U161" i="3"/>
  <c r="V162" i="3"/>
  <c r="U199" i="3"/>
  <c r="V177" i="3"/>
  <c r="U177" i="3" s="1"/>
  <c r="U205" i="3"/>
  <c r="I227" i="3"/>
  <c r="U312" i="3"/>
  <c r="V313" i="3"/>
  <c r="U174" i="3"/>
  <c r="V201" i="3"/>
  <c r="U201" i="3" s="1"/>
  <c r="U204" i="3"/>
  <c r="U311" i="3"/>
  <c r="U175" i="3"/>
  <c r="U198" i="3"/>
  <c r="F86" i="3" l="1"/>
  <c r="H86" i="3"/>
  <c r="I85" i="3"/>
  <c r="V194" i="3"/>
  <c r="V195" i="3" s="1"/>
  <c r="U195" i="3" s="1"/>
  <c r="V325" i="3"/>
  <c r="U325" i="3" s="1"/>
  <c r="V330" i="3"/>
  <c r="U330" i="3" s="1"/>
  <c r="I84" i="3"/>
  <c r="V285" i="3"/>
  <c r="U284" i="3"/>
  <c r="V292" i="3"/>
  <c r="U291" i="3"/>
  <c r="U191" i="3"/>
  <c r="V163" i="3"/>
  <c r="U162" i="3"/>
  <c r="U167" i="3"/>
  <c r="V168" i="3"/>
  <c r="U141" i="3"/>
  <c r="V142" i="3"/>
  <c r="U148" i="3"/>
  <c r="V149" i="3"/>
  <c r="U149" i="3" s="1"/>
  <c r="U297" i="3"/>
  <c r="V298" i="3"/>
  <c r="U262" i="3"/>
  <c r="V263" i="3"/>
  <c r="V250" i="3"/>
  <c r="U249" i="3"/>
  <c r="V314" i="3"/>
  <c r="U314" i="3" s="1"/>
  <c r="U313" i="3"/>
  <c r="V183" i="3"/>
  <c r="U183" i="3" s="1"/>
  <c r="U182" i="3"/>
  <c r="U255" i="3"/>
  <c r="V256" i="3"/>
  <c r="U276" i="3"/>
  <c r="V277" i="3"/>
  <c r="V155" i="3"/>
  <c r="U154" i="3"/>
  <c r="U269" i="3"/>
  <c r="V270" i="3"/>
  <c r="U304" i="3"/>
  <c r="V305" i="3"/>
  <c r="V317" i="3"/>
  <c r="U194" i="3" l="1"/>
  <c r="I86" i="3"/>
  <c r="U292" i="3"/>
  <c r="V293" i="3"/>
  <c r="U285" i="3"/>
  <c r="V286" i="3"/>
  <c r="V257" i="3"/>
  <c r="U256" i="3"/>
  <c r="U298" i="3"/>
  <c r="V299" i="3"/>
  <c r="V143" i="3"/>
  <c r="U142" i="3"/>
  <c r="V156" i="3"/>
  <c r="U155" i="3"/>
  <c r="U250" i="3"/>
  <c r="V251" i="3"/>
  <c r="V164" i="3"/>
  <c r="U164" i="3" s="1"/>
  <c r="U163" i="3"/>
  <c r="V271" i="3"/>
  <c r="U270" i="3"/>
  <c r="U277" i="3"/>
  <c r="V278" i="3"/>
  <c r="V264" i="3"/>
  <c r="U263" i="3"/>
  <c r="V169" i="3"/>
  <c r="U168" i="3"/>
  <c r="U317" i="3"/>
  <c r="V318" i="3"/>
  <c r="V306" i="3"/>
  <c r="U305" i="3"/>
  <c r="U293" i="3" l="1"/>
  <c r="V294" i="3"/>
  <c r="U294" i="3" s="1"/>
  <c r="U286" i="3"/>
  <c r="V287" i="3"/>
  <c r="U287" i="3" s="1"/>
  <c r="V319" i="3"/>
  <c r="U318" i="3"/>
  <c r="U251" i="3"/>
  <c r="V252" i="3"/>
  <c r="U252" i="3" s="1"/>
  <c r="U264" i="3"/>
  <c r="V265" i="3"/>
  <c r="V272" i="3"/>
  <c r="U271" i="3"/>
  <c r="V144" i="3"/>
  <c r="U143" i="3"/>
  <c r="V258" i="3"/>
  <c r="U257" i="3"/>
  <c r="V279" i="3"/>
  <c r="U278" i="3"/>
  <c r="V300" i="3"/>
  <c r="U299" i="3"/>
  <c r="V170" i="3"/>
  <c r="U169" i="3"/>
  <c r="U156" i="3"/>
  <c r="V157" i="3"/>
  <c r="V307" i="3"/>
  <c r="U306" i="3"/>
  <c r="V301" i="3" l="1"/>
  <c r="U301" i="3" s="1"/>
  <c r="U300" i="3"/>
  <c r="U258" i="3"/>
  <c r="V259" i="3"/>
  <c r="U259" i="3" s="1"/>
  <c r="U272" i="3"/>
  <c r="V273" i="3"/>
  <c r="U273" i="3" s="1"/>
  <c r="U265" i="3"/>
  <c r="V266" i="3"/>
  <c r="U266" i="3" s="1"/>
  <c r="U157" i="3"/>
  <c r="V158" i="3"/>
  <c r="U158" i="3" s="1"/>
  <c r="U307" i="3"/>
  <c r="V308" i="3"/>
  <c r="U308" i="3" s="1"/>
  <c r="V171" i="3"/>
  <c r="U171" i="3" s="1"/>
  <c r="U170" i="3"/>
  <c r="U279" i="3"/>
  <c r="V280" i="3"/>
  <c r="U280" i="3" s="1"/>
  <c r="U144" i="3"/>
  <c r="V145" i="3"/>
  <c r="U145" i="3" s="1"/>
  <c r="V320" i="3"/>
  <c r="U320" i="3" s="1"/>
  <c r="U319" i="3"/>
</calcChain>
</file>

<file path=xl/sharedStrings.xml><?xml version="1.0" encoding="utf-8"?>
<sst xmlns="http://schemas.openxmlformats.org/spreadsheetml/2006/main" count="653" uniqueCount="331">
  <si>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</si>
  <si>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</si>
  <si>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</si>
  <si>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</si>
  <si>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</si>
  <si>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</si>
  <si>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</si>
  <si>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</si>
  <si>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</si>
  <si>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</si>
  <si>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</si>
  <si>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</si>
  <si>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</si>
  <si>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</si>
  <si>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</si>
  <si>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</si>
  <si>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</si>
  <si>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</si>
  <si>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</si>
  <si>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</si>
  <si>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</si>
  <si>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</si>
  <si>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</si>
  <si>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</si>
  <si>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</si>
  <si>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</si>
  <si>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</si>
  <si>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</si>
  <si>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</si>
  <si>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</si>
  <si>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</si>
  <si>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</si>
  <si>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</si>
  <si>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</si>
  <si>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</si>
  <si>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</si>
  <si>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</si>
  <si>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</si>
  <si>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</si>
  <si>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</si>
  <si>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</si>
  <si>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</si>
  <si>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</si>
  <si>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</si>
  <si>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</si>
  <si>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</si>
  <si>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</si>
  <si>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</si>
  <si>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</si>
  <si>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</si>
  <si>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</si>
  <si>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</si>
  <si>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</si>
  <si>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</si>
  <si>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</si>
  <si>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</si>
  <si>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</si>
  <si>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</si>
  <si>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</si>
  <si>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</si>
  <si>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</si>
  <si>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</si>
  <si>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</si>
  <si>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</si>
  <si>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</si>
  <si>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</si>
  <si>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</si>
  <si>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</si>
  <si>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</si>
  <si>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</si>
  <si>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</si>
  <si>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</si>
  <si>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</si>
  <si>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</si>
  <si>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</si>
  <si>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</si>
  <si>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</si>
  <si>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</si>
  <si>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</si>
  <si>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</si>
  <si>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</si>
  <si>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</si>
  <si>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</si>
  <si>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</si>
  <si>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</si>
  <si>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</si>
  <si>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</si>
  <si>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</si>
  <si>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</si>
  <si>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</si>
  <si>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</si>
  <si>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</si>
  <si>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</si>
  <si>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</si>
  <si>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</si>
  <si>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</si>
  <si>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</si>
  <si>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</si>
  <si>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</si>
  <si>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</si>
  <si>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</si>
  <si>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</si>
  <si>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</si>
  <si>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</si>
  <si>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</si>
  <si>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</si>
  <si>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</si>
  <si>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</si>
  <si>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</si>
  <si>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</si>
  <si>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</si>
  <si>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</si>
  <si>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</si>
  <si>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</si>
  <si>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</si>
  <si>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</si>
  <si>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</si>
  <si>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</si>
  <si>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</si>
  <si>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</si>
  <si>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</si>
  <si>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</si>
  <si>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</si>
  <si>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</si>
  <si>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</si>
  <si>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</si>
  <si>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</si>
  <si>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</si>
  <si>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</si>
  <si>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</si>
  <si>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</si>
  <si>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</si>
  <si>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</si>
  <si>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</si>
  <si>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</si>
  <si>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</si>
  <si>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</si>
  <si>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</si>
  <si>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</si>
  <si>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</si>
  <si>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</si>
  <si>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</si>
  <si>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</si>
  <si>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</si>
  <si>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</si>
  <si>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</si>
  <si>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</si>
  <si>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</si>
  <si>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</si>
  <si>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</si>
  <si>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</si>
  <si>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</si>
  <si>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</si>
  <si>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</si>
  <si>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</si>
  <si>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</si>
  <si>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</si>
  <si>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</si>
  <si>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</si>
  <si>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</si>
  <si>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</si>
  <si>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</si>
  <si>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</si>
  <si>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</si>
  <si>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</si>
  <si>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</si>
  <si>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</si>
  <si>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</si>
  <si>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</si>
  <si>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</si>
  <si>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</si>
  <si>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</si>
  <si>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</si>
  <si>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</si>
  <si>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</si>
  <si>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</si>
  <si>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</si>
  <si>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</si>
  <si>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</si>
  <si>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Total Saleable Area</t>
  </si>
  <si>
    <t>Total Carpet Area</t>
  </si>
  <si>
    <t>No. of Unit</t>
  </si>
  <si>
    <t>Building &amp; Wing</t>
  </si>
  <si>
    <t>Sale / Rehab</t>
  </si>
  <si>
    <t>Flats/ Shops/ Offices</t>
  </si>
  <si>
    <t>Rate of Flat Per Sq. Ft. 
(on Carpet area)</t>
  </si>
  <si>
    <t>Floor Rise Per Sq. Ft.
(on Carpet area)</t>
  </si>
  <si>
    <t>Date &amp; Time of Site Visit</t>
  </si>
  <si>
    <t xml:space="preserve">Mr.Vedamani (CRM) -2268328901.
</t>
  </si>
  <si>
    <t>Raymond Limited</t>
  </si>
  <si>
    <t>Raymond Realty, Building Name - The Mill, Street Name - Pokhran Road No 1, Locality - J K Gram, Land mark - J K Gram</t>
  </si>
  <si>
    <t>Raymond Realty</t>
  </si>
  <si>
    <t>Thane Municipal Corporation (TMC)</t>
  </si>
  <si>
    <t>Middle</t>
  </si>
  <si>
    <t xml:space="preserve">Residential </t>
  </si>
  <si>
    <t xml:space="preserve">HDFC Bank
IFSC Code - HDFC0000060
</t>
  </si>
  <si>
    <t>Tower A (A Wing)</t>
  </si>
  <si>
    <t>Tower A (Wing A)</t>
  </si>
  <si>
    <t>1st &amp; 2nd Basement Floor for Parking</t>
  </si>
  <si>
    <t>Ground Floor For Parking &amp; Amenities</t>
  </si>
  <si>
    <t>1st Podium Floor For Parking &amp; Amenities</t>
  </si>
  <si>
    <t>2nd &amp; 3rd Podium Floor For Parking</t>
  </si>
  <si>
    <t>4th Podium Floor For Residential, Parking &amp; Amenities</t>
  </si>
  <si>
    <t>Parking Area</t>
  </si>
  <si>
    <t>Society Office</t>
  </si>
  <si>
    <t>3BHK</t>
  </si>
  <si>
    <t>4P01</t>
  </si>
  <si>
    <t>4P02</t>
  </si>
  <si>
    <t>4P03</t>
  </si>
  <si>
    <t>4P04</t>
  </si>
  <si>
    <t>4P05</t>
  </si>
  <si>
    <t>5th Podium Floor For Residential, Parking &amp; Amenities</t>
  </si>
  <si>
    <t>5P01</t>
  </si>
  <si>
    <t>5P02</t>
  </si>
  <si>
    <t>5P03</t>
  </si>
  <si>
    <t>5P04</t>
  </si>
  <si>
    <t>5P05</t>
  </si>
  <si>
    <t xml:space="preserve">6th Podium Floor For Residential, Parking </t>
  </si>
  <si>
    <t>6P01</t>
  </si>
  <si>
    <t>6P02</t>
  </si>
  <si>
    <t>6P03</t>
  </si>
  <si>
    <t>6P04</t>
  </si>
  <si>
    <t>6P05</t>
  </si>
  <si>
    <t>Stilt / Podium Top Floor For Residential, Amenities &amp; Refuge Area</t>
  </si>
  <si>
    <t>S01</t>
  </si>
  <si>
    <t>S02</t>
  </si>
  <si>
    <t>S03</t>
  </si>
  <si>
    <t>S04</t>
  </si>
  <si>
    <t>S05</t>
  </si>
  <si>
    <t>S06</t>
  </si>
  <si>
    <t>Amenities</t>
  </si>
  <si>
    <t>Refuge Area</t>
  </si>
  <si>
    <t>4BHK</t>
  </si>
  <si>
    <t>Steam, Sauna &amp; Jacuzzi</t>
  </si>
  <si>
    <t>Power Gym</t>
  </si>
  <si>
    <t>Salon</t>
  </si>
  <si>
    <t>1st Floor For Residential &amp; Amenities</t>
  </si>
  <si>
    <t>2nd Floor For Residential</t>
  </si>
  <si>
    <t>Double Height</t>
  </si>
  <si>
    <t>Mr.Ajay Songare</t>
  </si>
  <si>
    <t>Flats</t>
  </si>
  <si>
    <t>Details of Flats in Buildini</t>
  </si>
  <si>
    <t>4.5 KM from Thane Railway Station
6.7 KM from Kalva Railway Station</t>
  </si>
  <si>
    <t>About 1KM from Smt. Sunitidevi Singhania School</t>
  </si>
  <si>
    <t xml:space="preserve">About 2.5 K form Jupiter Hospital </t>
  </si>
  <si>
    <t>1. Approx. 2.8 KM from DMart Kolshet Market.
2. Approx. 4 KM from Jambhli Market(Thane market).</t>
  </si>
  <si>
    <t xml:space="preserve">  </t>
  </si>
  <si>
    <t>21500 - 22500</t>
  </si>
  <si>
    <t>On Carpet area</t>
  </si>
  <si>
    <t xml:space="preserve"> </t>
  </si>
  <si>
    <t xml:space="preserve">Basement 1 &amp; 2 + Ground + 1st to 6th Podium + Stilt/Podiumtop + 1st to 51st Floor
</t>
  </si>
  <si>
    <t>5BHK</t>
  </si>
  <si>
    <t>5th, 10th, 15th, 20th &amp; 25th  Floor (Part Refuge Area)</t>
  </si>
  <si>
    <t>49th Floor (Part Refuge Area)</t>
  </si>
  <si>
    <t>50th Floor</t>
  </si>
  <si>
    <t>51st Floor</t>
  </si>
  <si>
    <t>6BHK Duplex with 51st Floor</t>
  </si>
  <si>
    <t>7BHK Duplex with 51st Floor</t>
  </si>
  <si>
    <t>6BHK Duplex with 50th Floor</t>
  </si>
  <si>
    <t>7BHK Duplex with 50th Floor</t>
  </si>
  <si>
    <t>Total</t>
  </si>
  <si>
    <t>1st &amp;  Podium Floor For Parking &amp; Amenities</t>
  </si>
  <si>
    <t>6th Podium Floor For Residential, Parking &amp; Amenities</t>
  </si>
  <si>
    <t>1st Floor For Residential &amp; Club House</t>
  </si>
  <si>
    <t>Guest Room Zone</t>
  </si>
  <si>
    <t>2nd Floor</t>
  </si>
  <si>
    <t>3rd, 4th, 6th to  9th, 11th to 14th, 16th to 19th, 21st to 24th Floor</t>
  </si>
  <si>
    <t>5th, 10th, 15th, 20th &amp; 25th Floor (Part Refuge Area)</t>
  </si>
  <si>
    <t>Tower B (B Wing)</t>
  </si>
  <si>
    <t>Tower B (Wing B)</t>
  </si>
  <si>
    <t>4th, 7th, 11th, 12th, 13th, 14th, 18th, 22nd, 23rd, 24th, 26th, 28th, 35th, 37th, 46th &amp; 47th Floor</t>
  </si>
  <si>
    <t>16th, 17th, 19th, 40th &amp; 42nd  Floor</t>
  </si>
  <si>
    <t>8th &amp; 33rd  Floor</t>
  </si>
  <si>
    <t>6BHK
(Duplex With 9th &amp; 34th Floor)</t>
  </si>
  <si>
    <t>9th Floor</t>
  </si>
  <si>
    <t>6BHK Duplex with 8th Floor</t>
  </si>
  <si>
    <t>34th Floor (Part Refuge Area)</t>
  </si>
  <si>
    <t>6BHK Duplex with 33rd Floor</t>
  </si>
  <si>
    <t>41st  &amp; 43rd  Floor</t>
  </si>
  <si>
    <t>44th Floor (Part Refuge Area)</t>
  </si>
  <si>
    <t>29th  &amp; 39th Floor (Part Refuge Area)</t>
  </si>
  <si>
    <t>3rd, 6th, 21st, 27th, 30th, 31st, 32nd, 33rd, 36th, 38th, 45th &amp; 48thFloor</t>
  </si>
  <si>
    <t>As per RERA Site, Flats = 570</t>
  </si>
  <si>
    <t xml:space="preserve">Basement 1 &amp; 2 + Ground + 1st to 6th Podium + Stilt/Podium top + 1st to 51st Floor
</t>
  </si>
  <si>
    <t xml:space="preserve">Approved Plan Details
</t>
  </si>
  <si>
    <t>26th to 28th, 30th, 31st, 33rd, 35th, 37th, 38th, 41st, 42nd &amp; 45th to 47th Floor</t>
  </si>
  <si>
    <t>29th &amp; 34th Floor (Part Refuge Area)</t>
  </si>
  <si>
    <t xml:space="preserve">43rd Floor </t>
  </si>
  <si>
    <t xml:space="preserve">44th Floor </t>
  </si>
  <si>
    <t>6BHK Duplex with 44th floor</t>
  </si>
  <si>
    <t>4BHK Duplex with 44th floor</t>
  </si>
  <si>
    <t>6BHK Duplex with 43rd floor</t>
  </si>
  <si>
    <t>4BHK Duplex with 43rd floor</t>
  </si>
  <si>
    <t xml:space="preserve">48th Floor </t>
  </si>
  <si>
    <t xml:space="preserve">49th Floor </t>
  </si>
  <si>
    <t>6BHK Duplex with 48th floor</t>
  </si>
  <si>
    <t>4BHK Duplex with 48th floor</t>
  </si>
  <si>
    <t>6BHK Duplex with 49th Floor</t>
  </si>
  <si>
    <t>4BHK Duplex with 49th Floor</t>
  </si>
  <si>
    <t>32nd, 36th &amp; 40th Floor</t>
  </si>
  <si>
    <t>39th Floor (Part Refuge Area)</t>
  </si>
  <si>
    <t xml:space="preserve">50th Floor </t>
  </si>
  <si>
    <t xml:space="preserve">51st Floor </t>
  </si>
  <si>
    <t>4BHK Duplex with 50th Floor</t>
  </si>
  <si>
    <t>Flats = 553</t>
  </si>
  <si>
    <t>Location link</t>
  </si>
  <si>
    <t>External Plaster</t>
  </si>
  <si>
    <t>External Plumbing, Elevation and Waterproofing</t>
  </si>
  <si>
    <t>Wooden Work</t>
  </si>
  <si>
    <t>Electrical &amp; Sanitary fittings</t>
  </si>
  <si>
    <t>7. On Site, we meet Mr.Mayur - 7700023042</t>
  </si>
  <si>
    <t>1B + LG. + UG/P1 + P2 to P4 + Stilt/Podium Top Floor + 1st to 19th + Service Floor + 20th to 40th Floor</t>
  </si>
  <si>
    <t>Tower C (Wing 2)</t>
  </si>
  <si>
    <t xml:space="preserve">1B + LG. + UG/P1 + P2 to P4 + Stilt/Podium Top Floor + 1st to 19th + Service Floor + 20th to 40th Floor
</t>
  </si>
  <si>
    <t>S04/0189/22TMC/TDD4437/23
Date: 07/07/2023
Valid Up to: Wing 2 = B + LG. + UG/P1 + P2 to P4 + Stilt/Podium Top Floor + 1st to 19th +
Service Floor + 20th to 40th Floor</t>
  </si>
  <si>
    <t>Invictus &amp; The Address By GS Tower C, Survey No.65, 66, 118/1, 118/2,
119/A/1/A, 119/A/1/B, 119/A/2, 119-B, 120/1/3, 131/A1, 131/B, 132/2, 133/A,
133/B &amp; 138/1/A, near Raymond Head Office, Raymond Realty Road, J K Gram,
Panchpakhadi, Thane West, Thane, Thane - 400606.</t>
  </si>
  <si>
    <t xml:space="preserve">Invictus &amp; The Address By GS Tower C, near Raymond Head Office, Raymond Realty Road, J K Gram, Panchpakhadi, Thane West, Thane, Thane - 400606.
</t>
  </si>
  <si>
    <t>Tower C - 25/12/2028</t>
  </si>
  <si>
    <t>The Address By GS Tower C - P51700052008</t>
  </si>
  <si>
    <t xml:space="preserve">19/07/2023
</t>
  </si>
  <si>
    <t xml:space="preserve"> CC, RERA certificate</t>
  </si>
  <si>
    <t>Houses</t>
  </si>
  <si>
    <t>Internal Road</t>
  </si>
  <si>
    <t>Raymond Head Office</t>
  </si>
  <si>
    <t>Tower C Wing 2 = B + LG. + UG/P1 + P2 to P4 + Stilt/Podium Top Floor + 1st to 19th + Service Floor + 20th to 40th Floor</t>
  </si>
  <si>
    <t>1. Construction work is in process at the time of Visit. Internal Visit was not allowed.
2. We considered  Saleable area as per our calculation.
3. We considered Carpet area as per Approved Plan.
4. We have given only stage report for Tower C
5. Car parking is subjected to authentic documentation.
4. We considered Gross carpet area = Net carpet + Deck Area + Utility Area.
5. We have considered rate by verifying it from market inquire.
7. We have updated revised approved plan &amp; C.C of Tower A &amp; B (on 12/07/2022).
8. We have updated revised approved plan &amp; C.C of Tower B (on 30/01/2023).</t>
  </si>
  <si>
    <t>Club House, Swimming Pool, Party Lawn, Athletic court, Outdoor
Fitness area, Kids Play area, Yoga Garden, etc.</t>
  </si>
  <si>
    <t>https://maps.app.goo.gl/xinT1hf5kTTy1yQq8</t>
  </si>
  <si>
    <t>The Address By GS Tower  C</t>
  </si>
  <si>
    <t>03/07/2025 at 01:32PM</t>
  </si>
  <si>
    <t>Mr. 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</si>
</sst>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sz val="8"/>
      <name val="Calibri"/>
      <family val="2"/>
    </font>
    <font>
      <u/>
      <sz val="11"/>
      <color theme="1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2" fillId="0" borderId="0" applyNumberFormat="0" applyFill="0" applyBorder="0" applyAlignment="0" applyProtection="0"/>
  </cellStyleXfs>
  <cellXfs count="156">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3" fontId="4" fillId="4" borderId="1" xfId="0" applyNumberFormat="1"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0" borderId="1"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14" fontId="4" fillId="4" borderId="1" xfId="0" applyNumberFormat="1"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1" xfId="0" applyFont="1" applyFill="1" applyBorder="1" applyAlignment="1">
      <alignment horizontal="center"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4" fillId="4" borderId="1" xfId="0" applyFont="1" applyFill="1" applyBorder="1" applyAlignment="1">
      <alignment horizontal="left" vertical="top"/>
    </xf>
    <xf numFmtId="2"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5" fillId="4" borderId="15" xfId="1" applyNumberFormat="1" applyFont="1" applyFill="1" applyBorder="1" applyAlignment="1">
      <alignment horizontal="center" vertical="center"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8" fillId="4" borderId="4" xfId="0" applyFont="1" applyFill="1" applyBorder="1" applyAlignment="1">
      <alignment horizontal="left" vertical="top" wrapText="1"/>
    </xf>
    <xf numFmtId="0" fontId="8" fillId="4" borderId="11" xfId="0" applyFont="1" applyFill="1" applyBorder="1" applyAlignment="1">
      <alignment horizontal="left" vertical="top" wrapText="1"/>
    </xf>
    <xf numFmtId="0" fontId="4" fillId="0" borderId="1" xfId="0" applyFont="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12" fillId="4" borderId="2" xfId="2"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9</xdr:col>
      <xdr:colOff>1137888</xdr:colOff>
      <xdr:row>339</xdr:row>
      <xdr:rowOff>109646</xdr:rowOff>
    </xdr:from>
    <xdr:to>
      <xdr:col>10</xdr:col>
      <xdr:colOff>455744</xdr:colOff>
      <xdr:row>341</xdr:row>
      <xdr:rowOff>178950</xdr:rowOff>
    </xdr:to>
    <xdr:sp macro="" textlink="">
      <xdr:nvSpPr>
        <xdr:cNvPr id="18" name="Rectangle 17">
          <a:extLst>
            <a:ext uri="{FF2B5EF4-FFF2-40B4-BE49-F238E27FC236}">
              <a16:creationId xmlns:a16="http://schemas.microsoft.com/office/drawing/2014/main" id="{00000000-0008-0000-0000-000012000000}"/>
            </a:ext>
          </a:extLst>
        </xdr:cNvPr>
        <xdr:cNvSpPr/>
      </xdr:nvSpPr>
      <xdr:spPr>
        <a:xfrm>
          <a:off x="11548153" y="114118293"/>
          <a:ext cx="1570238" cy="58477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3200" b="1">
              <a:solidFill>
                <a:srgbClr val="FF0000"/>
              </a:solidFill>
            </a:rPr>
            <a:t>Tower A</a:t>
          </a:r>
        </a:p>
      </xdr:txBody>
    </xdr:sp>
    <xdr:clientData/>
  </xdr:twoCellAnchor>
  <xdr:twoCellAnchor>
    <xdr:from>
      <xdr:col>9</xdr:col>
      <xdr:colOff>1188541</xdr:colOff>
      <xdr:row>335</xdr:row>
      <xdr:rowOff>6019</xdr:rowOff>
    </xdr:from>
    <xdr:to>
      <xdr:col>10</xdr:col>
      <xdr:colOff>339367</xdr:colOff>
      <xdr:row>337</xdr:row>
      <xdr:rowOff>12165</xdr:rowOff>
    </xdr:to>
    <xdr:sp macro="" textlink="">
      <xdr:nvSpPr>
        <xdr:cNvPr id="30" name="Rectangle 29">
          <a:extLst>
            <a:ext uri="{FF2B5EF4-FFF2-40B4-BE49-F238E27FC236}">
              <a16:creationId xmlns:a16="http://schemas.microsoft.com/office/drawing/2014/main" id="{00000000-0008-0000-0000-00001E000000}"/>
            </a:ext>
          </a:extLst>
        </xdr:cNvPr>
        <xdr:cNvSpPr/>
      </xdr:nvSpPr>
      <xdr:spPr>
        <a:xfrm>
          <a:off x="11584398" y="113870590"/>
          <a:ext cx="1409612" cy="523218"/>
        </a:xfrm>
        <a:prstGeom prst="rect">
          <a:avLst/>
        </a:prstGeom>
        <a:ln>
          <a:noFill/>
        </a:ln>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800" b="1">
              <a:solidFill>
                <a:srgbClr val="FF0000"/>
              </a:solidFill>
            </a:rPr>
            <a:t>Tower A</a:t>
          </a:r>
        </a:p>
      </xdr:txBody>
    </xdr:sp>
    <xdr:clientData/>
  </xdr:twoCellAnchor>
  <xdr:twoCellAnchor>
    <xdr:from>
      <xdr:col>12</xdr:col>
      <xdr:colOff>313221</xdr:colOff>
      <xdr:row>338</xdr:row>
      <xdr:rowOff>251113</xdr:rowOff>
    </xdr:from>
    <xdr:to>
      <xdr:col>14</xdr:col>
      <xdr:colOff>492056</xdr:colOff>
      <xdr:row>340</xdr:row>
      <xdr:rowOff>257261</xdr:rowOff>
    </xdr:to>
    <xdr:sp macro="" textlink="">
      <xdr:nvSpPr>
        <xdr:cNvPr id="31" name="Rectangle 30">
          <a:extLst>
            <a:ext uri="{FF2B5EF4-FFF2-40B4-BE49-F238E27FC236}">
              <a16:creationId xmlns:a16="http://schemas.microsoft.com/office/drawing/2014/main" id="{00000000-0008-0000-0000-00001F000000}"/>
            </a:ext>
          </a:extLst>
        </xdr:cNvPr>
        <xdr:cNvSpPr/>
      </xdr:nvSpPr>
      <xdr:spPr>
        <a:xfrm>
          <a:off x="14192507" y="114891292"/>
          <a:ext cx="1403478" cy="523219"/>
        </a:xfrm>
        <a:prstGeom prst="rect">
          <a:avLst/>
        </a:prstGeom>
        <a:ln>
          <a:noFill/>
        </a:ln>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800" b="1">
              <a:solidFill>
                <a:srgbClr val="FF0000"/>
              </a:solidFill>
            </a:rPr>
            <a:t>Tower B</a:t>
          </a:r>
        </a:p>
      </xdr:txBody>
    </xdr:sp>
    <xdr:clientData/>
  </xdr:twoCellAnchor>
  <xdr:twoCellAnchor editAs="oneCell">
    <xdr:from>
      <xdr:col>2</xdr:col>
      <xdr:colOff>298449</xdr:colOff>
      <xdr:row>376</xdr:row>
      <xdr:rowOff>51955</xdr:rowOff>
    </xdr:from>
    <xdr:to>
      <xdr:col>7</xdr:col>
      <xdr:colOff>380555</xdr:colOff>
      <xdr:row>393</xdr:row>
      <xdr:rowOff>915</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stretch>
          <a:fillRect/>
        </a:stretch>
      </xdr:blipFill>
      <xdr:spPr>
        <a:xfrm>
          <a:off x="2463222" y="42862500"/>
          <a:ext cx="5087060" cy="4363059"/>
        </a:xfrm>
        <a:prstGeom prst="rect">
          <a:avLst/>
        </a:prstGeom>
        <a:ln>
          <a:solidFill>
            <a:schemeClr val="tx1"/>
          </a:solidFill>
        </a:ln>
      </xdr:spPr>
    </xdr:pic>
    <xdr:clientData/>
  </xdr:twoCellAnchor>
  <xdr:twoCellAnchor editAs="oneCell">
    <xdr:from>
      <xdr:col>0</xdr:col>
      <xdr:colOff>1905000</xdr:colOff>
      <xdr:row>393</xdr:row>
      <xdr:rowOff>43341</xdr:rowOff>
    </xdr:from>
    <xdr:to>
      <xdr:col>7</xdr:col>
      <xdr:colOff>850846</xdr:colOff>
      <xdr:row>406</xdr:row>
      <xdr:rowOff>230297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a:stretch>
          <a:fillRect/>
        </a:stretch>
      </xdr:blipFill>
      <xdr:spPr>
        <a:xfrm>
          <a:off x="1905000" y="47270023"/>
          <a:ext cx="6115573" cy="3564000"/>
        </a:xfrm>
        <a:prstGeom prst="rect">
          <a:avLst/>
        </a:prstGeom>
        <a:ln>
          <a:solidFill>
            <a:schemeClr val="tx1"/>
          </a:solidFill>
        </a:ln>
      </xdr:spPr>
    </xdr:pic>
    <xdr:clientData/>
  </xdr:twoCellAnchor>
  <xdr:twoCellAnchor editAs="oneCell">
    <xdr:from>
      <xdr:col>9</xdr:col>
      <xdr:colOff>780337</xdr:colOff>
      <xdr:row>352</xdr:row>
      <xdr:rowOff>219578</xdr:rowOff>
    </xdr:from>
    <xdr:to>
      <xdr:col>13</xdr:col>
      <xdr:colOff>178862</xdr:colOff>
      <xdr:row>368</xdr:row>
      <xdr:rowOff>25252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11190602" y="37086931"/>
          <a:ext cx="3466260" cy="3929438"/>
        </a:xfrm>
        <a:prstGeom prst="rect">
          <a:avLst/>
        </a:prstGeom>
        <a:ln>
          <a:solidFill>
            <a:schemeClr val="tx1"/>
          </a:solidFill>
        </a:ln>
      </xdr:spPr>
    </xdr:pic>
    <xdr:clientData/>
  </xdr:twoCellAnchor>
  <xdr:twoCellAnchor editAs="oneCell">
    <xdr:from>
      <xdr:col>9</xdr:col>
      <xdr:colOff>1096409</xdr:colOff>
      <xdr:row>336</xdr:row>
      <xdr:rowOff>218006</xdr:rowOff>
    </xdr:from>
    <xdr:to>
      <xdr:col>13</xdr:col>
      <xdr:colOff>122706</xdr:colOff>
      <xdr:row>352</xdr:row>
      <xdr:rowOff>23679</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
        <a:stretch>
          <a:fillRect/>
        </a:stretch>
      </xdr:blipFill>
      <xdr:spPr>
        <a:xfrm>
          <a:off x="11506674" y="32143565"/>
          <a:ext cx="3094032" cy="3929438"/>
        </a:xfrm>
        <a:prstGeom prst="rect">
          <a:avLst/>
        </a:prstGeom>
        <a:ln>
          <a:solidFill>
            <a:schemeClr val="tx1"/>
          </a:solidFill>
        </a:ln>
      </xdr:spPr>
    </xdr:pic>
    <xdr:clientData/>
  </xdr:twoCellAnchor>
  <xdr:twoCellAnchor editAs="oneCell">
    <xdr:from>
      <xdr:col>13</xdr:col>
      <xdr:colOff>347287</xdr:colOff>
      <xdr:row>336</xdr:row>
      <xdr:rowOff>251624</xdr:rowOff>
    </xdr:from>
    <xdr:to>
      <xdr:col>24</xdr:col>
      <xdr:colOff>376599</xdr:colOff>
      <xdr:row>350</xdr:row>
      <xdr:rowOff>214805</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4825287" y="32995212"/>
          <a:ext cx="4870253" cy="3571475"/>
        </a:xfrm>
        <a:prstGeom prst="rect">
          <a:avLst/>
        </a:prstGeom>
        <a:ln>
          <a:solidFill>
            <a:schemeClr val="tx1"/>
          </a:solidFill>
        </a:ln>
      </xdr:spPr>
    </xdr:pic>
    <xdr:clientData/>
  </xdr:twoCellAnchor>
  <xdr:twoCellAnchor editAs="oneCell">
    <xdr:from>
      <xdr:col>13</xdr:col>
      <xdr:colOff>537559</xdr:colOff>
      <xdr:row>352</xdr:row>
      <xdr:rowOff>219578</xdr:rowOff>
    </xdr:from>
    <xdr:to>
      <xdr:col>24</xdr:col>
      <xdr:colOff>539611</xdr:colOff>
      <xdr:row>366</xdr:row>
      <xdr:rowOff>182760</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5015559" y="37086931"/>
          <a:ext cx="4842993" cy="3571476"/>
        </a:xfrm>
        <a:prstGeom prst="rect">
          <a:avLst/>
        </a:prstGeom>
        <a:ln>
          <a:solidFill>
            <a:schemeClr val="tx1"/>
          </a:solidFill>
        </a:ln>
      </xdr:spPr>
    </xdr:pic>
    <xdr:clientData/>
  </xdr:twoCellAnchor>
  <xdr:twoCellAnchor>
    <xdr:from>
      <xdr:col>9</xdr:col>
      <xdr:colOff>1649159</xdr:colOff>
      <xdr:row>335</xdr:row>
      <xdr:rowOff>251115</xdr:rowOff>
    </xdr:from>
    <xdr:to>
      <xdr:col>28</xdr:col>
      <xdr:colOff>421648</xdr:colOff>
      <xdr:row>368</xdr:row>
      <xdr:rowOff>124886</xdr:rowOff>
    </xdr:to>
    <xdr:grpSp>
      <xdr:nvGrpSpPr>
        <xdr:cNvPr id="2" name="Group 1">
          <a:extLst>
            <a:ext uri="{FF2B5EF4-FFF2-40B4-BE49-F238E27FC236}">
              <a16:creationId xmlns:a16="http://schemas.microsoft.com/office/drawing/2014/main" id="{45B0DF8D-15EA-4550-BD92-EBB1331DA562}"/>
            </a:ext>
          </a:extLst>
        </xdr:cNvPr>
        <xdr:cNvGrpSpPr/>
      </xdr:nvGrpSpPr>
      <xdr:grpSpPr>
        <a:xfrm>
          <a:off x="12074704" y="31718251"/>
          <a:ext cx="10029308" cy="8446271"/>
          <a:chOff x="173182" y="32956500"/>
          <a:chExt cx="10161886" cy="8446272"/>
        </a:xfrm>
      </xdr:grpSpPr>
      <xdr:pic>
        <xdr:nvPicPr>
          <xdr:cNvPr id="22" name="Picture 21">
            <a:extLst>
              <a:ext uri="{FF2B5EF4-FFF2-40B4-BE49-F238E27FC236}">
                <a16:creationId xmlns:a16="http://schemas.microsoft.com/office/drawing/2014/main" id="{09D4ECF2-D256-4CC7-B284-7BB8A4B426AD}"/>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856976" y="32956500"/>
            <a:ext cx="7193334" cy="5400000"/>
          </a:xfrm>
          <a:prstGeom prst="rect">
            <a:avLst/>
          </a:prstGeom>
          <a:ln>
            <a:solidFill>
              <a:schemeClr val="tx1"/>
            </a:solidFill>
          </a:ln>
        </xdr:spPr>
      </xdr:pic>
      <xdr:pic>
        <xdr:nvPicPr>
          <xdr:cNvPr id="23" name="Picture 22">
            <a:extLst>
              <a:ext uri="{FF2B5EF4-FFF2-40B4-BE49-F238E27FC236}">
                <a16:creationId xmlns:a16="http://schemas.microsoft.com/office/drawing/2014/main" id="{3B63F74E-0055-4B3E-BB03-9CF33D05333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73182" y="38522772"/>
            <a:ext cx="3836444" cy="2880000"/>
          </a:xfrm>
          <a:prstGeom prst="rect">
            <a:avLst/>
          </a:prstGeom>
          <a:ln>
            <a:solidFill>
              <a:schemeClr val="tx1"/>
            </a:solidFill>
          </a:ln>
        </xdr:spPr>
      </xdr:pic>
      <xdr:pic>
        <xdr:nvPicPr>
          <xdr:cNvPr id="24" name="Picture 23">
            <a:extLst>
              <a:ext uri="{FF2B5EF4-FFF2-40B4-BE49-F238E27FC236}">
                <a16:creationId xmlns:a16="http://schemas.microsoft.com/office/drawing/2014/main" id="{0F6C13C5-93E0-4F9A-9FAF-8865C5F1FD7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175250" y="38522772"/>
            <a:ext cx="3836444" cy="2880000"/>
          </a:xfrm>
          <a:prstGeom prst="rect">
            <a:avLst/>
          </a:prstGeom>
          <a:ln>
            <a:solidFill>
              <a:schemeClr val="tx1"/>
            </a:solidFill>
          </a:ln>
        </xdr:spPr>
      </xdr:pic>
      <xdr:pic>
        <xdr:nvPicPr>
          <xdr:cNvPr id="25" name="Picture 24">
            <a:extLst>
              <a:ext uri="{FF2B5EF4-FFF2-40B4-BE49-F238E27FC236}">
                <a16:creationId xmlns:a16="http://schemas.microsoft.com/office/drawing/2014/main" id="{7686F1A5-D57D-49F7-9B5B-5971A4D658A1}"/>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177318" y="38522772"/>
            <a:ext cx="2157750" cy="2880000"/>
          </a:xfrm>
          <a:prstGeom prst="rect">
            <a:avLst/>
          </a:prstGeom>
          <a:ln>
            <a:solidFill>
              <a:schemeClr val="tx1"/>
            </a:solidFill>
          </a:ln>
        </xdr:spPr>
      </xdr:pic>
    </xdr:grpSp>
    <xdr:clientData/>
  </xdr:twoCellAnchor>
  <xdr:twoCellAnchor>
    <xdr:from>
      <xdr:col>9</xdr:col>
      <xdr:colOff>1654469</xdr:colOff>
      <xdr:row>332</xdr:row>
      <xdr:rowOff>235325</xdr:rowOff>
    </xdr:from>
    <xdr:to>
      <xdr:col>27</xdr:col>
      <xdr:colOff>52828</xdr:colOff>
      <xdr:row>369</xdr:row>
      <xdr:rowOff>72839</xdr:rowOff>
    </xdr:to>
    <xdr:grpSp>
      <xdr:nvGrpSpPr>
        <xdr:cNvPr id="21" name="Group 20">
          <a:extLst>
            <a:ext uri="{FF2B5EF4-FFF2-40B4-BE49-F238E27FC236}">
              <a16:creationId xmlns:a16="http://schemas.microsoft.com/office/drawing/2014/main" id="{1F4B45DB-CA5D-41DF-A505-9E2F51DA11B2}"/>
            </a:ext>
          </a:extLst>
        </xdr:cNvPr>
        <xdr:cNvGrpSpPr/>
      </xdr:nvGrpSpPr>
      <xdr:grpSpPr>
        <a:xfrm>
          <a:off x="12080014" y="30663370"/>
          <a:ext cx="9049041" cy="9708878"/>
          <a:chOff x="1217569" y="215152"/>
          <a:chExt cx="4045781" cy="7340473"/>
        </a:xfrm>
      </xdr:grpSpPr>
      <xdr:pic>
        <xdr:nvPicPr>
          <xdr:cNvPr id="26" name="Picture 25">
            <a:extLst>
              <a:ext uri="{FF2B5EF4-FFF2-40B4-BE49-F238E27FC236}">
                <a16:creationId xmlns:a16="http://schemas.microsoft.com/office/drawing/2014/main" id="{8A033E6E-8EF4-4388-8377-718D8151BB55}"/>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217569" y="215152"/>
            <a:ext cx="4045781" cy="5400000"/>
          </a:xfrm>
          <a:prstGeom prst="rect">
            <a:avLst/>
          </a:prstGeom>
          <a:ln>
            <a:solidFill>
              <a:schemeClr val="tx1"/>
            </a:solidFill>
          </a:ln>
        </xdr:spPr>
      </xdr:pic>
      <xdr:pic>
        <xdr:nvPicPr>
          <xdr:cNvPr id="27" name="Picture 26">
            <a:extLst>
              <a:ext uri="{FF2B5EF4-FFF2-40B4-BE49-F238E27FC236}">
                <a16:creationId xmlns:a16="http://schemas.microsoft.com/office/drawing/2014/main" id="{43684689-5D0A-4CF7-916E-AC88416D05B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307214" y="5755625"/>
            <a:ext cx="2397778" cy="1800000"/>
          </a:xfrm>
          <a:prstGeom prst="rect">
            <a:avLst/>
          </a:prstGeom>
          <a:ln>
            <a:solidFill>
              <a:schemeClr val="tx1"/>
            </a:solidFill>
          </a:ln>
        </xdr:spPr>
      </xdr:pic>
      <xdr:pic>
        <xdr:nvPicPr>
          <xdr:cNvPr id="28" name="Picture 27">
            <a:extLst>
              <a:ext uri="{FF2B5EF4-FFF2-40B4-BE49-F238E27FC236}">
                <a16:creationId xmlns:a16="http://schemas.microsoft.com/office/drawing/2014/main" id="{41022ECB-8FBC-4F24-8749-561DB3A870E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858393" y="5755625"/>
            <a:ext cx="1348594" cy="1800000"/>
          </a:xfrm>
          <a:prstGeom prst="rect">
            <a:avLst/>
          </a:prstGeom>
          <a:ln>
            <a:solidFill>
              <a:schemeClr val="tx1"/>
            </a:solidFill>
          </a:ln>
        </xdr:spPr>
      </xdr:pic>
    </xdr:grpSp>
    <xdr:clientData/>
  </xdr:twoCellAnchor>
  <xdr:twoCellAnchor>
    <xdr:from>
      <xdr:col>2</xdr:col>
      <xdr:colOff>37692</xdr:colOff>
      <xdr:row>336</xdr:row>
      <xdr:rowOff>257734</xdr:rowOff>
    </xdr:from>
    <xdr:to>
      <xdr:col>7</xdr:col>
      <xdr:colOff>969819</xdr:colOff>
      <xdr:row>372</xdr:row>
      <xdr:rowOff>121227</xdr:rowOff>
    </xdr:to>
    <xdr:grpSp>
      <xdr:nvGrpSpPr>
        <xdr:cNvPr id="29" name="Group 28">
          <a:extLst>
            <a:ext uri="{FF2B5EF4-FFF2-40B4-BE49-F238E27FC236}">
              <a16:creationId xmlns:a16="http://schemas.microsoft.com/office/drawing/2014/main" id="{9DAF1989-588A-4F3A-8EED-FE9450171986}"/>
            </a:ext>
          </a:extLst>
        </xdr:cNvPr>
        <xdr:cNvGrpSpPr/>
      </xdr:nvGrpSpPr>
      <xdr:grpSpPr>
        <a:xfrm>
          <a:off x="2202465" y="31984643"/>
          <a:ext cx="5937081" cy="9215311"/>
          <a:chOff x="917522" y="262436"/>
          <a:chExt cx="4714162" cy="7212270"/>
        </a:xfrm>
      </xdr:grpSpPr>
      <xdr:pic>
        <xdr:nvPicPr>
          <xdr:cNvPr id="32" name="Picture 31">
            <a:extLst>
              <a:ext uri="{FF2B5EF4-FFF2-40B4-BE49-F238E27FC236}">
                <a16:creationId xmlns:a16="http://schemas.microsoft.com/office/drawing/2014/main" id="{4E4C48A1-E476-4796-9F85-07BA121E8584}"/>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917522" y="262436"/>
            <a:ext cx="4714162" cy="4805006"/>
          </a:xfrm>
          <a:prstGeom prst="rect">
            <a:avLst/>
          </a:prstGeom>
          <a:ln>
            <a:solidFill>
              <a:schemeClr val="tx1"/>
            </a:solidFill>
          </a:ln>
        </xdr:spPr>
      </xdr:pic>
      <xdr:pic>
        <xdr:nvPicPr>
          <xdr:cNvPr id="33" name="Picture 32">
            <a:extLst>
              <a:ext uri="{FF2B5EF4-FFF2-40B4-BE49-F238E27FC236}">
                <a16:creationId xmlns:a16="http://schemas.microsoft.com/office/drawing/2014/main" id="{72546317-A133-4383-B95F-4C6DC4556C76}"/>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917522" y="5314706"/>
            <a:ext cx="2877333" cy="2160000"/>
          </a:xfrm>
          <a:prstGeom prst="rect">
            <a:avLst/>
          </a:prstGeom>
          <a:ln>
            <a:solidFill>
              <a:schemeClr val="tx1"/>
            </a:solidFill>
          </a:ln>
        </xdr:spPr>
      </xdr:pic>
      <xdr:pic>
        <xdr:nvPicPr>
          <xdr:cNvPr id="34" name="Picture 33">
            <a:extLst>
              <a:ext uri="{FF2B5EF4-FFF2-40B4-BE49-F238E27FC236}">
                <a16:creationId xmlns:a16="http://schemas.microsoft.com/office/drawing/2014/main" id="{0B8179DA-C79B-4565-9766-329129D359CC}"/>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013372" y="5314706"/>
            <a:ext cx="1618312" cy="216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xinT1hf5kTTy1yQq8"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28"/>
  <sheetViews>
    <sheetView tabSelected="1" view="pageBreakPreview" zoomScale="55" zoomScaleNormal="85" zoomScaleSheetLayoutView="55" zoomScalePageLayoutView="70" workbookViewId="0">
      <selection activeCell="K7" sqref="K7"/>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20" width="9.140625" style="1"/>
    <col min="21" max="23" width="0" style="1" hidden="1" customWidth="1"/>
    <col min="24" max="26" width="9.140625" style="1"/>
    <col min="27" max="27" width="7.85546875" style="1" customWidth="1"/>
    <col min="28" max="16384" width="9.140625" style="1"/>
  </cols>
  <sheetData>
    <row r="1" spans="1:11" ht="20.25" x14ac:dyDescent="0.25">
      <c r="A1" s="84" t="s">
        <v>43</v>
      </c>
      <c r="B1" s="85"/>
      <c r="C1" s="85"/>
      <c r="D1" s="85"/>
      <c r="E1" s="85"/>
      <c r="F1" s="85"/>
      <c r="G1" s="85"/>
      <c r="H1" s="85"/>
      <c r="I1" s="86"/>
    </row>
    <row r="2" spans="1:11" ht="42" customHeight="1" x14ac:dyDescent="0.25">
      <c r="A2" s="106" t="s">
        <v>11</v>
      </c>
      <c r="B2" s="106"/>
      <c r="C2" s="106"/>
      <c r="D2" s="4" t="s">
        <v>4</v>
      </c>
      <c r="E2" s="107" t="s">
        <v>95</v>
      </c>
      <c r="F2" s="107"/>
      <c r="G2" s="87" t="s">
        <v>15</v>
      </c>
      <c r="H2" s="87"/>
      <c r="I2" s="49">
        <v>45840</v>
      </c>
      <c r="J2" s="60">
        <v>45770</v>
      </c>
    </row>
    <row r="3" spans="1:11" ht="42.75" customHeight="1" x14ac:dyDescent="0.25">
      <c r="A3" s="77" t="s">
        <v>44</v>
      </c>
      <c r="B3" s="78"/>
      <c r="C3" s="79"/>
      <c r="D3" s="4" t="s">
        <v>4</v>
      </c>
      <c r="E3" s="98" t="s">
        <v>328</v>
      </c>
      <c r="F3" s="99"/>
      <c r="G3" s="87" t="s">
        <v>187</v>
      </c>
      <c r="H3" s="87"/>
      <c r="I3" s="49" t="s">
        <v>329</v>
      </c>
      <c r="J3" s="155">
        <f>J2+90</f>
        <v>45860</v>
      </c>
    </row>
    <row r="4" spans="1:11" ht="43.5" customHeight="1" x14ac:dyDescent="0.25">
      <c r="A4" s="77" t="s">
        <v>41</v>
      </c>
      <c r="B4" s="78"/>
      <c r="C4" s="79"/>
      <c r="D4" s="4" t="s">
        <v>4</v>
      </c>
      <c r="E4" s="74" t="s">
        <v>174</v>
      </c>
      <c r="F4" s="76"/>
      <c r="G4" s="87" t="s">
        <v>38</v>
      </c>
      <c r="H4" s="87"/>
      <c r="I4" s="18" t="str">
        <f ca="1">TEXT(TODAY(),"DD/MM/YYYY")</f>
        <v>04/07/2025</v>
      </c>
      <c r="J4" s="74" t="s">
        <v>188</v>
      </c>
      <c r="K4" s="76"/>
    </row>
    <row r="5" spans="1:11" ht="20.25" x14ac:dyDescent="0.25">
      <c r="A5" s="83" t="s">
        <v>45</v>
      </c>
      <c r="B5" s="83"/>
      <c r="C5" s="83"/>
      <c r="D5" s="83"/>
      <c r="E5" s="83"/>
      <c r="F5" s="83"/>
      <c r="G5" s="83"/>
      <c r="H5" s="83"/>
      <c r="I5" s="102"/>
    </row>
    <row r="6" spans="1:11" ht="43.5" customHeight="1" x14ac:dyDescent="0.25">
      <c r="A6" s="108" t="s">
        <v>34</v>
      </c>
      <c r="B6" s="108"/>
      <c r="C6" s="108"/>
      <c r="D6" s="2" t="s">
        <v>4</v>
      </c>
      <c r="E6" s="22" t="s">
        <v>108</v>
      </c>
      <c r="F6" s="21" t="s">
        <v>40</v>
      </c>
      <c r="G6" s="2" t="s">
        <v>4</v>
      </c>
      <c r="H6" s="73" t="s">
        <v>330</v>
      </c>
      <c r="I6" s="73"/>
    </row>
    <row r="7" spans="1:11" ht="23.25" customHeight="1" x14ac:dyDescent="0.25">
      <c r="A7" s="108" t="s">
        <v>47</v>
      </c>
      <c r="B7" s="108"/>
      <c r="C7" s="108"/>
      <c r="D7" s="2" t="s">
        <v>4</v>
      </c>
      <c r="E7" s="5" t="s">
        <v>189</v>
      </c>
      <c r="F7" s="21" t="s">
        <v>48</v>
      </c>
      <c r="G7" s="2" t="s">
        <v>4</v>
      </c>
      <c r="H7" s="74" t="s">
        <v>191</v>
      </c>
      <c r="I7" s="76"/>
    </row>
    <row r="8" spans="1:11" ht="45" customHeight="1" x14ac:dyDescent="0.25">
      <c r="A8" s="108" t="s">
        <v>49</v>
      </c>
      <c r="B8" s="108"/>
      <c r="C8" s="108"/>
      <c r="D8" s="2" t="s">
        <v>4</v>
      </c>
      <c r="E8" s="109" t="s">
        <v>190</v>
      </c>
      <c r="F8" s="109"/>
      <c r="G8" s="109"/>
      <c r="H8" s="109"/>
      <c r="I8" s="109"/>
    </row>
    <row r="9" spans="1:11" ht="92.25" customHeight="1" x14ac:dyDescent="0.25">
      <c r="A9" s="87" t="s">
        <v>177</v>
      </c>
      <c r="B9" s="21" t="s">
        <v>4</v>
      </c>
      <c r="C9" s="21" t="s">
        <v>46</v>
      </c>
      <c r="D9" s="2" t="s">
        <v>4</v>
      </c>
      <c r="E9" s="74" t="s">
        <v>315</v>
      </c>
      <c r="F9" s="75"/>
      <c r="G9" s="75"/>
      <c r="H9" s="75"/>
      <c r="I9" s="76"/>
    </row>
    <row r="10" spans="1:11" ht="84" hidden="1" customHeight="1" x14ac:dyDescent="0.25">
      <c r="A10" s="87"/>
      <c r="B10" s="21" t="s">
        <v>4</v>
      </c>
      <c r="C10" s="21" t="s">
        <v>14</v>
      </c>
      <c r="D10" s="2" t="s">
        <v>4</v>
      </c>
      <c r="E10" s="74" t="str">
        <f>E9</f>
        <v>Invictus &amp; The Address By GS Tower C, Survey No.65, 66, 118/1, 118/2,
119/A/1/A, 119/A/1/B, 119/A/2, 119-B, 120/1/3, 131/A1, 131/B, 132/2, 133/A,
133/B &amp; 138/1/A, near Raymond Head Office, Raymond Realty Road, J K Gram,
Panchpakhadi, Thane West, Thane, Thane - 400606.</v>
      </c>
      <c r="F10" s="75"/>
      <c r="G10" s="75"/>
      <c r="H10" s="75"/>
      <c r="I10" s="76"/>
    </row>
    <row r="11" spans="1:11" ht="54" customHeight="1" x14ac:dyDescent="0.25">
      <c r="A11" s="87"/>
      <c r="B11" s="21" t="s">
        <v>4</v>
      </c>
      <c r="C11" s="21" t="s">
        <v>5</v>
      </c>
      <c r="D11" s="2" t="s">
        <v>4</v>
      </c>
      <c r="E11" s="74" t="s">
        <v>316</v>
      </c>
      <c r="F11" s="75"/>
      <c r="G11" s="75"/>
      <c r="H11" s="75"/>
      <c r="I11" s="76"/>
    </row>
    <row r="12" spans="1:11" ht="20.25" x14ac:dyDescent="0.25">
      <c r="A12" s="87" t="s">
        <v>39</v>
      </c>
      <c r="B12" s="87"/>
      <c r="C12" s="87"/>
      <c r="D12" s="2" t="s">
        <v>4</v>
      </c>
      <c r="E12" s="73" t="s">
        <v>320</v>
      </c>
      <c r="F12" s="73"/>
      <c r="G12" s="73"/>
      <c r="H12" s="73"/>
      <c r="I12" s="73"/>
    </row>
    <row r="13" spans="1:11" ht="20.100000000000001" customHeight="1" x14ac:dyDescent="0.25">
      <c r="A13" s="83" t="s">
        <v>50</v>
      </c>
      <c r="B13" s="83"/>
      <c r="C13" s="83"/>
      <c r="D13" s="83"/>
      <c r="E13" s="83"/>
      <c r="F13" s="83"/>
      <c r="G13" s="83"/>
      <c r="H13" s="83"/>
      <c r="I13" s="83"/>
    </row>
    <row r="14" spans="1:11" ht="60.75" x14ac:dyDescent="0.25">
      <c r="A14" s="21" t="s">
        <v>32</v>
      </c>
      <c r="B14" s="2" t="s">
        <v>4</v>
      </c>
      <c r="C14" s="125" t="s">
        <v>96</v>
      </c>
      <c r="D14" s="126"/>
      <c r="E14" s="127"/>
      <c r="F14" s="17" t="s">
        <v>51</v>
      </c>
      <c r="G14" s="2" t="s">
        <v>4</v>
      </c>
      <c r="H14" s="73" t="s">
        <v>192</v>
      </c>
      <c r="I14" s="73"/>
    </row>
    <row r="15" spans="1:11" ht="52.5" customHeight="1" x14ac:dyDescent="0.25">
      <c r="A15" s="21" t="s">
        <v>52</v>
      </c>
      <c r="B15" s="2" t="s">
        <v>4</v>
      </c>
      <c r="C15" s="125" t="s">
        <v>318</v>
      </c>
      <c r="D15" s="126"/>
      <c r="E15" s="127"/>
      <c r="F15" s="21" t="s">
        <v>53</v>
      </c>
      <c r="G15" s="2" t="s">
        <v>4</v>
      </c>
      <c r="H15" s="151" t="s">
        <v>317</v>
      </c>
      <c r="I15" s="73"/>
    </row>
    <row r="16" spans="1:11" ht="40.5" x14ac:dyDescent="0.25">
      <c r="A16" s="46" t="s">
        <v>54</v>
      </c>
      <c r="B16" s="2" t="s">
        <v>4</v>
      </c>
      <c r="C16" s="128">
        <v>45126</v>
      </c>
      <c r="D16" s="126"/>
      <c r="E16" s="127"/>
      <c r="F16" s="21" t="s">
        <v>55</v>
      </c>
      <c r="G16" s="2" t="s">
        <v>4</v>
      </c>
      <c r="H16" s="150" t="s">
        <v>319</v>
      </c>
      <c r="I16" s="76"/>
    </row>
    <row r="17" spans="1:10" ht="60.75" x14ac:dyDescent="0.25">
      <c r="A17" s="46" t="s">
        <v>56</v>
      </c>
      <c r="B17" s="2" t="s">
        <v>4</v>
      </c>
      <c r="C17" s="128" t="str">
        <f>H15</f>
        <v>Tower C - 25/12/2028</v>
      </c>
      <c r="D17" s="126"/>
      <c r="E17" s="127"/>
      <c r="F17" s="21" t="s">
        <v>57</v>
      </c>
      <c r="G17" s="2" t="s">
        <v>4</v>
      </c>
      <c r="H17" s="74" t="s">
        <v>195</v>
      </c>
      <c r="I17" s="76"/>
    </row>
    <row r="18" spans="1:10" ht="40.5" x14ac:dyDescent="0.25">
      <c r="A18" s="46" t="s">
        <v>58</v>
      </c>
      <c r="B18" s="2" t="s">
        <v>4</v>
      </c>
      <c r="C18" s="125" t="s">
        <v>194</v>
      </c>
      <c r="D18" s="129"/>
      <c r="E18" s="130"/>
      <c r="F18" s="21" t="s">
        <v>111</v>
      </c>
      <c r="G18" s="2" t="s">
        <v>4</v>
      </c>
      <c r="H18" s="73">
        <v>11570.05</v>
      </c>
      <c r="I18" s="73"/>
    </row>
    <row r="19" spans="1:10" ht="40.5" hidden="1" x14ac:dyDescent="0.25">
      <c r="A19" s="21" t="s">
        <v>59</v>
      </c>
      <c r="B19" s="2" t="s">
        <v>4</v>
      </c>
      <c r="C19" s="125">
        <v>1.1000000000000001</v>
      </c>
      <c r="D19" s="126"/>
      <c r="E19" s="127"/>
      <c r="F19" s="21" t="s">
        <v>110</v>
      </c>
      <c r="G19" s="2" t="s">
        <v>4</v>
      </c>
      <c r="H19" s="73">
        <v>37839.15</v>
      </c>
      <c r="I19" s="73"/>
      <c r="J19" s="1">
        <f>2+6+1+92+89+89+4+2</f>
        <v>285</v>
      </c>
    </row>
    <row r="20" spans="1:10" ht="40.5" hidden="1" x14ac:dyDescent="0.25">
      <c r="A20" s="21" t="s">
        <v>109</v>
      </c>
      <c r="B20" s="2" t="s">
        <v>4</v>
      </c>
      <c r="C20" s="125">
        <v>37873.47</v>
      </c>
      <c r="D20" s="126"/>
      <c r="E20" s="127"/>
      <c r="F20" s="6" t="s">
        <v>60</v>
      </c>
      <c r="G20" s="2" t="s">
        <v>4</v>
      </c>
      <c r="H20" s="74" t="s">
        <v>282</v>
      </c>
      <c r="I20" s="76"/>
      <c r="J20" s="1">
        <f>1+92+89+89+6+4+2+2</f>
        <v>285</v>
      </c>
    </row>
    <row r="21" spans="1:10" ht="40.5" hidden="1" x14ac:dyDescent="0.25">
      <c r="A21" s="21" t="s">
        <v>61</v>
      </c>
      <c r="B21" s="2" t="s">
        <v>4</v>
      </c>
      <c r="C21" s="125" t="s">
        <v>304</v>
      </c>
      <c r="D21" s="126"/>
      <c r="E21" s="127"/>
      <c r="F21" s="21" t="s">
        <v>62</v>
      </c>
      <c r="G21" s="2" t="s">
        <v>4</v>
      </c>
      <c r="H21" s="73" t="s">
        <v>174</v>
      </c>
      <c r="I21" s="73"/>
      <c r="J21" s="1">
        <f>J19+J20</f>
        <v>570</v>
      </c>
    </row>
    <row r="22" spans="1:10" ht="20.25" x14ac:dyDescent="0.25">
      <c r="A22" s="46" t="s">
        <v>27</v>
      </c>
      <c r="B22" s="2" t="s">
        <v>4</v>
      </c>
      <c r="C22" s="125">
        <v>19.210280999999998</v>
      </c>
      <c r="D22" s="126"/>
      <c r="E22" s="127"/>
      <c r="F22" s="27" t="s">
        <v>28</v>
      </c>
      <c r="G22" s="27" t="s">
        <v>4</v>
      </c>
      <c r="H22" s="125">
        <v>72.966588999999999</v>
      </c>
      <c r="I22" s="127"/>
    </row>
    <row r="23" spans="1:10" ht="20.25" x14ac:dyDescent="0.25">
      <c r="A23" s="46" t="s">
        <v>305</v>
      </c>
      <c r="B23" s="55" t="s">
        <v>4</v>
      </c>
      <c r="C23" s="146" t="s">
        <v>327</v>
      </c>
      <c r="D23" s="75"/>
      <c r="E23" s="75"/>
      <c r="F23" s="75"/>
      <c r="G23" s="75"/>
      <c r="H23" s="75"/>
      <c r="I23" s="76"/>
    </row>
    <row r="24" spans="1:10" ht="40.5" x14ac:dyDescent="0.25">
      <c r="A24" s="46" t="s">
        <v>30</v>
      </c>
      <c r="B24" s="2" t="s">
        <v>4</v>
      </c>
      <c r="C24" s="73" t="s">
        <v>326</v>
      </c>
      <c r="D24" s="73"/>
      <c r="E24" s="73"/>
      <c r="F24" s="73"/>
      <c r="G24" s="73"/>
      <c r="H24" s="73"/>
      <c r="I24" s="73"/>
    </row>
    <row r="25" spans="1:10" ht="24" customHeight="1" x14ac:dyDescent="0.25">
      <c r="A25" s="84" t="s">
        <v>23</v>
      </c>
      <c r="B25" s="85"/>
      <c r="C25" s="85"/>
      <c r="D25" s="85"/>
      <c r="E25" s="85"/>
      <c r="F25" s="85"/>
      <c r="G25" s="85"/>
      <c r="H25" s="85"/>
      <c r="I25" s="86"/>
    </row>
    <row r="26" spans="1:10" ht="20.25" x14ac:dyDescent="0.25">
      <c r="A26" s="21" t="s">
        <v>31</v>
      </c>
      <c r="B26" s="2" t="s">
        <v>4</v>
      </c>
      <c r="C26" s="73" t="s">
        <v>97</v>
      </c>
      <c r="D26" s="73"/>
      <c r="E26" s="73"/>
      <c r="F26" s="21" t="s">
        <v>16</v>
      </c>
      <c r="G26" s="2" t="s">
        <v>4</v>
      </c>
      <c r="H26" s="73" t="s">
        <v>193</v>
      </c>
      <c r="I26" s="73"/>
    </row>
    <row r="27" spans="1:10" ht="20.25" x14ac:dyDescent="0.25">
      <c r="A27" s="21" t="s">
        <v>17</v>
      </c>
      <c r="B27" s="2" t="s">
        <v>4</v>
      </c>
      <c r="C27" s="73" t="s">
        <v>114</v>
      </c>
      <c r="D27" s="73"/>
      <c r="E27" s="73"/>
      <c r="F27" s="21" t="s">
        <v>178</v>
      </c>
      <c r="G27" s="2" t="s">
        <v>4</v>
      </c>
      <c r="H27" s="73" t="s">
        <v>176</v>
      </c>
      <c r="I27" s="73"/>
    </row>
    <row r="28" spans="1:10" ht="60.75" x14ac:dyDescent="0.25">
      <c r="A28" s="21" t="s">
        <v>26</v>
      </c>
      <c r="B28" s="2" t="s">
        <v>4</v>
      </c>
      <c r="C28" s="73" t="s">
        <v>113</v>
      </c>
      <c r="D28" s="73"/>
      <c r="E28" s="73"/>
      <c r="F28" s="21" t="s">
        <v>18</v>
      </c>
      <c r="G28" s="2" t="s">
        <v>4</v>
      </c>
      <c r="H28" s="73" t="s">
        <v>242</v>
      </c>
      <c r="I28" s="73"/>
    </row>
    <row r="29" spans="1:10" ht="40.5" hidden="1" x14ac:dyDescent="0.25">
      <c r="A29" s="46" t="s">
        <v>135</v>
      </c>
      <c r="B29" s="2" t="s">
        <v>4</v>
      </c>
      <c r="C29" s="73" t="s">
        <v>243</v>
      </c>
      <c r="D29" s="73"/>
      <c r="E29" s="73"/>
      <c r="F29" s="21" t="s">
        <v>136</v>
      </c>
      <c r="G29" s="2" t="s">
        <v>4</v>
      </c>
      <c r="H29" s="74" t="s">
        <v>244</v>
      </c>
      <c r="I29" s="76"/>
    </row>
    <row r="30" spans="1:10" ht="84" hidden="1" customHeight="1" x14ac:dyDescent="0.25">
      <c r="A30" s="21" t="s">
        <v>20</v>
      </c>
      <c r="B30" s="2" t="s">
        <v>4</v>
      </c>
      <c r="C30" s="73" t="s">
        <v>245</v>
      </c>
      <c r="D30" s="73"/>
      <c r="E30" s="73"/>
      <c r="F30" s="21" t="s">
        <v>19</v>
      </c>
      <c r="G30" s="2" t="s">
        <v>4</v>
      </c>
      <c r="H30" s="73"/>
      <c r="I30" s="73"/>
    </row>
    <row r="31" spans="1:10" ht="21.75" customHeight="1" x14ac:dyDescent="0.25">
      <c r="A31" s="46" t="s">
        <v>141</v>
      </c>
      <c r="B31" s="2" t="s">
        <v>4</v>
      </c>
      <c r="C31" s="73" t="s">
        <v>142</v>
      </c>
      <c r="D31" s="73"/>
      <c r="E31" s="73"/>
      <c r="F31" s="21" t="s">
        <v>143</v>
      </c>
      <c r="G31" s="2" t="s">
        <v>4</v>
      </c>
      <c r="H31" s="74" t="s">
        <v>142</v>
      </c>
      <c r="I31" s="76"/>
    </row>
    <row r="32" spans="1:10" ht="21.75" customHeight="1" x14ac:dyDescent="0.25">
      <c r="A32" s="46" t="s">
        <v>144</v>
      </c>
      <c r="B32" s="2" t="s">
        <v>4</v>
      </c>
      <c r="C32" s="74" t="s">
        <v>142</v>
      </c>
      <c r="D32" s="75"/>
      <c r="E32" s="75"/>
      <c r="F32" s="75"/>
      <c r="G32" s="75"/>
      <c r="H32" s="75"/>
      <c r="I32" s="76"/>
    </row>
    <row r="33" spans="1:9" ht="20.25" x14ac:dyDescent="0.25">
      <c r="A33" s="92" t="s">
        <v>42</v>
      </c>
      <c r="B33" s="93"/>
      <c r="C33" s="93"/>
      <c r="D33" s="93"/>
      <c r="E33" s="93"/>
      <c r="F33" s="93"/>
      <c r="G33" s="93"/>
      <c r="H33" s="93"/>
      <c r="I33" s="103"/>
    </row>
    <row r="34" spans="1:9" ht="40.5" x14ac:dyDescent="0.25">
      <c r="A34" s="77" t="s">
        <v>21</v>
      </c>
      <c r="B34" s="78"/>
      <c r="C34" s="79"/>
      <c r="D34" s="2" t="s">
        <v>4</v>
      </c>
      <c r="E34" s="22" t="s">
        <v>115</v>
      </c>
      <c r="F34" s="21" t="s">
        <v>22</v>
      </c>
      <c r="G34" s="7" t="s">
        <v>4</v>
      </c>
      <c r="H34" s="74" t="s">
        <v>116</v>
      </c>
      <c r="I34" s="76"/>
    </row>
    <row r="35" spans="1:9" ht="40.5" x14ac:dyDescent="0.25">
      <c r="A35" s="77" t="s">
        <v>25</v>
      </c>
      <c r="B35" s="78"/>
      <c r="C35" s="79"/>
      <c r="D35" s="2" t="s">
        <v>4</v>
      </c>
      <c r="E35" s="22" t="s">
        <v>116</v>
      </c>
      <c r="F35" s="8" t="s">
        <v>37</v>
      </c>
      <c r="G35" s="2" t="s">
        <v>4</v>
      </c>
      <c r="H35" s="74" t="s">
        <v>116</v>
      </c>
      <c r="I35" s="76"/>
    </row>
    <row r="36" spans="1:9" ht="40.5" x14ac:dyDescent="0.25">
      <c r="A36" s="77" t="s">
        <v>36</v>
      </c>
      <c r="B36" s="78"/>
      <c r="C36" s="79"/>
      <c r="D36" s="2" t="s">
        <v>4</v>
      </c>
      <c r="E36" s="5" t="s">
        <v>117</v>
      </c>
      <c r="F36" s="21" t="s">
        <v>24</v>
      </c>
      <c r="G36" s="24" t="s">
        <v>4</v>
      </c>
      <c r="H36" s="74" t="s">
        <v>118</v>
      </c>
      <c r="I36" s="76"/>
    </row>
    <row r="37" spans="1:9" ht="20.25" x14ac:dyDescent="0.25">
      <c r="A37" s="84" t="s">
        <v>0</v>
      </c>
      <c r="B37" s="85"/>
      <c r="C37" s="85"/>
      <c r="D37" s="85"/>
      <c r="E37" s="85"/>
      <c r="F37" s="85"/>
      <c r="G37" s="85"/>
      <c r="H37" s="85"/>
      <c r="I37" s="86"/>
    </row>
    <row r="38" spans="1:9" ht="20.25" x14ac:dyDescent="0.25">
      <c r="A38" s="147" t="s">
        <v>0</v>
      </c>
      <c r="B38" s="149"/>
      <c r="C38" s="148"/>
      <c r="D38" s="2" t="s">
        <v>4</v>
      </c>
      <c r="E38" s="9" t="s">
        <v>1</v>
      </c>
      <c r="F38" s="9" t="s">
        <v>6</v>
      </c>
      <c r="G38" s="147" t="s">
        <v>2</v>
      </c>
      <c r="H38" s="148"/>
      <c r="I38" s="9" t="s">
        <v>3</v>
      </c>
    </row>
    <row r="39" spans="1:9" ht="20.25" x14ac:dyDescent="0.25">
      <c r="A39" s="77" t="s">
        <v>7</v>
      </c>
      <c r="B39" s="78"/>
      <c r="C39" s="79"/>
      <c r="D39" s="2" t="s">
        <v>4</v>
      </c>
      <c r="E39" s="23" t="s">
        <v>174</v>
      </c>
      <c r="F39" s="23" t="s">
        <v>174</v>
      </c>
      <c r="G39" s="100" t="s">
        <v>174</v>
      </c>
      <c r="H39" s="101"/>
      <c r="I39" s="23" t="s">
        <v>174</v>
      </c>
    </row>
    <row r="40" spans="1:9" ht="39" customHeight="1" x14ac:dyDescent="0.25">
      <c r="A40" s="77" t="s">
        <v>8</v>
      </c>
      <c r="B40" s="78"/>
      <c r="C40" s="79"/>
      <c r="D40" s="2" t="s">
        <v>4</v>
      </c>
      <c r="E40" s="23" t="s">
        <v>322</v>
      </c>
      <c r="F40" s="23" t="s">
        <v>323</v>
      </c>
      <c r="G40" s="100" t="s">
        <v>321</v>
      </c>
      <c r="H40" s="101"/>
      <c r="I40" s="23" t="s">
        <v>321</v>
      </c>
    </row>
    <row r="41" spans="1:9" ht="20.25" customHeight="1" x14ac:dyDescent="0.25">
      <c r="A41" s="77" t="s">
        <v>12</v>
      </c>
      <c r="B41" s="78"/>
      <c r="C41" s="79"/>
      <c r="D41" s="2" t="s">
        <v>4</v>
      </c>
      <c r="E41" s="18" t="s">
        <v>113</v>
      </c>
      <c r="F41" s="21" t="s">
        <v>13</v>
      </c>
      <c r="G41" s="2" t="s">
        <v>4</v>
      </c>
      <c r="H41" s="74" t="s">
        <v>112</v>
      </c>
      <c r="I41" s="76"/>
    </row>
    <row r="42" spans="1:9" ht="20.25" x14ac:dyDescent="0.25">
      <c r="A42" s="84" t="s">
        <v>63</v>
      </c>
      <c r="B42" s="85"/>
      <c r="C42" s="85"/>
      <c r="D42" s="85"/>
      <c r="E42" s="85"/>
      <c r="F42" s="85"/>
      <c r="G42" s="85"/>
      <c r="H42" s="85"/>
      <c r="I42" s="86"/>
    </row>
    <row r="43" spans="1:9" ht="21" customHeight="1" x14ac:dyDescent="0.25">
      <c r="A43" s="81" t="s">
        <v>64</v>
      </c>
      <c r="B43" s="81"/>
      <c r="C43" s="81" t="s">
        <v>65</v>
      </c>
      <c r="D43" s="81"/>
      <c r="E43" s="81" t="s">
        <v>175</v>
      </c>
      <c r="F43" s="81"/>
      <c r="G43" s="81"/>
      <c r="H43" s="81" t="s">
        <v>66</v>
      </c>
      <c r="I43" s="81"/>
    </row>
    <row r="44" spans="1:9" ht="62.25" hidden="1" customHeight="1" x14ac:dyDescent="0.25">
      <c r="A44" s="82" t="s">
        <v>197</v>
      </c>
      <c r="B44" s="82"/>
      <c r="C44" s="80" t="s">
        <v>98</v>
      </c>
      <c r="D44" s="80"/>
      <c r="E44" s="73" t="s">
        <v>283</v>
      </c>
      <c r="F44" s="73"/>
      <c r="G44" s="73"/>
      <c r="H44" s="73" t="s">
        <v>250</v>
      </c>
      <c r="I44" s="73"/>
    </row>
    <row r="45" spans="1:9" ht="62.25" hidden="1" customHeight="1" x14ac:dyDescent="0.25">
      <c r="A45" s="82" t="s">
        <v>269</v>
      </c>
      <c r="B45" s="82"/>
      <c r="C45" s="80" t="s">
        <v>98</v>
      </c>
      <c r="D45" s="80"/>
      <c r="E45" s="73" t="s">
        <v>283</v>
      </c>
      <c r="F45" s="73"/>
      <c r="G45" s="73"/>
      <c r="H45" s="73" t="s">
        <v>250</v>
      </c>
      <c r="I45" s="73"/>
    </row>
    <row r="46" spans="1:9" ht="62.25" customHeight="1" x14ac:dyDescent="0.25">
      <c r="A46" s="82" t="s">
        <v>312</v>
      </c>
      <c r="B46" s="82"/>
      <c r="C46" s="80" t="s">
        <v>98</v>
      </c>
      <c r="D46" s="80"/>
      <c r="E46" s="73" t="s">
        <v>311</v>
      </c>
      <c r="F46" s="73"/>
      <c r="G46" s="73"/>
      <c r="H46" s="73" t="s">
        <v>313</v>
      </c>
      <c r="I46" s="73"/>
    </row>
    <row r="47" spans="1:9" ht="20.25" x14ac:dyDescent="0.25">
      <c r="A47" s="83" t="s">
        <v>67</v>
      </c>
      <c r="B47" s="83"/>
      <c r="C47" s="83"/>
      <c r="D47" s="83"/>
      <c r="E47" s="83"/>
      <c r="F47" s="83"/>
      <c r="G47" s="83"/>
      <c r="H47" s="83"/>
      <c r="I47" s="83"/>
    </row>
    <row r="48" spans="1:9" ht="64.5" customHeight="1" x14ac:dyDescent="0.25">
      <c r="A48" s="17" t="s">
        <v>68</v>
      </c>
      <c r="B48" s="17" t="s">
        <v>4</v>
      </c>
      <c r="C48" s="73" t="s">
        <v>113</v>
      </c>
      <c r="D48" s="73"/>
      <c r="E48" s="73"/>
      <c r="F48" s="17" t="s">
        <v>69</v>
      </c>
      <c r="G48" s="17" t="s">
        <v>4</v>
      </c>
      <c r="H48" s="73" t="s">
        <v>174</v>
      </c>
      <c r="I48" s="73"/>
    </row>
    <row r="49" spans="1:11" ht="128.25" customHeight="1" x14ac:dyDescent="0.25">
      <c r="A49" s="59" t="s">
        <v>99</v>
      </c>
      <c r="B49" s="59" t="s">
        <v>4</v>
      </c>
      <c r="C49" s="73" t="s">
        <v>314</v>
      </c>
      <c r="D49" s="73"/>
      <c r="E49" s="73"/>
      <c r="F49" s="16" t="s">
        <v>284</v>
      </c>
      <c r="G49" s="16" t="s">
        <v>4</v>
      </c>
      <c r="H49" s="125" t="s">
        <v>174</v>
      </c>
      <c r="I49" s="127"/>
    </row>
    <row r="50" spans="1:11" ht="46.5" hidden="1" customHeight="1" x14ac:dyDescent="0.25">
      <c r="A50" s="17" t="s">
        <v>70</v>
      </c>
      <c r="B50" s="17" t="s">
        <v>4</v>
      </c>
      <c r="C50" s="73"/>
      <c r="D50" s="73"/>
      <c r="E50" s="73"/>
      <c r="F50" s="17" t="s">
        <v>71</v>
      </c>
      <c r="G50" s="17" t="s">
        <v>4</v>
      </c>
      <c r="H50" s="73"/>
      <c r="I50" s="73"/>
    </row>
    <row r="51" spans="1:11" ht="45" hidden="1" customHeight="1" x14ac:dyDescent="0.25">
      <c r="A51" s="17" t="s">
        <v>72</v>
      </c>
      <c r="B51" s="17" t="s">
        <v>4</v>
      </c>
      <c r="C51" s="73" t="s">
        <v>112</v>
      </c>
      <c r="D51" s="73"/>
      <c r="E51" s="73"/>
      <c r="F51" s="17" t="s">
        <v>73</v>
      </c>
      <c r="G51" s="17" t="s">
        <v>4</v>
      </c>
      <c r="H51" s="73"/>
      <c r="I51" s="73"/>
    </row>
    <row r="52" spans="1:11" ht="21" thickBot="1" x14ac:dyDescent="0.3">
      <c r="A52" s="83" t="s">
        <v>74</v>
      </c>
      <c r="B52" s="83"/>
      <c r="C52" s="83"/>
      <c r="D52" s="83"/>
      <c r="E52" s="83"/>
      <c r="F52" s="83"/>
      <c r="G52" s="83"/>
      <c r="H52" s="83"/>
      <c r="I52" s="83"/>
    </row>
    <row r="53" spans="1:11" ht="20.25" customHeight="1" x14ac:dyDescent="0.3">
      <c r="A53" s="152" t="s">
        <v>324</v>
      </c>
      <c r="B53" s="152"/>
      <c r="C53" s="152"/>
      <c r="D53" s="153" t="s">
        <v>4</v>
      </c>
      <c r="E53" s="58" t="s">
        <v>145</v>
      </c>
      <c r="F53" s="135" t="s">
        <v>131</v>
      </c>
      <c r="G53" s="135"/>
      <c r="H53" s="58" t="s">
        <v>146</v>
      </c>
      <c r="I53" s="58" t="s">
        <v>147</v>
      </c>
      <c r="J53" s="34" t="str">
        <f ca="1">(IF(F56&gt;99%,"All work completed. Please provide OC.",IF(F56&gt;89.8%,"Plinth, RCC, Brick, Plaster, Flooring, Wooden, Plumbing, Electrification, etc., work Completed. Finishing work is in process.",IF(F56&lt;94%,(IF(C56=0,"Work not yet Started.",IF(E56=25%,"Piling work in process",IF(E56=50%,"Excavation work in process",IF(E56=100%,"Excavation work Completed. ","0")))&amp;(IF(C57=0%,"",IF(C57=K58,"Footing work is process",IF(C57=K59,"Footing work Completed",IF(C57=K60,"1st Basement Completed",IF(C57=K61,"1st &amp; 2nd Basement Completed",IF(C57=K62,"1st to 3rd Basement Completed",IF(C57=K63,"1st to 4th Basement Completed",IF(C57=K64,"Plinth work is process",IF(C57=K65,"Plinth work completed","0")))))))))))&amp;(IF(C58=(F54+H54+I54),", RCC Slab",IF(C58&gt;0,", RCC upto "&amp;C58&amp;" Slab",""))&amp;(IF(C59=I54,", Brickwork",IF(C59&gt;0,", Brickwork upto "&amp;C59&amp;" Floor",""))&amp;(IF(C60=I54,", Internal Plaster",IF(C60&gt;0,", Internal Plaster upto "&amp;C60&amp;" Floor",""))&amp;(IF(C61=I54,", External Plaster",IF(C61&gt;0,", External Plaster upto "&amp;C61&amp;" Floor",""))&amp;(IF(C62=I54,", External Plumbing, Elevation and Waterproofing",IF(C62&gt;0,", External Plumbing, Elevation and Waterproofing upto "&amp;C62&amp;" Floor",""))&amp;(IF(C63=I54,", Flooring &amp; Fitting",IF(C63&gt;0,", Flooring &amp; Fitting upto "&amp;C63&amp;" Floor",""))&amp;(IF(C64=I54,", Wooden Work",IF(C64&gt;0,", Wooden Work upto "&amp;C64&amp;" Floor",""))&amp;(IF(C65=I54,", Electrical &amp; Sanitary fittings",IF(C65&gt;0,", Electrical &amp; Sanitary fittings upto "&amp;C65&amp;" Floor",""))&amp;(IF(C66&gt;0,", Finishing upto "&amp;C66&amp;" Floor","")&amp;(IF(C58&gt;0.5," Completed",""))))))))))))))))</f>
        <v>Excavation work Completed. Plinth work completed, RCC upto 15 Slab, Brickwork upto 9 Floor, Internal Plaster upto 6.75 Floor, External Plaster upto 6.75 Floor Completed</v>
      </c>
      <c r="K53" s="36"/>
    </row>
    <row r="54" spans="1:11" ht="66.75" customHeight="1" x14ac:dyDescent="0.3">
      <c r="A54" s="152"/>
      <c r="B54" s="152"/>
      <c r="C54" s="152"/>
      <c r="D54" s="153"/>
      <c r="E54" s="58">
        <v>1</v>
      </c>
      <c r="F54" s="135">
        <v>1</v>
      </c>
      <c r="G54" s="135"/>
      <c r="H54" s="58">
        <v>5</v>
      </c>
      <c r="I54" s="58">
        <f ca="1">--TRIM(RIGHT(SUBSTITUTE(LEFT(A53,_xlfn.AGGREGATE(16,6,FIND({0,1,2,3,4,5,6,7,8,9},A53,ROW(INDIRECT("1:"&amp;LEN(A53)))),1))," ",REPT(" ",LEN(A53))),LEN(A53)))</f>
        <v>40</v>
      </c>
      <c r="J54" s="35" t="s">
        <v>151</v>
      </c>
      <c r="K54" s="36"/>
    </row>
    <row r="55" spans="1:11" ht="20.25" customHeight="1" x14ac:dyDescent="0.3">
      <c r="A55" s="154" t="s">
        <v>149</v>
      </c>
      <c r="B55" s="154"/>
      <c r="C55" s="154" t="s">
        <v>159</v>
      </c>
      <c r="D55" s="154"/>
      <c r="E55" s="57" t="s">
        <v>160</v>
      </c>
      <c r="F55" s="154" t="s">
        <v>150</v>
      </c>
      <c r="G55" s="154"/>
      <c r="H55" s="45" t="s">
        <v>148</v>
      </c>
      <c r="I55" s="45"/>
      <c r="J55" s="38" t="s">
        <v>161</v>
      </c>
      <c r="K55" s="37">
        <f ca="1">I54*25%</f>
        <v>10</v>
      </c>
    </row>
    <row r="56" spans="1:11" ht="20.25" customHeight="1" x14ac:dyDescent="0.3">
      <c r="A56" s="136" t="s">
        <v>162</v>
      </c>
      <c r="B56" s="136"/>
      <c r="C56" s="135">
        <f ca="1">K57</f>
        <v>40</v>
      </c>
      <c r="D56" s="135"/>
      <c r="E56" s="56">
        <f ca="1">((100/I54)*C56)/100</f>
        <v>1</v>
      </c>
      <c r="F56" s="136">
        <f ca="1">(((C56/I54*5)+(C57/I54*20)+(25/(F54+H54+I54)*C58)+(5/(I54)*C59)+(2.5/(I54)*C60)+(2.5/(I54)*C61)+(5/I54*C62)+(10/I54*C63)+(2.5/I54*C64)+(2.5/I54*C65)+(10/I54*C66)+(10/I54*C67))/100)</f>
        <v>0.35120923913043478</v>
      </c>
      <c r="G56" s="136"/>
      <c r="H56" s="136" t="str">
        <f ca="1">J53</f>
        <v>Excavation work Completed. Plinth work completed, RCC upto 15 Slab, Brickwork upto 9 Floor, Internal Plaster upto 6.75 Floor, External Plaster upto 6.75 Floor Completed</v>
      </c>
      <c r="I56" s="136"/>
      <c r="J56" s="38" t="s">
        <v>152</v>
      </c>
      <c r="K56" s="41">
        <f ca="1">I54*50%</f>
        <v>20</v>
      </c>
    </row>
    <row r="57" spans="1:11" ht="20.25" x14ac:dyDescent="0.3">
      <c r="A57" s="136" t="s">
        <v>132</v>
      </c>
      <c r="B57" s="136"/>
      <c r="C57" s="134">
        <f ca="1">K65</f>
        <v>40</v>
      </c>
      <c r="D57" s="135"/>
      <c r="E57" s="56">
        <f ca="1">((100/I54)*C57)/100</f>
        <v>1</v>
      </c>
      <c r="F57" s="136"/>
      <c r="G57" s="136"/>
      <c r="H57" s="136"/>
      <c r="I57" s="136"/>
      <c r="J57" s="38" t="s">
        <v>153</v>
      </c>
      <c r="K57" s="41">
        <f ca="1">I54</f>
        <v>40</v>
      </c>
    </row>
    <row r="58" spans="1:11" ht="21" customHeight="1" x14ac:dyDescent="0.35">
      <c r="A58" s="136" t="s">
        <v>163</v>
      </c>
      <c r="B58" s="136"/>
      <c r="C58" s="135">
        <v>15</v>
      </c>
      <c r="D58" s="135"/>
      <c r="E58" s="56">
        <f ca="1">((100/(F54+H54+I54))*C58)/100</f>
        <v>0.32608695652173914</v>
      </c>
      <c r="F58" s="136"/>
      <c r="G58" s="136"/>
      <c r="H58" s="136"/>
      <c r="I58" s="136"/>
      <c r="J58" s="38" t="s">
        <v>154</v>
      </c>
      <c r="K58" s="42">
        <f ca="1">(IF(E54&gt;1,(I54/(E54+2)),I54/4))</f>
        <v>10</v>
      </c>
    </row>
    <row r="59" spans="1:11" ht="21" customHeight="1" x14ac:dyDescent="0.35">
      <c r="A59" s="136" t="s">
        <v>164</v>
      </c>
      <c r="B59" s="136"/>
      <c r="C59" s="135">
        <f>C58-H54-F54</f>
        <v>9</v>
      </c>
      <c r="D59" s="135"/>
      <c r="E59" s="56">
        <f ca="1">((100/I54)*C59)/100</f>
        <v>0.22500000000000001</v>
      </c>
      <c r="F59" s="136"/>
      <c r="G59" s="136"/>
      <c r="H59" s="136"/>
      <c r="I59" s="136"/>
      <c r="J59" s="38" t="s">
        <v>155</v>
      </c>
      <c r="K59" s="42">
        <f ca="1">(IF(E54&gt;1,(I54/(E54+2)+K58),I54/4+K58))</f>
        <v>20</v>
      </c>
    </row>
    <row r="60" spans="1:11" ht="21" customHeight="1" x14ac:dyDescent="0.35">
      <c r="A60" s="137" t="s">
        <v>165</v>
      </c>
      <c r="B60" s="138"/>
      <c r="C60" s="134">
        <f>C59*0.75</f>
        <v>6.75</v>
      </c>
      <c r="D60" s="134"/>
      <c r="E60" s="56">
        <f ca="1">((100/I54)*C60)/100</f>
        <v>0.16875000000000001</v>
      </c>
      <c r="F60" s="136"/>
      <c r="G60" s="136"/>
      <c r="H60" s="136"/>
      <c r="I60" s="136"/>
      <c r="J60" s="38" t="s">
        <v>166</v>
      </c>
      <c r="K60" s="42">
        <f>(IF(E54&gt;1,(I54/(E54+2)+K59),0))</f>
        <v>0</v>
      </c>
    </row>
    <row r="61" spans="1:11" ht="21" customHeight="1" x14ac:dyDescent="0.35">
      <c r="A61" s="137" t="s">
        <v>306</v>
      </c>
      <c r="B61" s="138"/>
      <c r="C61" s="134">
        <f>C60</f>
        <v>6.75</v>
      </c>
      <c r="D61" s="134"/>
      <c r="E61" s="56">
        <f ca="1">((100/I54)*C61)/100</f>
        <v>0.16875000000000001</v>
      </c>
      <c r="F61" s="136"/>
      <c r="G61" s="136"/>
      <c r="H61" s="136"/>
      <c r="I61" s="136"/>
      <c r="J61" s="38" t="s">
        <v>167</v>
      </c>
      <c r="K61" s="42">
        <f>(IF(E54&gt;2,(I54/(E54+2)+K60),0))</f>
        <v>0</v>
      </c>
    </row>
    <row r="62" spans="1:11" ht="57.75" customHeight="1" x14ac:dyDescent="0.35">
      <c r="A62" s="137" t="s">
        <v>307</v>
      </c>
      <c r="B62" s="138"/>
      <c r="C62" s="135">
        <v>0</v>
      </c>
      <c r="D62" s="135"/>
      <c r="E62" s="56">
        <f ca="1">((100/(I54))*C62)/100</f>
        <v>0</v>
      </c>
      <c r="F62" s="136"/>
      <c r="G62" s="136"/>
      <c r="H62" s="136"/>
      <c r="I62" s="136"/>
      <c r="J62" s="38" t="s">
        <v>169</v>
      </c>
      <c r="K62" s="43">
        <f>(IF(E54&gt;3,(I54/(E54+2)+K61),0))</f>
        <v>0</v>
      </c>
    </row>
    <row r="63" spans="1:11" ht="21" x14ac:dyDescent="0.35">
      <c r="A63" s="136" t="s">
        <v>168</v>
      </c>
      <c r="B63" s="136"/>
      <c r="C63" s="135">
        <v>0</v>
      </c>
      <c r="D63" s="135"/>
      <c r="E63" s="56">
        <f ca="1">((100/(I54))*C63)/100</f>
        <v>0</v>
      </c>
      <c r="F63" s="136"/>
      <c r="G63" s="136"/>
      <c r="H63" s="136"/>
      <c r="I63" s="136"/>
      <c r="J63" s="38" t="s">
        <v>170</v>
      </c>
      <c r="K63" s="42">
        <f>(IF(E54&gt;4,(I54/(E54+2)+K62),0))</f>
        <v>0</v>
      </c>
    </row>
    <row r="64" spans="1:11" ht="21" customHeight="1" x14ac:dyDescent="0.35">
      <c r="A64" s="136" t="s">
        <v>308</v>
      </c>
      <c r="B64" s="136"/>
      <c r="C64" s="135">
        <v>0</v>
      </c>
      <c r="D64" s="135"/>
      <c r="E64" s="56">
        <f ca="1">((100/I54)*C64)/100</f>
        <v>0</v>
      </c>
      <c r="F64" s="136"/>
      <c r="G64" s="136"/>
      <c r="H64" s="136"/>
      <c r="I64" s="136"/>
      <c r="J64" s="38" t="s">
        <v>156</v>
      </c>
      <c r="K64" s="42">
        <f ca="1">(IF(E54=1,(I54/(E54+3)+K59),IF(E54=0,(I54/4+K59),IF(E54&gt;1,0))))</f>
        <v>30</v>
      </c>
    </row>
    <row r="65" spans="1:13" ht="51.75" customHeight="1" thickBot="1" x14ac:dyDescent="0.4">
      <c r="A65" s="136" t="s">
        <v>309</v>
      </c>
      <c r="B65" s="136"/>
      <c r="C65" s="135">
        <v>0</v>
      </c>
      <c r="D65" s="135"/>
      <c r="E65" s="56">
        <f ca="1">((100/I54)*C65)/100</f>
        <v>0</v>
      </c>
      <c r="F65" s="136"/>
      <c r="G65" s="136"/>
      <c r="H65" s="136"/>
      <c r="I65" s="136"/>
      <c r="J65" s="39" t="s">
        <v>157</v>
      </c>
      <c r="K65" s="44">
        <f ca="1">(IF(E54&gt;1.5,(I54/(E54+2)+K58+MAX(0,K59-K58)+MAX(0,K60-K59)+MAX(0,K61-K60)+MAX(0,K62-K61)+MAX(0,K63-K62)),IF(E54=1,(I54/(E54+3)+K64),IF(E54=0,I54/4+K64))))</f>
        <v>40</v>
      </c>
      <c r="M65" s="1" t="e">
        <f>(IF(D53&gt;1.5,(H53/(D53+2)+J58+MAX(0,J59-J58)+MAX(0,J60-J59)+MAX(0,J61-J60)+MAX(0,J62-J61)+MAX(0,J63-J62)),IF(D53=1,(H53/(D53+3)+J63),IF(D53=0,H53*0.3+J63))))</f>
        <v>#VALUE!</v>
      </c>
    </row>
    <row r="66" spans="1:13" ht="20.25" x14ac:dyDescent="0.25">
      <c r="A66" s="136" t="s">
        <v>171</v>
      </c>
      <c r="B66" s="136"/>
      <c r="C66" s="135">
        <v>0</v>
      </c>
      <c r="D66" s="135"/>
      <c r="E66" s="56">
        <f ca="1">((100/(I54))*C66)/100</f>
        <v>0</v>
      </c>
      <c r="F66" s="136"/>
      <c r="G66" s="136"/>
      <c r="H66" s="136"/>
      <c r="I66" s="136"/>
    </row>
    <row r="67" spans="1:13" ht="20.25" x14ac:dyDescent="0.25">
      <c r="A67" s="136" t="s">
        <v>172</v>
      </c>
      <c r="B67" s="136"/>
      <c r="C67" s="135">
        <v>0</v>
      </c>
      <c r="D67" s="135"/>
      <c r="E67" s="56">
        <f ca="1">((100/(I54))*C67)/100</f>
        <v>0</v>
      </c>
      <c r="F67" s="136"/>
      <c r="G67" s="136"/>
      <c r="H67" s="136"/>
      <c r="I67" s="136"/>
    </row>
    <row r="68" spans="1:13" ht="20.25" x14ac:dyDescent="0.25">
      <c r="A68" s="84" t="s">
        <v>78</v>
      </c>
      <c r="B68" s="85"/>
      <c r="C68" s="85"/>
      <c r="D68" s="85"/>
      <c r="E68" s="85"/>
      <c r="F68" s="85"/>
      <c r="G68" s="85"/>
      <c r="H68" s="85"/>
      <c r="I68" s="86"/>
    </row>
    <row r="69" spans="1:13" ht="60.75" x14ac:dyDescent="0.25">
      <c r="A69" s="87" t="s">
        <v>79</v>
      </c>
      <c r="B69" s="87"/>
      <c r="C69" s="87"/>
      <c r="D69" s="3" t="s">
        <v>4</v>
      </c>
      <c r="E69" s="15" t="s">
        <v>137</v>
      </c>
      <c r="F69" s="21" t="s">
        <v>173</v>
      </c>
      <c r="G69" s="3" t="s">
        <v>4</v>
      </c>
      <c r="H69" s="88" t="s">
        <v>248</v>
      </c>
      <c r="I69" s="88"/>
    </row>
    <row r="70" spans="1:13" ht="60.75" x14ac:dyDescent="0.25">
      <c r="A70" s="87" t="s">
        <v>185</v>
      </c>
      <c r="B70" s="87"/>
      <c r="C70" s="87"/>
      <c r="D70" s="2" t="s">
        <v>133</v>
      </c>
      <c r="E70" s="50" t="s">
        <v>247</v>
      </c>
      <c r="F70" s="21" t="s">
        <v>186</v>
      </c>
      <c r="G70" s="2" t="s">
        <v>4</v>
      </c>
      <c r="H70" s="73" t="s">
        <v>174</v>
      </c>
      <c r="I70" s="73"/>
    </row>
    <row r="71" spans="1:13" ht="26.25" customHeight="1" x14ac:dyDescent="0.25">
      <c r="A71" s="131" t="s">
        <v>82</v>
      </c>
      <c r="B71" s="131"/>
      <c r="C71" s="131"/>
      <c r="D71" s="3" t="s">
        <v>4</v>
      </c>
      <c r="E71" s="50">
        <v>800000</v>
      </c>
      <c r="F71" s="3" t="s">
        <v>130</v>
      </c>
      <c r="G71" s="3" t="s">
        <v>4</v>
      </c>
      <c r="H71" s="132" t="s">
        <v>138</v>
      </c>
      <c r="I71" s="133"/>
    </row>
    <row r="72" spans="1:13" ht="20.25" hidden="1" x14ac:dyDescent="0.25">
      <c r="A72" s="87" t="s">
        <v>120</v>
      </c>
      <c r="B72" s="87"/>
      <c r="C72" s="87"/>
      <c r="D72" s="2" t="s">
        <v>4</v>
      </c>
      <c r="E72" s="18" t="s">
        <v>121</v>
      </c>
      <c r="F72" s="21" t="s">
        <v>122</v>
      </c>
      <c r="G72" s="2" t="s">
        <v>4</v>
      </c>
      <c r="H72" s="73" t="s">
        <v>100</v>
      </c>
      <c r="I72" s="73"/>
    </row>
    <row r="73" spans="1:13" ht="60.75" hidden="1" x14ac:dyDescent="0.25">
      <c r="A73" s="87" t="s">
        <v>123</v>
      </c>
      <c r="B73" s="87"/>
      <c r="C73" s="87"/>
      <c r="D73" s="2" t="s">
        <v>4</v>
      </c>
      <c r="E73" s="18" t="s">
        <v>124</v>
      </c>
      <c r="F73" s="21" t="s">
        <v>125</v>
      </c>
      <c r="G73" s="2" t="s">
        <v>4</v>
      </c>
      <c r="H73" s="73" t="s">
        <v>126</v>
      </c>
      <c r="I73" s="73"/>
    </row>
    <row r="74" spans="1:13" ht="20.25" hidden="1" x14ac:dyDescent="0.25">
      <c r="A74" s="87" t="s">
        <v>81</v>
      </c>
      <c r="B74" s="87"/>
      <c r="C74" s="87"/>
      <c r="D74" s="2" t="s">
        <v>4</v>
      </c>
      <c r="E74" s="18" t="s">
        <v>102</v>
      </c>
      <c r="F74" s="21" t="s">
        <v>80</v>
      </c>
      <c r="G74" s="2" t="s">
        <v>4</v>
      </c>
      <c r="H74" s="74" t="s">
        <v>102</v>
      </c>
      <c r="I74" s="76"/>
    </row>
    <row r="75" spans="1:13" ht="20.25" hidden="1" x14ac:dyDescent="0.25">
      <c r="A75" s="87" t="s">
        <v>127</v>
      </c>
      <c r="B75" s="87"/>
      <c r="C75" s="87"/>
      <c r="D75" s="2" t="s">
        <v>4</v>
      </c>
      <c r="E75" s="18" t="s">
        <v>101</v>
      </c>
      <c r="F75" s="21" t="s">
        <v>82</v>
      </c>
      <c r="G75" s="2" t="s">
        <v>4</v>
      </c>
      <c r="H75" s="73" t="s">
        <v>119</v>
      </c>
      <c r="I75" s="73"/>
    </row>
    <row r="76" spans="1:13" ht="20.25" hidden="1" x14ac:dyDescent="0.25">
      <c r="A76" s="87" t="s">
        <v>128</v>
      </c>
      <c r="B76" s="87"/>
      <c r="C76" s="87"/>
      <c r="D76" s="2" t="s">
        <v>4</v>
      </c>
      <c r="E76" s="19" t="s">
        <v>112</v>
      </c>
      <c r="F76" s="21" t="s">
        <v>129</v>
      </c>
      <c r="G76" s="2" t="s">
        <v>4</v>
      </c>
      <c r="H76" s="139" t="s">
        <v>112</v>
      </c>
      <c r="I76" s="139"/>
    </row>
    <row r="77" spans="1:13" ht="18" hidden="1" customHeight="1" x14ac:dyDescent="0.25">
      <c r="A77" s="131" t="s">
        <v>130</v>
      </c>
      <c r="B77" s="131"/>
      <c r="C77" s="131"/>
      <c r="D77" s="3" t="s">
        <v>4</v>
      </c>
      <c r="E77" s="10"/>
      <c r="F77" s="3" t="s">
        <v>130</v>
      </c>
      <c r="G77" s="3" t="s">
        <v>4</v>
      </c>
      <c r="H77" s="140" t="s">
        <v>112</v>
      </c>
      <c r="I77" s="141"/>
    </row>
    <row r="78" spans="1:13" ht="20.25" x14ac:dyDescent="0.25">
      <c r="A78" s="84" t="s">
        <v>77</v>
      </c>
      <c r="B78" s="85"/>
      <c r="C78" s="85"/>
      <c r="D78" s="85"/>
      <c r="E78" s="85"/>
      <c r="F78" s="85"/>
      <c r="G78" s="85"/>
      <c r="H78" s="85"/>
      <c r="I78" s="86"/>
    </row>
    <row r="79" spans="1:13" ht="20.25" x14ac:dyDescent="0.25">
      <c r="A79" s="77" t="s">
        <v>9</v>
      </c>
      <c r="B79" s="78"/>
      <c r="C79" s="78"/>
      <c r="D79" s="78"/>
      <c r="E79" s="78"/>
      <c r="F79" s="79"/>
      <c r="G79" s="2" t="s">
        <v>4</v>
      </c>
      <c r="H79" s="144">
        <f>43400/10.764</f>
        <v>4031.9583797844671</v>
      </c>
      <c r="I79" s="145"/>
    </row>
    <row r="80" spans="1:13" ht="20.25" x14ac:dyDescent="0.25">
      <c r="A80" s="77" t="s">
        <v>33</v>
      </c>
      <c r="B80" s="78"/>
      <c r="C80" s="78"/>
      <c r="D80" s="78"/>
      <c r="E80" s="78"/>
      <c r="F80" s="79"/>
      <c r="G80" s="2" t="s">
        <v>4</v>
      </c>
      <c r="H80" s="89">
        <f>103400/10.764</f>
        <v>9606.0943887030844</v>
      </c>
      <c r="I80" s="89"/>
    </row>
    <row r="81" spans="1:151 16227:16384" ht="20.25" x14ac:dyDescent="0.25">
      <c r="A81" s="77" t="s">
        <v>139</v>
      </c>
      <c r="B81" s="78"/>
      <c r="C81" s="78"/>
      <c r="D81" s="78"/>
      <c r="E81" s="78"/>
      <c r="F81" s="79"/>
      <c r="G81" s="2" t="s">
        <v>4</v>
      </c>
      <c r="H81" s="89">
        <f>H79*0.8</f>
        <v>3225.5667038275737</v>
      </c>
      <c r="I81" s="89"/>
    </row>
    <row r="82" spans="1:151 16227:16384" ht="20.25" hidden="1" x14ac:dyDescent="0.25">
      <c r="A82" s="104" t="s">
        <v>85</v>
      </c>
      <c r="B82" s="105"/>
      <c r="C82" s="105"/>
      <c r="D82" s="105"/>
      <c r="E82" s="105"/>
      <c r="F82" s="105"/>
      <c r="G82" s="105"/>
      <c r="H82" s="105"/>
      <c r="I82" s="94"/>
    </row>
    <row r="83" spans="1:151 16227:16384" s="11" customFormat="1" ht="40.5" hidden="1" x14ac:dyDescent="0.25">
      <c r="A83" s="95" t="s">
        <v>182</v>
      </c>
      <c r="B83" s="96"/>
      <c r="C83" s="95" t="s">
        <v>183</v>
      </c>
      <c r="D83" s="96"/>
      <c r="E83" s="47" t="s">
        <v>184</v>
      </c>
      <c r="F83" s="95" t="s">
        <v>181</v>
      </c>
      <c r="G83" s="96"/>
      <c r="H83" s="47" t="s">
        <v>180</v>
      </c>
      <c r="I83" s="47" t="s">
        <v>179</v>
      </c>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c r="XFD83" s="1"/>
    </row>
    <row r="84" spans="1:151 16227:16384" s="11" customFormat="1" ht="20.25" hidden="1" x14ac:dyDescent="0.25">
      <c r="A84" s="142" t="s">
        <v>197</v>
      </c>
      <c r="B84" s="143"/>
      <c r="C84" s="142" t="s">
        <v>98</v>
      </c>
      <c r="D84" s="143"/>
      <c r="E84" s="48" t="s">
        <v>240</v>
      </c>
      <c r="F84" s="142">
        <f>COUNT(F99:G100)+COUNT(F105:G106)+COUNT(F111:G112)+COUNT(F118:G119)+COUNT(F124:G126)+COUNT(F128:G128)+COUNT(F130:G132)+COUNT(F134:G138)*12+COUNT(F140:G145)*16+COUNT(F147:G151)*5+COUNT(F153:G155)*5+COUNT(F157:G158)*5+COUNT(F160:G164)*2+COUNT(F166:G170)+COUNT(F173:G174)+COUNT(F176)+COUNT(F179:G180)*2+COUNT(F182:G183)*2+COUNT(F185:G188)*2+COUNT(F191:G192)+COUNT(F194:G195)+COUNT(F197:G198)+COUNT(F200:G201)+COUNT(F203:G206)+COUNT(F208)</f>
        <v>268</v>
      </c>
      <c r="G84" s="143"/>
      <c r="H84" s="48">
        <f>SUM(F99:G100)+SUM(F105:G106)+SUM(F111:G112)+SUM(F118:G119)+SUM(F124:G126)+SUM(F128:G128)+SUM(F130:G132)+SUM(F134:G138)*12+SUM(F140:G145)*16+SUM(F147:G151)*5+SUM(F153:G155)*5+SUM(F157:G158)*5+SUM(F160:G164)*2+SUM(F166:G170)+SUM(F173:G174)+SUM(F176)+SUM(F179:G180)*2+SUM(F182:G183)*2+SUM(F185:G188)*2+SUM(F190:G192)+SUM(F194:G195)+SUM(F197:G198)+SUM(F200:G201)+SUM(F203:G206)+SUM(F208)</f>
        <v>367346.5844255999</v>
      </c>
      <c r="I84" s="48">
        <f>SUM(I99:I100)+SUM(I105:I106)+SUM(I111:I112)+SUM(I118:I119)+SUM(I124:I126)+SUM(I128:I128)+SUM(I130:I132)+SUM(I134:I138)*12+SUM(I140:I145)*16+SUM(I147:I151)*5+SUM(I153:I155)*5+SUM(I157:I158)*5+SUM(I160:I164)*2+SUM(I166:I170)+SUM(I173:I174)+SUM(I176)+SUM(I179:I180)*2+SUM(I182:I183)*2+SUM(I185:I188)*2+SUM(I190:I192)+SUM(I194:I195)+SUM(I197:I198)+SUM(I200:I201)+SUM(I203:I206)+SUM(I208)</f>
        <v>551019.87663840014</v>
      </c>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c r="XFD84" s="1"/>
    </row>
    <row r="85" spans="1:151 16227:16384" s="11" customFormat="1" ht="20.25" hidden="1" x14ac:dyDescent="0.25">
      <c r="A85" s="142" t="s">
        <v>269</v>
      </c>
      <c r="B85" s="143"/>
      <c r="C85" s="142" t="s">
        <v>98</v>
      </c>
      <c r="D85" s="143"/>
      <c r="E85" s="48" t="s">
        <v>240</v>
      </c>
      <c r="F85" s="142">
        <f>COUNT(F221:G222)+COUNT(F227:G228)+COUNT(F233:G234)+COUNT(F238)+COUNT(F240)+COUNT(F244:G246)+COUNT(F248:G252)+COUNT(F254:G259)*18+COUNT(F261:G263)*5+COUNT(F265:G266)*5+COUNT(F268:G273)*14+COUNT(F275:G277,F279:G280)*2+COUNT(F282:G287)*3+COUNT(F289:G291,F293:G294)+COUNT(F296:G301)+COUNT(F303:G304)+COUNT(F310:G314)+COUNT(F316)+COUNT(F322:G325)+COUNT(F327)</f>
        <v>285</v>
      </c>
      <c r="G85" s="143"/>
      <c r="H85" s="48">
        <f>SUM(F221:G222)+SUM(F227:G228)+SUM(F233:G234)+SUM(F238)+SUM(F240)+SUM(F244:G246)+SUM(F248:G252)+SUM(F254:G259)*18+SUM(F261:G263)*5+SUM(F265:G266)*5+SUM(F268:G273)*14+SUM(F275:G277,F279:G280)*2+SUM(F282:G287)*3+SUM(F289:G291,F293:G294)+SUM(F296:G301)+SUM(F303:G304)+SUM(F310:G314)+SUM(F316)+SUM(F322:G325)+SUM(F327)</f>
        <v>364888.32793919992</v>
      </c>
      <c r="I85" s="48">
        <f>SUM(G221:I222)+SUM(G227:I228)+SUM(G233:I234)+SUM(I238)+SUM(I240)+SUM(G244:I246)+SUM(G248:I252)+SUM(G254:I259)*18+SUM(G261:I263)*5+SUM(G265:I266)*5+SUM(G268:I273)*14+SUM(G275:I277,G279:I280)*2+SUM(G282:I287)*3+SUM(G289:I291,G293:I294)+SUM(G296:I301)+SUM(G303:I304)+SUM(G310:I314)+SUM(I316)+SUM(G322:I325)+SUM(I327)</f>
        <v>547332.49190879997</v>
      </c>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c r="XFD85" s="1"/>
    </row>
    <row r="86" spans="1:151 16227:16384" s="11" customFormat="1" ht="20.25" hidden="1" x14ac:dyDescent="0.25">
      <c r="A86" s="142" t="s">
        <v>260</v>
      </c>
      <c r="B86" s="143"/>
      <c r="C86" s="142" t="s">
        <v>98</v>
      </c>
      <c r="D86" s="143"/>
      <c r="E86" s="48" t="s">
        <v>240</v>
      </c>
      <c r="F86" s="142">
        <f>SUM(F84:G85)</f>
        <v>553</v>
      </c>
      <c r="G86" s="143"/>
      <c r="H86" s="48">
        <f>SUM(H84:H85)</f>
        <v>732234.91236479976</v>
      </c>
      <c r="I86" s="48">
        <f>SUM(I84:I85)</f>
        <v>1098352.3685472002</v>
      </c>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c r="XFD86" s="1"/>
    </row>
    <row r="87" spans="1:151 16227:16384" ht="20.25" hidden="1" x14ac:dyDescent="0.25">
      <c r="A87" s="92" t="s">
        <v>241</v>
      </c>
      <c r="B87" s="93"/>
      <c r="C87" s="93"/>
      <c r="D87" s="93"/>
      <c r="E87" s="93"/>
      <c r="F87" s="93"/>
      <c r="G87" s="93"/>
      <c r="H87" s="93"/>
      <c r="I87" s="94"/>
    </row>
    <row r="88" spans="1:151 16227:16384" ht="44.25" hidden="1" customHeight="1" x14ac:dyDescent="0.25">
      <c r="A88" s="91" t="s">
        <v>107</v>
      </c>
      <c r="B88" s="91"/>
      <c r="C88" s="91" t="s">
        <v>103</v>
      </c>
      <c r="D88" s="91"/>
      <c r="E88" s="91" t="s">
        <v>104</v>
      </c>
      <c r="F88" s="91" t="s">
        <v>105</v>
      </c>
      <c r="G88" s="91"/>
      <c r="H88" s="91" t="s">
        <v>106</v>
      </c>
      <c r="I88" s="32" t="s">
        <v>158</v>
      </c>
    </row>
    <row r="89" spans="1:151 16227:16384" s="11" customFormat="1" ht="20.25" hidden="1" x14ac:dyDescent="0.25">
      <c r="A89" s="91"/>
      <c r="B89" s="91"/>
      <c r="C89" s="91"/>
      <c r="D89" s="91"/>
      <c r="E89" s="91"/>
      <c r="F89" s="91"/>
      <c r="G89" s="91"/>
      <c r="H89" s="91"/>
      <c r="I89" s="33">
        <v>0.5</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c r="XFD89" s="1"/>
    </row>
    <row r="90" spans="1:151 16227:16384" s="11" customFormat="1" ht="20.25" hidden="1" x14ac:dyDescent="0.25">
      <c r="A90" s="61" t="s">
        <v>196</v>
      </c>
      <c r="B90" s="62"/>
      <c r="C90" s="62"/>
      <c r="D90" s="62"/>
      <c r="E90" s="62"/>
      <c r="F90" s="62"/>
      <c r="G90" s="62"/>
      <c r="H90" s="62"/>
      <c r="I90" s="97"/>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c r="XFD90" s="1"/>
    </row>
    <row r="91" spans="1:151 16227:16384" s="11" customFormat="1" ht="20.25" hidden="1" x14ac:dyDescent="0.25">
      <c r="A91" s="61" t="s">
        <v>198</v>
      </c>
      <c r="B91" s="62"/>
      <c r="C91" s="62"/>
      <c r="D91" s="62"/>
      <c r="E91" s="62"/>
      <c r="F91" s="62"/>
      <c r="G91" s="62"/>
      <c r="H91" s="62"/>
      <c r="I91" s="97"/>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c r="XFD91" s="1"/>
    </row>
    <row r="92" spans="1:151 16227:16384" s="11" customFormat="1" ht="20.25" hidden="1" x14ac:dyDescent="0.25">
      <c r="A92" s="61" t="s">
        <v>199</v>
      </c>
      <c r="B92" s="62"/>
      <c r="C92" s="62"/>
      <c r="D92" s="62"/>
      <c r="E92" s="62"/>
      <c r="F92" s="62"/>
      <c r="G92" s="62"/>
      <c r="H92" s="62"/>
      <c r="I92" s="97"/>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c r="XFD92" s="1"/>
    </row>
    <row r="93" spans="1:151 16227:16384" s="11" customFormat="1" ht="20.25" hidden="1" x14ac:dyDescent="0.25">
      <c r="A93" s="61" t="s">
        <v>200</v>
      </c>
      <c r="B93" s="62"/>
      <c r="C93" s="62"/>
      <c r="D93" s="62"/>
      <c r="E93" s="62"/>
      <c r="F93" s="62"/>
      <c r="G93" s="62"/>
      <c r="H93" s="62"/>
      <c r="I93" s="97"/>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c r="XFD93" s="1"/>
    </row>
    <row r="94" spans="1:151 16227:16384" s="11" customFormat="1" ht="20.25" hidden="1" x14ac:dyDescent="0.25">
      <c r="A94" s="61" t="s">
        <v>201</v>
      </c>
      <c r="B94" s="62"/>
      <c r="C94" s="62"/>
      <c r="D94" s="62"/>
      <c r="E94" s="62"/>
      <c r="F94" s="62"/>
      <c r="G94" s="62"/>
      <c r="H94" s="62"/>
      <c r="I94" s="97"/>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c r="XFD94" s="1"/>
    </row>
    <row r="95" spans="1:151 16227:16384" s="11" customFormat="1" ht="20.25" hidden="1" x14ac:dyDescent="0.25">
      <c r="A95" s="61" t="s">
        <v>202</v>
      </c>
      <c r="B95" s="62"/>
      <c r="C95" s="62"/>
      <c r="D95" s="62"/>
      <c r="E95" s="62"/>
      <c r="F95" s="62"/>
      <c r="G95" s="62"/>
      <c r="H95" s="62"/>
      <c r="I95" s="97"/>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c r="XFD95" s="1"/>
    </row>
    <row r="96" spans="1:151 16227:16384" s="11" customFormat="1" ht="20.25" hidden="1" customHeight="1" x14ac:dyDescent="0.25">
      <c r="A96" s="64" t="str">
        <f>A95</f>
        <v>4th Podium Floor For Residential, Parking &amp; Amenities</v>
      </c>
      <c r="B96" s="65"/>
      <c r="C96" s="90" t="s">
        <v>206</v>
      </c>
      <c r="D96" s="90"/>
      <c r="E96" s="70" t="s">
        <v>203</v>
      </c>
      <c r="F96" s="72"/>
      <c r="G96" s="72"/>
      <c r="H96" s="72"/>
      <c r="I96" s="72"/>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c r="XFD96" s="1"/>
    </row>
    <row r="97" spans="1:151 16227:16384" s="11" customFormat="1" ht="20.25" hidden="1" customHeight="1" x14ac:dyDescent="0.25">
      <c r="A97" s="66"/>
      <c r="B97" s="67"/>
      <c r="C97" s="90" t="s">
        <v>207</v>
      </c>
      <c r="D97" s="90"/>
      <c r="E97" s="70" t="s">
        <v>203</v>
      </c>
      <c r="F97" s="72"/>
      <c r="G97" s="72"/>
      <c r="H97" s="72">
        <v>0</v>
      </c>
      <c r="I97" s="72">
        <f>F97*(($I$89)+1)+H97</f>
        <v>0</v>
      </c>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c r="XFD97" s="1"/>
    </row>
    <row r="98" spans="1:151 16227:16384" s="11" customFormat="1" ht="20.25" hidden="1" customHeight="1" x14ac:dyDescent="0.25">
      <c r="A98" s="66"/>
      <c r="B98" s="67"/>
      <c r="C98" s="90" t="s">
        <v>208</v>
      </c>
      <c r="D98" s="90"/>
      <c r="E98" s="70" t="s">
        <v>204</v>
      </c>
      <c r="F98" s="72"/>
      <c r="G98" s="72"/>
      <c r="H98" s="72">
        <v>0</v>
      </c>
      <c r="I98" s="72">
        <f>F98*(($I$89)+1)+H98</f>
        <v>0</v>
      </c>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c r="XFD98" s="1"/>
    </row>
    <row r="99" spans="1:151 16227:16384" s="11" customFormat="1" ht="20.25" hidden="1" customHeight="1" x14ac:dyDescent="0.25">
      <c r="A99" s="66"/>
      <c r="B99" s="67"/>
      <c r="C99" s="90" t="s">
        <v>209</v>
      </c>
      <c r="D99" s="90"/>
      <c r="E99" s="20" t="s">
        <v>205</v>
      </c>
      <c r="F99" s="70">
        <f>(1.9*2.59+3.36*6.23+3.05*2.44+2.89*2.73+3.05*3.35+3.36*4.55+3.45*3.97+1.85*1.05+(1.38*2.14+1.38*1.06+2.85*1.53+2.29*1.38)+(3.36*1.07+1*2.44)+(0.6*(3.35+3.05+3.45)))*10.764</f>
        <v>1143.2648915999998</v>
      </c>
      <c r="G99" s="71"/>
      <c r="H99" s="20">
        <v>0</v>
      </c>
      <c r="I99" s="20">
        <f>F99*(($I$89)+1)+H99</f>
        <v>1714.8973373999997</v>
      </c>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c r="XFD99" s="1"/>
    </row>
    <row r="100" spans="1:151 16227:16384" s="11" customFormat="1" ht="20.25" hidden="1" customHeight="1" x14ac:dyDescent="0.25">
      <c r="A100" s="68"/>
      <c r="B100" s="69"/>
      <c r="C100" s="90" t="s">
        <v>210</v>
      </c>
      <c r="D100" s="90"/>
      <c r="E100" s="20" t="s">
        <v>205</v>
      </c>
      <c r="F100" s="70">
        <f>(1.9*2.59+3.36*6.23+3.05*2.44+2.89*2.73+3.05*3.35+3.36*4.55+3.45*3.97+1.85*1.05+(1.38*2.14+1.38*1.06+2.85*1.53+2.29*1.38)+(3.36*1.07+1*2.44)+(0.6*(3.35+3.05+3.45)))*10.764</f>
        <v>1143.2648915999998</v>
      </c>
      <c r="G100" s="71"/>
      <c r="H100" s="20">
        <v>0</v>
      </c>
      <c r="I100" s="20">
        <f>F100*(($I$89)+1)+H100</f>
        <v>1714.8973373999997</v>
      </c>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1" customFormat="1" ht="20.25" hidden="1" x14ac:dyDescent="0.25">
      <c r="A101" s="61" t="s">
        <v>211</v>
      </c>
      <c r="B101" s="62"/>
      <c r="C101" s="62"/>
      <c r="D101" s="62"/>
      <c r="E101" s="62"/>
      <c r="F101" s="62"/>
      <c r="G101" s="62"/>
      <c r="H101" s="62"/>
      <c r="I101" s="97"/>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1" customFormat="1" ht="20.25" hidden="1" customHeight="1" x14ac:dyDescent="0.25">
      <c r="A102" s="64" t="str">
        <f>A101</f>
        <v>5th Podium Floor For Residential, Parking &amp; Amenities</v>
      </c>
      <c r="B102" s="65"/>
      <c r="C102" s="90" t="s">
        <v>212</v>
      </c>
      <c r="D102" s="90"/>
      <c r="E102" s="70" t="s">
        <v>203</v>
      </c>
      <c r="F102" s="72"/>
      <c r="G102" s="72"/>
      <c r="H102" s="72"/>
      <c r="I102" s="72"/>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s="11" customFormat="1" ht="20.25" hidden="1" customHeight="1" x14ac:dyDescent="0.25">
      <c r="A103" s="66"/>
      <c r="B103" s="67"/>
      <c r="C103" s="90" t="s">
        <v>213</v>
      </c>
      <c r="D103" s="90"/>
      <c r="E103" s="70" t="s">
        <v>203</v>
      </c>
      <c r="F103" s="72"/>
      <c r="G103" s="72"/>
      <c r="H103" s="72">
        <v>0</v>
      </c>
      <c r="I103" s="72">
        <f>F103*(($I$89)+1)+H103</f>
        <v>0</v>
      </c>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c r="XFD103" s="1"/>
    </row>
    <row r="104" spans="1:151 16227:16384" s="11" customFormat="1" ht="20.25" hidden="1" customHeight="1" x14ac:dyDescent="0.25">
      <c r="A104" s="66"/>
      <c r="B104" s="67"/>
      <c r="C104" s="90" t="s">
        <v>214</v>
      </c>
      <c r="D104" s="90"/>
      <c r="E104" s="70" t="s">
        <v>203</v>
      </c>
      <c r="F104" s="72"/>
      <c r="G104" s="72"/>
      <c r="H104" s="72">
        <v>1</v>
      </c>
      <c r="I104" s="72">
        <f>F104*(($I$89)+1)+H104</f>
        <v>1</v>
      </c>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c r="XFD104" s="1"/>
    </row>
    <row r="105" spans="1:151 16227:16384" s="11" customFormat="1" ht="20.25" hidden="1" customHeight="1" x14ac:dyDescent="0.25">
      <c r="A105" s="66"/>
      <c r="B105" s="67"/>
      <c r="C105" s="90" t="s">
        <v>215</v>
      </c>
      <c r="D105" s="90"/>
      <c r="E105" s="20" t="s">
        <v>205</v>
      </c>
      <c r="F105" s="70">
        <f>(1.9*2.59+3.36*6.23+3.05*2.44+2.89*2.73+3.05*3.35+3.36*4.55+3.45*3.97+1.85*1.05+(1.38*2.14+1.38*1.06+2.85*1.53+2.29*1.38)+(3.36*1.07+1*2.44)+(0.6*(3.35+3.05+3.45)))*10.764</f>
        <v>1143.2648915999998</v>
      </c>
      <c r="G105" s="71"/>
      <c r="H105" s="20">
        <v>0</v>
      </c>
      <c r="I105" s="20">
        <f>F105*(($I$89)+1)+H105</f>
        <v>1714.8973373999997</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1" customFormat="1" ht="20.25" hidden="1" customHeight="1" x14ac:dyDescent="0.25">
      <c r="A106" s="68"/>
      <c r="B106" s="69"/>
      <c r="C106" s="90" t="s">
        <v>216</v>
      </c>
      <c r="D106" s="90"/>
      <c r="E106" s="20" t="s">
        <v>205</v>
      </c>
      <c r="F106" s="70">
        <f>(1.9*2.59+3.36*6.23+3.05*2.44+2.89*2.73+3.05*3.35+3.36*4.55+3.45*3.97+1.85*1.05+(1.38*2.14+1.38*1.06+2.85*1.53+2.29*1.38)+(3.36*1.07+1*2.44)+(0.6*(3.35+3.05+3.45)))*10.764</f>
        <v>1143.2648915999998</v>
      </c>
      <c r="G106" s="71"/>
      <c r="H106" s="20">
        <v>0</v>
      </c>
      <c r="I106" s="20">
        <f>F106*(($I$89)+1)+H106</f>
        <v>1714.8973373999997</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1" customFormat="1" ht="20.25" hidden="1" x14ac:dyDescent="0.25">
      <c r="A107" s="61" t="s">
        <v>217</v>
      </c>
      <c r="B107" s="62"/>
      <c r="C107" s="62"/>
      <c r="D107" s="62"/>
      <c r="E107" s="62"/>
      <c r="F107" s="62"/>
      <c r="G107" s="62"/>
      <c r="H107" s="62"/>
      <c r="I107" s="97"/>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1" customFormat="1" ht="20.25" hidden="1" customHeight="1" x14ac:dyDescent="0.25">
      <c r="A108" s="64" t="str">
        <f>A107</f>
        <v xml:space="preserve">6th Podium Floor For Residential, Parking </v>
      </c>
      <c r="B108" s="65"/>
      <c r="C108" s="90" t="s">
        <v>218</v>
      </c>
      <c r="D108" s="90"/>
      <c r="E108" s="70" t="s">
        <v>203</v>
      </c>
      <c r="F108" s="72"/>
      <c r="G108" s="72"/>
      <c r="H108" s="72"/>
      <c r="I108" s="72"/>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0.25" hidden="1" customHeight="1" x14ac:dyDescent="0.25">
      <c r="A109" s="66"/>
      <c r="B109" s="67"/>
      <c r="C109" s="90" t="s">
        <v>219</v>
      </c>
      <c r="D109" s="90"/>
      <c r="E109" s="70" t="s">
        <v>203</v>
      </c>
      <c r="F109" s="72"/>
      <c r="G109" s="72"/>
      <c r="H109" s="72">
        <v>0</v>
      </c>
      <c r="I109" s="72">
        <f>F109*(($I$89)+1)+H109</f>
        <v>0</v>
      </c>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1" customFormat="1" ht="20.25" hidden="1" customHeight="1" x14ac:dyDescent="0.25">
      <c r="A110" s="66"/>
      <c r="B110" s="67"/>
      <c r="C110" s="90" t="s">
        <v>220</v>
      </c>
      <c r="D110" s="90"/>
      <c r="E110" s="70" t="s">
        <v>203</v>
      </c>
      <c r="F110" s="72"/>
      <c r="G110" s="72"/>
      <c r="H110" s="72">
        <v>1</v>
      </c>
      <c r="I110" s="72">
        <f>F110*(($I$89)+1)+H110</f>
        <v>1</v>
      </c>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1" customFormat="1" ht="20.25" hidden="1" customHeight="1" x14ac:dyDescent="0.25">
      <c r="A111" s="66"/>
      <c r="B111" s="67"/>
      <c r="C111" s="90" t="s">
        <v>221</v>
      </c>
      <c r="D111" s="90"/>
      <c r="E111" s="20" t="s">
        <v>205</v>
      </c>
      <c r="F111" s="70">
        <f>(1.9*2.59+3.36*6.23+3.05*2.44+2.89*2.73+3.05*3.35+3.36*4.55+3.45*3.97+1.85*1.05+(1.38*2.14+1.38*1.06+2.85*1.53+2.29*1.38)+(3.36*1.07+1*2.44)+(0.6*(3.35+3.05+3.45)))*10.764</f>
        <v>1143.2648915999998</v>
      </c>
      <c r="G111" s="71"/>
      <c r="H111" s="20">
        <v>0</v>
      </c>
      <c r="I111" s="20">
        <f>F111*(($I$89)+1)+H111</f>
        <v>1714.8973373999997</v>
      </c>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1" customFormat="1" ht="20.25" hidden="1" customHeight="1" x14ac:dyDescent="0.25">
      <c r="A112" s="68"/>
      <c r="B112" s="69"/>
      <c r="C112" s="90" t="s">
        <v>222</v>
      </c>
      <c r="D112" s="90"/>
      <c r="E112" s="20" t="s">
        <v>205</v>
      </c>
      <c r="F112" s="70">
        <f>(1.9*2.59+3.36*6.23+3.05*2.44+2.89*2.73+3.05*3.35+3.36*4.55+3.45*3.97+1.85*1.05+(1.38*2.14+1.38*1.06+2.85*1.53+2.29*1.38)+(3.36*1.07+1*2.44)+(0.6*(3.35+3.05+3.45)))*10.764</f>
        <v>1143.2648915999998</v>
      </c>
      <c r="G112" s="71"/>
      <c r="H112" s="20">
        <v>0</v>
      </c>
      <c r="I112" s="20">
        <f>F112*(($I$89)+1)+H112</f>
        <v>1714.8973373999997</v>
      </c>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0.25" hidden="1" x14ac:dyDescent="0.25">
      <c r="A113" s="61" t="s">
        <v>223</v>
      </c>
      <c r="B113" s="62"/>
      <c r="C113" s="62"/>
      <c r="D113" s="62"/>
      <c r="E113" s="62"/>
      <c r="F113" s="62"/>
      <c r="G113" s="62"/>
      <c r="H113" s="62"/>
      <c r="I113" s="97"/>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0.25" hidden="1" customHeight="1" x14ac:dyDescent="0.25">
      <c r="A114" s="64" t="str">
        <f>A113</f>
        <v>Stilt / Podium Top Floor For Residential, Amenities &amp; Refuge Area</v>
      </c>
      <c r="B114" s="65"/>
      <c r="C114" s="90" t="s">
        <v>224</v>
      </c>
      <c r="D114" s="90"/>
      <c r="E114" s="70" t="s">
        <v>230</v>
      </c>
      <c r="F114" s="72"/>
      <c r="G114" s="72"/>
      <c r="H114" s="72"/>
      <c r="I114" s="7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hidden="1" customHeight="1" x14ac:dyDescent="0.25">
      <c r="A115" s="66"/>
      <c r="B115" s="67"/>
      <c r="C115" s="90" t="s">
        <v>225</v>
      </c>
      <c r="D115" s="90"/>
      <c r="E115" s="70" t="s">
        <v>230</v>
      </c>
      <c r="F115" s="72"/>
      <c r="G115" s="72"/>
      <c r="H115" s="72"/>
      <c r="I115" s="7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hidden="1" customHeight="1" x14ac:dyDescent="0.25">
      <c r="A116" s="66"/>
      <c r="B116" s="67"/>
      <c r="C116" s="90" t="s">
        <v>226</v>
      </c>
      <c r="D116" s="90"/>
      <c r="E116" s="70" t="s">
        <v>230</v>
      </c>
      <c r="F116" s="72"/>
      <c r="G116" s="72"/>
      <c r="H116" s="72"/>
      <c r="I116" s="7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hidden="1" customHeight="1" x14ac:dyDescent="0.25">
      <c r="A117" s="66"/>
      <c r="B117" s="67"/>
      <c r="C117" s="90" t="s">
        <v>227</v>
      </c>
      <c r="D117" s="90"/>
      <c r="E117" s="70" t="s">
        <v>231</v>
      </c>
      <c r="F117" s="72"/>
      <c r="G117" s="72"/>
      <c r="H117" s="72">
        <v>1</v>
      </c>
      <c r="I117" s="72">
        <f>F117*(($I$89)+1)+H117</f>
        <v>1</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hidden="1" customHeight="1" x14ac:dyDescent="0.25">
      <c r="A118" s="66"/>
      <c r="B118" s="67"/>
      <c r="C118" s="90" t="s">
        <v>228</v>
      </c>
      <c r="D118" s="90"/>
      <c r="E118" s="20" t="s">
        <v>205</v>
      </c>
      <c r="F118" s="70">
        <f>(1.9*2.59+3.36*6.23+3.05*2.44+2.89*2.73+3.05*3.35+3.36*4.55+3.45*3.97+1.85*1.05+(1.38*2.14+1.38*1.06+2.85*1.53+2.29*1.38)+(3.36*1.07+1*2.44)+(0.6*(3.35+3.05+3.45)))*10.764</f>
        <v>1143.2648915999998</v>
      </c>
      <c r="G118" s="71"/>
      <c r="H118" s="20">
        <v>0</v>
      </c>
      <c r="I118" s="20">
        <f>F118*(($I$89)+1)+H118</f>
        <v>1714.8973373999997</v>
      </c>
      <c r="J118" s="1">
        <f>23200000/F118</f>
        <v>20292.759946062532</v>
      </c>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hidden="1" customHeight="1" x14ac:dyDescent="0.25">
      <c r="A119" s="68"/>
      <c r="B119" s="69"/>
      <c r="C119" s="90" t="s">
        <v>229</v>
      </c>
      <c r="D119" s="90"/>
      <c r="E119" s="20" t="s">
        <v>232</v>
      </c>
      <c r="F119" s="70">
        <f>(1.95*1.53+1.25*3.05+3*3.08+3.05*3.5+2.75*3.08+3.65*8.38+3.59*4.6+4.26*3.59+1*1.73+1*1.22+(1.53*2.29+1.38*2.44+2.44*1.53+2.44*1.53)+(3.9*1.53+2.75*1.53+1*1.53)+(0.6*(3+3.4+4.26+3.59+2.8)))*10.764</f>
        <v>1472.4850607999999</v>
      </c>
      <c r="G119" s="71"/>
      <c r="H119" s="20">
        <v>0</v>
      </c>
      <c r="I119" s="20">
        <f>F119*(($I$89)+1)+H119</f>
        <v>2208.7275912</v>
      </c>
      <c r="J119" s="1">
        <f>34000000/F119</f>
        <v>23090.217283106307</v>
      </c>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hidden="1" x14ac:dyDescent="0.25">
      <c r="A120" s="61" t="s">
        <v>236</v>
      </c>
      <c r="B120" s="62"/>
      <c r="C120" s="62"/>
      <c r="D120" s="62"/>
      <c r="E120" s="62"/>
      <c r="F120" s="62"/>
      <c r="G120" s="62"/>
      <c r="H120" s="62"/>
      <c r="I120" s="97"/>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hidden="1" customHeight="1" x14ac:dyDescent="0.25">
      <c r="A121" s="64" t="str">
        <f>A120</f>
        <v>1st Floor For Residential &amp; Amenities</v>
      </c>
      <c r="B121" s="65"/>
      <c r="C121" s="90">
        <v>1</v>
      </c>
      <c r="D121" s="90"/>
      <c r="E121" s="70" t="s">
        <v>233</v>
      </c>
      <c r="F121" s="72"/>
      <c r="G121" s="72"/>
      <c r="H121" s="72"/>
      <c r="I121" s="72">
        <f t="shared" ref="I121:I126" si="0">F121*(($I$89)+1)+H121</f>
        <v>0</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hidden="1" customHeight="1" x14ac:dyDescent="0.25">
      <c r="A122" s="66"/>
      <c r="B122" s="67"/>
      <c r="C122" s="90">
        <v>2</v>
      </c>
      <c r="D122" s="90"/>
      <c r="E122" s="70" t="s">
        <v>234</v>
      </c>
      <c r="F122" s="72"/>
      <c r="G122" s="72"/>
      <c r="H122" s="72"/>
      <c r="I122" s="72">
        <f t="shared" si="0"/>
        <v>0</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hidden="1" customHeight="1" x14ac:dyDescent="0.25">
      <c r="A123" s="66"/>
      <c r="B123" s="67"/>
      <c r="C123" s="90">
        <f>C122+1</f>
        <v>3</v>
      </c>
      <c r="D123" s="90"/>
      <c r="E123" s="70" t="s">
        <v>235</v>
      </c>
      <c r="F123" s="72"/>
      <c r="G123" s="72"/>
      <c r="H123" s="72"/>
      <c r="I123" s="72">
        <f t="shared" si="0"/>
        <v>0</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hidden="1" customHeight="1" x14ac:dyDescent="0.25">
      <c r="A124" s="66"/>
      <c r="B124" s="67"/>
      <c r="C124" s="90">
        <f>C123+1</f>
        <v>4</v>
      </c>
      <c r="D124" s="90"/>
      <c r="E124" s="20" t="s">
        <v>205</v>
      </c>
      <c r="F124" s="70">
        <f>(1.9*2.59+3.36*6.23+3.05*2.44+2.89*2.73+3.05*3.35+3.36*4.55+3.45*3.97+1.85*1.05+(1.38*2.14+1.38*1.06+2.85*1.53+2.29*1.38)+(3.36*1.07+1*2.44)+(0.6*(3.35+3.05+3.45)))*10.764</f>
        <v>1143.2648915999998</v>
      </c>
      <c r="G124" s="71"/>
      <c r="H124" s="20">
        <v>0</v>
      </c>
      <c r="I124" s="20">
        <f t="shared" si="0"/>
        <v>1714.8973373999997</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hidden="1" customHeight="1" x14ac:dyDescent="0.25">
      <c r="A125" s="66"/>
      <c r="B125" s="67"/>
      <c r="C125" s="90">
        <f>C124+1</f>
        <v>5</v>
      </c>
      <c r="D125" s="90"/>
      <c r="E125" s="20" t="s">
        <v>205</v>
      </c>
      <c r="F125" s="70">
        <f>(1.9*2.59+3.36*6.23+3.05*2.44+2.89*2.73+3.05*3.35+3.36*4.55+3.45*3.97+1.85*1.05+(1.38*2.14+1.38*1.06+2.85*1.53+2.29*1.38)+(3.36*1.07+1*2.44)+(0.6*(3.35+3.05+3.45)))*10.764</f>
        <v>1143.2648915999998</v>
      </c>
      <c r="G125" s="71"/>
      <c r="H125" s="20">
        <v>0</v>
      </c>
      <c r="I125" s="20">
        <f t="shared" si="0"/>
        <v>1714.8973373999997</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hidden="1" customHeight="1" x14ac:dyDescent="0.25">
      <c r="A126" s="68"/>
      <c r="B126" s="69"/>
      <c r="C126" s="90">
        <f>C125+1</f>
        <v>6</v>
      </c>
      <c r="D126" s="90"/>
      <c r="E126" s="20" t="s">
        <v>232</v>
      </c>
      <c r="F126" s="70">
        <f>(1.95*1.53+1.25*3.05+3*3.08+3.05*3.5+2.75*3.08+3.65*8.38+3.59*4.6+4.26*3.59+1*1.73+1*1.22+(1.53*2.29+1.38*2.44+2.44*1.53+2.44*1.53)+(3.9*1.53+2.75*1.53+1*1.53)+(0.6*(3+3.4+4.26+3.59+2.8)))*10.764</f>
        <v>1472.4850607999999</v>
      </c>
      <c r="G126" s="71"/>
      <c r="H126" s="20">
        <v>0</v>
      </c>
      <c r="I126" s="20">
        <f t="shared" si="0"/>
        <v>2208.7275912</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hidden="1" x14ac:dyDescent="0.25">
      <c r="A127" s="61" t="s">
        <v>237</v>
      </c>
      <c r="B127" s="62"/>
      <c r="C127" s="62"/>
      <c r="D127" s="62"/>
      <c r="E127" s="62"/>
      <c r="F127" s="62"/>
      <c r="G127" s="62"/>
      <c r="H127" s="62"/>
      <c r="I127" s="97"/>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hidden="1" customHeight="1" x14ac:dyDescent="0.25">
      <c r="A128" s="64" t="str">
        <f>A127</f>
        <v>2nd Floor For Residential</v>
      </c>
      <c r="B128" s="65"/>
      <c r="C128" s="90">
        <v>1</v>
      </c>
      <c r="D128" s="90"/>
      <c r="E128" s="20" t="s">
        <v>251</v>
      </c>
      <c r="F128" s="70">
        <f>(1.85*1.63+6.55*5.64+2.29*2.83+6.51*3.35+5.36*1.2+3.05*3.75+2.29*2.83+3.05*3.35+3.31*4.85+3.05*3.75+(2.44*1.53+1.38*2.14+2.29*1.46+1.38*2.13+2.44*1.53+2.29*1.46)+(4.14*1.05+1.8*1.05+3.84*1.05+2.29*1.08+2.29*1.08)+6.55*1.08+(0.6*(2.44+2.59+2.69+2.44)))*10.764</f>
        <v>1923.9207624000001</v>
      </c>
      <c r="G128" s="71"/>
      <c r="H128" s="20">
        <v>0</v>
      </c>
      <c r="I128" s="20">
        <f>F128*(($I$89)+1)+H128</f>
        <v>2885.8811436000001</v>
      </c>
      <c r="J128" s="1">
        <f>23200000/F128</f>
        <v>12058.708681463107</v>
      </c>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hidden="1" customHeight="1" x14ac:dyDescent="0.25">
      <c r="A129" s="66"/>
      <c r="B129" s="67"/>
      <c r="C129" s="90">
        <v>3</v>
      </c>
      <c r="D129" s="90"/>
      <c r="E129" s="70" t="s">
        <v>238</v>
      </c>
      <c r="F129" s="72"/>
      <c r="G129" s="72"/>
      <c r="H129" s="72"/>
      <c r="I129" s="72">
        <f>F129*(($I$89)+1)+H129</f>
        <v>0</v>
      </c>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hidden="1" customHeight="1" x14ac:dyDescent="0.25">
      <c r="A130" s="66"/>
      <c r="B130" s="67"/>
      <c r="C130" s="90">
        <f>C129+1</f>
        <v>4</v>
      </c>
      <c r="D130" s="90"/>
      <c r="E130" s="20" t="s">
        <v>205</v>
      </c>
      <c r="F130" s="70">
        <f>(1.9*2.59+3.36*6.23+3.05*2.44+2.89*2.73+3.05*3.35+3.36*4.55+3.45*3.97+1.85*1.05+(1.38*2.14+1.38*1.06+2.85*1.53+2.29*1.38)+(3.36*1.07+1*2.44)+(0.6*(3.35+3.05+3.45)))*10.764</f>
        <v>1143.2648915999998</v>
      </c>
      <c r="G130" s="71"/>
      <c r="H130" s="20">
        <v>0</v>
      </c>
      <c r="I130" s="20">
        <f>F130*(($I$89)+1)+H130</f>
        <v>1714.8973373999997</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hidden="1" customHeight="1" x14ac:dyDescent="0.25">
      <c r="A131" s="66"/>
      <c r="B131" s="67"/>
      <c r="C131" s="90">
        <f>C130+1</f>
        <v>5</v>
      </c>
      <c r="D131" s="90"/>
      <c r="E131" s="20" t="s">
        <v>205</v>
      </c>
      <c r="F131" s="70">
        <f>(1.9*2.59+3.36*6.23+3.05*2.44+2.89*2.73+3.05*3.35+3.36*4.55+3.45*3.97+1.85*1.05+(1.38*2.14+1.38*1.06+2.85*1.53+2.29*1.38)+(3.36*1.07+1*2.44)+(0.6*(3.35+3.05+3.45)))*10.764</f>
        <v>1143.2648915999998</v>
      </c>
      <c r="G131" s="71"/>
      <c r="H131" s="20">
        <v>0</v>
      </c>
      <c r="I131" s="20">
        <f>F131*(($I$89)+1)+H131</f>
        <v>1714.8973373999997</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hidden="1" customHeight="1" x14ac:dyDescent="0.25">
      <c r="A132" s="68"/>
      <c r="B132" s="69"/>
      <c r="C132" s="90">
        <f>C131+1</f>
        <v>6</v>
      </c>
      <c r="D132" s="90"/>
      <c r="E132" s="20" t="s">
        <v>232</v>
      </c>
      <c r="F132" s="70">
        <f>(1.95*1.53+1.25*3.05+3*3.08+3.05*3.5+2.75*3.08+3.65*8.38+3.59*4.6+4.26*3.59+1*1.73+1*1.22+(1.53*2.29+1.38*2.44+2.44*1.53+2.44*1.53)+(3.9*1.53+2.75*1.53+1*1.53)+(0.6*(3+3.4+4.26+3.59+2.8)))*10.764</f>
        <v>1472.4850607999999</v>
      </c>
      <c r="G132" s="71"/>
      <c r="H132" s="20">
        <v>0</v>
      </c>
      <c r="I132" s="20">
        <f>F132*(($I$89)+1)+H132</f>
        <v>2208.7275912</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hidden="1" x14ac:dyDescent="0.25">
      <c r="A133" s="61" t="s">
        <v>281</v>
      </c>
      <c r="B133" s="62"/>
      <c r="C133" s="62"/>
      <c r="D133" s="62"/>
      <c r="E133" s="62"/>
      <c r="F133" s="62"/>
      <c r="G133" s="62"/>
      <c r="H133" s="62"/>
      <c r="I133" s="6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hidden="1" customHeight="1" x14ac:dyDescent="0.25">
      <c r="A134" s="64" t="str">
        <f>A133</f>
        <v>3rd, 6th, 21st, 27th, 30th, 31st, 32nd, 33rd, 36th, 38th, 45th &amp; 48thFloor</v>
      </c>
      <c r="B134" s="65"/>
      <c r="C134" s="70">
        <v>1</v>
      </c>
      <c r="D134" s="71"/>
      <c r="E134" s="20" t="s">
        <v>251</v>
      </c>
      <c r="F134" s="70">
        <f>(1.85*1.63+6.55*5.64+2.29*2.83+6.51*3.35+5.36*1.2+3.05*3.75+2.29*2.83+3.05*3.35+3.31*4.85+3.05*3.75+(2.44*1.53+1.38*2.14+2.29*1.46+1.38*2.13+2.44*1.53+2.29*1.46)+(4.14*1.05+1.8*1.05+3.84*1.05+2.29*1.08+2.29*1.08)+6.55*1.08+(0.6*(2.44+2.59+2.69+2.44)))*10.764</f>
        <v>1923.9207624000001</v>
      </c>
      <c r="G134" s="71"/>
      <c r="H134" s="20">
        <v>0</v>
      </c>
      <c r="I134" s="20">
        <f>F134*(($I$89)+1)+H134</f>
        <v>2885.8811436000001</v>
      </c>
      <c r="J134" s="1"/>
      <c r="K134" s="1"/>
      <c r="L134" s="1"/>
      <c r="M134" s="1"/>
      <c r="N134" s="1"/>
      <c r="O134" s="1"/>
      <c r="P134" s="1"/>
      <c r="Q134" s="1"/>
      <c r="R134" s="1"/>
      <c r="S134" s="1"/>
      <c r="T134" s="1"/>
      <c r="U134" s="40" t="str">
        <f ca="1">V134&amp;""&amp;",..,"&amp;""&amp;W134</f>
        <v>362101,..,4801</v>
      </c>
      <c r="V134" s="40">
        <f ca="1">(SUMPRODUCT(MID(0&amp;(LEFT(A133,SUM(LEN(A133)-LEN(SUBSTITUTE(A133,{"0","1","2","3"},""))))), LARGE(INDEX(ISNUMBER(--MID((LEFT(A133,SUM(LEN(A133)-LEN(SUBSTITUTE(A133,{"0","1","2","3"},""))))), ROW(INDIRECT("1:"&amp;LEN((LEFT(A133,SUM(LEN(A133)-LEN(SUBSTITUTE(A133,{"0","1","2","3"},"")))))))), 1)) * ROW(INDIRECT("1:"&amp;LEN((LEFT(A133,SUM(LEN(A133)-LEN(SUBSTITUTE(A133,{"0","1","2","3"},"")))))))), 0), ROW(INDIRECT("1:"&amp;LEN((LEFT(A133,SUM(LEN(A133)-LEN(SUBSTITUTE(A133,{"0","1","2","3"},"")))))))))+1, 1) * 10^ROW(INDIRECT("1:"&amp;LEN((LEFT(A133,SUM(LEN(A133)-LEN(SUBSTITUTE(A133,{"0","1","2","3"},""))))))))/10))*100+1</f>
        <v>362101</v>
      </c>
      <c r="W134" s="40">
        <f ca="1">(SUMPRODUCT(MID(0&amp;(--TRIM(RIGHT(SUBSTITUTE(LEFT(A133,_xlfn.AGGREGATE(16,6,FIND({0,1,2,3,4,5,6,7,8,9},A133,ROW(INDIRECT("1:"&amp;LEN(A133)))),1))," ",REPT(" ",LEN(A133))),LEN(A133)))), LARGE(INDEX(ISNUMBER(--MID((--TRIM(RIGHT(SUBSTITUTE(LEFT(A133,_xlfn.AGGREGATE(16,6,FIND({0,1,2,3,4,5,6,7,8,9},A133,ROW(INDIRECT("1:"&amp;LEN(A133)))),1))," ",REPT(" ",LEN(A133))),LEN(A133)))), ROW(INDIRECT("1:"&amp;LEN((--TRIM(RIGHT(SUBSTITUTE(LEFT(A133,_xlfn.AGGREGATE(16,6,FIND({0,1,2,3,4,5,6,7,8,9},A133,ROW(INDIRECT("1:"&amp;LEN(A133)))),1))," ",REPT(" ",LEN(A133))),LEN(A133))))))), 1)) * ROW(INDIRECT("1:"&amp;LEN((--TRIM(RIGHT(SUBSTITUTE(LEFT(A133,_xlfn.AGGREGATE(16,6,FIND({0,1,2,3,4,5,6,7,8,9},A133,ROW(INDIRECT("1:"&amp;LEN(A133)))),1))," ",REPT(" ",LEN(A133))),LEN(A133))))))), 0), ROW(INDIRECT("1:"&amp;LEN((--TRIM(RIGHT(SUBSTITUTE(LEFT(A133,_xlfn.AGGREGATE(16,6,FIND({0,1,2,3,4,5,6,7,8,9},A133,ROW(INDIRECT("1:"&amp;LEN(A133)))),1))," ",REPT(" ",LEN(A133))),LEN(A133))))))))+1, 1) * 10^ROW(INDIRECT("1:"&amp;LEN((--TRIM(RIGHT(SUBSTITUTE(LEFT(A133,_xlfn.AGGREGATE(16,6,FIND({0,1,2,3,4,5,6,7,8,9},A133,ROW(INDIRECT("1:"&amp;LEN(A133)))),1))," ",REPT(" ",LEN(A133))),LEN(A133)))))))/10))*100+1</f>
        <v>4801</v>
      </c>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hidden="1" customHeight="1" x14ac:dyDescent="0.25">
      <c r="A135" s="66"/>
      <c r="B135" s="67"/>
      <c r="C135" s="70">
        <v>3</v>
      </c>
      <c r="D135" s="71"/>
      <c r="E135" s="20" t="s">
        <v>232</v>
      </c>
      <c r="F135" s="70">
        <f>(1.95*1.53+1.25*3.05+3*3.08+3.05*3.5+2.75*3.08+3.65*8.38+3.59*4.6+4.26*3.59+1*1.73+1*1.22+(1.53*2.29+1.38*2.44+2.44*1.53+2.44*1.53)+(3.9*1.53+2.75*1.53+1*1.53)+(0.6*(3+3.4+4.26+3.59+2.8)))*10.764</f>
        <v>1472.4850607999999</v>
      </c>
      <c r="G135" s="71"/>
      <c r="H135" s="20">
        <v>0</v>
      </c>
      <c r="I135" s="20">
        <f>F135*(($I$89)+1)+H135</f>
        <v>2208.7275912</v>
      </c>
      <c r="J135" s="1"/>
      <c r="K135" s="1"/>
      <c r="L135" s="1"/>
      <c r="M135" s="1"/>
      <c r="N135" s="1"/>
      <c r="O135" s="1"/>
      <c r="P135" s="1"/>
      <c r="Q135" s="1"/>
      <c r="R135" s="1"/>
      <c r="S135" s="1"/>
      <c r="T135" s="1"/>
      <c r="U135" s="40" t="e">
        <f>V135&amp;""&amp;",..,"&amp;""&amp;W135</f>
        <v>#REF!</v>
      </c>
      <c r="V135" s="40" t="e">
        <f>#REF!+1</f>
        <v>#REF!</v>
      </c>
      <c r="W135" s="40" t="e">
        <f>#REF!+1</f>
        <v>#REF!</v>
      </c>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hidden="1" customHeight="1" x14ac:dyDescent="0.25">
      <c r="A136" s="66"/>
      <c r="B136" s="67"/>
      <c r="C136" s="70">
        <v>4</v>
      </c>
      <c r="D136" s="71"/>
      <c r="E136" s="20" t="s">
        <v>205</v>
      </c>
      <c r="F136" s="70">
        <f>(1.9*2.59+3.36*6.23+3.05*2.44+2.89*2.73+3.05*3.35+3.36*4.55+3.45*3.97+1.85*1.05+(1.38*2.14+1.38*1.06+2.85*1.53+2.29*1.38)+(3.36*1.07+1*2.44)+(0.6*(3.35+3.05+3.45)))*10.764</f>
        <v>1143.2648915999998</v>
      </c>
      <c r="G136" s="71"/>
      <c r="H136" s="20">
        <v>0</v>
      </c>
      <c r="I136" s="20">
        <f>F136*(($I$89)+1)+H136</f>
        <v>1714.8973373999997</v>
      </c>
      <c r="J136" s="1"/>
      <c r="K136" s="1"/>
      <c r="L136" s="1"/>
      <c r="M136" s="1"/>
      <c r="N136" s="1"/>
      <c r="O136" s="1"/>
      <c r="P136" s="1"/>
      <c r="Q136" s="1"/>
      <c r="R136" s="1"/>
      <c r="S136" s="1"/>
      <c r="T136" s="1"/>
      <c r="U136" s="40" t="e">
        <f>V136&amp;""&amp;",..,"&amp;""&amp;W136</f>
        <v>#REF!</v>
      </c>
      <c r="V136" s="40" t="e">
        <f t="shared" ref="V136:W138" si="1">V135+1</f>
        <v>#REF!</v>
      </c>
      <c r="W136" s="40" t="e">
        <f t="shared" si="1"/>
        <v>#REF!</v>
      </c>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hidden="1" customHeight="1" x14ac:dyDescent="0.25">
      <c r="A137" s="66"/>
      <c r="B137" s="67"/>
      <c r="C137" s="70">
        <v>5</v>
      </c>
      <c r="D137" s="71"/>
      <c r="E137" s="20" t="s">
        <v>205</v>
      </c>
      <c r="F137" s="70">
        <f>(1.9*2.59+3.36*6.23+3.05*2.44+2.89*2.73+3.05*3.35+3.36*4.55+3.45*3.97+1.85*1.05+(1.38*2.14+1.38*1.06+2.85*1.53+2.29*1.38)+(3.36*1.07+1*2.44)+(0.6*(3.35+3.05+3.45)))*10.764</f>
        <v>1143.2648915999998</v>
      </c>
      <c r="G137" s="71"/>
      <c r="H137" s="20">
        <v>0</v>
      </c>
      <c r="I137" s="20">
        <f>F137*(($I$89)+1)+H137</f>
        <v>1714.8973373999997</v>
      </c>
      <c r="J137" s="1"/>
      <c r="K137" s="1"/>
      <c r="L137" s="1"/>
      <c r="M137" s="1"/>
      <c r="N137" s="1"/>
      <c r="O137" s="1"/>
      <c r="P137" s="1"/>
      <c r="Q137" s="1"/>
      <c r="R137" s="1"/>
      <c r="S137" s="1"/>
      <c r="T137" s="1"/>
      <c r="U137" s="40" t="e">
        <f>V137&amp;""&amp;",..,"&amp;""&amp;W137</f>
        <v>#REF!</v>
      </c>
      <c r="V137" s="40" t="e">
        <f t="shared" si="1"/>
        <v>#REF!</v>
      </c>
      <c r="W137" s="40" t="e">
        <f t="shared" si="1"/>
        <v>#REF!</v>
      </c>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hidden="1" customHeight="1" x14ac:dyDescent="0.25">
      <c r="A138" s="68"/>
      <c r="B138" s="69"/>
      <c r="C138" s="70">
        <v>6</v>
      </c>
      <c r="D138" s="71"/>
      <c r="E138" s="20" t="s">
        <v>232</v>
      </c>
      <c r="F138" s="70">
        <f>(1.95*1.53+1.25*3.05+3*3.08+3.05*3.5+2.75*3.08+3.65*8.38+3.59*4.6+4.26*3.59+1*1.73+1*1.22+(1.53*2.29+1.38*2.44+2.44*1.53+2.44*1.53)+(3.9*1.53+2.75*1.53+1*1.53)+(0.6*(3+3.4+4.26+3.59+2.8)))*10.764</f>
        <v>1472.4850607999999</v>
      </c>
      <c r="G138" s="71"/>
      <c r="H138" s="20">
        <v>0</v>
      </c>
      <c r="I138" s="20">
        <f>F138*(($I$89)+1)+H138</f>
        <v>2208.7275912</v>
      </c>
      <c r="J138" s="1"/>
      <c r="K138" s="1"/>
      <c r="L138" s="1"/>
      <c r="M138" s="1"/>
      <c r="N138" s="1"/>
      <c r="O138" s="1"/>
      <c r="P138" s="1"/>
      <c r="Q138" s="1"/>
      <c r="R138" s="1"/>
      <c r="S138" s="1"/>
      <c r="T138" s="1"/>
      <c r="U138" s="40" t="e">
        <f>V138&amp;""&amp;",..,"&amp;""&amp;W138</f>
        <v>#REF!</v>
      </c>
      <c r="V138" s="40" t="e">
        <f t="shared" si="1"/>
        <v>#REF!</v>
      </c>
      <c r="W138" s="40" t="e">
        <f t="shared" si="1"/>
        <v>#REF!</v>
      </c>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hidden="1" x14ac:dyDescent="0.25">
      <c r="A139" s="61" t="s">
        <v>270</v>
      </c>
      <c r="B139" s="62"/>
      <c r="C139" s="62"/>
      <c r="D139" s="62"/>
      <c r="E139" s="62"/>
      <c r="F139" s="62"/>
      <c r="G139" s="62"/>
      <c r="H139" s="62"/>
      <c r="I139" s="6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hidden="1" customHeight="1" x14ac:dyDescent="0.25">
      <c r="A140" s="64" t="str">
        <f>A139</f>
        <v>4th, 7th, 11th, 12th, 13th, 14th, 18th, 22nd, 23rd, 24th, 26th, 28th, 35th, 37th, 46th &amp; 47th Floor</v>
      </c>
      <c r="B140" s="65"/>
      <c r="C140" s="70">
        <v>1</v>
      </c>
      <c r="D140" s="71"/>
      <c r="E140" s="20" t="s">
        <v>205</v>
      </c>
      <c r="F140" s="70">
        <f>(1.38*1.78+3.2*5.64+2.29*2.83+3.05*3.35+3.31*4.55+3.05*3.75+4.14*1.05+1.82*1.05+(2.29*1.46+1.38*2.14+2.44*1.53)+(3.2*1.08+2.29*1.08)+(0.6*(3.05+3.31+1.8)))*10.764</f>
        <v>977.51759039999968</v>
      </c>
      <c r="G140" s="71"/>
      <c r="H140" s="20">
        <v>0</v>
      </c>
      <c r="I140" s="20">
        <f t="shared" ref="I140:I145" si="2">F140*(($I$89)+1)+H140</f>
        <v>1466.2763855999995</v>
      </c>
      <c r="J140" s="1"/>
      <c r="K140" s="1"/>
      <c r="L140" s="1"/>
      <c r="M140" s="1"/>
      <c r="N140" s="1"/>
      <c r="O140" s="1"/>
      <c r="P140" s="1"/>
      <c r="Q140" s="1"/>
      <c r="R140" s="1"/>
      <c r="S140" s="1"/>
      <c r="T140" s="1"/>
      <c r="U140" s="40" t="str">
        <f t="shared" ref="U140:U145" ca="1" si="3">V140&amp;""&amp;",..,"&amp;""&amp;W140</f>
        <v>4711101,..,4701</v>
      </c>
      <c r="V140" s="40">
        <f ca="1">(SUMPRODUCT(MID(0&amp;(LEFT(A139,SUM(LEN(A139)-LEN(SUBSTITUTE(A139,{"0","1","2","3"},""))))), LARGE(INDEX(ISNUMBER(--MID((LEFT(A139,SUM(LEN(A139)-LEN(SUBSTITUTE(A139,{"0","1","2","3"},""))))), ROW(INDIRECT("1:"&amp;LEN((LEFT(A139,SUM(LEN(A139)-LEN(SUBSTITUTE(A139,{"0","1","2","3"},"")))))))), 1)) * ROW(INDIRECT("1:"&amp;LEN((LEFT(A139,SUM(LEN(A139)-LEN(SUBSTITUTE(A139,{"0","1","2","3"},"")))))))), 0), ROW(INDIRECT("1:"&amp;LEN((LEFT(A139,SUM(LEN(A139)-LEN(SUBSTITUTE(A139,{"0","1","2","3"},"")))))))))+1, 1) * 10^ROW(INDIRECT("1:"&amp;LEN((LEFT(A139,SUM(LEN(A139)-LEN(SUBSTITUTE(A139,{"0","1","2","3"},""))))))))/10))*100+1</f>
        <v>4711101</v>
      </c>
      <c r="W140" s="40">
        <f ca="1">(SUMPRODUCT(MID(0&amp;(--TRIM(RIGHT(SUBSTITUTE(LEFT(A139,_xlfn.AGGREGATE(16,6,FIND({0,1,2,3,4,5,6,7,8,9},A139,ROW(INDIRECT("1:"&amp;LEN(A139)))),1))," ",REPT(" ",LEN(A139))),LEN(A139)))), LARGE(INDEX(ISNUMBER(--MID((--TRIM(RIGHT(SUBSTITUTE(LEFT(A139,_xlfn.AGGREGATE(16,6,FIND({0,1,2,3,4,5,6,7,8,9},A139,ROW(INDIRECT("1:"&amp;LEN(A139)))),1))," ",REPT(" ",LEN(A139))),LEN(A139)))), ROW(INDIRECT("1:"&amp;LEN((--TRIM(RIGHT(SUBSTITUTE(LEFT(A139,_xlfn.AGGREGATE(16,6,FIND({0,1,2,3,4,5,6,7,8,9},A139,ROW(INDIRECT("1:"&amp;LEN(A139)))),1))," ",REPT(" ",LEN(A139))),LEN(A139))))))), 1)) * ROW(INDIRECT("1:"&amp;LEN((--TRIM(RIGHT(SUBSTITUTE(LEFT(A139,_xlfn.AGGREGATE(16,6,FIND({0,1,2,3,4,5,6,7,8,9},A139,ROW(INDIRECT("1:"&amp;LEN(A139)))),1))," ",REPT(" ",LEN(A139))),LEN(A139))))))), 0), ROW(INDIRECT("1:"&amp;LEN((--TRIM(RIGHT(SUBSTITUTE(LEFT(A139,_xlfn.AGGREGATE(16,6,FIND({0,1,2,3,4,5,6,7,8,9},A139,ROW(INDIRECT("1:"&amp;LEN(A139)))),1))," ",REPT(" ",LEN(A139))),LEN(A139))))))))+1, 1) * 10^ROW(INDIRECT("1:"&amp;LEN((--TRIM(RIGHT(SUBSTITUTE(LEFT(A139,_xlfn.AGGREGATE(16,6,FIND({0,1,2,3,4,5,6,7,8,9},A139,ROW(INDIRECT("1:"&amp;LEN(A139)))),1))," ",REPT(" ",LEN(A139))),LEN(A139)))))))/10))*100+1</f>
        <v>4701</v>
      </c>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hidden="1" customHeight="1" x14ac:dyDescent="0.25">
      <c r="A141" s="66"/>
      <c r="B141" s="67"/>
      <c r="C141" s="70">
        <v>2</v>
      </c>
      <c r="D141" s="71"/>
      <c r="E141" s="20" t="s">
        <v>205</v>
      </c>
      <c r="F141" s="70">
        <f>(1.38*1.78+3.2*5.64+2.29*2.83+3.05*3.35+3.31*4.55+3.05*3.75+4.14*1.05+1.82*1.05+(2.29*1.46+1.38*2.14+2.44*1.53)+(3.2*1.08+2.29*1.08)+(0.6*(3.05+3.31+1.8)))*10.764</f>
        <v>977.51759039999968</v>
      </c>
      <c r="G141" s="71"/>
      <c r="H141" s="20">
        <v>0</v>
      </c>
      <c r="I141" s="20">
        <f t="shared" si="2"/>
        <v>1466.2763855999995</v>
      </c>
      <c r="J141" s="1"/>
      <c r="K141" s="1"/>
      <c r="L141" s="1"/>
      <c r="M141" s="1"/>
      <c r="N141" s="1"/>
      <c r="O141" s="1"/>
      <c r="P141" s="1"/>
      <c r="Q141" s="1"/>
      <c r="R141" s="1"/>
      <c r="S141" s="1"/>
      <c r="T141" s="1"/>
      <c r="U141" s="40" t="str">
        <f t="shared" ca="1" si="3"/>
        <v>4711102,..,4702</v>
      </c>
      <c r="V141" s="40">
        <f t="shared" ref="V141:W145" ca="1" si="4">V140+1</f>
        <v>4711102</v>
      </c>
      <c r="W141" s="40">
        <f t="shared" ca="1" si="4"/>
        <v>4702</v>
      </c>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hidden="1" customHeight="1" x14ac:dyDescent="0.25">
      <c r="A142" s="66"/>
      <c r="B142" s="67"/>
      <c r="C142" s="70">
        <v>3</v>
      </c>
      <c r="D142" s="71"/>
      <c r="E142" s="20" t="s">
        <v>232</v>
      </c>
      <c r="F142" s="70">
        <f>(1.95*1.53+1.25*3.05+3*3.08+3.05*3.5+2.75*3.08+3.65*8.38+3.59*4.6+4.26*3.59+1*1.73+1*1.22+(1.53*2.29+1.38*2.44+2.44*1.53+2.44*1.53)+(3.9*1.53+2.75*1.53+1*1.53)+(0.6*(3+3.4+4.26+3.59+2.8)))*10.764</f>
        <v>1472.4850607999999</v>
      </c>
      <c r="G142" s="71"/>
      <c r="H142" s="20">
        <v>0</v>
      </c>
      <c r="I142" s="20">
        <f t="shared" si="2"/>
        <v>2208.7275912</v>
      </c>
      <c r="J142" s="1"/>
      <c r="K142" s="1"/>
      <c r="L142" s="1"/>
      <c r="M142" s="1"/>
      <c r="N142" s="1"/>
      <c r="O142" s="1"/>
      <c r="P142" s="1"/>
      <c r="Q142" s="1"/>
      <c r="R142" s="1"/>
      <c r="S142" s="1"/>
      <c r="T142" s="1"/>
      <c r="U142" s="40" t="str">
        <f t="shared" ca="1" si="3"/>
        <v>4711103,..,4703</v>
      </c>
      <c r="V142" s="40">
        <f t="shared" ca="1" si="4"/>
        <v>4711103</v>
      </c>
      <c r="W142" s="40">
        <f t="shared" ca="1" si="4"/>
        <v>4703</v>
      </c>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hidden="1" customHeight="1" x14ac:dyDescent="0.25">
      <c r="A143" s="66"/>
      <c r="B143" s="67"/>
      <c r="C143" s="70">
        <v>4</v>
      </c>
      <c r="D143" s="71"/>
      <c r="E143" s="20" t="s">
        <v>205</v>
      </c>
      <c r="F143" s="70">
        <f>(1.9*2.59+3.36*6.23+3.05*2.44+2.89*2.73+3.05*3.35+3.36*4.55+3.45*3.97+1.85*1.05+(1.38*2.14+1.38*1.06+2.85*1.53+2.29*1.38)+(3.36*1.07+1*2.44)+(0.6*(3.35+3.05+3.45)))*10.764</f>
        <v>1143.2648915999998</v>
      </c>
      <c r="G143" s="71"/>
      <c r="H143" s="20">
        <v>0</v>
      </c>
      <c r="I143" s="20">
        <f t="shared" si="2"/>
        <v>1714.8973373999997</v>
      </c>
      <c r="J143" s="1"/>
      <c r="K143" s="1"/>
      <c r="L143" s="1"/>
      <c r="M143" s="1"/>
      <c r="N143" s="1"/>
      <c r="O143" s="1"/>
      <c r="P143" s="1"/>
      <c r="Q143" s="1"/>
      <c r="R143" s="1"/>
      <c r="S143" s="1"/>
      <c r="T143" s="1"/>
      <c r="U143" s="40" t="str">
        <f t="shared" ca="1" si="3"/>
        <v>4711104,..,4704</v>
      </c>
      <c r="V143" s="40">
        <f t="shared" ca="1" si="4"/>
        <v>4711104</v>
      </c>
      <c r="W143" s="40">
        <f t="shared" ca="1" si="4"/>
        <v>4704</v>
      </c>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hidden="1" customHeight="1" x14ac:dyDescent="0.25">
      <c r="A144" s="66"/>
      <c r="B144" s="67"/>
      <c r="C144" s="70">
        <v>5</v>
      </c>
      <c r="D144" s="71"/>
      <c r="E144" s="20" t="s">
        <v>205</v>
      </c>
      <c r="F144" s="70">
        <f>(1.9*2.59+3.36*6.23+3.05*2.44+2.89*2.73+3.05*3.35+3.36*4.55+3.45*3.97+1.85*1.05+(1.38*2.14+1.38*1.06+2.85*1.53+2.29*1.38)+(3.36*1.07+1*2.44)+(0.6*(3.35+3.05+3.45)))*10.764</f>
        <v>1143.2648915999998</v>
      </c>
      <c r="G144" s="71"/>
      <c r="H144" s="20">
        <v>0</v>
      </c>
      <c r="I144" s="20">
        <f t="shared" si="2"/>
        <v>1714.8973373999997</v>
      </c>
      <c r="J144" s="1"/>
      <c r="K144" s="1"/>
      <c r="L144" s="1"/>
      <c r="M144" s="1"/>
      <c r="N144" s="1"/>
      <c r="O144" s="1"/>
      <c r="P144" s="1"/>
      <c r="Q144" s="1"/>
      <c r="R144" s="1"/>
      <c r="S144" s="1"/>
      <c r="T144" s="1"/>
      <c r="U144" s="40" t="str">
        <f t="shared" ca="1" si="3"/>
        <v>4711105,..,4705</v>
      </c>
      <c r="V144" s="40">
        <f t="shared" ca="1" si="4"/>
        <v>4711105</v>
      </c>
      <c r="W144" s="40">
        <f t="shared" ca="1" si="4"/>
        <v>4705</v>
      </c>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hidden="1" customHeight="1" x14ac:dyDescent="0.25">
      <c r="A145" s="68"/>
      <c r="B145" s="69"/>
      <c r="C145" s="70">
        <v>6</v>
      </c>
      <c r="D145" s="71"/>
      <c r="E145" s="20" t="s">
        <v>232</v>
      </c>
      <c r="F145" s="70">
        <f>(1.95*1.53+1.25*3.05+3*3.08+3.05*3.5+2.75*3.08+3.65*8.38+3.59*4.6+4.26*3.59+1*1.73+1*1.22+(1.53*2.29+1.38*2.44+2.44*1.53+2.44*1.53)+(3.9*1.53+2.75*1.53+1*1.53)+(0.6*(3+3.4+4.26+3.59+2.8)))*10.764</f>
        <v>1472.4850607999999</v>
      </c>
      <c r="G145" s="71"/>
      <c r="H145" s="20">
        <v>0</v>
      </c>
      <c r="I145" s="20">
        <f t="shared" si="2"/>
        <v>2208.7275912</v>
      </c>
      <c r="J145" s="1"/>
      <c r="K145" s="1"/>
      <c r="L145" s="1"/>
      <c r="M145" s="1"/>
      <c r="N145" s="1"/>
      <c r="O145" s="1"/>
      <c r="P145" s="1"/>
      <c r="Q145" s="1"/>
      <c r="R145" s="1"/>
      <c r="S145" s="1"/>
      <c r="T145" s="1"/>
      <c r="U145" s="40" t="str">
        <f t="shared" ca="1" si="3"/>
        <v>4711106,..,4706</v>
      </c>
      <c r="V145" s="40">
        <f t="shared" ca="1" si="4"/>
        <v>4711106</v>
      </c>
      <c r="W145" s="40">
        <f t="shared" ca="1" si="4"/>
        <v>4706</v>
      </c>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hidden="1" x14ac:dyDescent="0.25">
      <c r="A146" s="61" t="s">
        <v>271</v>
      </c>
      <c r="B146" s="62"/>
      <c r="C146" s="62"/>
      <c r="D146" s="62"/>
      <c r="E146" s="62"/>
      <c r="F146" s="62"/>
      <c r="G146" s="62"/>
      <c r="H146" s="62"/>
      <c r="I146" s="63"/>
      <c r="J146" s="1" t="s">
        <v>246</v>
      </c>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hidden="1" customHeight="1" x14ac:dyDescent="0.25">
      <c r="A147" s="64" t="str">
        <f>A146</f>
        <v>16th, 17th, 19th, 40th &amp; 42nd  Floor</v>
      </c>
      <c r="B147" s="65"/>
      <c r="C147" s="70">
        <v>1</v>
      </c>
      <c r="D147" s="71"/>
      <c r="E147" s="20" t="s">
        <v>205</v>
      </c>
      <c r="F147" s="70">
        <f>(1.38*1.78+3.2*5.64+2.29*2.83+3.05*3.35+3.31*4.55+3.05*3.75+4.14*1.05+1.82*1.05+(2.29*1.46+1.38*2.14+2.44*1.53)+(3.2*1.08+2.29*1.08)+(0.6*(3.05+3.31+1.8)))*10.764</f>
        <v>977.51759039999968</v>
      </c>
      <c r="G147" s="71"/>
      <c r="H147" s="20">
        <v>0</v>
      </c>
      <c r="I147" s="20">
        <f>F147*(($I$89)+1)+H147</f>
        <v>1466.2763855999995</v>
      </c>
      <c r="J147" s="1"/>
      <c r="K147" s="1"/>
      <c r="L147" s="1"/>
      <c r="M147" s="1"/>
      <c r="N147" s="1"/>
      <c r="O147" s="1"/>
      <c r="P147" s="1"/>
      <c r="Q147" s="1"/>
      <c r="R147" s="1"/>
      <c r="S147" s="1"/>
      <c r="T147" s="1"/>
      <c r="U147" s="40" t="str">
        <f ca="1">V147&amp;""&amp;",..,"&amp;""&amp;W147</f>
        <v>1601,..,4201</v>
      </c>
      <c r="V147" s="40">
        <f ca="1">(SUMPRODUCT(MID(0&amp;(LEFT(A146,SUM(LEN(A146)-LEN(SUBSTITUTE(A146,{"0","1","2","3"},""))))), LARGE(INDEX(ISNUMBER(--MID((LEFT(A146,SUM(LEN(A146)-LEN(SUBSTITUTE(A146,{"0","1","2","3"},""))))), ROW(INDIRECT("1:"&amp;LEN((LEFT(A146,SUM(LEN(A146)-LEN(SUBSTITUTE(A146,{"0","1","2","3"},"")))))))), 1)) * ROW(INDIRECT("1:"&amp;LEN((LEFT(A146,SUM(LEN(A146)-LEN(SUBSTITUTE(A146,{"0","1","2","3"},"")))))))), 0), ROW(INDIRECT("1:"&amp;LEN((LEFT(A146,SUM(LEN(A146)-LEN(SUBSTITUTE(A146,{"0","1","2","3"},"")))))))))+1, 1) * 10^ROW(INDIRECT("1:"&amp;LEN((LEFT(A146,SUM(LEN(A146)-LEN(SUBSTITUTE(A146,{"0","1","2","3"},""))))))))/10))*100+1</f>
        <v>1601</v>
      </c>
      <c r="W147" s="40">
        <f ca="1">(SUMPRODUCT(MID(0&amp;(--TRIM(RIGHT(SUBSTITUTE(LEFT(A146,_xlfn.AGGREGATE(16,6,FIND({0,1,2,3,4,5,6,7,8,9},A146,ROW(INDIRECT("1:"&amp;LEN(A146)))),1))," ",REPT(" ",LEN(A146))),LEN(A146)))), LARGE(INDEX(ISNUMBER(--MID((--TRIM(RIGHT(SUBSTITUTE(LEFT(A146,_xlfn.AGGREGATE(16,6,FIND({0,1,2,3,4,5,6,7,8,9},A146,ROW(INDIRECT("1:"&amp;LEN(A146)))),1))," ",REPT(" ",LEN(A146))),LEN(A146)))), ROW(INDIRECT("1:"&amp;LEN((--TRIM(RIGHT(SUBSTITUTE(LEFT(A146,_xlfn.AGGREGATE(16,6,FIND({0,1,2,3,4,5,6,7,8,9},A146,ROW(INDIRECT("1:"&amp;LEN(A146)))),1))," ",REPT(" ",LEN(A146))),LEN(A146))))))), 1)) * ROW(INDIRECT("1:"&amp;LEN((--TRIM(RIGHT(SUBSTITUTE(LEFT(A146,_xlfn.AGGREGATE(16,6,FIND({0,1,2,3,4,5,6,7,8,9},A146,ROW(INDIRECT("1:"&amp;LEN(A146)))),1))," ",REPT(" ",LEN(A146))),LEN(A146))))))), 0), ROW(INDIRECT("1:"&amp;LEN((--TRIM(RIGHT(SUBSTITUTE(LEFT(A146,_xlfn.AGGREGATE(16,6,FIND({0,1,2,3,4,5,6,7,8,9},A146,ROW(INDIRECT("1:"&amp;LEN(A146)))),1))," ",REPT(" ",LEN(A146))),LEN(A146))))))))+1, 1) * 10^ROW(INDIRECT("1:"&amp;LEN((--TRIM(RIGHT(SUBSTITUTE(LEFT(A146,_xlfn.AGGREGATE(16,6,FIND({0,1,2,3,4,5,6,7,8,9},A146,ROW(INDIRECT("1:"&amp;LEN(A146)))),1))," ",REPT(" ",LEN(A146))),LEN(A146)))))))/10))*100+1</f>
        <v>4201</v>
      </c>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hidden="1" customHeight="1" x14ac:dyDescent="0.25">
      <c r="A148" s="66"/>
      <c r="B148" s="67"/>
      <c r="C148" s="70">
        <v>2</v>
      </c>
      <c r="D148" s="71"/>
      <c r="E148" s="20" t="s">
        <v>205</v>
      </c>
      <c r="F148" s="70">
        <f>(1.38*1.78+3.2*5.64+2.29*2.83+3.05*3.35+3.31*4.55+3.05*3.75+4.14*1.05+1.82*1.05+(2.29*1.46+1.38*2.14+2.44*1.53)+(3.2*1.08+2.29*1.08)+(0.6*(3.05+3.31+1.8)))*10.764</f>
        <v>977.51759039999968</v>
      </c>
      <c r="G148" s="71"/>
      <c r="H148" s="20">
        <v>0</v>
      </c>
      <c r="I148" s="20">
        <f>F148*(($I$89)+1)+H148</f>
        <v>1466.2763855999995</v>
      </c>
      <c r="J148" s="1"/>
      <c r="K148" s="1"/>
      <c r="L148" s="1"/>
      <c r="M148" s="1"/>
      <c r="N148" s="1"/>
      <c r="O148" s="1"/>
      <c r="P148" s="1"/>
      <c r="Q148" s="1"/>
      <c r="R148" s="1"/>
      <c r="S148" s="1"/>
      <c r="T148" s="1"/>
      <c r="U148" s="40" t="str">
        <f ca="1">V148&amp;""&amp;",..,"&amp;""&amp;W148</f>
        <v>1602,..,4202</v>
      </c>
      <c r="V148" s="40">
        <f ca="1">V147+1</f>
        <v>1602</v>
      </c>
      <c r="W148" s="40">
        <f ca="1">W147+1</f>
        <v>4202</v>
      </c>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hidden="1" customHeight="1" x14ac:dyDescent="0.25">
      <c r="A149" s="66"/>
      <c r="B149" s="67"/>
      <c r="C149" s="70">
        <v>3</v>
      </c>
      <c r="D149" s="71"/>
      <c r="E149" s="20" t="s">
        <v>232</v>
      </c>
      <c r="F149" s="70">
        <f>(1.95*1.53+1.25*3.05+3*3.08+3.05*3.5+2.75*3.08+3.65*8.38+3.59*4.6+4.26*3.59+1*1.73+1*1.22+(1.53*2.29+1.38*2.44+2.44*1.53+2.44*1.53)+(3.9*1.53+2.75*1.53+1*1.53)+(0.6*(3+3.4+4.26+3.59+2.8)))*10.764</f>
        <v>1472.4850607999999</v>
      </c>
      <c r="G149" s="71"/>
      <c r="H149" s="20">
        <v>0</v>
      </c>
      <c r="I149" s="20">
        <f>F149*(($I$89)+1)+H149</f>
        <v>2208.7275912</v>
      </c>
      <c r="J149" s="1"/>
      <c r="K149" s="1"/>
      <c r="L149" s="1"/>
      <c r="M149" s="1"/>
      <c r="N149" s="1"/>
      <c r="O149" s="1"/>
      <c r="P149" s="1"/>
      <c r="Q149" s="1"/>
      <c r="R149" s="1"/>
      <c r="S149" s="1"/>
      <c r="T149" s="1"/>
      <c r="U149" s="40" t="str">
        <f ca="1">V149&amp;""&amp;",..,"&amp;""&amp;W149</f>
        <v>1603,..,4203</v>
      </c>
      <c r="V149" s="40">
        <f ca="1">V148+1</f>
        <v>1603</v>
      </c>
      <c r="W149" s="40">
        <f ca="1">W148+1</f>
        <v>4203</v>
      </c>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hidden="1" customHeight="1" x14ac:dyDescent="0.25">
      <c r="A150" s="66"/>
      <c r="B150" s="67"/>
      <c r="C150" s="70">
        <v>4</v>
      </c>
      <c r="D150" s="71"/>
      <c r="E150" s="20" t="s">
        <v>251</v>
      </c>
      <c r="F150" s="70">
        <f>(1.9*2.47+3.05*4.12+6.55*4.55+3.36*3.35+7.2*3.97+3.36*4.7+3.05*3.35+3.35*4.55+3.35*3.97+1.6*3.97+(2.29*1.38+1.38*2.14+2.85*1.53+2.29*1.38+2.29*1.38+1.38*2.14+2.85*1.53+1.38*0.54+1.05*5.29+1.15*1.53+1.38*1.06+1.2*1.38+3.05*1.05+1*1.38)+(1*2.44+1*2.44+1.07*3.36+1.07*3.36)+(0.6*(6.55+7.2+3.05+3.35)))*10.764</f>
        <v>2280.1800996000002</v>
      </c>
      <c r="G150" s="71"/>
      <c r="H150" s="20">
        <v>0</v>
      </c>
      <c r="I150" s="20">
        <f>F150*(($I$89)+1)+H150</f>
        <v>3420.2701494000003</v>
      </c>
      <c r="J150" s="1"/>
      <c r="K150" s="1"/>
      <c r="L150" s="1"/>
      <c r="M150" s="1"/>
      <c r="N150" s="1"/>
      <c r="O150" s="1"/>
      <c r="P150" s="1"/>
      <c r="Q150" s="1"/>
      <c r="R150" s="1"/>
      <c r="S150" s="1"/>
      <c r="T150" s="1"/>
      <c r="U150" s="40" t="e">
        <f>V150&amp;""&amp;",..,"&amp;""&amp;W150</f>
        <v>#REF!</v>
      </c>
      <c r="V150" s="40" t="e">
        <f>#REF!+1</f>
        <v>#REF!</v>
      </c>
      <c r="W150" s="40" t="e">
        <f>#REF!+1</f>
        <v>#REF!</v>
      </c>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hidden="1" customHeight="1" x14ac:dyDescent="0.25">
      <c r="A151" s="68"/>
      <c r="B151" s="69"/>
      <c r="C151" s="70">
        <v>6</v>
      </c>
      <c r="D151" s="71"/>
      <c r="E151" s="20" t="s">
        <v>232</v>
      </c>
      <c r="F151" s="70">
        <f>(1.95*1.53+1.25*3.05+3*3.08+3.05*3.5+2.75*3.08+3.65*8.38+3.59*4.6+4.26*3.59+1*1.73+1*1.22+(1.53*2.29+1.38*2.44+2.44*1.53+2.44*1.53)+(3.9*1.53+2.75*1.53+1*1.53)+(0.6*(3+3.4+4.26+3.59+2.8)))*10.764</f>
        <v>1472.4850607999999</v>
      </c>
      <c r="G151" s="71"/>
      <c r="H151" s="20">
        <v>0</v>
      </c>
      <c r="I151" s="20">
        <f>F151*(($I$89)+1)+H151</f>
        <v>2208.7275912</v>
      </c>
      <c r="J151" s="1"/>
      <c r="K151" s="1"/>
      <c r="L151" s="1"/>
      <c r="M151" s="1"/>
      <c r="N151" s="1"/>
      <c r="O151" s="1"/>
      <c r="P151" s="1"/>
      <c r="Q151" s="1"/>
      <c r="R151" s="1"/>
      <c r="S151" s="1"/>
      <c r="T151" s="1"/>
      <c r="U151" s="40" t="e">
        <f>V151&amp;""&amp;",..,"&amp;""&amp;W151</f>
        <v>#REF!</v>
      </c>
      <c r="V151" s="40" t="e">
        <f>V150+1</f>
        <v>#REF!</v>
      </c>
      <c r="W151" s="40" t="e">
        <f>W150+1</f>
        <v>#REF!</v>
      </c>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hidden="1" x14ac:dyDescent="0.25">
      <c r="A152" s="61" t="s">
        <v>252</v>
      </c>
      <c r="B152" s="62"/>
      <c r="C152" s="62"/>
      <c r="D152" s="62"/>
      <c r="E152" s="62"/>
      <c r="F152" s="62"/>
      <c r="G152" s="62"/>
      <c r="H152" s="62"/>
      <c r="I152" s="63"/>
      <c r="J152" s="1" t="s">
        <v>246</v>
      </c>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hidden="1" customHeight="1" x14ac:dyDescent="0.25">
      <c r="A153" s="64" t="str">
        <f>A152</f>
        <v>5th, 10th, 15th, 20th &amp; 25th  Floor (Part Refuge Area)</v>
      </c>
      <c r="B153" s="65"/>
      <c r="C153" s="70">
        <v>1</v>
      </c>
      <c r="D153" s="71"/>
      <c r="E153" s="20" t="s">
        <v>205</v>
      </c>
      <c r="F153" s="70">
        <f>(1.38*1.78+3.2*5.64+2.29*2.83+3.05*3.35+3.31*4.55+3.05*3.75+4.14*1.05+1.82*1.05+(2.29*1.46+1.38*2.14+2.44*1.53)+(3.2*1.08+2.29*1.08)+(0.6*(3.05+3.31+1.8)))*10.764</f>
        <v>977.51759039999968</v>
      </c>
      <c r="G153" s="71"/>
      <c r="H153" s="20">
        <v>0</v>
      </c>
      <c r="I153" s="20">
        <f t="shared" ref="I153:I158" si="5">F153*(($I$89)+1)+H153</f>
        <v>1466.2763855999995</v>
      </c>
      <c r="J153" s="1"/>
      <c r="K153" s="1"/>
      <c r="L153" s="1"/>
      <c r="M153" s="1"/>
      <c r="N153" s="1"/>
      <c r="O153" s="1"/>
      <c r="P153" s="1"/>
      <c r="Q153" s="1"/>
      <c r="R153" s="1"/>
      <c r="S153" s="1"/>
      <c r="T153" s="1"/>
      <c r="U153" s="40" t="str">
        <f t="shared" ref="U153:U158" ca="1" si="6">V153&amp;""&amp;",..,"&amp;""&amp;W153</f>
        <v>5101,..,2501</v>
      </c>
      <c r="V153" s="40">
        <f ca="1">(SUMPRODUCT(MID(0&amp;(LEFT(A152,SUM(LEN(A152)-LEN(SUBSTITUTE(A152,{"0","1","2","3"},""))))), LARGE(INDEX(ISNUMBER(--MID((LEFT(A152,SUM(LEN(A152)-LEN(SUBSTITUTE(A152,{"0","1","2","3"},""))))), ROW(INDIRECT("1:"&amp;LEN((LEFT(A152,SUM(LEN(A152)-LEN(SUBSTITUTE(A152,{"0","1","2","3"},"")))))))), 1)) * ROW(INDIRECT("1:"&amp;LEN((LEFT(A152,SUM(LEN(A152)-LEN(SUBSTITUTE(A152,{"0","1","2","3"},"")))))))), 0), ROW(INDIRECT("1:"&amp;LEN((LEFT(A152,SUM(LEN(A152)-LEN(SUBSTITUTE(A152,{"0","1","2","3"},"")))))))))+1, 1) * 10^ROW(INDIRECT("1:"&amp;LEN((LEFT(A152,SUM(LEN(A152)-LEN(SUBSTITUTE(A152,{"0","1","2","3"},""))))))))/10))*100+1</f>
        <v>5101</v>
      </c>
      <c r="W153" s="40">
        <f ca="1">(SUMPRODUCT(MID(0&amp;(--TRIM(RIGHT(SUBSTITUTE(LEFT(A152,_xlfn.AGGREGATE(16,6,FIND({0,1,2,3,4,5,6,7,8,9},A152,ROW(INDIRECT("1:"&amp;LEN(A152)))),1)),"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",LEN(A152))),LEN(A152)))))))/10))*100+1</f>
        <v>2501</v>
      </c>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hidden="1" customHeight="1" x14ac:dyDescent="0.25">
      <c r="A154" s="66"/>
      <c r="B154" s="67"/>
      <c r="C154" s="70">
        <v>2</v>
      </c>
      <c r="D154" s="71"/>
      <c r="E154" s="20" t="s">
        <v>205</v>
      </c>
      <c r="F154" s="70">
        <f>(1.38*1.78+3.2*5.64+2.29*2.83+3.05*3.35+3.31*4.55+3.05*3.75+4.14*1.05+1.82*1.05+(2.29*1.46+1.38*2.14+2.44*1.53)+(3.2*1.08+2.29*1.08)+(0.6*(3.05+3.31+1.8)))*10.764</f>
        <v>977.51759039999968</v>
      </c>
      <c r="G154" s="71"/>
      <c r="H154" s="20">
        <v>0</v>
      </c>
      <c r="I154" s="20">
        <f t="shared" si="5"/>
        <v>1466.2763855999995</v>
      </c>
      <c r="J154" s="1"/>
      <c r="K154" s="1"/>
      <c r="L154" s="1"/>
      <c r="M154" s="1"/>
      <c r="N154" s="1"/>
      <c r="O154" s="1"/>
      <c r="P154" s="1"/>
      <c r="Q154" s="1"/>
      <c r="R154" s="1"/>
      <c r="S154" s="1"/>
      <c r="T154" s="1"/>
      <c r="U154" s="40" t="str">
        <f t="shared" ca="1" si="6"/>
        <v>5102,..,2502</v>
      </c>
      <c r="V154" s="40">
        <f ca="1">V153+1</f>
        <v>5102</v>
      </c>
      <c r="W154" s="40">
        <f ca="1">W153+1</f>
        <v>2502</v>
      </c>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hidden="1" customHeight="1" x14ac:dyDescent="0.25">
      <c r="A155" s="66"/>
      <c r="B155" s="67"/>
      <c r="C155" s="70">
        <v>3</v>
      </c>
      <c r="D155" s="71"/>
      <c r="E155" s="20" t="s">
        <v>232</v>
      </c>
      <c r="F155" s="70">
        <f>(1.95*1.53+1.25*3.05+3*3.08+3.05*3.5+2.75*3.08+3.65*8.38+3.59*4.6+4.26*3.59+1*1.73+1*1.22+(1.53*2.29+1.38*2.44+2.44*1.53+2.44*1.53)+(3.9*1.53+2.75*1.53+1*1.53)+(0.6*(3+3.4+4.26+3.59+2.8)))*10.764</f>
        <v>1472.4850607999999</v>
      </c>
      <c r="G155" s="71"/>
      <c r="H155" s="20">
        <v>0</v>
      </c>
      <c r="I155" s="20">
        <f t="shared" si="5"/>
        <v>2208.7275912</v>
      </c>
      <c r="J155" s="1"/>
      <c r="K155" s="1"/>
      <c r="L155" s="1"/>
      <c r="M155" s="1"/>
      <c r="N155" s="1"/>
      <c r="O155" s="1"/>
      <c r="P155" s="1"/>
      <c r="Q155" s="1"/>
      <c r="R155" s="1"/>
      <c r="S155" s="1"/>
      <c r="T155" s="1"/>
      <c r="U155" s="40" t="str">
        <f t="shared" ca="1" si="6"/>
        <v>5103,..,2503</v>
      </c>
      <c r="V155" s="40">
        <f t="shared" ref="V155:W158" ca="1" si="7">V154+1</f>
        <v>5103</v>
      </c>
      <c r="W155" s="40">
        <f t="shared" ca="1" si="7"/>
        <v>2503</v>
      </c>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hidden="1" customHeight="1" x14ac:dyDescent="0.25">
      <c r="A156" s="66"/>
      <c r="B156" s="67"/>
      <c r="C156" s="70">
        <v>4</v>
      </c>
      <c r="D156" s="71"/>
      <c r="E156" s="70" t="s">
        <v>231</v>
      </c>
      <c r="F156" s="72">
        <f>(1.9*2.59+3.36*6.23+3.05*2.44+2.89*1.68+3.05*3.35+3.36*4.55+3.45*3.97+3.13*1.05+1.85*1.05+(1.38*2.14+1.38*1.06+2.85*1.53+2.29*1.38)+(3.36*1.07+1*2.44))*10.764</f>
        <v>1082.3621796</v>
      </c>
      <c r="G156" s="72"/>
      <c r="H156" s="72">
        <v>0</v>
      </c>
      <c r="I156" s="72">
        <f t="shared" si="5"/>
        <v>1623.5432694000001</v>
      </c>
      <c r="J156" s="1"/>
      <c r="K156" s="1"/>
      <c r="L156" s="1"/>
      <c r="M156" s="1"/>
      <c r="N156" s="1"/>
      <c r="O156" s="1"/>
      <c r="P156" s="1"/>
      <c r="Q156" s="1"/>
      <c r="R156" s="1"/>
      <c r="S156" s="1"/>
      <c r="T156" s="1"/>
      <c r="U156" s="1" t="str">
        <f t="shared" ca="1" si="6"/>
        <v>5104,..,2504</v>
      </c>
      <c r="V156" s="1">
        <f t="shared" ca="1" si="7"/>
        <v>5104</v>
      </c>
      <c r="W156" s="1">
        <f t="shared" ca="1" si="7"/>
        <v>2504</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hidden="1" customHeight="1" x14ac:dyDescent="0.25">
      <c r="A157" s="66"/>
      <c r="B157" s="67"/>
      <c r="C157" s="70">
        <v>5</v>
      </c>
      <c r="D157" s="71"/>
      <c r="E157" s="20" t="s">
        <v>205</v>
      </c>
      <c r="F157" s="70">
        <f>(1.9*2.59+3.36*6.23+3.05*2.44+2.89*2.73+3.05*3.35+3.36*4.55+3.45*3.97+1.85*1.05+(1.38*2.14+1.38*1.06+2.85*1.53+2.29*1.38)+(3.36*1.07+1*2.44)+(0.6*(3.35+3.05+3.45)))*10.764</f>
        <v>1143.2648915999998</v>
      </c>
      <c r="G157" s="71"/>
      <c r="H157" s="20">
        <v>0</v>
      </c>
      <c r="I157" s="20">
        <f t="shared" si="5"/>
        <v>1714.8973373999997</v>
      </c>
      <c r="J157" s="1"/>
      <c r="K157" s="1"/>
      <c r="L157" s="1"/>
      <c r="M157" s="1"/>
      <c r="N157" s="1"/>
      <c r="O157" s="1"/>
      <c r="P157" s="1"/>
      <c r="Q157" s="1"/>
      <c r="R157" s="1"/>
      <c r="S157" s="1"/>
      <c r="T157" s="1"/>
      <c r="U157" s="40" t="str">
        <f t="shared" ca="1" si="6"/>
        <v>5105,..,2505</v>
      </c>
      <c r="V157" s="40">
        <f t="shared" ca="1" si="7"/>
        <v>5105</v>
      </c>
      <c r="W157" s="40">
        <f t="shared" ca="1" si="7"/>
        <v>2505</v>
      </c>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hidden="1" customHeight="1" x14ac:dyDescent="0.25">
      <c r="A158" s="68"/>
      <c r="B158" s="69"/>
      <c r="C158" s="70">
        <v>6</v>
      </c>
      <c r="D158" s="71"/>
      <c r="E158" s="20" t="s">
        <v>232</v>
      </c>
      <c r="F158" s="70">
        <f>(1.95*1.53+1.25*3.05+3*3.08+3.05*3.5+2.75*3.08+3.65*8.38+3.59*4.6+4.26*3.59+1*1.73+1*1.22+(1.53*2.29+1.38*2.44+2.44*1.53+2.44*1.53)+(3.9*1.53+2.75*1.53+1*1.53)+(0.6*(3+3.4+4.26+3.59+2.8)))*10.764</f>
        <v>1472.4850607999999</v>
      </c>
      <c r="G158" s="71"/>
      <c r="H158" s="20">
        <v>0</v>
      </c>
      <c r="I158" s="20">
        <f t="shared" si="5"/>
        <v>2208.7275912</v>
      </c>
      <c r="J158" s="1"/>
      <c r="K158" s="1"/>
      <c r="L158" s="1"/>
      <c r="M158" s="1"/>
      <c r="N158" s="1"/>
      <c r="O158" s="1"/>
      <c r="P158" s="1"/>
      <c r="Q158" s="1"/>
      <c r="R158" s="1"/>
      <c r="S158" s="1"/>
      <c r="T158" s="1"/>
      <c r="U158" s="40" t="str">
        <f t="shared" ca="1" si="6"/>
        <v>5106,..,2506</v>
      </c>
      <c r="V158" s="40">
        <f t="shared" ca="1" si="7"/>
        <v>5106</v>
      </c>
      <c r="W158" s="40">
        <f t="shared" ca="1" si="7"/>
        <v>2506</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hidden="1" x14ac:dyDescent="0.25">
      <c r="A159" s="61" t="s">
        <v>272</v>
      </c>
      <c r="B159" s="62"/>
      <c r="C159" s="62"/>
      <c r="D159" s="62"/>
      <c r="E159" s="62"/>
      <c r="F159" s="62"/>
      <c r="G159" s="62"/>
      <c r="H159" s="62"/>
      <c r="I159" s="6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hidden="1" customHeight="1" x14ac:dyDescent="0.25">
      <c r="A160" s="64" t="str">
        <f>A159</f>
        <v>8th &amp; 33rd  Floor</v>
      </c>
      <c r="B160" s="65"/>
      <c r="C160" s="70">
        <v>1</v>
      </c>
      <c r="D160" s="71"/>
      <c r="E160" s="20" t="s">
        <v>251</v>
      </c>
      <c r="F160" s="70">
        <f>(1.85*1.63+6.55*5.64+2.29*2.83+6.51*3.35+5.36*1.2+3.05*3.75+2.29*2.83+3.05*3.35+3.31*4.85+3.05*3.75+(2.44*1.53+1.38*2.14+2.29*1.46+1.38*2.13+2.44*1.53+2.29*1.46)+(4.14*1.05+1.8*1.05+3.84*1.05+2.29*1.08+2.29*1.08)+6.55*1.08+(0.6*(2.44+2.59+2.69+2.44)))*10.764</f>
        <v>1923.9207624000001</v>
      </c>
      <c r="G160" s="71"/>
      <c r="H160" s="20">
        <v>0</v>
      </c>
      <c r="I160" s="20">
        <f>F160*(($I$89)+1)+H160</f>
        <v>2885.8811436000001</v>
      </c>
      <c r="J160" s="1"/>
      <c r="K160" s="1"/>
      <c r="L160" s="1"/>
      <c r="M160" s="1"/>
      <c r="N160" s="1"/>
      <c r="O160" s="1"/>
      <c r="P160" s="1"/>
      <c r="Q160" s="1"/>
      <c r="R160" s="1"/>
      <c r="S160" s="1"/>
      <c r="T160" s="1"/>
      <c r="U160" s="40" t="str">
        <f ca="1">V160&amp;""&amp;",..,"&amp;""&amp;W160</f>
        <v>801,..,3301</v>
      </c>
      <c r="V160" s="40">
        <f ca="1">(SUMPRODUCT(MID(0&amp;(LEFT(A159,SUM(LEN(A159)-LEN(SUBSTITUTE(A159,{"0","1","2","3"},""))))), LARGE(INDEX(ISNUMBER(--MID((LEFT(A159,SUM(LEN(A159)-LEN(SUBSTITUTE(A159,{"0","1","2","3"},""))))), ROW(INDIRECT("1:"&amp;LEN((LEFT(A159,SUM(LEN(A159)-LEN(SUBSTITUTE(A159,{"0","1","2","3"},"")))))))), 1)) * ROW(INDIRECT("1:"&amp;LEN((LEFT(A159,SUM(LEN(A159)-LEN(SUBSTITUTE(A159,{"0","1","2","3"},"")))))))), 0), ROW(INDIRECT("1:"&amp;LEN((LEFT(A159,SUM(LEN(A159)-LEN(SUBSTITUTE(A159,{"0","1","2","3"},"")))))))))+1, 1) * 10^ROW(INDIRECT("1:"&amp;LEN((LEFT(A159,SUM(LEN(A159)-LEN(SUBSTITUTE(A159,{"0","1","2","3"},""))))))))/10))*100+1</f>
        <v>801</v>
      </c>
      <c r="W160" s="40">
        <f ca="1">(SUMPRODUCT(MID(0&amp;(--TRIM(RIGHT(SUBSTITUTE(LEFT(A159,_xlfn.AGGREGATE(16,6,FIND({0,1,2,3,4,5,6,7,8,9},A159,ROW(INDIRECT("1:"&amp;LEN(A159)))),1)),"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3301</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hidden="1" customHeight="1" x14ac:dyDescent="0.25">
      <c r="A161" s="66"/>
      <c r="B161" s="67"/>
      <c r="C161" s="70">
        <v>3</v>
      </c>
      <c r="D161" s="71"/>
      <c r="E161" s="20" t="s">
        <v>232</v>
      </c>
      <c r="F161" s="70">
        <f>(1.95*1.53+1.25*3.05+3*3.08+3.05*3.5+2.75*3.08+3.65*8.38+3.59*4.6+4.26*3.59+1*1.73+1*1.22+(1.53*2.29+1.38*2.44+2.44*1.53+2.44*1.53)+(3.9*1.53+2.75*1.53+1*1.53)+(0.6*(3+3.4+4.26+3.59+2.8)))*10.764</f>
        <v>1472.4850607999999</v>
      </c>
      <c r="G161" s="71"/>
      <c r="H161" s="20">
        <v>0</v>
      </c>
      <c r="I161" s="20">
        <f>F161*(($I$89)+1)+H161</f>
        <v>2208.7275912</v>
      </c>
      <c r="J161" s="1"/>
      <c r="K161" s="1"/>
      <c r="L161" s="1"/>
      <c r="M161" s="1"/>
      <c r="N161" s="1"/>
      <c r="O161" s="1"/>
      <c r="P161" s="1"/>
      <c r="Q161" s="1"/>
      <c r="R161" s="1"/>
      <c r="S161" s="1"/>
      <c r="T161" s="1"/>
      <c r="U161" s="40" t="e">
        <f>V161&amp;""&amp;",..,"&amp;""&amp;W161</f>
        <v>#REF!</v>
      </c>
      <c r="V161" s="40" t="e">
        <f>#REF!+1</f>
        <v>#REF!</v>
      </c>
      <c r="W161" s="40" t="e">
        <f>#REF!+1</f>
        <v>#REF!</v>
      </c>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hidden="1" customHeight="1" x14ac:dyDescent="0.25">
      <c r="A162" s="66"/>
      <c r="B162" s="67"/>
      <c r="C162" s="70">
        <v>4</v>
      </c>
      <c r="D162" s="71"/>
      <c r="E162" s="20" t="s">
        <v>205</v>
      </c>
      <c r="F162" s="70">
        <f>(1.9*2.59+3.36*6.23+3.05*2.44+2.89*2.73+3.05*3.35+3.36*4.55+3.45*3.97+1.85*1.05+(1.38*2.14+1.38*1.06+2.85*1.53+2.29*1.38)+(3.36*1.07+1*2.44)+(0.6*(3.35+3.05+3.45)))*10.764</f>
        <v>1143.2648915999998</v>
      </c>
      <c r="G162" s="71"/>
      <c r="H162" s="20">
        <v>0</v>
      </c>
      <c r="I162" s="20">
        <f>F162*(($I$89)+1)+H162</f>
        <v>1714.8973373999997</v>
      </c>
      <c r="J162" s="1"/>
      <c r="K162" s="1"/>
      <c r="L162" s="1"/>
      <c r="M162" s="1"/>
      <c r="N162" s="1"/>
      <c r="O162" s="1"/>
      <c r="P162" s="1"/>
      <c r="Q162" s="1"/>
      <c r="R162" s="1"/>
      <c r="S162" s="1"/>
      <c r="T162" s="1"/>
      <c r="U162" s="40" t="e">
        <f>V162&amp;""&amp;",..,"&amp;""&amp;W162</f>
        <v>#REF!</v>
      </c>
      <c r="V162" s="40" t="e">
        <f t="shared" ref="V162:W164" si="8">V161+1</f>
        <v>#REF!</v>
      </c>
      <c r="W162" s="40" t="e">
        <f t="shared" si="8"/>
        <v>#REF!</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hidden="1" customHeight="1" x14ac:dyDescent="0.25">
      <c r="A163" s="66"/>
      <c r="B163" s="67"/>
      <c r="C163" s="70">
        <v>5</v>
      </c>
      <c r="D163" s="71"/>
      <c r="E163" s="20" t="s">
        <v>205</v>
      </c>
      <c r="F163" s="70">
        <f>(1.9*2.59+3.36*6.23+3.05*2.44+2.89*2.73+3.05*3.35+3.36*4.55+3.45*3.97+1.85*1.05+(1.38*2.14+1.38*1.06+2.85*1.53+2.29*1.38)+(3.36*1.07+1*2.44)+(0.6*(3.35+3.05+3.45)))*10.764</f>
        <v>1143.2648915999998</v>
      </c>
      <c r="G163" s="71"/>
      <c r="H163" s="20">
        <v>0</v>
      </c>
      <c r="I163" s="20">
        <f>F163*(($I$89)+1)+H163</f>
        <v>1714.8973373999997</v>
      </c>
      <c r="J163" s="1"/>
      <c r="K163" s="1"/>
      <c r="L163" s="1"/>
      <c r="M163" s="1"/>
      <c r="N163" s="1"/>
      <c r="O163" s="1"/>
      <c r="P163" s="1"/>
      <c r="Q163" s="1"/>
      <c r="R163" s="1"/>
      <c r="S163" s="1"/>
      <c r="T163" s="1"/>
      <c r="U163" s="40" t="e">
        <f>V163&amp;""&amp;",..,"&amp;""&amp;W163</f>
        <v>#REF!</v>
      </c>
      <c r="V163" s="40" t="e">
        <f t="shared" si="8"/>
        <v>#REF!</v>
      </c>
      <c r="W163" s="40" t="e">
        <f t="shared" si="8"/>
        <v>#REF!</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66" hidden="1" customHeight="1" x14ac:dyDescent="0.25">
      <c r="A164" s="68"/>
      <c r="B164" s="69"/>
      <c r="C164" s="70">
        <v>6</v>
      </c>
      <c r="D164" s="71"/>
      <c r="E164" s="20" t="s">
        <v>273</v>
      </c>
      <c r="F164" s="70">
        <f>((1.5*1.78+1.53*0.9+6.85*4.9+3.05*3.08+3.35*3.48+2.15*3.08+2.37*2.44+3.59*4.6+4.26*3.59+1.22*1.4+1.38*1.52+1.53*1.38+(2.43*1.52+2.43*1.53+1.53*2.29+1*1.53)+(1.75*1.53+1.53*3.55)+(0.6*(2+3.35+2.8+3.59+4.26)))+(2.75*3.08+3.65*4.73+6.85*3.5+3.59*4.6+4.26*3.59+1.25*2.75+1.53*1.38+1.53*1.38)+(2.44*1.53+2.44*1.53+1.93*1.5+1.38*2.44+1.53*2.74)+1.75*1.53+1.53*3.55+(0.8*(3.55+4.26+3.59+2.9)))*10.764</f>
        <v>2858.8581215999998</v>
      </c>
      <c r="G164" s="71"/>
      <c r="H164" s="20">
        <v>0</v>
      </c>
      <c r="I164" s="20">
        <f>F164*(($I$89)+1)+H164</f>
        <v>4288.2871823999994</v>
      </c>
      <c r="J164" s="1"/>
      <c r="K164" s="1"/>
      <c r="L164" s="1"/>
      <c r="M164" s="1"/>
      <c r="N164" s="1"/>
      <c r="O164" s="1"/>
      <c r="P164" s="1"/>
      <c r="Q164" s="1"/>
      <c r="R164" s="1"/>
      <c r="S164" s="1"/>
      <c r="T164" s="1"/>
      <c r="U164" s="40" t="e">
        <f>V164&amp;""&amp;",..,"&amp;""&amp;W164</f>
        <v>#REF!</v>
      </c>
      <c r="V164" s="40" t="e">
        <f t="shared" si="8"/>
        <v>#REF!</v>
      </c>
      <c r="W164" s="40" t="e">
        <f t="shared" si="8"/>
        <v>#REF!</v>
      </c>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hidden="1" x14ac:dyDescent="0.25">
      <c r="A165" s="61" t="s">
        <v>274</v>
      </c>
      <c r="B165" s="62"/>
      <c r="C165" s="62"/>
      <c r="D165" s="62"/>
      <c r="E165" s="62"/>
      <c r="F165" s="62"/>
      <c r="G165" s="62"/>
      <c r="H165" s="62"/>
      <c r="I165" s="6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hidden="1" customHeight="1" x14ac:dyDescent="0.25">
      <c r="A166" s="64" t="str">
        <f>A165</f>
        <v>9th Floor</v>
      </c>
      <c r="B166" s="65"/>
      <c r="C166" s="70">
        <v>1</v>
      </c>
      <c r="D166" s="71"/>
      <c r="E166" s="20" t="s">
        <v>205</v>
      </c>
      <c r="F166" s="70">
        <f>(1.38*1.78+3.2*5.64+2.29*2.83+3.05*3.35+3.31*4.55+3.05*3.75+4.14*1.05+1.82*1.05+(2.29*1.46+1.38*2.14+2.44*1.53)+(3.2*1.08+2.29*1.08)+(0.6*(3.05+3.31+1.8)))*10.764</f>
        <v>977.51759039999968</v>
      </c>
      <c r="G166" s="71"/>
      <c r="H166" s="20">
        <v>0</v>
      </c>
      <c r="I166" s="20">
        <f>F166*(($I$89)+1)+H166</f>
        <v>1466.2763855999995</v>
      </c>
      <c r="J166" s="1"/>
      <c r="K166" s="1"/>
      <c r="L166" s="1"/>
      <c r="M166" s="1"/>
      <c r="N166" s="1"/>
      <c r="O166" s="1"/>
      <c r="P166" s="1"/>
      <c r="Q166" s="1"/>
      <c r="R166" s="1"/>
      <c r="S166" s="1"/>
      <c r="T166" s="1"/>
      <c r="U166" s="40" t="e">
        <f t="shared" ref="U166:U171" ca="1" si="9">V166&amp;""&amp;",..,"&amp;""&amp;W166</f>
        <v>#REF!</v>
      </c>
      <c r="V166" s="40" t="e">
        <f ca="1">(SUMPRODUCT(MID(0&amp;(LEFT(A165,SUM(LEN(A165)-LEN(SUBSTITUTE(A165,{"0","1","2","3"},""))))), LARGE(INDEX(ISNUMBER(--MID((LEFT(A165,SUM(LEN(A165)-LEN(SUBSTITUTE(A165,{"0","1","2","3"},""))))), ROW(INDIRECT("1:"&amp;LEN((LEFT(A165,SUM(LEN(A165)-LEN(SUBSTITUTE(A165,{"0","1","2","3"},"")))))))), 1)) * ROW(INDIRECT("1:"&amp;LEN((LEFT(A165,SUM(LEN(A165)-LEN(SUBSTITUTE(A165,{"0","1","2","3"},"")))))))), 0), ROW(INDIRECT("1:"&amp;LEN((LEFT(A165,SUM(LEN(A165)-LEN(SUBSTITUTE(A165,{"0","1","2","3"},"")))))))))+1, 1) * 10^ROW(INDIRECT("1:"&amp;LEN((LEFT(A165,SUM(LEN(A165)-LEN(SUBSTITUTE(A165,{"0","1","2","3"},""))))))))/10))*100+1</f>
        <v>#REF!</v>
      </c>
      <c r="W166" s="40">
        <f ca="1">(SUMPRODUCT(MID(0&amp;(--TRIM(RIGHT(SUBSTITUTE(LEFT(A165,_xlfn.AGGREGATE(16,6,FIND({0,1,2,3,4,5,6,7,8,9},A165,ROW(INDIRECT("1:"&amp;LEN(A165)))),1)),"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",LEN(A165))),LEN(A165)))))))/10))*100+1</f>
        <v>901</v>
      </c>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hidden="1" customHeight="1" x14ac:dyDescent="0.25">
      <c r="A167" s="66"/>
      <c r="B167" s="67"/>
      <c r="C167" s="70">
        <v>2</v>
      </c>
      <c r="D167" s="71"/>
      <c r="E167" s="20" t="s">
        <v>205</v>
      </c>
      <c r="F167" s="70">
        <f>(1.38*1.78+3.2*5.64+2.29*2.83+3.05*3.35+3.31*4.55+3.05*3.75+4.14*1.05+1.82*1.05+(2.29*1.46+1.38*2.14+2.44*1.53)+(3.2*1.08+2.29*1.08)+(0.6*(3.05+3.31+1.8)))*10.764</f>
        <v>977.51759039999968</v>
      </c>
      <c r="G167" s="71"/>
      <c r="H167" s="20">
        <v>0</v>
      </c>
      <c r="I167" s="20">
        <f>F167*(($I$89)+1)+H167</f>
        <v>1466.2763855999995</v>
      </c>
      <c r="J167" s="1"/>
      <c r="K167" s="1"/>
      <c r="L167" s="1"/>
      <c r="M167" s="1"/>
      <c r="N167" s="1"/>
      <c r="O167" s="1"/>
      <c r="P167" s="1"/>
      <c r="Q167" s="1"/>
      <c r="R167" s="1"/>
      <c r="S167" s="1"/>
      <c r="T167" s="1"/>
      <c r="U167" s="40" t="e">
        <f t="shared" ca="1" si="9"/>
        <v>#REF!</v>
      </c>
      <c r="V167" s="40" t="e">
        <f ca="1">V166+1</f>
        <v>#REF!</v>
      </c>
      <c r="W167" s="40">
        <f ca="1">W166+1</f>
        <v>902</v>
      </c>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hidden="1" customHeight="1" x14ac:dyDescent="0.25">
      <c r="A168" s="66"/>
      <c r="B168" s="67"/>
      <c r="C168" s="70">
        <v>3</v>
      </c>
      <c r="D168" s="71"/>
      <c r="E168" s="20" t="s">
        <v>232</v>
      </c>
      <c r="F168" s="70">
        <f>(1.95*1.53+1.25*3.05+3*3.08+3.05*3.5+2.75*3.08+3.65*8.38+3.59*4.6+4.26*3.59+1*1.73+1*1.22+(1.53*2.29+1.38*2.44+2.44*1.53+2.44*1.53)+(3.9*1.53+2.75*1.53+1*1.53)+(0.6*(3+3.4+4.26+3.59+2.8)))*10.764</f>
        <v>1472.4850607999999</v>
      </c>
      <c r="G168" s="71"/>
      <c r="H168" s="20">
        <v>0</v>
      </c>
      <c r="I168" s="20">
        <f>F168*(($I$89)+1)+H168</f>
        <v>2208.7275912</v>
      </c>
      <c r="J168" s="1"/>
      <c r="K168" s="1"/>
      <c r="L168" s="1"/>
      <c r="M168" s="1"/>
      <c r="N168" s="1"/>
      <c r="O168" s="1"/>
      <c r="P168" s="1"/>
      <c r="Q168" s="1"/>
      <c r="R168" s="1"/>
      <c r="S168" s="1"/>
      <c r="T168" s="1"/>
      <c r="U168" s="40" t="e">
        <f t="shared" ca="1" si="9"/>
        <v>#REF!</v>
      </c>
      <c r="V168" s="40" t="e">
        <f t="shared" ref="V168:W171" ca="1" si="10">V167+1</f>
        <v>#REF!</v>
      </c>
      <c r="W168" s="40">
        <f t="shared" ca="1" si="10"/>
        <v>903</v>
      </c>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hidden="1" customHeight="1" x14ac:dyDescent="0.25">
      <c r="A169" s="66"/>
      <c r="B169" s="67"/>
      <c r="C169" s="70">
        <v>4</v>
      </c>
      <c r="D169" s="71"/>
      <c r="E169" s="20" t="s">
        <v>205</v>
      </c>
      <c r="F169" s="70">
        <f>(1.9*2.59+3.36*6.23+3.05*2.44+2.89*2.73+3.05*3.35+3.36*4.55+3.45*3.97+1.85*1.05+(1.38*2.14+1.38*1.06+2.85*1.53+2.29*1.38)+(3.36*1.07+1*2.44)+(0.6*(3.35+3.05+3.45)))*10.764</f>
        <v>1143.2648915999998</v>
      </c>
      <c r="G169" s="71"/>
      <c r="H169" s="20">
        <v>0</v>
      </c>
      <c r="I169" s="20">
        <f>F169*(($I$89)+1)+H169</f>
        <v>1714.8973373999997</v>
      </c>
      <c r="J169" s="1"/>
      <c r="K169" s="1"/>
      <c r="L169" s="1"/>
      <c r="M169" s="1"/>
      <c r="N169" s="1"/>
      <c r="O169" s="1"/>
      <c r="P169" s="1"/>
      <c r="Q169" s="1"/>
      <c r="R169" s="1"/>
      <c r="S169" s="1"/>
      <c r="T169" s="1"/>
      <c r="U169" s="40" t="e">
        <f t="shared" ca="1" si="9"/>
        <v>#REF!</v>
      </c>
      <c r="V169" s="40" t="e">
        <f t="shared" ca="1" si="10"/>
        <v>#REF!</v>
      </c>
      <c r="W169" s="40">
        <f t="shared" ca="1" si="10"/>
        <v>904</v>
      </c>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hidden="1" customHeight="1" x14ac:dyDescent="0.25">
      <c r="A170" s="66"/>
      <c r="B170" s="67"/>
      <c r="C170" s="70">
        <v>5</v>
      </c>
      <c r="D170" s="71"/>
      <c r="E170" s="20" t="s">
        <v>205</v>
      </c>
      <c r="F170" s="70">
        <f>(1.9*2.59+3.36*6.23+3.05*2.44+2.89*2.73+3.05*3.35+3.36*4.55+3.45*3.97+1.85*1.05+(1.38*2.14+1.38*1.06+2.85*1.53+2.29*1.38)+(3.36*1.07+1*2.44)+(0.6*(3.35+3.05+3.45)))*10.764</f>
        <v>1143.2648915999998</v>
      </c>
      <c r="G170" s="71"/>
      <c r="H170" s="20">
        <v>0</v>
      </c>
      <c r="I170" s="20">
        <f>F170*(($I$89)+1)+H170</f>
        <v>1714.8973373999997</v>
      </c>
      <c r="J170" s="1"/>
      <c r="K170" s="1"/>
      <c r="L170" s="1"/>
      <c r="M170" s="1"/>
      <c r="N170" s="1"/>
      <c r="O170" s="1"/>
      <c r="P170" s="1"/>
      <c r="Q170" s="1"/>
      <c r="R170" s="1"/>
      <c r="S170" s="1"/>
      <c r="T170" s="1"/>
      <c r="U170" s="40" t="e">
        <f t="shared" ca="1" si="9"/>
        <v>#REF!</v>
      </c>
      <c r="V170" s="40" t="e">
        <f t="shared" ca="1" si="10"/>
        <v>#REF!</v>
      </c>
      <c r="W170" s="40">
        <f t="shared" ca="1" si="10"/>
        <v>905</v>
      </c>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hidden="1" customHeight="1" x14ac:dyDescent="0.25">
      <c r="A171" s="68"/>
      <c r="B171" s="69"/>
      <c r="C171" s="70">
        <v>6</v>
      </c>
      <c r="D171" s="71"/>
      <c r="E171" s="70" t="s">
        <v>275</v>
      </c>
      <c r="F171" s="72"/>
      <c r="G171" s="72"/>
      <c r="H171" s="72"/>
      <c r="I171" s="71"/>
      <c r="J171" s="1"/>
      <c r="K171" s="1"/>
      <c r="L171" s="1"/>
      <c r="M171" s="1"/>
      <c r="N171" s="1"/>
      <c r="O171" s="1"/>
      <c r="P171" s="1"/>
      <c r="Q171" s="1"/>
      <c r="R171" s="1"/>
      <c r="S171" s="1"/>
      <c r="T171" s="1"/>
      <c r="U171" s="40" t="e">
        <f t="shared" ca="1" si="9"/>
        <v>#REF!</v>
      </c>
      <c r="V171" s="40" t="e">
        <f t="shared" ca="1" si="10"/>
        <v>#REF!</v>
      </c>
      <c r="W171" s="40">
        <f t="shared" ca="1" si="10"/>
        <v>906</v>
      </c>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hidden="1" x14ac:dyDescent="0.25">
      <c r="A172" s="61" t="s">
        <v>276</v>
      </c>
      <c r="B172" s="62"/>
      <c r="C172" s="62"/>
      <c r="D172" s="62"/>
      <c r="E172" s="62"/>
      <c r="F172" s="62"/>
      <c r="G172" s="62"/>
      <c r="H172" s="62"/>
      <c r="I172" s="6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hidden="1" customHeight="1" x14ac:dyDescent="0.25">
      <c r="A173" s="64" t="str">
        <f>A172</f>
        <v>34th Floor (Part Refuge Area)</v>
      </c>
      <c r="B173" s="65"/>
      <c r="C173" s="70">
        <v>1</v>
      </c>
      <c r="D173" s="71"/>
      <c r="E173" s="20" t="s">
        <v>251</v>
      </c>
      <c r="F173" s="70">
        <f>(1.85*1.63+6.55*5.64+2.29*2.83+6.51*3.35+5.36*1.2+3.05*3.75+2.29*2.83+3.05*3.35+3.31*4.85+3.05*3.75+(2.44*1.53+1.38*2.14+2.29*1.46+1.38*2.13+2.44*1.53+2.29*1.46)+(4.14*1.05+1.8*1.05+3.84*1.05+2.29*1.08+2.29*1.08)+6.55*1.08+(0.6*(2.44+2.59+2.69+2.44)))*10.764</f>
        <v>1923.9207624000001</v>
      </c>
      <c r="G173" s="71"/>
      <c r="H173" s="20">
        <v>0</v>
      </c>
      <c r="I173" s="20">
        <f>F173*(($I$89)+1)+H173</f>
        <v>2885.8811436000001</v>
      </c>
      <c r="J173" s="1"/>
      <c r="K173" s="1"/>
      <c r="L173" s="1"/>
      <c r="M173" s="1"/>
      <c r="N173" s="1"/>
      <c r="O173" s="1"/>
      <c r="P173" s="1"/>
      <c r="Q173" s="1"/>
      <c r="R173" s="1"/>
      <c r="S173" s="1"/>
      <c r="T173" s="1"/>
      <c r="U173" s="40" t="str">
        <f ca="1">V173&amp;""&amp;",..,"&amp;""&amp;W173</f>
        <v>301,..,3401</v>
      </c>
      <c r="V173" s="40">
        <f ca="1">(SUMPRODUCT(MID(0&amp;(LEFT(A172,SUM(LEN(A172)-LEN(SUBSTITUTE(A172,{"0","1","2","3"},""))))), LARGE(INDEX(ISNUMBER(--MID((LEFT(A172,SUM(LEN(A172)-LEN(SUBSTITUTE(A172,{"0","1","2","3"},""))))), ROW(INDIRECT("1:"&amp;LEN((LEFT(A172,SUM(LEN(A172)-LEN(SUBSTITUTE(A172,{"0","1","2","3"},"")))))))), 1)) * ROW(INDIRECT("1:"&amp;LEN((LEFT(A172,SUM(LEN(A172)-LEN(SUBSTITUTE(A172,{"0","1","2","3"},"")))))))), 0), ROW(INDIRECT("1:"&amp;LEN((LEFT(A172,SUM(LEN(A172)-LEN(SUBSTITUTE(A172,{"0","1","2","3"},"")))))))))+1, 1) * 10^ROW(INDIRECT("1:"&amp;LEN((LEFT(A172,SUM(LEN(A172)-LEN(SUBSTITUTE(A172,{"0","1","2","3"},""))))))))/10))*100+1</f>
        <v>301</v>
      </c>
      <c r="W173" s="40">
        <f ca="1">(SUMPRODUCT(MID(0&amp;(--TRIM(RIGHT(SUBSTITUTE(LEFT(A172,_xlfn.AGGREGATE(16,6,FIND({0,1,2,3,4,5,6,7,8,9},A172,ROW(INDIRECT("1:"&amp;LEN(A172)))),1)),"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",LEN(A172))),LEN(A172)))))))/10))*100+1</f>
        <v>3401</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hidden="1" customHeight="1" x14ac:dyDescent="0.25">
      <c r="A174" s="66"/>
      <c r="B174" s="67"/>
      <c r="C174" s="70">
        <v>3</v>
      </c>
      <c r="D174" s="71"/>
      <c r="E174" s="20" t="s">
        <v>232</v>
      </c>
      <c r="F174" s="70">
        <f>(1.95*1.53+1.25*3.05+3*3.08+3.05*3.5+2.75*3.08+3.65*8.38+3.59*4.6+4.26*3.59+1*1.73+1*1.22+(1.53*2.29+1.38*2.44+2.44*1.53+2.44*1.53)+(3.9*1.53+2.75*1.53+1*1.53)+(0.6*(3+3.4+4.26+3.59+2.8)))*10.764</f>
        <v>1472.4850607999999</v>
      </c>
      <c r="G174" s="71"/>
      <c r="H174" s="20">
        <v>0</v>
      </c>
      <c r="I174" s="20">
        <f>F174*(($I$89)+1)+H174</f>
        <v>2208.7275912</v>
      </c>
      <c r="J174" s="1"/>
      <c r="K174" s="1"/>
      <c r="L174" s="1"/>
      <c r="M174" s="1"/>
      <c r="N174" s="1"/>
      <c r="O174" s="1"/>
      <c r="P174" s="1"/>
      <c r="Q174" s="1"/>
      <c r="R174" s="1"/>
      <c r="S174" s="1"/>
      <c r="T174" s="1"/>
      <c r="U174" s="40" t="e">
        <f>V174&amp;""&amp;",..,"&amp;""&amp;W174</f>
        <v>#REF!</v>
      </c>
      <c r="V174" s="40" t="e">
        <f>#REF!+1</f>
        <v>#REF!</v>
      </c>
      <c r="W174" s="40" t="e">
        <f>#REF!+1</f>
        <v>#REF!</v>
      </c>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hidden="1" customHeight="1" x14ac:dyDescent="0.25">
      <c r="A175" s="66"/>
      <c r="B175" s="67"/>
      <c r="C175" s="70">
        <v>4</v>
      </c>
      <c r="D175" s="71"/>
      <c r="E175" s="70" t="s">
        <v>231</v>
      </c>
      <c r="F175" s="72">
        <f>(1.9*2.59+3.36*6.23+3.05*2.44+2.89*1.68+3.05*3.35+3.36*4.55+3.45*3.97+3.13*1.05+1.85*1.05+(1.38*2.14+1.38*1.06+2.85*1.53+2.29*1.38)+(3.36*1.07+1*2.44)+(0.6*(3.35+3.05+3.45)))*10.764</f>
        <v>1145.9774195999998</v>
      </c>
      <c r="G175" s="72"/>
      <c r="H175" s="72">
        <v>0</v>
      </c>
      <c r="I175" s="72">
        <f>F175*(($I$89)+1)+H175</f>
        <v>1718.9661293999998</v>
      </c>
      <c r="J175" s="1"/>
      <c r="K175" s="1"/>
      <c r="L175" s="1"/>
      <c r="M175" s="1"/>
      <c r="N175" s="1"/>
      <c r="O175" s="1"/>
      <c r="P175" s="1"/>
      <c r="Q175" s="1"/>
      <c r="R175" s="1"/>
      <c r="S175" s="1"/>
      <c r="T175" s="1"/>
      <c r="U175" s="1" t="e">
        <f>V175&amp;""&amp;",..,"&amp;""&amp;W175</f>
        <v>#REF!</v>
      </c>
      <c r="V175" s="1" t="e">
        <f t="shared" ref="V175:W177" si="11">V174+1</f>
        <v>#REF!</v>
      </c>
      <c r="W175" s="1" t="e">
        <f t="shared" si="11"/>
        <v>#REF!</v>
      </c>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hidden="1" customHeight="1" x14ac:dyDescent="0.25">
      <c r="A176" s="66"/>
      <c r="B176" s="67"/>
      <c r="C176" s="70">
        <v>5</v>
      </c>
      <c r="D176" s="71"/>
      <c r="E176" s="20" t="s">
        <v>205</v>
      </c>
      <c r="F176" s="70">
        <f>(1.9*2.59+3.36*6.23+3.05*2.44+2.89*2.73+3.05*3.35+3.36*4.55+3.45*3.97+1.85*1.05+(1.38*2.14+1.38*1.06+2.85*1.53+2.29*1.38)+(3.36*1.07+1*2.44)+(0.6*(3.35+3.05+3.45)))*10.764</f>
        <v>1143.2648915999998</v>
      </c>
      <c r="G176" s="71"/>
      <c r="H176" s="20">
        <v>0</v>
      </c>
      <c r="I176" s="20">
        <f>F176*(($I$89)+1)+H176</f>
        <v>1714.8973373999997</v>
      </c>
      <c r="J176" s="1"/>
      <c r="K176" s="1"/>
      <c r="L176" s="1"/>
      <c r="M176" s="1"/>
      <c r="N176" s="1"/>
      <c r="O176" s="1"/>
      <c r="P176" s="1"/>
      <c r="Q176" s="1"/>
      <c r="R176" s="1"/>
      <c r="S176" s="1"/>
      <c r="T176" s="1"/>
      <c r="U176" s="40" t="e">
        <f>V176&amp;""&amp;",..,"&amp;""&amp;W176</f>
        <v>#REF!</v>
      </c>
      <c r="V176" s="40" t="e">
        <f t="shared" si="11"/>
        <v>#REF!</v>
      </c>
      <c r="W176" s="40" t="e">
        <f t="shared" si="11"/>
        <v>#REF!</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hidden="1" customHeight="1" x14ac:dyDescent="0.25">
      <c r="A177" s="68"/>
      <c r="B177" s="69"/>
      <c r="C177" s="70">
        <v>6</v>
      </c>
      <c r="D177" s="71"/>
      <c r="E177" s="70" t="s">
        <v>277</v>
      </c>
      <c r="F177" s="72">
        <f>(1.2*1.53+1.2*3.05+1.53*0.6+3*3.08+3.05*3.5+2.75*3.08+3.65*3.53+3.65*4.85+3.59*4.6+4.26*3.59+1*1.93+0.98*1.22+(1.53*2.14+1.38*2.44+2.44*1.53+2.44*1.53)+(3.82*1.53+2.75*1.53+1*1.53)+(0.6*(3+3.4+4.26+3.59+2.8)))*10.764</f>
        <v>1466.4755195999999</v>
      </c>
      <c r="G177" s="72"/>
      <c r="H177" s="72">
        <v>0</v>
      </c>
      <c r="I177" s="71">
        <f>F177*(($I$89)+1)+H177</f>
        <v>2199.7132793999999</v>
      </c>
      <c r="J177" s="1"/>
      <c r="K177" s="1"/>
      <c r="L177" s="1"/>
      <c r="M177" s="1"/>
      <c r="N177" s="1"/>
      <c r="O177" s="1"/>
      <c r="P177" s="1"/>
      <c r="Q177" s="1"/>
      <c r="R177" s="1"/>
      <c r="S177" s="1"/>
      <c r="T177" s="1"/>
      <c r="U177" s="40" t="e">
        <f>V177&amp;""&amp;",..,"&amp;""&amp;W177</f>
        <v>#REF!</v>
      </c>
      <c r="V177" s="40" t="e">
        <f t="shared" si="11"/>
        <v>#REF!</v>
      </c>
      <c r="W177" s="40" t="e">
        <f t="shared" si="11"/>
        <v>#REF!</v>
      </c>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hidden="1" x14ac:dyDescent="0.25">
      <c r="A178" s="61" t="s">
        <v>280</v>
      </c>
      <c r="B178" s="62"/>
      <c r="C178" s="62"/>
      <c r="D178" s="62"/>
      <c r="E178" s="62"/>
      <c r="F178" s="62"/>
      <c r="G178" s="62"/>
      <c r="H178" s="62"/>
      <c r="I178" s="63"/>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hidden="1" customHeight="1" x14ac:dyDescent="0.25">
      <c r="A179" s="64" t="str">
        <f>A178</f>
        <v>29th  &amp; 39th Floor (Part Refuge Area)</v>
      </c>
      <c r="B179" s="65"/>
      <c r="C179" s="70">
        <v>1</v>
      </c>
      <c r="D179" s="71"/>
      <c r="E179" s="20" t="s">
        <v>251</v>
      </c>
      <c r="F179" s="70">
        <f>(1.85*1.63+6.55*5.64+2.29*2.83+6.51*3.35+5.36*1.2+3.05*3.75+2.29*2.83+3.05*3.35+3.31*4.85+3.05*3.75+(2.44*1.53+1.38*2.14+2.29*1.46+1.38*2.13+2.44*1.53+2.29*1.46)+(4.14*1.05+1.8*1.05+3.84*1.05+2.29*1.08+2.29*1.08)+6.55*1.08+(0.6*(2.44+2.59+2.69+2.44)))*10.764</f>
        <v>1923.9207624000001</v>
      </c>
      <c r="G179" s="71"/>
      <c r="H179" s="20">
        <v>0</v>
      </c>
      <c r="I179" s="20">
        <f>F179*(($I$89)+1)+H179</f>
        <v>2885.8811436000001</v>
      </c>
      <c r="J179" s="1"/>
      <c r="K179" s="1"/>
      <c r="L179" s="1"/>
      <c r="M179" s="1"/>
      <c r="N179" s="1"/>
      <c r="O179" s="1"/>
      <c r="P179" s="1"/>
      <c r="Q179" s="1"/>
      <c r="R179" s="1"/>
      <c r="S179" s="1"/>
      <c r="T179" s="1"/>
      <c r="U179" s="40" t="str">
        <f ca="1">V179&amp;""&amp;",..,"&amp;""&amp;W179</f>
        <v>2901,..,3901</v>
      </c>
      <c r="V179" s="40">
        <f ca="1">(SUMPRODUCT(MID(0&amp;(LEFT(A178,SUM(LEN(A178)-LEN(SUBSTITUTE(A178,{"0","1","2","3"},""))))), LARGE(INDEX(ISNUMBER(--MID((LEFT(A178,SUM(LEN(A178)-LEN(SUBSTITUTE(A178,{"0","1","2","3"},""))))), ROW(INDIRECT("1:"&amp;LEN((LEFT(A178,SUM(LEN(A178)-LEN(SUBSTITUTE(A178,{"0","1","2","3"},"")))))))), 1)) * ROW(INDIRECT("1:"&amp;LEN((LEFT(A178,SUM(LEN(A178)-LEN(SUBSTITUTE(A178,{"0","1","2","3"},"")))))))), 0), ROW(INDIRECT("1:"&amp;LEN((LEFT(A178,SUM(LEN(A178)-LEN(SUBSTITUTE(A178,{"0","1","2","3"},"")))))))))+1, 1) * 10^ROW(INDIRECT("1:"&amp;LEN((LEFT(A178,SUM(LEN(A178)-LEN(SUBSTITUTE(A178,{"0","1","2","3"},""))))))))/10))*100+1</f>
        <v>2901</v>
      </c>
      <c r="W179" s="40">
        <f ca="1">(SUMPRODUCT(MID(0&amp;(--TRIM(RIGHT(SUBSTITUTE(LEFT(A178,_xlfn.AGGREGATE(16,6,FIND({0,1,2,3,4,5,6,7,8,9},A178,ROW(INDIRECT("1:"&amp;LEN(A178)))),1))," ",REPT(" ",LEN(A178))),LEN(A178)))), LARGE(INDEX(ISNUMBER(--MID((--TRIM(RIGHT(SUBSTITUTE(LEFT(A178,_xlfn.AGGREGATE(16,6,FIND({0,1,2,3,4,5,6,7,8,9},A178,ROW(INDIRECT("1:"&amp;LEN(A178)))),1))," ",REPT(" ",LEN(A178))),LEN(A178)))), ROW(INDIRECT("1:"&amp;LEN((--TRIM(RIGHT(SUBSTITUTE(LEFT(A178,_xlfn.AGGREGATE(16,6,FIND({0,1,2,3,4,5,6,7,8,9},A178,ROW(INDIRECT("1:"&amp;LEN(A178)))),1))," ",REPT(" ",LEN(A178))),LEN(A178))))))), 1)) * ROW(INDIRECT("1:"&amp;LEN((--TRIM(RIGHT(SUBSTITUTE(LEFT(A178,_xlfn.AGGREGATE(16,6,FIND({0,1,2,3,4,5,6,7,8,9},A178,ROW(INDIRECT("1:"&amp;LEN(A178)))),1))," ",REPT(" ",LEN(A178))),LEN(A178))))))), 0), ROW(INDIRECT("1:"&amp;LEN((--TRIM(RIGHT(SUBSTITUTE(LEFT(A178,_xlfn.AGGREGATE(16,6,FIND({0,1,2,3,4,5,6,7,8,9},A178,ROW(INDIRECT("1:"&amp;LEN(A178)))),1))," ",REPT(" ",LEN(A178))),LEN(A178))))))))+1, 1) * 10^ROW(INDIRECT("1:"&amp;LEN((--TRIM(RIGHT(SUBSTITUTE(LEFT(A178,_xlfn.AGGREGATE(16,6,FIND({0,1,2,3,4,5,6,7,8,9},A178,ROW(INDIRECT("1:"&amp;LEN(A178)))),1))," ",REPT(" ",LEN(A178))),LEN(A178)))))))/10))*100+1</f>
        <v>3901</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hidden="1" customHeight="1" x14ac:dyDescent="0.25">
      <c r="A180" s="66"/>
      <c r="B180" s="67"/>
      <c r="C180" s="70">
        <v>3</v>
      </c>
      <c r="D180" s="71"/>
      <c r="E180" s="20" t="s">
        <v>232</v>
      </c>
      <c r="F180" s="70">
        <f>(1.95*1.53+1.25*3.05+3*3.08+3.05*3.5+2.75*3.08+3.65*8.38+3.59*4.6+4.26*3.59+1*1.73+1*1.22+(1.53*2.29+1.38*2.44+2.44*1.53+2.44*1.53)+(3.9*1.53+2.75*1.53+1*1.53)+(0.6*(3+3.4+4.26+3.59+2.8)))*10.764</f>
        <v>1472.4850607999999</v>
      </c>
      <c r="G180" s="71"/>
      <c r="H180" s="20">
        <v>0</v>
      </c>
      <c r="I180" s="20">
        <f>F180*(($I$89)+1)+H180</f>
        <v>2208.7275912</v>
      </c>
      <c r="J180" s="1"/>
      <c r="K180" s="1"/>
      <c r="L180" s="1"/>
      <c r="M180" s="1"/>
      <c r="N180" s="1"/>
      <c r="O180" s="1"/>
      <c r="P180" s="1"/>
      <c r="Q180" s="1"/>
      <c r="R180" s="1"/>
      <c r="S180" s="1"/>
      <c r="T180" s="1"/>
      <c r="U180" s="40" t="e">
        <f>V180&amp;""&amp;",..,"&amp;""&amp;W180</f>
        <v>#REF!</v>
      </c>
      <c r="V180" s="40" t="e">
        <f>#REF!+1</f>
        <v>#REF!</v>
      </c>
      <c r="W180" s="40" t="e">
        <f>#REF!+1</f>
        <v>#REF!</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hidden="1" customHeight="1" x14ac:dyDescent="0.25">
      <c r="A181" s="66"/>
      <c r="B181" s="67"/>
      <c r="C181" s="70">
        <v>4</v>
      </c>
      <c r="D181" s="71"/>
      <c r="E181" s="70" t="s">
        <v>231</v>
      </c>
      <c r="F181" s="72">
        <f>(1.9*2.59+3.36*6.23+3.05*2.44+2.89*1.68+3.05*3.35+3.36*4.55+3.45*3.97+3.13*1.05+1.85*1.05+(1.38*2.14+1.38*1.06+2.85*1.53+2.29*1.38)+(3.36*1.07+1*2.44)+(0.6*(3.35+3.05+3.45)))*10.764</f>
        <v>1145.9774195999998</v>
      </c>
      <c r="G181" s="72"/>
      <c r="H181" s="72">
        <v>0</v>
      </c>
      <c r="I181" s="72">
        <f>F181*(($I$89)+1)+H181</f>
        <v>1718.9661293999998</v>
      </c>
      <c r="J181" s="1"/>
      <c r="K181" s="1"/>
      <c r="L181" s="1"/>
      <c r="M181" s="1"/>
      <c r="N181" s="1"/>
      <c r="O181" s="1"/>
      <c r="P181" s="1"/>
      <c r="Q181" s="1"/>
      <c r="R181" s="1"/>
      <c r="S181" s="1"/>
      <c r="T181" s="1"/>
      <c r="U181" s="1" t="e">
        <f>V181&amp;""&amp;",..,"&amp;""&amp;W181</f>
        <v>#REF!</v>
      </c>
      <c r="V181" s="1" t="e">
        <f t="shared" ref="V181:W183" si="12">V180+1</f>
        <v>#REF!</v>
      </c>
      <c r="W181" s="1" t="e">
        <f t="shared" si="12"/>
        <v>#REF!</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hidden="1" customHeight="1" x14ac:dyDescent="0.25">
      <c r="A182" s="66"/>
      <c r="B182" s="67"/>
      <c r="C182" s="70">
        <v>5</v>
      </c>
      <c r="D182" s="71"/>
      <c r="E182" s="51" t="s">
        <v>205</v>
      </c>
      <c r="F182" s="70">
        <f>(1.9*2.59+3.36*6.23+3.05*2.44+2.89*2.73+3.05*3.35+3.36*4.55+3.45*3.97+1.85*1.05+(1.38*2.14+1.38*1.06+2.85*1.53+2.29*1.38)+(3.36*1.07+1*2.44)+(0.6*(3.35+3.05+3.45)))*10.764</f>
        <v>1143.2648915999998</v>
      </c>
      <c r="G182" s="71"/>
      <c r="H182" s="20">
        <v>0</v>
      </c>
      <c r="I182" s="20">
        <f>F182*(($I$89)+1)+H182</f>
        <v>1714.8973373999997</v>
      </c>
      <c r="J182" s="1"/>
      <c r="K182" s="1"/>
      <c r="L182" s="1"/>
      <c r="M182" s="1"/>
      <c r="N182" s="1"/>
      <c r="O182" s="1"/>
      <c r="P182" s="1"/>
      <c r="Q182" s="1"/>
      <c r="R182" s="1"/>
      <c r="S182" s="1"/>
      <c r="T182" s="1"/>
      <c r="U182" s="40" t="e">
        <f>V182&amp;""&amp;",..,"&amp;""&amp;W182</f>
        <v>#REF!</v>
      </c>
      <c r="V182" s="40" t="e">
        <f t="shared" si="12"/>
        <v>#REF!</v>
      </c>
      <c r="W182" s="40" t="e">
        <f t="shared" si="12"/>
        <v>#REF!</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hidden="1" customHeight="1" x14ac:dyDescent="0.25">
      <c r="A183" s="68"/>
      <c r="B183" s="69"/>
      <c r="C183" s="70">
        <v>6</v>
      </c>
      <c r="D183" s="71"/>
      <c r="E183" s="51" t="s">
        <v>232</v>
      </c>
      <c r="F183" s="70">
        <f>(1.95*1.53+1.25*3.05+3*3.08+3.05*3.5+2.75*3.08+3.65*8.38+3.59*4.6+4.26*3.59+1*1.73+1*1.22+(1.53*2.29+1.38*2.44+2.44*1.53+2.44*1.53)+(3.9*1.53+2.75*1.53+1*1.53)+(0.6*(3+3.4+4.26+3.59+2.8)))*10.764</f>
        <v>1472.4850607999999</v>
      </c>
      <c r="G183" s="71"/>
      <c r="H183" s="20">
        <v>0</v>
      </c>
      <c r="I183" s="20">
        <f>F183*(($I$89)+1)+H183</f>
        <v>2208.7275912</v>
      </c>
      <c r="J183" s="1"/>
      <c r="K183" s="1"/>
      <c r="L183" s="1"/>
      <c r="M183" s="1"/>
      <c r="N183" s="1"/>
      <c r="O183" s="1"/>
      <c r="P183" s="1"/>
      <c r="Q183" s="1"/>
      <c r="R183" s="1"/>
      <c r="S183" s="1"/>
      <c r="T183" s="1"/>
      <c r="U183" s="40" t="e">
        <f>V183&amp;""&amp;",..,"&amp;""&amp;W183</f>
        <v>#REF!</v>
      </c>
      <c r="V183" s="40" t="e">
        <f t="shared" si="12"/>
        <v>#REF!</v>
      </c>
      <c r="W183" s="40" t="e">
        <f t="shared" si="12"/>
        <v>#REF!</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hidden="1" x14ac:dyDescent="0.25">
      <c r="A184" s="61" t="s">
        <v>278</v>
      </c>
      <c r="B184" s="62"/>
      <c r="C184" s="62"/>
      <c r="D184" s="62"/>
      <c r="E184" s="62"/>
      <c r="F184" s="62"/>
      <c r="G184" s="62"/>
      <c r="H184" s="62"/>
      <c r="I184" s="63"/>
      <c r="J184" s="1" t="s">
        <v>246</v>
      </c>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hidden="1" customHeight="1" x14ac:dyDescent="0.25">
      <c r="A185" s="64" t="str">
        <f>A184</f>
        <v>41st  &amp; 43rd  Floor</v>
      </c>
      <c r="B185" s="65"/>
      <c r="C185" s="70">
        <v>1</v>
      </c>
      <c r="D185" s="71"/>
      <c r="E185" s="20" t="s">
        <v>251</v>
      </c>
      <c r="F185" s="70">
        <f>(1.85*1.63+6.55*5.64+2.29*2.83+6.51*3.35+5.36*1.2+3.05*3.75+2.29*2.83+3.05*3.35+3.31*4.85+3.05*3.75+(2.44*1.53+1.38*2.14+2.29*1.46+1.38*2.13+2.44*1.53+2.29*1.46)+(4.14*1.05+1.8*1.05+3.84*1.05+2.29*1.08+2.29*1.08)+6.55*1.08+(0.6*(2.44+2.59+2.69+2.44)))*10.764</f>
        <v>1923.9207624000001</v>
      </c>
      <c r="G185" s="71"/>
      <c r="H185" s="20">
        <v>0</v>
      </c>
      <c r="I185" s="20">
        <f>F185*(($I$89)+1)+H185</f>
        <v>2885.8811436000001</v>
      </c>
      <c r="J185" s="1"/>
      <c r="K185" s="1"/>
      <c r="L185" s="1"/>
      <c r="M185" s="1"/>
      <c r="N185" s="1"/>
      <c r="O185" s="1"/>
      <c r="P185" s="1"/>
      <c r="Q185" s="1"/>
      <c r="R185" s="1"/>
      <c r="S185" s="1"/>
      <c r="T185" s="1"/>
      <c r="U185" s="40" t="str">
        <f ca="1">V185&amp;""&amp;",..,"&amp;""&amp;W185</f>
        <v>4101,..,4301</v>
      </c>
      <c r="V185" s="40">
        <f ca="1">(SUMPRODUCT(MID(0&amp;(LEFT(A184,SUM(LEN(A184)-LEN(SUBSTITUTE(A184,{"0","1","2","3"},""))))), LARGE(INDEX(ISNUMBER(--MID((LEFT(A184,SUM(LEN(A184)-LEN(SUBSTITUTE(A184,{"0","1","2","3"},""))))), ROW(INDIRECT("1:"&amp;LEN((LEFT(A184,SUM(LEN(A184)-LEN(SUBSTITUTE(A184,{"0","1","2","3"},"")))))))), 1)) * ROW(INDIRECT("1:"&amp;LEN((LEFT(A184,SUM(LEN(A184)-LEN(SUBSTITUTE(A184,{"0","1","2","3"},"")))))))), 0), ROW(INDIRECT("1:"&amp;LEN((LEFT(A184,SUM(LEN(A184)-LEN(SUBSTITUTE(A184,{"0","1","2","3"},"")))))))))+1, 1) * 10^ROW(INDIRECT("1:"&amp;LEN((LEFT(A184,SUM(LEN(A184)-LEN(SUBSTITUTE(A184,{"0","1","2","3"},""))))))))/10))*100+1</f>
        <v>4101</v>
      </c>
      <c r="W185" s="40">
        <f ca="1">(SUMPRODUCT(MID(0&amp;(--TRIM(RIGHT(SUBSTITUTE(LEFT(A184,_xlfn.AGGREGATE(16,6,FIND({0,1,2,3,4,5,6,7,8,9},A184,ROW(INDIRECT("1:"&amp;LEN(A184)))),1)),"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",LEN(A184))),LEN(A184)))))))/10))*100+1</f>
        <v>4301</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hidden="1" customHeight="1" x14ac:dyDescent="0.25">
      <c r="A186" s="66"/>
      <c r="B186" s="67"/>
      <c r="C186" s="70">
        <v>3</v>
      </c>
      <c r="D186" s="71"/>
      <c r="E186" s="20" t="s">
        <v>232</v>
      </c>
      <c r="F186" s="70">
        <f>(1.95*1.53+1.25*3.05+3*3.08+3.05*3.5+2.75*3.08+3.65*8.38+3.59*4.6+4.26*3.59+1*1.73+1*1.22+(1.53*2.29+1.38*2.44+2.44*1.53+2.44*1.53)+(3.9*1.53+2.75*1.53+1*1.53)+(0.6*(3+3.4+4.26+3.59+2.8)))*10.764</f>
        <v>1472.4850607999999</v>
      </c>
      <c r="G186" s="71"/>
      <c r="H186" s="20">
        <v>0</v>
      </c>
      <c r="I186" s="20">
        <f>F186*(($I$89)+1)+H186</f>
        <v>2208.7275912</v>
      </c>
      <c r="J186" s="1"/>
      <c r="K186" s="1"/>
      <c r="L186" s="1"/>
      <c r="M186" s="1"/>
      <c r="N186" s="1"/>
      <c r="O186" s="1"/>
      <c r="P186" s="1"/>
      <c r="Q186" s="1"/>
      <c r="R186" s="1"/>
      <c r="S186" s="1"/>
      <c r="T186" s="1"/>
      <c r="U186" s="40" t="e">
        <f>V186&amp;""&amp;",..,"&amp;""&amp;W186</f>
        <v>#REF!</v>
      </c>
      <c r="V186" s="40" t="e">
        <f>#REF!+1</f>
        <v>#REF!</v>
      </c>
      <c r="W186" s="40" t="e">
        <f>#REF!+1</f>
        <v>#REF!</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hidden="1" customHeight="1" x14ac:dyDescent="0.25">
      <c r="A187" s="66"/>
      <c r="B187" s="67"/>
      <c r="C187" s="70">
        <v>4</v>
      </c>
      <c r="D187" s="71"/>
      <c r="E187" s="20" t="s">
        <v>251</v>
      </c>
      <c r="F187" s="70">
        <f>(1.9*2.47+3.05*4.12+6.55*4.55+3.36*3.35+7.2*3.97+3.36*4.7+3.05*3.35+3.35*4.55+3.35*3.97+1.6*3.97+(2.29*1.38+1.38*2.14+2.85*1.53+2.29*1.38+2.29*1.38+1.38*2.14+2.85*1.53+1.38*0.54+1.05*5.29+1.15*1.53+1.38*1.06+1.2*1.38+3.05*1.05+1*1.38)+(1*2.44+1*2.44+1.07*3.36+1.07*3.36)+(0.6*(6.55+7.2+3.05+3.35)))*10.764</f>
        <v>2280.1800996000002</v>
      </c>
      <c r="G187" s="71"/>
      <c r="H187" s="20">
        <v>0</v>
      </c>
      <c r="I187" s="20">
        <f>F187*(($I$89)+1)+H187</f>
        <v>3420.2701494000003</v>
      </c>
      <c r="J187" s="1"/>
      <c r="K187" s="1"/>
      <c r="L187" s="1"/>
      <c r="M187" s="1"/>
      <c r="N187" s="1"/>
      <c r="O187" s="1"/>
      <c r="P187" s="1"/>
      <c r="Q187" s="1"/>
      <c r="R187" s="1"/>
      <c r="S187" s="1"/>
      <c r="T187" s="1"/>
      <c r="U187" s="40" t="e">
        <f>V187&amp;""&amp;",..,"&amp;""&amp;W187</f>
        <v>#REF!</v>
      </c>
      <c r="V187" s="40" t="e">
        <f>#REF!+1</f>
        <v>#REF!</v>
      </c>
      <c r="W187" s="40" t="e">
        <f>#REF!+1</f>
        <v>#REF!</v>
      </c>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hidden="1" customHeight="1" x14ac:dyDescent="0.25">
      <c r="A188" s="68"/>
      <c r="B188" s="69"/>
      <c r="C188" s="70">
        <v>6</v>
      </c>
      <c r="D188" s="71"/>
      <c r="E188" s="20" t="s">
        <v>232</v>
      </c>
      <c r="F188" s="70">
        <f>(1.95*1.53+1.25*3.05+3*3.08+3.05*3.5+2.75*3.08+3.65*8.38+3.59*4.6+4.26*3.59+1*1.73+1*1.22+(1.53*2.29+1.38*2.44+2.44*1.53+2.44*1.53)+(3.9*1.53+2.75*1.53+1*1.53)+(0.6*(3+3.4+4.26+3.59+2.8)))*10.764</f>
        <v>1472.4850607999999</v>
      </c>
      <c r="G188" s="71"/>
      <c r="H188" s="20">
        <v>0</v>
      </c>
      <c r="I188" s="20">
        <f>F188*(($I$89)+1)+H188</f>
        <v>2208.7275912</v>
      </c>
      <c r="J188" s="1"/>
      <c r="K188" s="1"/>
      <c r="L188" s="1"/>
      <c r="M188" s="1"/>
      <c r="N188" s="1"/>
      <c r="O188" s="1"/>
      <c r="P188" s="1"/>
      <c r="Q188" s="1"/>
      <c r="R188" s="1"/>
      <c r="S188" s="1"/>
      <c r="T188" s="1"/>
      <c r="U188" s="40" t="e">
        <f>V188&amp;""&amp;",..,"&amp;""&amp;W188</f>
        <v>#REF!</v>
      </c>
      <c r="V188" s="40" t="e">
        <f>V187+1</f>
        <v>#REF!</v>
      </c>
      <c r="W188" s="40" t="e">
        <f>W187+1</f>
        <v>#REF!</v>
      </c>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hidden="1" x14ac:dyDescent="0.25">
      <c r="A189" s="61" t="s">
        <v>279</v>
      </c>
      <c r="B189" s="62"/>
      <c r="C189" s="62"/>
      <c r="D189" s="62"/>
      <c r="E189" s="62"/>
      <c r="F189" s="62"/>
      <c r="G189" s="62"/>
      <c r="H189" s="62"/>
      <c r="I189" s="63"/>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hidden="1" customHeight="1" x14ac:dyDescent="0.25">
      <c r="A190" s="64" t="str">
        <f>A189</f>
        <v>44th Floor (Part Refuge Area)</v>
      </c>
      <c r="B190" s="65"/>
      <c r="C190" s="70">
        <v>1</v>
      </c>
      <c r="D190" s="71"/>
      <c r="E190" s="20" t="s">
        <v>205</v>
      </c>
      <c r="F190" s="70">
        <f>(1.38*1.78+3.2*5.64+2.29*2.83+3.05*3.35+3.31*4.55+3.05*3.75+4.14*1.05+1.82*1.05+(2.29*1.46+1.38*2.14+2.44*1.53)+(3.2*1.08+2.29*1.08)+(0.6*(3.05+3.31+1.8)))*10.764</f>
        <v>977.51759039999968</v>
      </c>
      <c r="G190" s="71"/>
      <c r="H190" s="20">
        <v>0</v>
      </c>
      <c r="I190" s="20">
        <f t="shared" ref="I190:I195" si="13">F190*(($I$89)+1)+H190</f>
        <v>1466.2763855999995</v>
      </c>
      <c r="J190" s="1"/>
      <c r="K190" s="1"/>
      <c r="L190" s="1"/>
      <c r="M190" s="1"/>
      <c r="N190" s="1"/>
      <c r="O190" s="1"/>
      <c r="P190" s="1"/>
      <c r="Q190" s="1"/>
      <c r="R190" s="1"/>
      <c r="S190" s="1"/>
      <c r="T190" s="1"/>
      <c r="U190" s="40" t="e">
        <f t="shared" ref="U190:U195" ca="1" si="14">V190&amp;""&amp;",..,"&amp;""&amp;W190</f>
        <v>#REF!</v>
      </c>
      <c r="V190" s="40" t="e">
        <f ca="1">(SUMPRODUCT(MID(0&amp;(LEFT(A189,SUM(LEN(A189)-LEN(SUBSTITUTE(A189,{"0","1","2","3"},""))))), LARGE(INDEX(ISNUMBER(--MID((LEFT(A189,SUM(LEN(A189)-LEN(SUBSTITUTE(A189,{"0","1","2","3"},""))))), ROW(INDIRECT("1:"&amp;LEN((LEFT(A189,SUM(LEN(A189)-LEN(SUBSTITUTE(A189,{"0","1","2","3"},"")))))))), 1)) * ROW(INDIRECT("1:"&amp;LEN((LEFT(A189,SUM(LEN(A189)-LEN(SUBSTITUTE(A189,{"0","1","2","3"},"")))))))), 0), ROW(INDIRECT("1:"&amp;LEN((LEFT(A189,SUM(LEN(A189)-LEN(SUBSTITUTE(A189,{"0","1","2","3"},"")))))))))+1, 1) * 10^ROW(INDIRECT("1:"&amp;LEN((LEFT(A189,SUM(LEN(A189)-LEN(SUBSTITUTE(A189,{"0","1","2","3"},""))))))))/10))*100+1</f>
        <v>#REF!</v>
      </c>
      <c r="W190" s="40">
        <f ca="1">(SUMPRODUCT(MID(0&amp;(--TRIM(RIGHT(SUBSTITUTE(LEFT(A189,_xlfn.AGGREGATE(16,6,FIND({0,1,2,3,4,5,6,7,8,9},A189,ROW(INDIRECT("1:"&amp;LEN(A189)))),1)),"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",LEN(A189))),LEN(A189)))))))/10))*100+1</f>
        <v>4401</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hidden="1" customHeight="1" x14ac:dyDescent="0.25">
      <c r="A191" s="66"/>
      <c r="B191" s="67"/>
      <c r="C191" s="70">
        <v>2</v>
      </c>
      <c r="D191" s="71"/>
      <c r="E191" s="20" t="s">
        <v>205</v>
      </c>
      <c r="F191" s="70">
        <f>(1.38*1.78+3.2*5.64+2.29*2.83+3.05*3.35+3.31*4.55+3.05*3.75+4.14*1.05+1.82*1.05+(2.29*1.46+1.38*2.14+2.44*1.53)+(3.2*1.08+2.29*1.08)+(0.6*(3.05+3.31+1.8)))*10.764</f>
        <v>977.51759039999968</v>
      </c>
      <c r="G191" s="71"/>
      <c r="H191" s="20">
        <v>0</v>
      </c>
      <c r="I191" s="20">
        <f t="shared" si="13"/>
        <v>1466.2763855999995</v>
      </c>
      <c r="J191" s="1"/>
      <c r="K191" s="1"/>
      <c r="L191" s="1"/>
      <c r="M191" s="1"/>
      <c r="N191" s="1"/>
      <c r="O191" s="1"/>
      <c r="P191" s="1"/>
      <c r="Q191" s="1"/>
      <c r="R191" s="1"/>
      <c r="S191" s="1"/>
      <c r="T191" s="1"/>
      <c r="U191" s="40" t="e">
        <f t="shared" ca="1" si="14"/>
        <v>#REF!</v>
      </c>
      <c r="V191" s="40" t="e">
        <f ca="1">V190+1</f>
        <v>#REF!</v>
      </c>
      <c r="W191" s="40">
        <f ca="1">W190+1</f>
        <v>4402</v>
      </c>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hidden="1" customHeight="1" x14ac:dyDescent="0.25">
      <c r="A192" s="66"/>
      <c r="B192" s="67"/>
      <c r="C192" s="70">
        <v>3</v>
      </c>
      <c r="D192" s="71"/>
      <c r="E192" s="20" t="s">
        <v>232</v>
      </c>
      <c r="F192" s="70">
        <f>(1.95*1.53+1.25*3.05+3*3.08+3.05*3.5+2.75*3.08+3.65*8.38+3.59*4.6+4.26*3.59+1*1.73+1*1.22+(1.53*2.29+1.38*2.44+2.44*1.53+2.44*1.53)+(3.9*1.53+2.75*1.53+1*1.53)+(0.6*(3+3.4+4.26+3.59+2.8)))*10.764</f>
        <v>1472.4850607999999</v>
      </c>
      <c r="G192" s="71"/>
      <c r="H192" s="20">
        <v>0</v>
      </c>
      <c r="I192" s="20">
        <f t="shared" si="13"/>
        <v>2208.7275912</v>
      </c>
      <c r="J192" s="1"/>
      <c r="K192" s="1"/>
      <c r="L192" s="1"/>
      <c r="M192" s="1"/>
      <c r="N192" s="1"/>
      <c r="O192" s="1"/>
      <c r="P192" s="1"/>
      <c r="Q192" s="1"/>
      <c r="R192" s="1"/>
      <c r="S192" s="1"/>
      <c r="T192" s="1"/>
      <c r="U192" s="40" t="e">
        <f t="shared" si="14"/>
        <v>#REF!</v>
      </c>
      <c r="V192" s="40" t="e">
        <f>#REF!+1</f>
        <v>#REF!</v>
      </c>
      <c r="W192" s="40" t="e">
        <f>#REF!+1</f>
        <v>#REF!</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hidden="1" customHeight="1" x14ac:dyDescent="0.25">
      <c r="A193" s="66"/>
      <c r="B193" s="67"/>
      <c r="C193" s="70">
        <v>4</v>
      </c>
      <c r="D193" s="71"/>
      <c r="E193" s="70" t="s">
        <v>231</v>
      </c>
      <c r="F193" s="72">
        <f>(1.9*2.59+3.36*6.23+3.05*2.44+2.89*1.68+3.05*3.35+3.36*4.55+3.45*3.97+3.13*1.05+1.85*1.05+(1.38*2.14+1.38*1.06+2.85*1.53+2.29*1.38)+(3.36*1.07+1*2.44)+(0.6*(3.35+3.05+3.45)))*10.764</f>
        <v>1145.9774195999998</v>
      </c>
      <c r="G193" s="72"/>
      <c r="H193" s="72">
        <v>0</v>
      </c>
      <c r="I193" s="72">
        <f t="shared" si="13"/>
        <v>1718.9661293999998</v>
      </c>
      <c r="J193" s="1"/>
      <c r="K193" s="1"/>
      <c r="L193" s="1"/>
      <c r="M193" s="1"/>
      <c r="N193" s="1"/>
      <c r="O193" s="1"/>
      <c r="P193" s="1"/>
      <c r="Q193" s="1"/>
      <c r="R193" s="1"/>
      <c r="S193" s="1"/>
      <c r="T193" s="1"/>
      <c r="U193" s="1" t="e">
        <f t="shared" si="14"/>
        <v>#REF!</v>
      </c>
      <c r="V193" s="1" t="e">
        <f t="shared" ref="V193:W195" si="15">V192+1</f>
        <v>#REF!</v>
      </c>
      <c r="W193" s="1" t="e">
        <f t="shared" si="15"/>
        <v>#REF!</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hidden="1" customHeight="1" x14ac:dyDescent="0.25">
      <c r="A194" s="66"/>
      <c r="B194" s="67"/>
      <c r="C194" s="70">
        <v>5</v>
      </c>
      <c r="D194" s="71"/>
      <c r="E194" s="51" t="s">
        <v>232</v>
      </c>
      <c r="F194" s="70">
        <f>(1.9*2.59+3.36*6.23+3.05*2.44+2.89*2.73+3.05*3.35+3.36*4.55+3.45*3.97+1.85*1.05+3.36*4.7+3.36*1.07+1.37*2.89+3.91*2.81+2.29*1.37+1.05*3.91+(1.38*2.14+1.38*1.06+2.85*1.53+2.29*1.38)+(3.36*1.07+1*2.44)+(0.6*(3.35+3.05+3.45)))*10.764</f>
        <v>1590.7932611999997</v>
      </c>
      <c r="G194" s="71"/>
      <c r="H194" s="20">
        <v>0</v>
      </c>
      <c r="I194" s="20">
        <f t="shared" si="13"/>
        <v>2386.1898917999997</v>
      </c>
      <c r="J194" s="1"/>
      <c r="K194" s="1"/>
      <c r="L194" s="1"/>
      <c r="M194" s="1"/>
      <c r="N194" s="1"/>
      <c r="O194" s="1"/>
      <c r="P194" s="1"/>
      <c r="Q194" s="1"/>
      <c r="R194" s="1"/>
      <c r="S194" s="1"/>
      <c r="T194" s="1"/>
      <c r="U194" s="40" t="e">
        <f t="shared" si="14"/>
        <v>#REF!</v>
      </c>
      <c r="V194" s="40" t="e">
        <f t="shared" si="15"/>
        <v>#REF!</v>
      </c>
      <c r="W194" s="40" t="e">
        <f t="shared" si="15"/>
        <v>#REF!</v>
      </c>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hidden="1" customHeight="1" x14ac:dyDescent="0.25">
      <c r="A195" s="68"/>
      <c r="B195" s="69"/>
      <c r="C195" s="70">
        <v>6</v>
      </c>
      <c r="D195" s="71"/>
      <c r="E195" s="51" t="s">
        <v>232</v>
      </c>
      <c r="F195" s="70">
        <f>(1.95*1.53+1.25*3.05+3*3.08+3.05*3.5+2.75*3.08+3.65*8.38+3.59*4.6+4.26*3.59+1*1.73+1*1.22+(1.53*2.29+1.38*2.44+2.44*1.53+2.44*1.53)+(3.9*1.53+2.75*1.53+1*1.53)+(0.6*(3+3.4+4.26+3.59+2.8)))*10.764</f>
        <v>1472.4850607999999</v>
      </c>
      <c r="G195" s="71"/>
      <c r="H195" s="20">
        <v>0</v>
      </c>
      <c r="I195" s="20">
        <f t="shared" si="13"/>
        <v>2208.7275912</v>
      </c>
      <c r="J195" s="1"/>
      <c r="K195" s="1"/>
      <c r="L195" s="1"/>
      <c r="M195" s="1"/>
      <c r="N195" s="1"/>
      <c r="O195" s="1"/>
      <c r="P195" s="1"/>
      <c r="Q195" s="1"/>
      <c r="R195" s="1"/>
      <c r="S195" s="1"/>
      <c r="T195" s="1"/>
      <c r="U195" s="40" t="e">
        <f t="shared" si="14"/>
        <v>#REF!</v>
      </c>
      <c r="V195" s="40" t="e">
        <f t="shared" si="15"/>
        <v>#REF!</v>
      </c>
      <c r="W195" s="40" t="e">
        <f t="shared" si="15"/>
        <v>#REF!</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hidden="1" x14ac:dyDescent="0.25">
      <c r="A196" s="61" t="s">
        <v>253</v>
      </c>
      <c r="B196" s="62"/>
      <c r="C196" s="62"/>
      <c r="D196" s="62"/>
      <c r="E196" s="62"/>
      <c r="F196" s="62"/>
      <c r="G196" s="62"/>
      <c r="H196" s="62"/>
      <c r="I196" s="6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hidden="1" customHeight="1" x14ac:dyDescent="0.25">
      <c r="A197" s="64" t="str">
        <f>A196</f>
        <v>49th Floor (Part Refuge Area)</v>
      </c>
      <c r="B197" s="65"/>
      <c r="C197" s="70">
        <v>1</v>
      </c>
      <c r="D197" s="71"/>
      <c r="E197" s="20" t="s">
        <v>251</v>
      </c>
      <c r="F197" s="70">
        <f>(1.85*1.63+6.55*5.64+2.29*2.83+6.51*3.35+5.36*1.2+3.05*3.75+2.29*2.83+3.05*3.35+3.31*4.85+3.05*3.75+(2.44*1.53+1.38*2.14+2.29*1.46+1.38*2.13+2.44*1.53+2.29*1.46)+(4.14*1.05+1.8*1.05+3.84*1.05+2.29*1.08+2.29*1.08)+6.55*1.08+(0.6*(2.44+2.59+2.69+2.44)))*10.764</f>
        <v>1923.9207624000001</v>
      </c>
      <c r="G197" s="71"/>
      <c r="H197" s="20">
        <v>0</v>
      </c>
      <c r="I197" s="20">
        <f>F197*(($I$89)+1)+H197</f>
        <v>2885.8811436000001</v>
      </c>
      <c r="J197" s="1"/>
      <c r="K197" s="1"/>
      <c r="L197" s="1"/>
      <c r="M197" s="1"/>
      <c r="N197" s="1"/>
      <c r="O197" s="1"/>
      <c r="P197" s="1"/>
      <c r="Q197" s="1"/>
      <c r="R197" s="1"/>
      <c r="S197" s="1"/>
      <c r="T197" s="1"/>
      <c r="U197" s="40" t="e">
        <f ca="1">V197&amp;""&amp;",..,"&amp;""&amp;W197</f>
        <v>#REF!</v>
      </c>
      <c r="V197" s="40" t="e">
        <f ca="1">(SUMPRODUCT(MID(0&amp;(LEFT(A196,SUM(LEN(A196)-LEN(SUBSTITUTE(A196,{"0","1","2","3"},""))))), LARGE(INDEX(ISNUMBER(--MID((LEFT(A196,SUM(LEN(A196)-LEN(SUBSTITUTE(A196,{"0","1","2","3"},""))))), ROW(INDIRECT("1:"&amp;LEN((LEFT(A196,SUM(LEN(A196)-LEN(SUBSTITUTE(A196,{"0","1","2","3"},"")))))))), 1)) * ROW(INDIRECT("1:"&amp;LEN((LEFT(A196,SUM(LEN(A196)-LEN(SUBSTITUTE(A196,{"0","1","2","3"},"")))))))), 0), ROW(INDIRECT("1:"&amp;LEN((LEFT(A196,SUM(LEN(A196)-LEN(SUBSTITUTE(A196,{"0","1","2","3"},"")))))))))+1, 1) * 10^ROW(INDIRECT("1:"&amp;LEN((LEFT(A196,SUM(LEN(A196)-LEN(SUBSTITUTE(A196,{"0","1","2","3"},""))))))))/10))*100+1</f>
        <v>#REF!</v>
      </c>
      <c r="W197" s="40">
        <f ca="1">(SUMPRODUCT(MID(0&amp;(--TRIM(RIGHT(SUBSTITUTE(LEFT(A196,_xlfn.AGGREGATE(16,6,FIND({0,1,2,3,4,5,6,7,8,9},A196,ROW(INDIRECT("1:"&amp;LEN(A196)))),1)),"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",LEN(A196))),LEN(A196)))))))/10))*100+1</f>
        <v>4901</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hidden="1" customHeight="1" x14ac:dyDescent="0.25">
      <c r="A198" s="66"/>
      <c r="B198" s="67"/>
      <c r="C198" s="70">
        <v>3</v>
      </c>
      <c r="D198" s="71"/>
      <c r="E198" s="20" t="s">
        <v>232</v>
      </c>
      <c r="F198" s="70">
        <f>(1.95*1.53+1.25*3.05+3*3.08+3.05*3.5+2.75*3.08+3.65*8.38+3.59*4.6+4.26*3.59+1*1.73+1*1.22+(1.53*2.29+1.38*2.44+2.44*1.53+2.44*1.53)+(3.9*1.53+2.75*1.53+1*1.53)+(0.6*(3+3.4+4.26+3.59+2.8)))*10.764</f>
        <v>1472.4850607999999</v>
      </c>
      <c r="G198" s="71"/>
      <c r="H198" s="20">
        <v>0</v>
      </c>
      <c r="I198" s="20">
        <f>F198*(($I$89)+1)+H198</f>
        <v>2208.7275912</v>
      </c>
      <c r="J198" s="1"/>
      <c r="K198" s="1"/>
      <c r="L198" s="1"/>
      <c r="M198" s="1"/>
      <c r="N198" s="1"/>
      <c r="O198" s="1"/>
      <c r="P198" s="1"/>
      <c r="Q198" s="1"/>
      <c r="R198" s="1"/>
      <c r="S198" s="1"/>
      <c r="T198" s="1"/>
      <c r="U198" s="40" t="e">
        <f>V198&amp;""&amp;",..,"&amp;""&amp;W198</f>
        <v>#REF!</v>
      </c>
      <c r="V198" s="40" t="e">
        <f>#REF!+1</f>
        <v>#REF!</v>
      </c>
      <c r="W198" s="40" t="e">
        <f>#REF!+1</f>
        <v>#REF!</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hidden="1" customHeight="1" x14ac:dyDescent="0.25">
      <c r="A199" s="66"/>
      <c r="B199" s="67"/>
      <c r="C199" s="70">
        <v>4</v>
      </c>
      <c r="D199" s="71"/>
      <c r="E199" s="70" t="s">
        <v>231</v>
      </c>
      <c r="F199" s="72">
        <f>(1.9*2.59+3.36*6.23+3.05*2.44+2.89*1.68+3.05*3.35+3.36*4.55+3.45*3.97+3.13*1.05+1.85*1.05+(1.38*2.14+1.38*1.06+2.85*1.53+2.29*1.38)+(3.36*1.07+1*2.44)+(0.6*(3.35+3.05+3.45)))*10.764</f>
        <v>1145.9774195999998</v>
      </c>
      <c r="G199" s="72"/>
      <c r="H199" s="72">
        <v>0</v>
      </c>
      <c r="I199" s="72">
        <f>F199*(($I$89)+1)+H199</f>
        <v>1718.9661293999998</v>
      </c>
      <c r="J199" s="1"/>
      <c r="K199" s="1"/>
      <c r="L199" s="1"/>
      <c r="M199" s="1"/>
      <c r="N199" s="1"/>
      <c r="O199" s="1"/>
      <c r="P199" s="1"/>
      <c r="Q199" s="1"/>
      <c r="R199" s="1"/>
      <c r="S199" s="1"/>
      <c r="T199" s="1"/>
      <c r="U199" s="1" t="e">
        <f>V199&amp;""&amp;",..,"&amp;""&amp;W199</f>
        <v>#REF!</v>
      </c>
      <c r="V199" s="1" t="e">
        <f t="shared" ref="V199:W201" si="16">V198+1</f>
        <v>#REF!</v>
      </c>
      <c r="W199" s="1" t="e">
        <f t="shared" si="16"/>
        <v>#REF!</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hidden="1" customHeight="1" x14ac:dyDescent="0.25">
      <c r="A200" s="66"/>
      <c r="B200" s="67"/>
      <c r="C200" s="70">
        <v>5</v>
      </c>
      <c r="D200" s="71"/>
      <c r="E200" s="51" t="s">
        <v>232</v>
      </c>
      <c r="F200" s="70">
        <f>(1.9*2.59+3.36*6.23+3.05*2.44+2.89*2.73+3.05*3.35+3.36*4.55+3.45*3.97+1.85*1.05+3.36*4.7+3.36*1.07+1.37*2.89+3.91*2.81+2.29*1.37+1.05*3.91+(1.38*2.14+1.38*1.06+2.85*1.53+2.29*1.38)+(3.36*1.07+1*2.44)+(0.6*(3.35+3.05+3.45)))*10.764</f>
        <v>1590.7932611999997</v>
      </c>
      <c r="G200" s="71"/>
      <c r="H200" s="20">
        <v>0</v>
      </c>
      <c r="I200" s="20">
        <f>F200*(($I$89)+1)+H200</f>
        <v>2386.1898917999997</v>
      </c>
      <c r="J200" s="1"/>
      <c r="K200" s="1"/>
      <c r="L200" s="1"/>
      <c r="M200" s="1"/>
      <c r="N200" s="1"/>
      <c r="O200" s="1"/>
      <c r="P200" s="1"/>
      <c r="Q200" s="1"/>
      <c r="R200" s="1"/>
      <c r="S200" s="1"/>
      <c r="T200" s="1"/>
      <c r="U200" s="40" t="e">
        <f>V200&amp;""&amp;",..,"&amp;""&amp;W200</f>
        <v>#REF!</v>
      </c>
      <c r="V200" s="40" t="e">
        <f t="shared" si="16"/>
        <v>#REF!</v>
      </c>
      <c r="W200" s="40" t="e">
        <f t="shared" si="16"/>
        <v>#REF!</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hidden="1" customHeight="1" x14ac:dyDescent="0.25">
      <c r="A201" s="68"/>
      <c r="B201" s="69"/>
      <c r="C201" s="70">
        <v>6</v>
      </c>
      <c r="D201" s="71"/>
      <c r="E201" s="51" t="s">
        <v>232</v>
      </c>
      <c r="F201" s="70">
        <f>(1.95*1.53+1.25*3.05+3*3.08+3.05*3.5+2.75*3.08+3.65*8.38+3.59*4.6+4.26*3.59+1*1.73+1*1.22+(1.53*2.29+1.38*2.44+2.44*1.53+2.44*1.53)+(3.9*1.53+2.75*1.53+1*1.53)+(0.6*(3+3.4+4.26+3.59+2.8)))*10.764</f>
        <v>1472.4850607999999</v>
      </c>
      <c r="G201" s="71"/>
      <c r="H201" s="20">
        <v>0</v>
      </c>
      <c r="I201" s="20">
        <f>F201*(($I$89)+1)+H201</f>
        <v>2208.7275912</v>
      </c>
      <c r="J201" s="1"/>
      <c r="K201" s="1"/>
      <c r="L201" s="1"/>
      <c r="M201" s="1"/>
      <c r="N201" s="1"/>
      <c r="O201" s="1"/>
      <c r="P201" s="1"/>
      <c r="Q201" s="1"/>
      <c r="R201" s="1"/>
      <c r="S201" s="1"/>
      <c r="T201" s="1"/>
      <c r="U201" s="40" t="e">
        <f>V201&amp;""&amp;",..,"&amp;""&amp;W201</f>
        <v>#REF!</v>
      </c>
      <c r="V201" s="40" t="e">
        <f t="shared" si="16"/>
        <v>#REF!</v>
      </c>
      <c r="W201" s="40" t="e">
        <f t="shared" si="16"/>
        <v>#REF!</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hidden="1" x14ac:dyDescent="0.25">
      <c r="A202" s="61" t="s">
        <v>254</v>
      </c>
      <c r="B202" s="62"/>
      <c r="C202" s="62"/>
      <c r="D202" s="62"/>
      <c r="E202" s="62"/>
      <c r="F202" s="62"/>
      <c r="G202" s="62"/>
      <c r="H202" s="62"/>
      <c r="I202" s="6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hidden="1" customHeight="1" x14ac:dyDescent="0.25">
      <c r="A203" s="64" t="str">
        <f>A202</f>
        <v>50th Floor</v>
      </c>
      <c r="B203" s="65"/>
      <c r="C203" s="70">
        <v>1</v>
      </c>
      <c r="D203" s="71"/>
      <c r="E203" s="20" t="s">
        <v>251</v>
      </c>
      <c r="F203" s="70">
        <f>(1.85*1.63+6.55*5.64+2.29*2.83+6.51*3.35+5.36*1.2+3.05*3.75+2.29*2.83+3.05*3.35+3.31*4.85+3.05*3.75+(2.44*1.53+1.38*2.14+2.29*1.46+1.38*2.13+2.44*1.53+2.29*1.46)+(4.14*1.05+1.8*1.05+3.84*1.05+2.29*1.08+2.29*1.08)+6.55*1.08+(0.6*(2.44+2.59+2.69+2.44)))*10.764</f>
        <v>1923.9207624000001</v>
      </c>
      <c r="G203" s="71"/>
      <c r="H203" s="20">
        <v>0</v>
      </c>
      <c r="I203" s="20">
        <f>F203*(($I$89)+1)+H203</f>
        <v>2885.8811436000001</v>
      </c>
      <c r="J203" s="1"/>
      <c r="K203" s="1"/>
      <c r="L203" s="1"/>
      <c r="M203" s="1"/>
      <c r="N203" s="1"/>
      <c r="O203" s="1"/>
      <c r="P203" s="1"/>
      <c r="Q203" s="1"/>
      <c r="R203" s="1"/>
      <c r="S203" s="1"/>
      <c r="T203" s="1"/>
      <c r="U203" s="40" t="str">
        <f ca="1">V203&amp;""&amp;",..,"&amp;""&amp;W203</f>
        <v>501,..,5001</v>
      </c>
      <c r="V203" s="40">
        <f ca="1">(SUMPRODUCT(MID(0&amp;(LEFT(A202,SUM(LEN(A202)-LEN(SUBSTITUTE(A202,{"0","1","2","3"},""))))), LARGE(INDEX(ISNUMBER(--MID((LEFT(A202,SUM(LEN(A202)-LEN(SUBSTITUTE(A202,{"0","1","2","3"},""))))), ROW(INDIRECT("1:"&amp;LEN((LEFT(A202,SUM(LEN(A202)-LEN(SUBSTITUTE(A202,{"0","1","2","3"},"")))))))), 1)) * ROW(INDIRECT("1:"&amp;LEN((LEFT(A202,SUM(LEN(A202)-LEN(SUBSTITUTE(A202,{"0","1","2","3"},"")))))))), 0), ROW(INDIRECT("1:"&amp;LEN((LEFT(A202,SUM(LEN(A202)-LEN(SUBSTITUTE(A202,{"0","1","2","3"},"")))))))))+1, 1) * 10^ROW(INDIRECT("1:"&amp;LEN((LEFT(A202,SUM(LEN(A202)-LEN(SUBSTITUTE(A202,{"0","1","2","3"},""))))))))/10))*100+1</f>
        <v>501</v>
      </c>
      <c r="W203" s="40">
        <f ca="1">(SUMPRODUCT(MID(0&amp;(--TRIM(RIGHT(SUBSTITUTE(LEFT(A202,_xlfn.AGGREGATE(16,6,FIND({0,1,2,3,4,5,6,7,8,9},A202,ROW(INDIRECT("1:"&amp;LEN(A202)))),1)),"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",LEN(A202))),LEN(A202)))))))/10))*100+1</f>
        <v>5001</v>
      </c>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40.5" hidden="1" customHeight="1" x14ac:dyDescent="0.25">
      <c r="A204" s="66"/>
      <c r="B204" s="67"/>
      <c r="C204" s="70">
        <v>3</v>
      </c>
      <c r="D204" s="71"/>
      <c r="E204" s="20" t="s">
        <v>256</v>
      </c>
      <c r="F204" s="70">
        <f>((2.3*1.93+1.52*1.7+1.43*0.45+3.05*3.5+3.83*3.33+5*3.68+2.48*1.23+7.64*3.28+1.31*1.32+1.31*1.52+4.29*3.59+3.59*0.55+3.59*0.55+(1.38*1.05+1.52*2.29+2.13*1.22+2.13*1.37)+(7.64*1.5+3.28*1.5+2.4*1.53)+(0.6*(2.8+4+2.48+2.2)))+(2.6*1.5+4.75*3.33+3.83*1.38+5.25*3.37+5.44*3.37+4.26*3.53+4.8*3.01+3.58*3.53+3.53*2.2)+(1.53*2.61+1.38*3.33+2.44*1.53+1.53*3.59+1.53*1.35)+1.53*1.8+(0.8*(3.55+4.26+2.9)))*10.764</f>
        <v>3015.873666</v>
      </c>
      <c r="G204" s="71"/>
      <c r="H204" s="20">
        <v>0</v>
      </c>
      <c r="I204" s="20">
        <f>F204*(($I$89)+1)+H204</f>
        <v>4523.8104990000002</v>
      </c>
      <c r="J204" s="1"/>
      <c r="K204" s="1"/>
      <c r="L204" s="1"/>
      <c r="M204" s="1"/>
      <c r="N204" s="1"/>
      <c r="O204" s="1"/>
      <c r="P204" s="1"/>
      <c r="Q204" s="1"/>
      <c r="R204" s="1"/>
      <c r="S204" s="1"/>
      <c r="T204" s="1"/>
      <c r="U204" s="40" t="e">
        <f>V204&amp;""&amp;",..,"&amp;""&amp;W204</f>
        <v>#REF!</v>
      </c>
      <c r="V204" s="40" t="e">
        <f>#REF!+1</f>
        <v>#REF!</v>
      </c>
      <c r="W204" s="40" t="e">
        <f>#REF!+1</f>
        <v>#REF!</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42" hidden="1" customHeight="1" x14ac:dyDescent="0.25">
      <c r="A205" s="66"/>
      <c r="B205" s="67"/>
      <c r="C205" s="70">
        <v>4</v>
      </c>
      <c r="D205" s="71"/>
      <c r="E205" s="20" t="s">
        <v>257</v>
      </c>
      <c r="F205" s="70">
        <f>((1.9*4.88+2.3*1.3+3.35*4.55+3.05*3.35+2.74*2.42+3.36*7.52+7.2*5.41+3.51*3.98+2.05*2.25+4.2*4.12+6.55*3.98+1.22*1.78+1.9*5.49+1.77*1.2+3.55*0.57+3.08*0.57+1.22*1.45+2.09*1.05+(2.85*1.52+1.37*2.29+1.75*1.96+1.38*2.63+2.85*2.1+2.69*1.59)+(5.95*0.9+1.22*14.37+0.5*7.25*1.67+0.5*7.25*1.67)+(0.6*(6.55+6.95)))+(1.9*3.25+3.36*2.77+1.31*1.35+2.89*1.26+2.89*2.66+1.22*1.45+2.85*1.53+5.8*0.57+6.55*3.98+1.38*2.12+1.38*2.29+3.36*4.55+1.53*5.7+3.8*3.63+3.36*4.55+1.38*2.63+1.38*1.76+6.8*4.55+1.99*1.21+4.59*0.57+2.85*1.53+1.22*1.68+2.69*1.84+4.2*2.22+2.55*0.49+1.5*1.46+3.39*1.9+1.53*3.4))*10.764</f>
        <v>4972.2209783999997</v>
      </c>
      <c r="G205" s="71"/>
      <c r="H205" s="20">
        <v>0</v>
      </c>
      <c r="I205" s="20">
        <f>F205*(($I$89)+1)+H205</f>
        <v>7458.3314675999991</v>
      </c>
      <c r="J205" s="1"/>
      <c r="K205" s="1"/>
      <c r="L205" s="1"/>
      <c r="M205" s="1"/>
      <c r="N205" s="1"/>
      <c r="O205" s="1"/>
      <c r="P205" s="1"/>
      <c r="Q205" s="1"/>
      <c r="R205" s="1"/>
      <c r="S205" s="1"/>
      <c r="T205" s="1"/>
      <c r="U205" s="40" t="e">
        <f>V205&amp;""&amp;",..,"&amp;""&amp;W205</f>
        <v>#REF!</v>
      </c>
      <c r="V205" s="40" t="e">
        <f>V204+1</f>
        <v>#REF!</v>
      </c>
      <c r="W205" s="40" t="e">
        <f>W204+1</f>
        <v>#REF!</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40.5" hidden="1" customHeight="1" x14ac:dyDescent="0.25">
      <c r="A206" s="68"/>
      <c r="B206" s="69"/>
      <c r="C206" s="70">
        <v>6</v>
      </c>
      <c r="D206" s="71"/>
      <c r="E206" s="20" t="s">
        <v>256</v>
      </c>
      <c r="F206" s="70">
        <f>((2.3*1.93+1.52*1.7+1.43*0.45+3.05*3.5+3.83*3.33+5*3.68+2.48*1.23+7.65*3.28+1.31*1.32+1.31*1.52+4.29*3.59+3.59*0.55+3.59*0.55+(1.38*1.05+1.52*2.29+2.13*1.22+2.13*1.37)+(7.64*1.5+3.28*1.5+2.4*1.53)+(0.6*(2.8+4+2.48+2.2)))+(2.6*1.5+4.75*3.33+3.83*1.38+5.25*3.37+5.44*3.37+4.26*3.53+4.8*3.01+3.58*3.53+3.53*2.2)+(1.53*2.61+1.38*3.33+2.44*1.53+1.53*3.59+1.53*1.35)+1.53*1.8+(0.8*(3.55+4.26+2.9)))*10.764</f>
        <v>3016.2267251999997</v>
      </c>
      <c r="G206" s="71"/>
      <c r="H206" s="20">
        <v>0</v>
      </c>
      <c r="I206" s="20">
        <f>F206*(($I$89)+1)+H206</f>
        <v>4524.3400877999993</v>
      </c>
      <c r="J206" s="1"/>
      <c r="K206" s="1"/>
      <c r="L206" s="1"/>
      <c r="M206" s="1"/>
      <c r="N206" s="1"/>
      <c r="O206" s="1"/>
      <c r="P206" s="1"/>
      <c r="Q206" s="1"/>
      <c r="R206" s="1"/>
      <c r="S206" s="1"/>
      <c r="T206" s="1"/>
      <c r="U206" s="40" t="e">
        <f>V206&amp;""&amp;",..,"&amp;""&amp;W206</f>
        <v>#REF!</v>
      </c>
      <c r="V206" s="40" t="e">
        <f>#REF!+1</f>
        <v>#REF!</v>
      </c>
      <c r="W206" s="40" t="e">
        <f>#REF!+1</f>
        <v>#REF!</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hidden="1" x14ac:dyDescent="0.25">
      <c r="A207" s="61" t="s">
        <v>255</v>
      </c>
      <c r="B207" s="62"/>
      <c r="C207" s="62"/>
      <c r="D207" s="62"/>
      <c r="E207" s="62"/>
      <c r="F207" s="62"/>
      <c r="G207" s="62"/>
      <c r="H207" s="62"/>
      <c r="I207" s="63"/>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hidden="1" customHeight="1" x14ac:dyDescent="0.25">
      <c r="A208" s="64" t="str">
        <f>A207</f>
        <v>51st Floor</v>
      </c>
      <c r="B208" s="65"/>
      <c r="C208" s="70">
        <v>1</v>
      </c>
      <c r="D208" s="71"/>
      <c r="E208" s="20" t="s">
        <v>251</v>
      </c>
      <c r="F208" s="70">
        <f>(1.85*1.63+6.55*5.64+2.29*2.83+6.51*3.35+5.36*1.2+3.05*3.75+2.29*2.83+3.05*3.35+3.31*4.85+3.05*3.75+(2.44*1.53+1.38*2.14+2.29*1.46+1.38*2.13+2.44*1.53+2.29*1.46)+(4.14*1.05+1.8*1.05+3.84*1.05+2.29*1.08+2.29*1.08)+6.55*1.08+(0.6*(2.44+2.59+2.69+2.44)))*10.764</f>
        <v>1923.9207624000001</v>
      </c>
      <c r="G208" s="71"/>
      <c r="H208" s="20">
        <v>0</v>
      </c>
      <c r="I208" s="20">
        <f>F208*(($I$89)+1)+H208</f>
        <v>2885.8811436000001</v>
      </c>
      <c r="J208" s="1"/>
      <c r="K208" s="1"/>
      <c r="L208" s="1"/>
      <c r="M208" s="1"/>
      <c r="N208" s="1"/>
      <c r="O208" s="1"/>
      <c r="P208" s="1"/>
      <c r="Q208" s="1"/>
      <c r="R208" s="1"/>
      <c r="S208" s="1"/>
      <c r="T208" s="1"/>
      <c r="U208" s="40" t="str">
        <f ca="1">V208&amp;""&amp;",..,"&amp;""&amp;W208</f>
        <v>501,..,5101</v>
      </c>
      <c r="V208" s="40">
        <f ca="1">(SUMPRODUCT(MID(0&amp;(LEFT(A207,SUM(LEN(A207)-LEN(SUBSTITUTE(A207,{"0","1","2","3"},""))))), LARGE(INDEX(ISNUMBER(--MID((LEFT(A207,SUM(LEN(A207)-LEN(SUBSTITUTE(A207,{"0","1","2","3"},""))))), ROW(INDIRECT("1:"&amp;LEN((LEFT(A207,SUM(LEN(A207)-LEN(SUBSTITUTE(A207,{"0","1","2","3"},"")))))))), 1)) * ROW(INDIRECT("1:"&amp;LEN((LEFT(A207,SUM(LEN(A207)-LEN(SUBSTITUTE(A207,{"0","1","2","3"},"")))))))), 0), ROW(INDIRECT("1:"&amp;LEN((LEFT(A207,SUM(LEN(A207)-LEN(SUBSTITUTE(A207,{"0","1","2","3"},"")))))))))+1, 1) * 10^ROW(INDIRECT("1:"&amp;LEN((LEFT(A207,SUM(LEN(A207)-LEN(SUBSTITUTE(A207,{"0","1","2","3"},""))))))))/10))*100+1</f>
        <v>501</v>
      </c>
      <c r="W208" s="40">
        <f ca="1">(SUMPRODUCT(MID(0&amp;(--TRIM(RIGHT(SUBSTITUTE(LEFT(A207,_xlfn.AGGREGATE(16,6,FIND({0,1,2,3,4,5,6,7,8,9},A207,ROW(INDIRECT("1:"&amp;LEN(A207)))),1)),"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",LEN(A207))),LEN(A207)))))))/10))*100+1</f>
        <v>5101</v>
      </c>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40.5" hidden="1" customHeight="1" x14ac:dyDescent="0.25">
      <c r="A209" s="66"/>
      <c r="B209" s="67"/>
      <c r="C209" s="70">
        <v>3</v>
      </c>
      <c r="D209" s="71"/>
      <c r="E209" s="70" t="s">
        <v>258</v>
      </c>
      <c r="F209" s="72"/>
      <c r="G209" s="72"/>
      <c r="H209" s="72"/>
      <c r="I209" s="71"/>
      <c r="J209" s="1"/>
      <c r="K209" s="1"/>
      <c r="L209" s="1"/>
      <c r="M209" s="1"/>
      <c r="N209" s="1"/>
      <c r="O209" s="1"/>
      <c r="P209" s="1"/>
      <c r="Q209" s="1"/>
      <c r="R209" s="1"/>
      <c r="S209" s="1"/>
      <c r="T209" s="1"/>
      <c r="U209" s="40" t="e">
        <f>V209&amp;""&amp;",..,"&amp;""&amp;W209</f>
        <v>#REF!</v>
      </c>
      <c r="V209" s="40" t="e">
        <f>#REF!+1</f>
        <v>#REF!</v>
      </c>
      <c r="W209" s="40" t="e">
        <f>#REF!+1</f>
        <v>#REF!</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40.5" hidden="1" customHeight="1" x14ac:dyDescent="0.25">
      <c r="A210" s="66"/>
      <c r="B210" s="67"/>
      <c r="C210" s="70">
        <v>4</v>
      </c>
      <c r="D210" s="71"/>
      <c r="E210" s="70" t="s">
        <v>259</v>
      </c>
      <c r="F210" s="72"/>
      <c r="G210" s="72"/>
      <c r="H210" s="72"/>
      <c r="I210" s="71"/>
      <c r="J210" s="1"/>
      <c r="K210" s="1"/>
      <c r="L210" s="1"/>
      <c r="M210" s="1"/>
      <c r="N210" s="1"/>
      <c r="O210" s="1"/>
      <c r="P210" s="1"/>
      <c r="Q210" s="1"/>
      <c r="R210" s="1"/>
      <c r="S210" s="1"/>
      <c r="T210" s="1"/>
      <c r="U210" s="40" t="e">
        <f>V210&amp;""&amp;",..,"&amp;""&amp;W210</f>
        <v>#REF!</v>
      </c>
      <c r="V210" s="40" t="e">
        <f>V209+1</f>
        <v>#REF!</v>
      </c>
      <c r="W210" s="40" t="e">
        <f>W209+1</f>
        <v>#REF!</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40.5" hidden="1" customHeight="1" x14ac:dyDescent="0.25">
      <c r="A211" s="68"/>
      <c r="B211" s="69"/>
      <c r="C211" s="70">
        <v>6</v>
      </c>
      <c r="D211" s="71"/>
      <c r="E211" s="70" t="s">
        <v>258</v>
      </c>
      <c r="F211" s="72"/>
      <c r="G211" s="72"/>
      <c r="H211" s="72"/>
      <c r="I211" s="71"/>
      <c r="J211" s="1"/>
      <c r="K211" s="1"/>
      <c r="L211" s="1"/>
      <c r="M211" s="1"/>
      <c r="N211" s="1"/>
      <c r="O211" s="1"/>
      <c r="P211" s="1"/>
      <c r="Q211" s="1"/>
      <c r="R211" s="1"/>
      <c r="S211" s="1"/>
      <c r="T211" s="1"/>
      <c r="U211" s="40" t="e">
        <f>V211&amp;""&amp;",..,"&amp;""&amp;W211</f>
        <v>#REF!</v>
      </c>
      <c r="V211" s="40" t="e">
        <f>#REF!+1</f>
        <v>#REF!</v>
      </c>
      <c r="W211" s="40" t="e">
        <f>#REF!+1</f>
        <v>#REF!</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hidden="1" x14ac:dyDescent="0.25">
      <c r="A212" s="61" t="s">
        <v>268</v>
      </c>
      <c r="B212" s="62"/>
      <c r="C212" s="62"/>
      <c r="D212" s="62"/>
      <c r="E212" s="62"/>
      <c r="F212" s="62"/>
      <c r="G212" s="62"/>
      <c r="H212" s="62"/>
      <c r="I212" s="97"/>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hidden="1" x14ac:dyDescent="0.25">
      <c r="A213" s="61" t="s">
        <v>198</v>
      </c>
      <c r="B213" s="62"/>
      <c r="C213" s="62"/>
      <c r="D213" s="62"/>
      <c r="E213" s="62"/>
      <c r="F213" s="62"/>
      <c r="G213" s="62"/>
      <c r="H213" s="62"/>
      <c r="I213" s="97"/>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hidden="1" x14ac:dyDescent="0.25">
      <c r="A214" s="61" t="s">
        <v>199</v>
      </c>
      <c r="B214" s="62"/>
      <c r="C214" s="62"/>
      <c r="D214" s="62"/>
      <c r="E214" s="62"/>
      <c r="F214" s="62"/>
      <c r="G214" s="62"/>
      <c r="H214" s="62"/>
      <c r="I214" s="97"/>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hidden="1" x14ac:dyDescent="0.25">
      <c r="A215" s="61" t="s">
        <v>261</v>
      </c>
      <c r="B215" s="62"/>
      <c r="C215" s="62"/>
      <c r="D215" s="62"/>
      <c r="E215" s="62"/>
      <c r="F215" s="62"/>
      <c r="G215" s="62"/>
      <c r="H215" s="62"/>
      <c r="I215" s="97"/>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hidden="1" x14ac:dyDescent="0.25">
      <c r="A216" s="61" t="s">
        <v>201</v>
      </c>
      <c r="B216" s="62"/>
      <c r="C216" s="62"/>
      <c r="D216" s="62"/>
      <c r="E216" s="62"/>
      <c r="F216" s="62"/>
      <c r="G216" s="62"/>
      <c r="H216" s="62"/>
      <c r="I216" s="97"/>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hidden="1" x14ac:dyDescent="0.25">
      <c r="A217" s="61" t="s">
        <v>202</v>
      </c>
      <c r="B217" s="62"/>
      <c r="C217" s="62"/>
      <c r="D217" s="62"/>
      <c r="E217" s="62"/>
      <c r="F217" s="62"/>
      <c r="G217" s="62"/>
      <c r="H217" s="62"/>
      <c r="I217" s="97"/>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hidden="1" customHeight="1" x14ac:dyDescent="0.25">
      <c r="A218" s="64" t="str">
        <f>A217</f>
        <v>4th Podium Floor For Residential, Parking &amp; Amenities</v>
      </c>
      <c r="B218" s="65"/>
      <c r="C218" s="90" t="s">
        <v>206</v>
      </c>
      <c r="D218" s="90"/>
      <c r="E218" s="70" t="s">
        <v>203</v>
      </c>
      <c r="F218" s="72"/>
      <c r="G218" s="72"/>
      <c r="H218" s="72"/>
      <c r="I218" s="7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hidden="1" customHeight="1" x14ac:dyDescent="0.25">
      <c r="A219" s="66"/>
      <c r="B219" s="67"/>
      <c r="C219" s="90" t="s">
        <v>207</v>
      </c>
      <c r="D219" s="90"/>
      <c r="E219" s="70" t="s">
        <v>203</v>
      </c>
      <c r="F219" s="72"/>
      <c r="G219" s="72"/>
      <c r="H219" s="72">
        <v>0</v>
      </c>
      <c r="I219" s="72">
        <f>F219*(($I$89)+1)+H219</f>
        <v>0</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hidden="1" customHeight="1" x14ac:dyDescent="0.25">
      <c r="A220" s="66"/>
      <c r="B220" s="67"/>
      <c r="C220" s="90" t="s">
        <v>208</v>
      </c>
      <c r="D220" s="90"/>
      <c r="E220" s="70" t="s">
        <v>203</v>
      </c>
      <c r="F220" s="72"/>
      <c r="G220" s="72"/>
      <c r="H220" s="72">
        <v>1</v>
      </c>
      <c r="I220" s="72">
        <f>F220*(($I$89)+1)+H220</f>
        <v>1</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hidden="1" customHeight="1" x14ac:dyDescent="0.25">
      <c r="A221" s="66"/>
      <c r="B221" s="67"/>
      <c r="C221" s="90" t="s">
        <v>209</v>
      </c>
      <c r="D221" s="90"/>
      <c r="E221" s="20" t="s">
        <v>205</v>
      </c>
      <c r="F221" s="70">
        <f>(1.9*2.59+3.36*6.23+3.05*2.44+2.89*2.73+3.05*3.35+3.36*4.55+3.45*3.97+1.85*1.05+(1.38*2.14+1.38*1.06+2.85*1.53+2.29*1.38)+(3.36*1.07+1*2.44)+(0.6*(3.35+3.05+3.45)))*10.764</f>
        <v>1143.2648915999998</v>
      </c>
      <c r="G221" s="71"/>
      <c r="H221" s="20">
        <v>0</v>
      </c>
      <c r="I221" s="20">
        <f>F221*(($I$89)+1)+H221</f>
        <v>1714.8973373999997</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hidden="1" customHeight="1" x14ac:dyDescent="0.25">
      <c r="A222" s="68"/>
      <c r="B222" s="69"/>
      <c r="C222" s="90" t="s">
        <v>210</v>
      </c>
      <c r="D222" s="90"/>
      <c r="E222" s="20" t="s">
        <v>205</v>
      </c>
      <c r="F222" s="70">
        <f>(1.9*2.59+3.36*6.23+3.05*2.44+2.89*2.73+3.05*3.35+3.36*4.55+3.45*3.97+1.85*1.05+(1.38*2.14+1.38*1.06+2.85*1.53+2.29*1.38)+(3.36*1.07+1*2.44)+(0.6*(3.35+3.05+3.45)))*10.764</f>
        <v>1143.2648915999998</v>
      </c>
      <c r="G222" s="71"/>
      <c r="H222" s="20">
        <v>0</v>
      </c>
      <c r="I222" s="20">
        <f>F222*(($I$89)+1)+H222</f>
        <v>1714.8973373999997</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hidden="1" x14ac:dyDescent="0.25">
      <c r="A223" s="61" t="s">
        <v>211</v>
      </c>
      <c r="B223" s="62"/>
      <c r="C223" s="62"/>
      <c r="D223" s="62"/>
      <c r="E223" s="62"/>
      <c r="F223" s="62"/>
      <c r="G223" s="62"/>
      <c r="H223" s="62"/>
      <c r="I223" s="97"/>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hidden="1" customHeight="1" x14ac:dyDescent="0.25">
      <c r="A224" s="64" t="str">
        <f>A223</f>
        <v>5th Podium Floor For Residential, Parking &amp; Amenities</v>
      </c>
      <c r="B224" s="65"/>
      <c r="C224" s="90" t="s">
        <v>212</v>
      </c>
      <c r="D224" s="90"/>
      <c r="E224" s="70" t="s">
        <v>203</v>
      </c>
      <c r="F224" s="72"/>
      <c r="G224" s="72"/>
      <c r="H224" s="72"/>
      <c r="I224" s="7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hidden="1" customHeight="1" x14ac:dyDescent="0.25">
      <c r="A225" s="66"/>
      <c r="B225" s="67"/>
      <c r="C225" s="90" t="s">
        <v>213</v>
      </c>
      <c r="D225" s="90"/>
      <c r="E225" s="70" t="s">
        <v>203</v>
      </c>
      <c r="F225" s="72"/>
      <c r="G225" s="72"/>
      <c r="H225" s="72">
        <v>0</v>
      </c>
      <c r="I225" s="72">
        <f>F225*(($I$89)+1)+H225</f>
        <v>0</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hidden="1" customHeight="1" x14ac:dyDescent="0.25">
      <c r="A226" s="66"/>
      <c r="B226" s="67"/>
      <c r="C226" s="90" t="s">
        <v>214</v>
      </c>
      <c r="D226" s="90"/>
      <c r="E226" s="70" t="s">
        <v>203</v>
      </c>
      <c r="F226" s="72"/>
      <c r="G226" s="72"/>
      <c r="H226" s="72">
        <v>1</v>
      </c>
      <c r="I226" s="72">
        <f>F226*(($I$89)+1)+H226</f>
        <v>1</v>
      </c>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hidden="1" customHeight="1" x14ac:dyDescent="0.25">
      <c r="A227" s="66"/>
      <c r="B227" s="67"/>
      <c r="C227" s="90" t="s">
        <v>215</v>
      </c>
      <c r="D227" s="90"/>
      <c r="E227" s="20" t="s">
        <v>205</v>
      </c>
      <c r="F227" s="70">
        <f>(1.9*2.59+3.36*6.23+3.05*2.44+2.89*2.73+3.05*3.35+3.36*4.55+3.45*3.97+1.85*1.05+(1.38*2.14+1.38*1.06+2.85*1.53+2.29*1.38)+(3.36*1.07+1*2.44)+(0.6*(3.35+3.05+3.45)))*10.764</f>
        <v>1143.2648915999998</v>
      </c>
      <c r="G227" s="71"/>
      <c r="H227" s="20">
        <v>0</v>
      </c>
      <c r="I227" s="20">
        <f>F227*(($I$89)+1)+H227</f>
        <v>1714.8973373999997</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hidden="1" customHeight="1" x14ac:dyDescent="0.25">
      <c r="A228" s="68"/>
      <c r="B228" s="69"/>
      <c r="C228" s="90" t="s">
        <v>216</v>
      </c>
      <c r="D228" s="90"/>
      <c r="E228" s="20" t="s">
        <v>205</v>
      </c>
      <c r="F228" s="70">
        <f>(1.9*2.59+3.36*6.23+3.05*2.44+2.89*2.73+3.05*3.35+3.36*4.55+3.45*3.97+1.85*1.05+(1.38*2.14+1.38*1.06+2.85*1.53+2.29*1.38)+(3.36*1.07+1*2.44)+(0.6*(3.35+3.05+3.45)))*10.764</f>
        <v>1143.2648915999998</v>
      </c>
      <c r="G228" s="71"/>
      <c r="H228" s="20">
        <v>0</v>
      </c>
      <c r="I228" s="20">
        <f>F228*(($I$89)+1)+H228</f>
        <v>1714.8973373999997</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hidden="1" x14ac:dyDescent="0.25">
      <c r="A229" s="61" t="s">
        <v>262</v>
      </c>
      <c r="B229" s="62"/>
      <c r="C229" s="62"/>
      <c r="D229" s="62"/>
      <c r="E229" s="62"/>
      <c r="F229" s="62"/>
      <c r="G229" s="62"/>
      <c r="H229" s="62"/>
      <c r="I229" s="97"/>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hidden="1" customHeight="1" x14ac:dyDescent="0.25">
      <c r="A230" s="64" t="str">
        <f>A229</f>
        <v>6th Podium Floor For Residential, Parking &amp; Amenities</v>
      </c>
      <c r="B230" s="65"/>
      <c r="C230" s="90" t="s">
        <v>218</v>
      </c>
      <c r="D230" s="90"/>
      <c r="E230" s="70" t="s">
        <v>203</v>
      </c>
      <c r="F230" s="72"/>
      <c r="G230" s="72"/>
      <c r="H230" s="72"/>
      <c r="I230" s="7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hidden="1" customHeight="1" x14ac:dyDescent="0.25">
      <c r="A231" s="66"/>
      <c r="B231" s="67"/>
      <c r="C231" s="90" t="s">
        <v>219</v>
      </c>
      <c r="D231" s="90"/>
      <c r="E231" s="70" t="s">
        <v>203</v>
      </c>
      <c r="F231" s="72"/>
      <c r="G231" s="72"/>
      <c r="H231" s="72">
        <v>0</v>
      </c>
      <c r="I231" s="72">
        <f>F231*(($I$89)+1)+H231</f>
        <v>0</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hidden="1" customHeight="1" x14ac:dyDescent="0.25">
      <c r="A232" s="66"/>
      <c r="B232" s="67"/>
      <c r="C232" s="90" t="s">
        <v>220</v>
      </c>
      <c r="D232" s="90"/>
      <c r="E232" s="70" t="s">
        <v>203</v>
      </c>
      <c r="F232" s="72"/>
      <c r="G232" s="72"/>
      <c r="H232" s="72">
        <v>1</v>
      </c>
      <c r="I232" s="72">
        <f>F232*(($I$89)+1)+H232</f>
        <v>1</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hidden="1" customHeight="1" x14ac:dyDescent="0.25">
      <c r="A233" s="66"/>
      <c r="B233" s="67"/>
      <c r="C233" s="90" t="s">
        <v>221</v>
      </c>
      <c r="D233" s="90"/>
      <c r="E233" s="20" t="s">
        <v>205</v>
      </c>
      <c r="F233" s="70">
        <f>(1.9*2.59+3.36*6.23+3.05*2.44+2.89*2.73+3.05*3.35+3.36*4.55+3.45*3.97+1.85*1.05+(1.38*2.14+1.38*1.06+2.85*1.53+2.29*1.38)+(3.36*1.07+1*2.44)+(0.6*(3.35+3.05+3.45)))*10.764</f>
        <v>1143.2648915999998</v>
      </c>
      <c r="G233" s="71"/>
      <c r="H233" s="20">
        <v>0</v>
      </c>
      <c r="I233" s="20">
        <f>F233*(($I$89)+1)+H233</f>
        <v>1714.8973373999997</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hidden="1" customHeight="1" x14ac:dyDescent="0.25">
      <c r="A234" s="68"/>
      <c r="B234" s="69"/>
      <c r="C234" s="90" t="s">
        <v>222</v>
      </c>
      <c r="D234" s="90"/>
      <c r="E234" s="20" t="s">
        <v>205</v>
      </c>
      <c r="F234" s="70">
        <f>(1.9*2.59+3.36*6.23+3.05*2.44+2.89*2.73+3.05*3.35+3.36*4.55+3.45*3.97+1.85*1.05+(1.38*2.14+1.38*1.06+2.85*1.53+2.29*1.38)+(3.36*1.07+1*2.44)+(0.6*(3.35+3.05+3.45)))*10.764</f>
        <v>1143.2648915999998</v>
      </c>
      <c r="G234" s="71"/>
      <c r="H234" s="20">
        <v>0</v>
      </c>
      <c r="I234" s="20">
        <f>F234*(($I$89)+1)+H234</f>
        <v>1714.8973373999997</v>
      </c>
      <c r="J234" s="1">
        <f>25-5-2</f>
        <v>18</v>
      </c>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hidden="1" x14ac:dyDescent="0.25">
      <c r="A235" s="61" t="s">
        <v>223</v>
      </c>
      <c r="B235" s="62"/>
      <c r="C235" s="62"/>
      <c r="D235" s="62"/>
      <c r="E235" s="62"/>
      <c r="F235" s="62"/>
      <c r="G235" s="62"/>
      <c r="H235" s="62"/>
      <c r="I235" s="97"/>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hidden="1" customHeight="1" x14ac:dyDescent="0.25">
      <c r="A236" s="64" t="str">
        <f>A235</f>
        <v>Stilt / Podium Top Floor For Residential, Amenities &amp; Refuge Area</v>
      </c>
      <c r="B236" s="65"/>
      <c r="C236" s="90" t="s">
        <v>224</v>
      </c>
      <c r="D236" s="90"/>
      <c r="E236" s="70" t="s">
        <v>230</v>
      </c>
      <c r="F236" s="72"/>
      <c r="G236" s="72"/>
      <c r="H236" s="72"/>
      <c r="I236" s="7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hidden="1" customHeight="1" x14ac:dyDescent="0.25">
      <c r="A237" s="66"/>
      <c r="B237" s="67"/>
      <c r="C237" s="90" t="s">
        <v>225</v>
      </c>
      <c r="D237" s="90"/>
      <c r="E237" s="70" t="s">
        <v>230</v>
      </c>
      <c r="F237" s="72"/>
      <c r="G237" s="72"/>
      <c r="H237" s="72"/>
      <c r="I237" s="7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hidden="1" customHeight="1" x14ac:dyDescent="0.25">
      <c r="A238" s="66"/>
      <c r="B238" s="67"/>
      <c r="C238" s="90" t="s">
        <v>226</v>
      </c>
      <c r="D238" s="90"/>
      <c r="E238" s="20" t="s">
        <v>232</v>
      </c>
      <c r="F238" s="70">
        <f>(1.95*1.53+1.25*3.05+3*3.08+3.05*3.5+2.75*3.08+3.65*8.38+3.59*4.6+4.26*3.59+1*1.73+1*1.22+(1.53*2.29+1.38*2.44+2.44*1.53+2.44*1.53)+(3.9*1.53+2.75*1.53+1*1.53)+(0.6*(3+3.4+4.26+3.59+2.8)))*10.764</f>
        <v>1472.4850607999999</v>
      </c>
      <c r="G238" s="71"/>
      <c r="H238" s="20">
        <v>0</v>
      </c>
      <c r="I238" s="20">
        <f>F238*(($I$89)+1)+H238</f>
        <v>2208.7275912</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hidden="1" customHeight="1" x14ac:dyDescent="0.25">
      <c r="A239" s="66"/>
      <c r="B239" s="67"/>
      <c r="C239" s="90" t="s">
        <v>227</v>
      </c>
      <c r="D239" s="90"/>
      <c r="E239" s="70" t="s">
        <v>231</v>
      </c>
      <c r="F239" s="72"/>
      <c r="G239" s="72"/>
      <c r="H239" s="72">
        <v>1</v>
      </c>
      <c r="I239" s="72">
        <f>F239*(($I$89)+1)+H239</f>
        <v>1</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hidden="1" customHeight="1" x14ac:dyDescent="0.25">
      <c r="A240" s="68"/>
      <c r="B240" s="69"/>
      <c r="C240" s="90" t="s">
        <v>228</v>
      </c>
      <c r="D240" s="90"/>
      <c r="E240" s="20" t="s">
        <v>205</v>
      </c>
      <c r="F240" s="70">
        <f>(1.9*2.59+3.36*6.23+3.05*2.44+2.89*2.73+3.05*3.35+3.36*4.55+3.45*3.97+1.85*1.05+(1.38*2.14+1.38*1.06+2.85*1.53+2.29*1.38)+(3.36*1.07+1*2.44)+(0.6*(3.35+3.05+3.45)))*10.764</f>
        <v>1143.2648915999998</v>
      </c>
      <c r="G240" s="71"/>
      <c r="H240" s="20">
        <v>0</v>
      </c>
      <c r="I240" s="20">
        <f>F240*(($I$89)+1)+H240</f>
        <v>1714.8973373999997</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hidden="1" x14ac:dyDescent="0.25">
      <c r="A241" s="61" t="s">
        <v>263</v>
      </c>
      <c r="B241" s="62"/>
      <c r="C241" s="62"/>
      <c r="D241" s="62"/>
      <c r="E241" s="62"/>
      <c r="F241" s="62"/>
      <c r="G241" s="62"/>
      <c r="H241" s="62"/>
      <c r="I241" s="97"/>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hidden="1" customHeight="1" x14ac:dyDescent="0.25">
      <c r="A242" s="64" t="str">
        <f>A241</f>
        <v>1st Floor For Residential &amp; Club House</v>
      </c>
      <c r="B242" s="65"/>
      <c r="C242" s="90">
        <v>1</v>
      </c>
      <c r="D242" s="90"/>
      <c r="E242" s="70" t="s">
        <v>264</v>
      </c>
      <c r="F242" s="72"/>
      <c r="G242" s="72"/>
      <c r="H242" s="72"/>
      <c r="I242" s="7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hidden="1" customHeight="1" x14ac:dyDescent="0.25">
      <c r="A243" s="66"/>
      <c r="B243" s="67"/>
      <c r="C243" s="90">
        <v>2</v>
      </c>
      <c r="D243" s="90"/>
      <c r="E243" s="70" t="s">
        <v>264</v>
      </c>
      <c r="F243" s="72"/>
      <c r="G243" s="72"/>
      <c r="H243" s="72"/>
      <c r="I243" s="7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hidden="1" customHeight="1" x14ac:dyDescent="0.25">
      <c r="A244" s="66"/>
      <c r="B244" s="67"/>
      <c r="C244" s="90">
        <v>3</v>
      </c>
      <c r="D244" s="90"/>
      <c r="E244" s="20" t="s">
        <v>232</v>
      </c>
      <c r="F244" s="70">
        <f>(1.95*1.53+1.25*3.05+3*3.08+3.05*3.5+2.75*3.08+3.65*8.38+3.59*4.6+4.26*3.59+1*1.73+1*1.22+(1.53*2.29+1.38*2.44+2.44*1.53+2.44*1.53)+(3.9*1.53+2.75*1.53+1*1.53)+(0.6*(3+3.4+4.26+3.59+2.8)))*10.764</f>
        <v>1472.4850607999999</v>
      </c>
      <c r="G244" s="71"/>
      <c r="H244" s="20">
        <v>0</v>
      </c>
      <c r="I244" s="20">
        <f>F244*(($I$89)+1)+H244</f>
        <v>2208.7275912</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hidden="1" customHeight="1" x14ac:dyDescent="0.25">
      <c r="A245" s="66"/>
      <c r="B245" s="67"/>
      <c r="C245" s="90">
        <v>4</v>
      </c>
      <c r="D245" s="90"/>
      <c r="E245" s="20" t="s">
        <v>205</v>
      </c>
      <c r="F245" s="70">
        <f>(1.9*2.59+3.36*6.23+3.05*2.44+2.89*2.73+3.05*3.35+3.36*4.55+3.45*3.97+1.85*1.05+(1.38*2.14+1.38*1.06+2.85*1.53+2.29*1.38)+(3.36*1.07+1*2.44)+(0.6*(3.35+3.05+3.45)))*10.764</f>
        <v>1143.2648915999998</v>
      </c>
      <c r="G245" s="71"/>
      <c r="H245" s="20">
        <v>0</v>
      </c>
      <c r="I245" s="20">
        <f>F245*(($I$89)+1)+H245</f>
        <v>1714.8973373999997</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hidden="1" customHeight="1" x14ac:dyDescent="0.25">
      <c r="A246" s="68"/>
      <c r="B246" s="69"/>
      <c r="C246" s="90">
        <v>5</v>
      </c>
      <c r="D246" s="90"/>
      <c r="E246" s="20" t="s">
        <v>205</v>
      </c>
      <c r="F246" s="70">
        <f>(1.9*2.59+3.36*6.23+3.05*2.44+2.89*2.73+3.05*3.35+3.36*4.55+3.45*3.97+1.85*1.05+(1.38*2.14+1.38*1.06+2.85*1.53+2.29*1.38)+(3.36*1.07+1*2.44)+(0.6*(3.35+3.05+3.45)))*10.764</f>
        <v>1143.2648915999998</v>
      </c>
      <c r="G246" s="71"/>
      <c r="H246" s="20">
        <v>0</v>
      </c>
      <c r="I246" s="20">
        <f>F246*(($I$89)+1)+H246</f>
        <v>1714.8973373999997</v>
      </c>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hidden="1" x14ac:dyDescent="0.25">
      <c r="A247" s="61" t="s">
        <v>265</v>
      </c>
      <c r="B247" s="62"/>
      <c r="C247" s="62"/>
      <c r="D247" s="62"/>
      <c r="E247" s="62"/>
      <c r="F247" s="62"/>
      <c r="G247" s="62"/>
      <c r="H247" s="62"/>
      <c r="I247" s="63"/>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hidden="1" customHeight="1" x14ac:dyDescent="0.25">
      <c r="A248" s="64" t="str">
        <f>A247</f>
        <v>2nd Floor</v>
      </c>
      <c r="B248" s="65"/>
      <c r="C248" s="70">
        <v>1</v>
      </c>
      <c r="D248" s="71"/>
      <c r="E248" s="20" t="s">
        <v>205</v>
      </c>
      <c r="F248" s="70">
        <f>(1.38*1.76+3.2*5.64+2.29*2.83+3.05*3.35+3.31*4.55+3.05*3.75+4.14*1.05+1.82*1.05+(2.29*1.46+1.38*2.14+2.44*1.53)+(3.2*1.08+2.29*1.08)+(0.6*(3.05+3.31+1.8)))*10.764</f>
        <v>977.22050399999978</v>
      </c>
      <c r="G248" s="71"/>
      <c r="H248" s="20">
        <v>0</v>
      </c>
      <c r="I248" s="20">
        <f>F248*(($I$89)+1)+H248</f>
        <v>1465.8307559999996</v>
      </c>
      <c r="J248" s="1"/>
      <c r="K248" s="1"/>
      <c r="L248" s="1"/>
      <c r="M248" s="1"/>
      <c r="N248" s="1"/>
      <c r="O248" s="1"/>
      <c r="P248" s="1"/>
      <c r="Q248" s="1"/>
      <c r="R248" s="1"/>
      <c r="S248" s="1"/>
      <c r="T248" s="1"/>
      <c r="U248" s="40" t="str">
        <f ca="1">V248&amp;""&amp;",..,"&amp;""&amp;W248</f>
        <v>201,..,201</v>
      </c>
      <c r="V248" s="40">
        <f ca="1">(SUMPRODUCT(MID(0&amp;(LEFT(A247,SUM(LEN(A247)-LEN(SUBSTITUTE(A247,{"0","1","2","3"},""))))), LARGE(INDEX(ISNUMBER(--MID((LEFT(A247,SUM(LEN(A247)-LEN(SUBSTITUTE(A247,{"0","1","2","3"},""))))), ROW(INDIRECT("1:"&amp;LEN((LEFT(A247,SUM(LEN(A247)-LEN(SUBSTITUTE(A247,{"0","1","2","3"},"")))))))), 1)) * ROW(INDIRECT("1:"&amp;LEN((LEFT(A247,SUM(LEN(A247)-LEN(SUBSTITUTE(A247,{"0","1","2","3"},"")))))))), 0), ROW(INDIRECT("1:"&amp;LEN((LEFT(A247,SUM(LEN(A247)-LEN(SUBSTITUTE(A247,{"0","1","2","3"},"")))))))))+1, 1) * 10^ROW(INDIRECT("1:"&amp;LEN((LEFT(A247,SUM(LEN(A247)-LEN(SUBSTITUTE(A247,{"0","1","2","3"},""))))))))/10))*100+1</f>
        <v>201</v>
      </c>
      <c r="W248" s="40">
        <f ca="1">(SUMPRODUCT(MID(0&amp;(--TRIM(RIGHT(SUBSTITUTE(LEFT(A247,_xlfn.AGGREGATE(16,6,FIND({0,1,2,3,4,5,6,7,8,9},A247,ROW(INDIRECT("1:"&amp;LEN(A247)))),1))," ",REPT(" ",LEN(A247))),LEN(A247)))), LARGE(INDEX(ISNUMBER(--MID((--TRIM(RIGHT(SUBSTITUTE(LEFT(A247,_xlfn.AGGREGATE(16,6,FIND({0,1,2,3,4,5,6,7,8,9},A247,ROW(INDIRECT("1:"&amp;LEN(A247)))),1))," ",REPT(" ",LEN(A247))),LEN(A247)))), ROW(INDIRECT("1:"&amp;LEN((--TRIM(RIGHT(SUBSTITUTE(LEFT(A247,_xlfn.AGGREGATE(16,6,FIND({0,1,2,3,4,5,6,7,8,9},A247,ROW(INDIRECT("1:"&amp;LEN(A247)))),1))," ",REPT(" ",LEN(A247))),LEN(A247))))))), 1)) * ROW(INDIRECT("1:"&amp;LEN((--TRIM(RIGHT(SUBSTITUTE(LEFT(A247,_xlfn.AGGREGATE(16,6,FIND({0,1,2,3,4,5,6,7,8,9},A247,ROW(INDIRECT("1:"&amp;LEN(A247)))),1))," ",REPT(" ",LEN(A247))),LEN(A247))))))), 0), ROW(INDIRECT("1:"&amp;LEN((--TRIM(RIGHT(SUBSTITUTE(LEFT(A247,_xlfn.AGGREGATE(16,6,FIND({0,1,2,3,4,5,6,7,8,9},A247,ROW(INDIRECT("1:"&amp;LEN(A247)))),1))," ",REPT(" ",LEN(A247))),LEN(A247))))))))+1, 1) * 10^ROW(INDIRECT("1:"&amp;LEN((--TRIM(RIGHT(SUBSTITUTE(LEFT(A247,_xlfn.AGGREGATE(16,6,FIND({0,1,2,3,4,5,6,7,8,9},A247,ROW(INDIRECT("1:"&amp;LEN(A247)))),1))," ",REPT(" ",LEN(A247))),LEN(A247)))))))/10))*100+1</f>
        <v>201</v>
      </c>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hidden="1" customHeight="1" x14ac:dyDescent="0.25">
      <c r="A249" s="66"/>
      <c r="B249" s="67"/>
      <c r="C249" s="70">
        <v>2</v>
      </c>
      <c r="D249" s="71"/>
      <c r="E249" s="20" t="s">
        <v>205</v>
      </c>
      <c r="F249" s="70">
        <f>(1.38*1.76+3.2*5.64+2.29*2.83+3.05*3.35+3.31*4.55+3.05*3.75+4.14*1.05+1.82*1.05+(2.29*1.46+1.38*2.14+2.44*1.53)+(3.2*1.08+2.29*1.08)+(0.6*(3.05+3.31+1.8)))*10.764</f>
        <v>977.22050399999978</v>
      </c>
      <c r="G249" s="71"/>
      <c r="H249" s="20">
        <v>0</v>
      </c>
      <c r="I249" s="20">
        <f>F249*(($I$89)+1)+H249</f>
        <v>1465.8307559999996</v>
      </c>
      <c r="J249" s="1"/>
      <c r="K249" s="1"/>
      <c r="L249" s="1"/>
      <c r="M249" s="1"/>
      <c r="N249" s="1"/>
      <c r="O249" s="1"/>
      <c r="P249" s="1"/>
      <c r="Q249" s="1"/>
      <c r="R249" s="1"/>
      <c r="S249" s="1"/>
      <c r="T249" s="1"/>
      <c r="U249" s="40" t="str">
        <f ca="1">V249&amp;""&amp;",..,"&amp;""&amp;W249</f>
        <v>202,..,202</v>
      </c>
      <c r="V249" s="40">
        <f ca="1">V248+1</f>
        <v>202</v>
      </c>
      <c r="W249" s="40">
        <f ca="1">W248+1</f>
        <v>202</v>
      </c>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hidden="1" customHeight="1" x14ac:dyDescent="0.25">
      <c r="A250" s="66"/>
      <c r="B250" s="67"/>
      <c r="C250" s="70">
        <v>3</v>
      </c>
      <c r="D250" s="71"/>
      <c r="E250" s="20" t="s">
        <v>232</v>
      </c>
      <c r="F250" s="70">
        <f>(1.95*1.53+1.25*3.05+3*3.08+3.05*3.5+2.75*3.08+3.65*8.38+3.59*4.6+4.26*3.59+1*1.73+1*1.22+(1.53*2.29+1.38*2.44+2.44*1.53+2.44*1.53)+(3.9*1.53+2.75*1.53+1*1.53)+(0.6*(3+3.4+4.26+3.59+2.8)))*10.764</f>
        <v>1472.4850607999999</v>
      </c>
      <c r="G250" s="71"/>
      <c r="H250" s="20">
        <v>0</v>
      </c>
      <c r="I250" s="20">
        <f>F250*(($I$89)+1)+H250</f>
        <v>2208.7275912</v>
      </c>
      <c r="J250" s="1"/>
      <c r="K250" s="1"/>
      <c r="L250" s="1"/>
      <c r="M250" s="1"/>
      <c r="N250" s="1"/>
      <c r="O250" s="1"/>
      <c r="P250" s="1"/>
      <c r="Q250" s="1"/>
      <c r="R250" s="1"/>
      <c r="S250" s="1"/>
      <c r="T250" s="1"/>
      <c r="U250" s="40" t="str">
        <f ca="1">V250&amp;""&amp;",..,"&amp;""&amp;W250</f>
        <v>203,..,203</v>
      </c>
      <c r="V250" s="40">
        <f t="shared" ref="V250:W252" ca="1" si="17">V249+1</f>
        <v>203</v>
      </c>
      <c r="W250" s="40">
        <f t="shared" ca="1" si="17"/>
        <v>203</v>
      </c>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hidden="1" customHeight="1" x14ac:dyDescent="0.25">
      <c r="A251" s="66"/>
      <c r="B251" s="67"/>
      <c r="C251" s="70">
        <v>4</v>
      </c>
      <c r="D251" s="71"/>
      <c r="E251" s="20" t="s">
        <v>205</v>
      </c>
      <c r="F251" s="70">
        <f>(1.9*2.59+3.36*6.23+3.05*2.44+2.89*2.73+3.05*3.35+3.36*4.55+3.45*3.97+1.85*1.05+(1.38*2.14+1.38*1.06+2.85*1.53+2.29*1.38)+(3.36*1.07+1*2.44)+(0.6*(3.35+3.05+3.45)))*10.764</f>
        <v>1143.2648915999998</v>
      </c>
      <c r="G251" s="71"/>
      <c r="H251" s="20">
        <v>0</v>
      </c>
      <c r="I251" s="20">
        <f>F251*(($I$89)+1)+H251</f>
        <v>1714.8973373999997</v>
      </c>
      <c r="J251" s="1"/>
      <c r="K251" s="1"/>
      <c r="L251" s="1"/>
      <c r="M251" s="1"/>
      <c r="N251" s="1"/>
      <c r="O251" s="1"/>
      <c r="P251" s="1"/>
      <c r="Q251" s="1"/>
      <c r="R251" s="1"/>
      <c r="S251" s="1"/>
      <c r="T251" s="1"/>
      <c r="U251" s="40" t="str">
        <f ca="1">V251&amp;""&amp;",..,"&amp;""&amp;W251</f>
        <v>204,..,204</v>
      </c>
      <c r="V251" s="40">
        <f t="shared" ca="1" si="17"/>
        <v>204</v>
      </c>
      <c r="W251" s="40">
        <f t="shared" ca="1" si="17"/>
        <v>204</v>
      </c>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hidden="1" customHeight="1" x14ac:dyDescent="0.25">
      <c r="A252" s="68"/>
      <c r="B252" s="69"/>
      <c r="C252" s="70">
        <v>5</v>
      </c>
      <c r="D252" s="71"/>
      <c r="E252" s="20" t="s">
        <v>205</v>
      </c>
      <c r="F252" s="70">
        <f>(1.9*2.59+3.36*6.23+3.05*2.44+2.89*2.73+3.05*3.35+3.36*4.55+3.45*3.97+1.85*1.05+(1.38*2.14+1.38*1.06+2.85*1.53+2.29*1.38)+(3.36*1.07+1*2.44)+(0.6*(3.35+3.05+3.45)))*10.764</f>
        <v>1143.2648915999998</v>
      </c>
      <c r="G252" s="71"/>
      <c r="H252" s="20">
        <v>0</v>
      </c>
      <c r="I252" s="20">
        <f>F252*(($I$89)+1)+H252</f>
        <v>1714.8973373999997</v>
      </c>
      <c r="J252" s="1"/>
      <c r="K252" s="1"/>
      <c r="L252" s="1"/>
      <c r="M252" s="1"/>
      <c r="N252" s="1"/>
      <c r="O252" s="1"/>
      <c r="P252" s="1"/>
      <c r="Q252" s="1"/>
      <c r="R252" s="1"/>
      <c r="S252" s="1"/>
      <c r="T252" s="1"/>
      <c r="U252" s="40" t="str">
        <f ca="1">V252&amp;""&amp;",..,"&amp;""&amp;W252</f>
        <v>205,..,205</v>
      </c>
      <c r="V252" s="40">
        <f t="shared" ca="1" si="17"/>
        <v>205</v>
      </c>
      <c r="W252" s="40">
        <f t="shared" ca="1" si="17"/>
        <v>205</v>
      </c>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hidden="1" x14ac:dyDescent="0.25">
      <c r="A253" s="61" t="s">
        <v>266</v>
      </c>
      <c r="B253" s="62"/>
      <c r="C253" s="62"/>
      <c r="D253" s="62"/>
      <c r="E253" s="62"/>
      <c r="F253" s="62"/>
      <c r="G253" s="62"/>
      <c r="H253" s="62"/>
      <c r="I253" s="63"/>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hidden="1" customHeight="1" x14ac:dyDescent="0.25">
      <c r="A254" s="64" t="str">
        <f>A253</f>
        <v>3rd, 4th, 6th to  9th, 11th to 14th, 16th to 19th, 21st to 24th Floor</v>
      </c>
      <c r="B254" s="65"/>
      <c r="C254" s="70">
        <v>1</v>
      </c>
      <c r="D254" s="71"/>
      <c r="E254" s="20" t="s">
        <v>205</v>
      </c>
      <c r="F254" s="70">
        <f>(1.35*1.78+3.2*5.64+2.29*2.83+3.05*3.35+3.31*4.55+3.05*3.75+4.14*1.05+1.82*1.05+(2.29*1.46+1.38*2.14+2.44*1.53)+(3.2*1.08+2.29*1.08)+(0.6*(3.05+3.31+1.8)))*10.764</f>
        <v>976.94279279999978</v>
      </c>
      <c r="G254" s="71"/>
      <c r="H254" s="20">
        <v>0</v>
      </c>
      <c r="I254" s="20">
        <f t="shared" ref="I254:I259" si="18">F254*(($I$89)+1)+H254</f>
        <v>1465.4141891999998</v>
      </c>
      <c r="J254" s="1"/>
      <c r="K254" s="1"/>
      <c r="L254" s="1"/>
      <c r="M254" s="1"/>
      <c r="N254" s="1"/>
      <c r="O254" s="1"/>
      <c r="P254" s="1"/>
      <c r="Q254" s="1"/>
      <c r="R254" s="1"/>
      <c r="S254" s="1"/>
      <c r="T254" s="1"/>
      <c r="U254" s="40" t="str">
        <f t="shared" ref="U254:U259" ca="1" si="19">V254&amp;""&amp;",..,"&amp;""&amp;W254</f>
        <v>3401,..,2401</v>
      </c>
      <c r="V254" s="40">
        <f ca="1">(SUMPRODUCT(MID(0&amp;(LEFT(A253,SUM(LEN(A253)-LEN(SUBSTITUTE(A253,{"0","1","2","3"},""))))), LARGE(INDEX(ISNUMBER(--MID((LEFT(A253,SUM(LEN(A253)-LEN(SUBSTITUTE(A253,{"0","1","2","3"},""))))), ROW(INDIRECT("1:"&amp;LEN((LEFT(A253,SUM(LEN(A253)-LEN(SUBSTITUTE(A253,{"0","1","2","3"},"")))))))), 1)) * ROW(INDIRECT("1:"&amp;LEN((LEFT(A253,SUM(LEN(A253)-LEN(SUBSTITUTE(A253,{"0","1","2","3"},"")))))))), 0), ROW(INDIRECT("1:"&amp;LEN((LEFT(A253,SUM(LEN(A253)-LEN(SUBSTITUTE(A253,{"0","1","2","3"},"")))))))))+1, 1) * 10^ROW(INDIRECT("1:"&amp;LEN((LEFT(A253,SUM(LEN(A253)-LEN(SUBSTITUTE(A253,{"0","1","2","3"},""))))))))/10))*100+1</f>
        <v>3401</v>
      </c>
      <c r="W254" s="40">
        <f ca="1">(SUMPRODUCT(MID(0&amp;(--TRIM(RIGHT(SUBSTITUTE(LEFT(A253,_xlfn.AGGREGATE(16,6,FIND({0,1,2,3,4,5,6,7,8,9},A253,ROW(INDIRECT("1:"&amp;LEN(A253)))),1))," ",REPT(" ",LEN(A253))),LEN(A253)))), LARGE(INDEX(ISNUMBER(--MID((--TRIM(RIGHT(SUBSTITUTE(LEFT(A253,_xlfn.AGGREGATE(16,6,FIND({0,1,2,3,4,5,6,7,8,9},A253,ROW(INDIRECT("1:"&amp;LEN(A253)))),1))," ",REPT(" ",LEN(A253))),LEN(A253)))), ROW(INDIRECT("1:"&amp;LEN((--TRIM(RIGHT(SUBSTITUTE(LEFT(A253,_xlfn.AGGREGATE(16,6,FIND({0,1,2,3,4,5,6,7,8,9},A253,ROW(INDIRECT("1:"&amp;LEN(A253)))),1))," ",REPT(" ",LEN(A253))),LEN(A253))))))), 1)) * ROW(INDIRECT("1:"&amp;LEN((--TRIM(RIGHT(SUBSTITUTE(LEFT(A253,_xlfn.AGGREGATE(16,6,FIND({0,1,2,3,4,5,6,7,8,9},A253,ROW(INDIRECT("1:"&amp;LEN(A253)))),1))," ",REPT(" ",LEN(A253))),LEN(A253))))))), 0), ROW(INDIRECT("1:"&amp;LEN((--TRIM(RIGHT(SUBSTITUTE(LEFT(A253,_xlfn.AGGREGATE(16,6,FIND({0,1,2,3,4,5,6,7,8,9},A253,ROW(INDIRECT("1:"&amp;LEN(A253)))),1))," ",REPT(" ",LEN(A253))),LEN(A253))))))))+1, 1) * 10^ROW(INDIRECT("1:"&amp;LEN((--TRIM(RIGHT(SUBSTITUTE(LEFT(A253,_xlfn.AGGREGATE(16,6,FIND({0,1,2,3,4,5,6,7,8,9},A253,ROW(INDIRECT("1:"&amp;LEN(A253)))),1))," ",REPT(" ",LEN(A253))),LEN(A253)))))))/10))*100+1</f>
        <v>2401</v>
      </c>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hidden="1" customHeight="1" x14ac:dyDescent="0.25">
      <c r="A255" s="66"/>
      <c r="B255" s="67"/>
      <c r="C255" s="70">
        <v>2</v>
      </c>
      <c r="D255" s="71"/>
      <c r="E255" s="20" t="s">
        <v>205</v>
      </c>
      <c r="F255" s="70">
        <f>(1.35*1.78+3.2*5.64+2.29*2.83+3.05*3.35+3.31*4.55+3.05*3.75+4.14*1.05+1.82*1.05+(2.29*1.46+1.38*2.14+2.44*1.53)+(3.2*1.08+2.29*1.08)+(0.6*(3.05+3.31+1.8)))*10.764</f>
        <v>976.94279279999978</v>
      </c>
      <c r="G255" s="71"/>
      <c r="H255" s="20">
        <v>0</v>
      </c>
      <c r="I255" s="20">
        <f t="shared" si="18"/>
        <v>1465.4141891999998</v>
      </c>
      <c r="J255" s="1"/>
      <c r="K255" s="1"/>
      <c r="L255" s="1"/>
      <c r="M255" s="1"/>
      <c r="N255" s="1"/>
      <c r="O255" s="1"/>
      <c r="P255" s="1"/>
      <c r="Q255" s="1"/>
      <c r="R255" s="1"/>
      <c r="S255" s="1"/>
      <c r="T255" s="1"/>
      <c r="U255" s="40" t="str">
        <f t="shared" ca="1" si="19"/>
        <v>3402,..,2402</v>
      </c>
      <c r="V255" s="40">
        <f t="shared" ref="V255:W259" ca="1" si="20">V254+1</f>
        <v>3402</v>
      </c>
      <c r="W255" s="40">
        <f t="shared" ca="1" si="20"/>
        <v>2402</v>
      </c>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hidden="1" customHeight="1" x14ac:dyDescent="0.25">
      <c r="A256" s="66"/>
      <c r="B256" s="67"/>
      <c r="C256" s="70">
        <v>3</v>
      </c>
      <c r="D256" s="71"/>
      <c r="E256" s="20" t="s">
        <v>232</v>
      </c>
      <c r="F256" s="70">
        <f>(1.95*1.53+1.25*3.05+3*3.08+3.05*3.5+2.75*3.08+3.65*8.38+3.59*4.6+4.26*3.59+1*1.73+1*1.22+(1.53*2.29+1.38*2.44+2.44*1.53+2.44*1.53)+(3.9*1.53+2.75*1.53+1*1.53)+(0.6*(3+3.4+4.26+3.59+2.8)))*10.764</f>
        <v>1472.4850607999999</v>
      </c>
      <c r="G256" s="71"/>
      <c r="H256" s="20">
        <v>0</v>
      </c>
      <c r="I256" s="20">
        <f t="shared" si="18"/>
        <v>2208.7275912</v>
      </c>
      <c r="J256" s="1"/>
      <c r="K256" s="1"/>
      <c r="L256" s="1"/>
      <c r="M256" s="1"/>
      <c r="N256" s="1"/>
      <c r="O256" s="1"/>
      <c r="P256" s="1"/>
      <c r="Q256" s="1"/>
      <c r="R256" s="1"/>
      <c r="S256" s="1"/>
      <c r="T256" s="1"/>
      <c r="U256" s="40" t="str">
        <f t="shared" ca="1" si="19"/>
        <v>3403,..,2403</v>
      </c>
      <c r="V256" s="40">
        <f t="shared" ca="1" si="20"/>
        <v>3403</v>
      </c>
      <c r="W256" s="40">
        <f t="shared" ca="1" si="20"/>
        <v>2403</v>
      </c>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hidden="1" customHeight="1" x14ac:dyDescent="0.25">
      <c r="A257" s="66"/>
      <c r="B257" s="67"/>
      <c r="C257" s="70">
        <v>4</v>
      </c>
      <c r="D257" s="71"/>
      <c r="E257" s="20" t="s">
        <v>205</v>
      </c>
      <c r="F257" s="70">
        <f>(1.9*2.59+3.36*6.23+3.05*2.44+2.89*2.73+3.05*3.35+3.36*4.55+3.45*3.97+1.85*1.05+(1.38*2.14+1.38*1.06+2.85*1.53+2.29*1.38)+(3.36*1.07+1*2.44)+(0.6*(3.35+3.05+3.45)))*10.764</f>
        <v>1143.2648915999998</v>
      </c>
      <c r="G257" s="71"/>
      <c r="H257" s="20">
        <v>0</v>
      </c>
      <c r="I257" s="20">
        <f t="shared" si="18"/>
        <v>1714.8973373999997</v>
      </c>
      <c r="J257" s="1"/>
      <c r="K257" s="1"/>
      <c r="L257" s="1"/>
      <c r="M257" s="1"/>
      <c r="N257" s="1"/>
      <c r="O257" s="1"/>
      <c r="P257" s="1"/>
      <c r="Q257" s="1"/>
      <c r="R257" s="1"/>
      <c r="S257" s="1"/>
      <c r="T257" s="1"/>
      <c r="U257" s="40" t="str">
        <f t="shared" ca="1" si="19"/>
        <v>3404,..,2404</v>
      </c>
      <c r="V257" s="40">
        <f t="shared" ca="1" si="20"/>
        <v>3404</v>
      </c>
      <c r="W257" s="40">
        <f t="shared" ca="1" si="20"/>
        <v>2404</v>
      </c>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hidden="1" customHeight="1" x14ac:dyDescent="0.25">
      <c r="A258" s="66"/>
      <c r="B258" s="67"/>
      <c r="C258" s="70">
        <v>5</v>
      </c>
      <c r="D258" s="71"/>
      <c r="E258" s="20" t="s">
        <v>205</v>
      </c>
      <c r="F258" s="70">
        <f>(1.9*2.59+3.36*6.23+3.05*2.44+2.89*2.73+3.05*3.35+3.36*4.55+3.45*3.97+1.85*1.05+(1.38*2.14+1.38*1.06+2.85*1.53+2.29*1.38)+(3.36*1.07+1*2.44)+(0.6*(3.35+3.05+3.45)))*10.764</f>
        <v>1143.2648915999998</v>
      </c>
      <c r="G258" s="71"/>
      <c r="H258" s="20">
        <v>0</v>
      </c>
      <c r="I258" s="20">
        <f t="shared" si="18"/>
        <v>1714.8973373999997</v>
      </c>
      <c r="J258" s="1"/>
      <c r="K258" s="1"/>
      <c r="L258" s="1"/>
      <c r="M258" s="1"/>
      <c r="N258" s="1"/>
      <c r="O258" s="1"/>
      <c r="P258" s="1"/>
      <c r="Q258" s="1"/>
      <c r="R258" s="1"/>
      <c r="S258" s="1"/>
      <c r="T258" s="1"/>
      <c r="U258" s="40" t="str">
        <f t="shared" ca="1" si="19"/>
        <v>3405,..,2405</v>
      </c>
      <c r="V258" s="40">
        <f t="shared" ca="1" si="20"/>
        <v>3405</v>
      </c>
      <c r="W258" s="40">
        <f t="shared" ca="1" si="20"/>
        <v>2405</v>
      </c>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hidden="1" customHeight="1" x14ac:dyDescent="0.25">
      <c r="A259" s="68"/>
      <c r="B259" s="69"/>
      <c r="C259" s="70">
        <v>6</v>
      </c>
      <c r="D259" s="71"/>
      <c r="E259" s="20" t="s">
        <v>232</v>
      </c>
      <c r="F259" s="70">
        <f>(1.95*1.53+1.25*3.05+3*3.08+3.05*3.5+2.75*3.08+3.65*8.38+3.59*4.6+4.26*3.59+1*1.73+1*1.22+(1.53*2.29+1.38*2.44+2.44*1.53+2.44*1.53)+(3.9*1.53+2.75*1.53+1*1.53)+(0.6*(3+3.4+4.26+3.59+2.8)))*10.764</f>
        <v>1472.4850607999999</v>
      </c>
      <c r="G259" s="71"/>
      <c r="H259" s="20">
        <v>0</v>
      </c>
      <c r="I259" s="20">
        <f t="shared" si="18"/>
        <v>2208.7275912</v>
      </c>
      <c r="J259" s="1"/>
      <c r="K259" s="1"/>
      <c r="L259" s="1"/>
      <c r="M259" s="1"/>
      <c r="N259" s="1"/>
      <c r="O259" s="1"/>
      <c r="P259" s="1"/>
      <c r="Q259" s="1"/>
      <c r="R259" s="1"/>
      <c r="S259" s="1"/>
      <c r="T259" s="1"/>
      <c r="U259" s="40" t="str">
        <f t="shared" ca="1" si="19"/>
        <v>3406,..,2406</v>
      </c>
      <c r="V259" s="40">
        <f t="shared" ca="1" si="20"/>
        <v>3406</v>
      </c>
      <c r="W259" s="40">
        <f t="shared" ca="1" si="20"/>
        <v>2406</v>
      </c>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hidden="1" x14ac:dyDescent="0.25">
      <c r="A260" s="61" t="s">
        <v>267</v>
      </c>
      <c r="B260" s="62"/>
      <c r="C260" s="62"/>
      <c r="D260" s="62"/>
      <c r="E260" s="62"/>
      <c r="F260" s="62"/>
      <c r="G260" s="62"/>
      <c r="H260" s="62"/>
      <c r="I260" s="63"/>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hidden="1" customHeight="1" x14ac:dyDescent="0.25">
      <c r="A261" s="64" t="str">
        <f>A260</f>
        <v>5th, 10th, 15th, 20th &amp; 25th Floor (Part Refuge Area)</v>
      </c>
      <c r="B261" s="65"/>
      <c r="C261" s="70">
        <v>1</v>
      </c>
      <c r="D261" s="71"/>
      <c r="E261" s="20" t="s">
        <v>205</v>
      </c>
      <c r="F261" s="70">
        <f>(1.35*1.78+3.2*5.64+2.29*2.83+3.05*3.35+3.31*4.55+3.05*3.75+4.14*1.05+1.82*1.05+(2.29*1.46+1.38*2.14+2.44*1.53)+(3.2*1.08+2.29*1.08)+(0.6*(3.05+3.31+1.8)))*10.764</f>
        <v>976.94279279999978</v>
      </c>
      <c r="G261" s="71"/>
      <c r="H261" s="20">
        <v>0</v>
      </c>
      <c r="I261" s="20">
        <f t="shared" ref="I261:I266" si="21">F261*(($I$89)+1)+H261</f>
        <v>1465.4141891999998</v>
      </c>
      <c r="J261" s="1"/>
      <c r="K261" s="1"/>
      <c r="L261" s="1"/>
      <c r="M261" s="1"/>
      <c r="N261" s="1"/>
      <c r="O261" s="1"/>
      <c r="P261" s="1"/>
      <c r="Q261" s="1"/>
      <c r="R261" s="1"/>
      <c r="S261" s="1"/>
      <c r="T261" s="1"/>
      <c r="U261" s="40" t="str">
        <f t="shared" ref="U261:U266" ca="1" si="22">V261&amp;""&amp;",..,"&amp;""&amp;W261</f>
        <v>5101,..,2501</v>
      </c>
      <c r="V261" s="40">
        <f ca="1">(SUMPRODUCT(MID(0&amp;(LEFT(A260,SUM(LEN(A260)-LEN(SUBSTITUTE(A260,{"0","1","2","3"},""))))), LARGE(INDEX(ISNUMBER(--MID((LEFT(A260,SUM(LEN(A260)-LEN(SUBSTITUTE(A260,{"0","1","2","3"},""))))), ROW(INDIRECT("1:"&amp;LEN((LEFT(A260,SUM(LEN(A260)-LEN(SUBSTITUTE(A260,{"0","1","2","3"},"")))))))), 1)) * ROW(INDIRECT("1:"&amp;LEN((LEFT(A260,SUM(LEN(A260)-LEN(SUBSTITUTE(A260,{"0","1","2","3"},"")))))))), 0), ROW(INDIRECT("1:"&amp;LEN((LEFT(A260,SUM(LEN(A260)-LEN(SUBSTITUTE(A260,{"0","1","2","3"},"")))))))))+1, 1) * 10^ROW(INDIRECT("1:"&amp;LEN((LEFT(A260,SUM(LEN(A260)-LEN(SUBSTITUTE(A260,{"0","1","2","3"},""))))))))/10))*100+1</f>
        <v>5101</v>
      </c>
      <c r="W261" s="40">
        <f ca="1">(SUMPRODUCT(MID(0&amp;(--TRIM(RIGHT(SUBSTITUTE(LEFT(A260,_xlfn.AGGREGATE(16,6,FIND({0,1,2,3,4,5,6,7,8,9},A260,ROW(INDIRECT("1:"&amp;LEN(A260)))),1))," ",REPT(" ",LEN(A260))),LEN(A260)))), LARGE(INDEX(ISNUMBER(--MID((--TRIM(RIGHT(SUBSTITUTE(LEFT(A260,_xlfn.AGGREGATE(16,6,FIND({0,1,2,3,4,5,6,7,8,9},A260,ROW(INDIRECT("1:"&amp;LEN(A260)))),1))," ",REPT(" ",LEN(A260))),LEN(A260)))), ROW(INDIRECT("1:"&amp;LEN((--TRIM(RIGHT(SUBSTITUTE(LEFT(A260,_xlfn.AGGREGATE(16,6,FIND({0,1,2,3,4,5,6,7,8,9},A260,ROW(INDIRECT("1:"&amp;LEN(A260)))),1))," ",REPT(" ",LEN(A260))),LEN(A260))))))), 1)) * ROW(INDIRECT("1:"&amp;LEN((--TRIM(RIGHT(SUBSTITUTE(LEFT(A260,_xlfn.AGGREGATE(16,6,FIND({0,1,2,3,4,5,6,7,8,9},A260,ROW(INDIRECT("1:"&amp;LEN(A260)))),1))," ",REPT(" ",LEN(A260))),LEN(A260))))))), 0), ROW(INDIRECT("1:"&amp;LEN((--TRIM(RIGHT(SUBSTITUTE(LEFT(A260,_xlfn.AGGREGATE(16,6,FIND({0,1,2,3,4,5,6,7,8,9},A260,ROW(INDIRECT("1:"&amp;LEN(A260)))),1))," ",REPT(" ",LEN(A260))),LEN(A260))))))))+1, 1) * 10^ROW(INDIRECT("1:"&amp;LEN((--TRIM(RIGHT(SUBSTITUTE(LEFT(A260,_xlfn.AGGREGATE(16,6,FIND({0,1,2,3,4,5,6,7,8,9},A260,ROW(INDIRECT("1:"&amp;LEN(A260)))),1))," ",REPT(" ",LEN(A260))),LEN(A260)))))))/10))*100+1</f>
        <v>2501</v>
      </c>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hidden="1" customHeight="1" x14ac:dyDescent="0.25">
      <c r="A262" s="66"/>
      <c r="B262" s="67"/>
      <c r="C262" s="70">
        <v>2</v>
      </c>
      <c r="D262" s="71"/>
      <c r="E262" s="20" t="s">
        <v>205</v>
      </c>
      <c r="F262" s="70">
        <f>(1.35*1.78+3.2*5.64+2.29*2.83+3.05*3.35+3.31*4.55+3.05*3.75+4.14*1.05+1.82*1.05+(2.29*1.46+1.38*2.14+2.44*1.53)+(3.2*1.08+2.29*1.08)+(0.6*(3.05+3.31+1.8)))*10.764</f>
        <v>976.94279279999978</v>
      </c>
      <c r="G262" s="71"/>
      <c r="H262" s="20">
        <v>0</v>
      </c>
      <c r="I262" s="20">
        <f t="shared" si="21"/>
        <v>1465.4141891999998</v>
      </c>
      <c r="J262" s="1"/>
      <c r="K262" s="1"/>
      <c r="L262" s="1"/>
      <c r="M262" s="1"/>
      <c r="N262" s="1"/>
      <c r="O262" s="1"/>
      <c r="P262" s="1"/>
      <c r="Q262" s="1"/>
      <c r="R262" s="1"/>
      <c r="S262" s="1"/>
      <c r="T262" s="1"/>
      <c r="U262" s="40" t="str">
        <f t="shared" ca="1" si="22"/>
        <v>5102,..,2502</v>
      </c>
      <c r="V262" s="40">
        <f t="shared" ref="V262:W266" ca="1" si="23">V261+1</f>
        <v>5102</v>
      </c>
      <c r="W262" s="40">
        <f t="shared" ca="1" si="23"/>
        <v>2502</v>
      </c>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hidden="1" customHeight="1" x14ac:dyDescent="0.25">
      <c r="A263" s="66"/>
      <c r="B263" s="67"/>
      <c r="C263" s="70">
        <v>3</v>
      </c>
      <c r="D263" s="71"/>
      <c r="E263" s="20" t="s">
        <v>232</v>
      </c>
      <c r="F263" s="70">
        <f>(1.95*1.53+1.25*3.05+3*3.08+3.05*3.5+2.75*3.08+3.65*8.38+3.59*4.6+4.26*3.59+1*1.73+1*1.22+(1.53*2.29+1.38*2.44+2.44*1.53+2.44*1.53)+(3.9*1.53+2.75*1.53+1*1.53)+(0.6*(3+3.4+4.26+3.59+2.8)))*10.764</f>
        <v>1472.4850607999999</v>
      </c>
      <c r="G263" s="71"/>
      <c r="H263" s="20">
        <v>0</v>
      </c>
      <c r="I263" s="20">
        <f t="shared" si="21"/>
        <v>2208.7275912</v>
      </c>
      <c r="J263" s="1"/>
      <c r="K263" s="1"/>
      <c r="L263" s="1"/>
      <c r="M263" s="1"/>
      <c r="N263" s="1"/>
      <c r="O263" s="1"/>
      <c r="P263" s="1"/>
      <c r="Q263" s="1"/>
      <c r="R263" s="1"/>
      <c r="S263" s="1"/>
      <c r="T263" s="1"/>
      <c r="U263" s="40" t="str">
        <f t="shared" ca="1" si="22"/>
        <v>5103,..,2503</v>
      </c>
      <c r="V263" s="40">
        <f t="shared" ca="1" si="23"/>
        <v>5103</v>
      </c>
      <c r="W263" s="40">
        <f t="shared" ca="1" si="23"/>
        <v>2503</v>
      </c>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hidden="1" customHeight="1" x14ac:dyDescent="0.25">
      <c r="A264" s="66"/>
      <c r="B264" s="67"/>
      <c r="C264" s="70">
        <v>4</v>
      </c>
      <c r="D264" s="71"/>
      <c r="E264" s="70" t="s">
        <v>231</v>
      </c>
      <c r="F264" s="72"/>
      <c r="G264" s="72"/>
      <c r="H264" s="72"/>
      <c r="I264" s="71"/>
      <c r="J264" s="1"/>
      <c r="K264" s="1"/>
      <c r="L264" s="1"/>
      <c r="M264" s="1"/>
      <c r="N264" s="1"/>
      <c r="O264" s="1"/>
      <c r="P264" s="1"/>
      <c r="Q264" s="1"/>
      <c r="R264" s="1"/>
      <c r="S264" s="1"/>
      <c r="T264" s="1"/>
      <c r="U264" s="40" t="str">
        <f t="shared" ca="1" si="22"/>
        <v>5104,..,2504</v>
      </c>
      <c r="V264" s="40">
        <f t="shared" ca="1" si="23"/>
        <v>5104</v>
      </c>
      <c r="W264" s="40">
        <f t="shared" ca="1" si="23"/>
        <v>2504</v>
      </c>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hidden="1" customHeight="1" x14ac:dyDescent="0.25">
      <c r="A265" s="66"/>
      <c r="B265" s="67"/>
      <c r="C265" s="70">
        <v>5</v>
      </c>
      <c r="D265" s="71"/>
      <c r="E265" s="20" t="s">
        <v>205</v>
      </c>
      <c r="F265" s="70">
        <f>(1.9*2.59+3.36*6.23+3.05*2.44+2.89*2.73+3.05*3.35+3.36*4.55+3.45*3.97+1.85*1.05+(1.38*2.14+1.38*1.06+2.85*1.53+2.29*1.38)+(3.36*1.07+1*2.44)+(0.6*(3.35+3.05+3.45)))*10.764</f>
        <v>1143.2648915999998</v>
      </c>
      <c r="G265" s="71"/>
      <c r="H265" s="20">
        <v>0</v>
      </c>
      <c r="I265" s="20">
        <f t="shared" si="21"/>
        <v>1714.8973373999997</v>
      </c>
      <c r="J265" s="1"/>
      <c r="K265" s="1"/>
      <c r="L265" s="1"/>
      <c r="M265" s="1"/>
      <c r="N265" s="1"/>
      <c r="O265" s="1"/>
      <c r="P265" s="1"/>
      <c r="Q265" s="1"/>
      <c r="R265" s="1"/>
      <c r="S265" s="1"/>
      <c r="T265" s="1"/>
      <c r="U265" s="40" t="str">
        <f t="shared" ca="1" si="22"/>
        <v>5105,..,2505</v>
      </c>
      <c r="V265" s="40">
        <f t="shared" ca="1" si="23"/>
        <v>5105</v>
      </c>
      <c r="W265" s="40">
        <f t="shared" ca="1" si="23"/>
        <v>2505</v>
      </c>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hidden="1" customHeight="1" x14ac:dyDescent="0.25">
      <c r="A266" s="68"/>
      <c r="B266" s="69"/>
      <c r="C266" s="70">
        <v>6</v>
      </c>
      <c r="D266" s="71"/>
      <c r="E266" s="20" t="s">
        <v>232</v>
      </c>
      <c r="F266" s="70">
        <f>(1.95*1.53+1.25*3.05+3*3.08+3.05*3.5+2.75*3.08+3.65*8.38+3.59*4.6+4.26*3.59+1*1.73+1*1.22+(1.53*2.29+1.38*2.44+2.44*1.53+2.44*1.53)+(3.9*1.53+2.75*1.53+1*1.53)+(0.6*(3+3.4+4.26+3.59+2.8)))*10.764</f>
        <v>1472.4850607999999</v>
      </c>
      <c r="G266" s="71"/>
      <c r="H266" s="20">
        <v>0</v>
      </c>
      <c r="I266" s="20">
        <f t="shared" si="21"/>
        <v>2208.7275912</v>
      </c>
      <c r="J266" s="1"/>
      <c r="K266" s="1"/>
      <c r="L266" s="1"/>
      <c r="M266" s="1"/>
      <c r="N266" s="1"/>
      <c r="O266" s="1"/>
      <c r="P266" s="1"/>
      <c r="Q266" s="1"/>
      <c r="R266" s="1"/>
      <c r="S266" s="1"/>
      <c r="T266" s="1"/>
      <c r="U266" s="40" t="str">
        <f t="shared" ca="1" si="22"/>
        <v>5106,..,2506</v>
      </c>
      <c r="V266" s="40">
        <f t="shared" ca="1" si="23"/>
        <v>5106</v>
      </c>
      <c r="W266" s="40">
        <f t="shared" ca="1" si="23"/>
        <v>2506</v>
      </c>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hidden="1" x14ac:dyDescent="0.25">
      <c r="A267" s="61" t="s">
        <v>285</v>
      </c>
      <c r="B267" s="62"/>
      <c r="C267" s="62"/>
      <c r="D267" s="62"/>
      <c r="E267" s="62"/>
      <c r="F267" s="62"/>
      <c r="G267" s="62"/>
      <c r="H267" s="62"/>
      <c r="I267" s="63"/>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hidden="1" customHeight="1" x14ac:dyDescent="0.25">
      <c r="A268" s="64" t="str">
        <f>A267</f>
        <v>26th to 28th, 30th, 31st, 33rd, 35th, 37th, 38th, 41st, 42nd &amp; 45th to 47th Floor</v>
      </c>
      <c r="B268" s="65"/>
      <c r="C268" s="70">
        <v>1</v>
      </c>
      <c r="D268" s="71"/>
      <c r="E268" s="52" t="s">
        <v>205</v>
      </c>
      <c r="F268" s="70">
        <f>(86.98+(0.6*(3.05+3.31+1.8)))*10.764</f>
        <v>988.95326399999999</v>
      </c>
      <c r="G268" s="71"/>
      <c r="H268" s="52">
        <v>0</v>
      </c>
      <c r="I268" s="52">
        <f t="shared" ref="I268:I273" si="24">F268*(($I$89)+1)+H268</f>
        <v>1483.4298960000001</v>
      </c>
      <c r="J268" s="1"/>
      <c r="K268" s="1"/>
      <c r="L268" s="1"/>
      <c r="M268" s="1"/>
      <c r="N268" s="1"/>
      <c r="O268" s="1"/>
      <c r="P268" s="1"/>
      <c r="Q268" s="1"/>
      <c r="R268" s="1"/>
      <c r="S268" s="1"/>
      <c r="T268" s="1"/>
      <c r="U268" s="40" t="str">
        <f t="shared" ref="U268:U273" ca="1" si="25">V268&amp;""&amp;",..,"&amp;""&amp;W268</f>
        <v>262801,..,4701</v>
      </c>
      <c r="V268" s="40">
        <f ca="1">(SUMPRODUCT(MID(0&amp;(LEFT(A267,SUM(LEN(A267)-LEN(SUBSTITUTE(A267,{"0","1","2","3"},""))))), LARGE(INDEX(ISNUMBER(--MID((LEFT(A267,SUM(LEN(A267)-LEN(SUBSTITUTE(A267,{"0","1","2","3"},""))))), ROW(INDIRECT("1:"&amp;LEN((LEFT(A267,SUM(LEN(A267)-LEN(SUBSTITUTE(A267,{"0","1","2","3"},"")))))))), 1)) * ROW(INDIRECT("1:"&amp;LEN((LEFT(A267,SUM(LEN(A267)-LEN(SUBSTITUTE(A267,{"0","1","2","3"},"")))))))), 0), ROW(INDIRECT("1:"&amp;LEN((LEFT(A267,SUM(LEN(A267)-LEN(SUBSTITUTE(A267,{"0","1","2","3"},"")))))))))+1, 1) * 10^ROW(INDIRECT("1:"&amp;LEN((LEFT(A267,SUM(LEN(A267)-LEN(SUBSTITUTE(A267,{"0","1","2","3"},""))))))))/10))*100+1</f>
        <v>262801</v>
      </c>
      <c r="W268" s="40">
        <f ca="1">(SUMPRODUCT(MID(0&amp;(--TRIM(RIGHT(SUBSTITUTE(LEFT(A267,_xlfn.AGGREGATE(16,6,FIND({0,1,2,3,4,5,6,7,8,9},A267,ROW(INDIRECT("1:"&amp;LEN(A267)))),1))," ",REPT(" ",LEN(A267))),LEN(A267)))), LARGE(INDEX(ISNUMBER(--MID((--TRIM(RIGHT(SUBSTITUTE(LEFT(A267,_xlfn.AGGREGATE(16,6,FIND({0,1,2,3,4,5,6,7,8,9},A267,ROW(INDIRECT("1:"&amp;LEN(A267)))),1))," ",REPT(" ",LEN(A267))),LEN(A267)))), ROW(INDIRECT("1:"&amp;LEN((--TRIM(RIGHT(SUBSTITUTE(LEFT(A267,_xlfn.AGGREGATE(16,6,FIND({0,1,2,3,4,5,6,7,8,9},A267,ROW(INDIRECT("1:"&amp;LEN(A267)))),1))," ",REPT(" ",LEN(A267))),LEN(A267))))))), 1)) * ROW(INDIRECT("1:"&amp;LEN((--TRIM(RIGHT(SUBSTITUTE(LEFT(A267,_xlfn.AGGREGATE(16,6,FIND({0,1,2,3,4,5,6,7,8,9},A267,ROW(INDIRECT("1:"&amp;LEN(A267)))),1))," ",REPT(" ",LEN(A267))),LEN(A267))))))), 0), ROW(INDIRECT("1:"&amp;LEN((--TRIM(RIGHT(SUBSTITUTE(LEFT(A267,_xlfn.AGGREGATE(16,6,FIND({0,1,2,3,4,5,6,7,8,9},A267,ROW(INDIRECT("1:"&amp;LEN(A267)))),1))," ",REPT(" ",LEN(A267))),LEN(A267))))))))+1, 1) * 10^ROW(INDIRECT("1:"&amp;LEN((--TRIM(RIGHT(SUBSTITUTE(LEFT(A267,_xlfn.AGGREGATE(16,6,FIND({0,1,2,3,4,5,6,7,8,9},A267,ROW(INDIRECT("1:"&amp;LEN(A267)))),1))," ",REPT(" ",LEN(A267))),LEN(A267)))))))/10))*100+1</f>
        <v>4701</v>
      </c>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hidden="1" customHeight="1" x14ac:dyDescent="0.25">
      <c r="A269" s="66"/>
      <c r="B269" s="67"/>
      <c r="C269" s="70">
        <v>2</v>
      </c>
      <c r="D269" s="71"/>
      <c r="E269" s="52" t="s">
        <v>205</v>
      </c>
      <c r="F269" s="70">
        <f>(86.98+(0.6*(3.05+3.31+1.8)))*10.764</f>
        <v>988.95326399999999</v>
      </c>
      <c r="G269" s="71"/>
      <c r="H269" s="52">
        <v>0</v>
      </c>
      <c r="I269" s="52">
        <f t="shared" si="24"/>
        <v>1483.4298960000001</v>
      </c>
      <c r="J269" s="1"/>
      <c r="K269" s="1"/>
      <c r="L269" s="1"/>
      <c r="M269" s="1"/>
      <c r="N269" s="1"/>
      <c r="O269" s="1"/>
      <c r="P269" s="1"/>
      <c r="Q269" s="1"/>
      <c r="R269" s="1"/>
      <c r="S269" s="1"/>
      <c r="T269" s="1"/>
      <c r="U269" s="40" t="str">
        <f t="shared" ca="1" si="25"/>
        <v>262802,..,4702</v>
      </c>
      <c r="V269" s="40">
        <f t="shared" ref="V269:W273" ca="1" si="26">V268+1</f>
        <v>262802</v>
      </c>
      <c r="W269" s="40">
        <f t="shared" ca="1" si="26"/>
        <v>4702</v>
      </c>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hidden="1" customHeight="1" x14ac:dyDescent="0.25">
      <c r="A270" s="66"/>
      <c r="B270" s="67"/>
      <c r="C270" s="70">
        <v>3</v>
      </c>
      <c r="D270" s="71"/>
      <c r="E270" s="52" t="s">
        <v>232</v>
      </c>
      <c r="F270" s="70">
        <f>(129.6+(0.6*(3+3.4+4.26+3.59+2.8)))*10.764</f>
        <v>1505.1301199999998</v>
      </c>
      <c r="G270" s="71"/>
      <c r="H270" s="52">
        <v>0</v>
      </c>
      <c r="I270" s="52">
        <f t="shared" si="24"/>
        <v>2257.6951799999997</v>
      </c>
      <c r="J270" s="1"/>
      <c r="K270" s="1"/>
      <c r="L270" s="1"/>
      <c r="M270" s="1"/>
      <c r="N270" s="1"/>
      <c r="O270" s="1"/>
      <c r="P270" s="1"/>
      <c r="Q270" s="1"/>
      <c r="R270" s="1"/>
      <c r="S270" s="1"/>
      <c r="T270" s="1"/>
      <c r="U270" s="40" t="str">
        <f t="shared" ca="1" si="25"/>
        <v>262803,..,4703</v>
      </c>
      <c r="V270" s="40">
        <f t="shared" ca="1" si="26"/>
        <v>262803</v>
      </c>
      <c r="W270" s="40">
        <f t="shared" ca="1" si="26"/>
        <v>4703</v>
      </c>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hidden="1" customHeight="1" x14ac:dyDescent="0.25">
      <c r="A271" s="66"/>
      <c r="B271" s="67"/>
      <c r="C271" s="70">
        <v>4</v>
      </c>
      <c r="D271" s="71"/>
      <c r="E271" s="52" t="s">
        <v>205</v>
      </c>
      <c r="F271" s="70">
        <f>(101.5+(0.6*(3.35+3.05+3.45)))*10.764</f>
        <v>1156.1612399999999</v>
      </c>
      <c r="G271" s="71"/>
      <c r="H271" s="52">
        <v>0</v>
      </c>
      <c r="I271" s="52">
        <f t="shared" si="24"/>
        <v>1734.2418599999999</v>
      </c>
      <c r="J271" s="1"/>
      <c r="K271" s="1"/>
      <c r="L271" s="1"/>
      <c r="M271" s="1"/>
      <c r="N271" s="1"/>
      <c r="O271" s="1"/>
      <c r="P271" s="1"/>
      <c r="Q271" s="1"/>
      <c r="R271" s="1"/>
      <c r="S271" s="1"/>
      <c r="T271" s="1"/>
      <c r="U271" s="40" t="str">
        <f t="shared" ca="1" si="25"/>
        <v>262804,..,4704</v>
      </c>
      <c r="V271" s="40">
        <f t="shared" ca="1" si="26"/>
        <v>262804</v>
      </c>
      <c r="W271" s="40">
        <f t="shared" ca="1" si="26"/>
        <v>4704</v>
      </c>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hidden="1" customHeight="1" x14ac:dyDescent="0.25">
      <c r="A272" s="66"/>
      <c r="B272" s="67"/>
      <c r="C272" s="70">
        <v>5</v>
      </c>
      <c r="D272" s="71"/>
      <c r="E272" s="52" t="s">
        <v>205</v>
      </c>
      <c r="F272" s="70">
        <f>(101.5+(0.6*(3.35+3.05+3.45)))*10.764</f>
        <v>1156.1612399999999</v>
      </c>
      <c r="G272" s="71"/>
      <c r="H272" s="52">
        <v>0</v>
      </c>
      <c r="I272" s="52">
        <f t="shared" si="24"/>
        <v>1734.2418599999999</v>
      </c>
      <c r="J272" s="1"/>
      <c r="K272" s="1"/>
      <c r="L272" s="1"/>
      <c r="M272" s="1"/>
      <c r="N272" s="1"/>
      <c r="O272" s="1"/>
      <c r="P272" s="1"/>
      <c r="Q272" s="1"/>
      <c r="R272" s="1"/>
      <c r="S272" s="1"/>
      <c r="T272" s="1"/>
      <c r="U272" s="40" t="str">
        <f t="shared" ca="1" si="25"/>
        <v>262805,..,4705</v>
      </c>
      <c r="V272" s="40">
        <f t="shared" ca="1" si="26"/>
        <v>262805</v>
      </c>
      <c r="W272" s="40">
        <f t="shared" ca="1" si="26"/>
        <v>4705</v>
      </c>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hidden="1" customHeight="1" x14ac:dyDescent="0.25">
      <c r="A273" s="68"/>
      <c r="B273" s="69"/>
      <c r="C273" s="70">
        <v>6</v>
      </c>
      <c r="D273" s="71"/>
      <c r="E273" s="52" t="s">
        <v>232</v>
      </c>
      <c r="F273" s="70">
        <f>(129.6+(0.6*(3+3.4+4.26+3.59+2.8)))*10.764</f>
        <v>1505.1301199999998</v>
      </c>
      <c r="G273" s="71"/>
      <c r="H273" s="52">
        <v>0</v>
      </c>
      <c r="I273" s="52">
        <f t="shared" si="24"/>
        <v>2257.6951799999997</v>
      </c>
      <c r="J273" s="1"/>
      <c r="K273" s="1"/>
      <c r="L273" s="1"/>
      <c r="M273" s="1"/>
      <c r="N273" s="1"/>
      <c r="O273" s="1"/>
      <c r="P273" s="1"/>
      <c r="Q273" s="1"/>
      <c r="R273" s="1"/>
      <c r="S273" s="1"/>
      <c r="T273" s="1"/>
      <c r="U273" s="40" t="str">
        <f t="shared" ca="1" si="25"/>
        <v>262806,..,4706</v>
      </c>
      <c r="V273" s="40">
        <f t="shared" ca="1" si="26"/>
        <v>262806</v>
      </c>
      <c r="W273" s="40">
        <f t="shared" ca="1" si="26"/>
        <v>4706</v>
      </c>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hidden="1" x14ac:dyDescent="0.25">
      <c r="A274" s="61" t="s">
        <v>286</v>
      </c>
      <c r="B274" s="62"/>
      <c r="C274" s="62"/>
      <c r="D274" s="62"/>
      <c r="E274" s="62"/>
      <c r="F274" s="62"/>
      <c r="G274" s="62"/>
      <c r="H274" s="62"/>
      <c r="I274" s="63"/>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hidden="1" customHeight="1" x14ac:dyDescent="0.25">
      <c r="A275" s="64" t="str">
        <f>A274</f>
        <v>29th &amp; 34th Floor (Part Refuge Area)</v>
      </c>
      <c r="B275" s="65"/>
      <c r="C275" s="70">
        <v>1</v>
      </c>
      <c r="D275" s="71"/>
      <c r="E275" s="52" t="s">
        <v>205</v>
      </c>
      <c r="F275" s="70">
        <f>(86.98+(0.6*(3.05+3.31+1.8)))*10.764</f>
        <v>988.95326399999999</v>
      </c>
      <c r="G275" s="71"/>
      <c r="H275" s="52">
        <v>0</v>
      </c>
      <c r="I275" s="52">
        <f>F275*(($I$89)+1)+H275</f>
        <v>1483.4298960000001</v>
      </c>
      <c r="J275" s="1"/>
      <c r="K275" s="1"/>
      <c r="L275" s="1"/>
      <c r="M275" s="1"/>
      <c r="N275" s="1"/>
      <c r="O275" s="1"/>
      <c r="P275" s="1"/>
      <c r="Q275" s="1"/>
      <c r="R275" s="1"/>
      <c r="S275" s="1"/>
      <c r="T275" s="1"/>
      <c r="U275" s="40" t="str">
        <f t="shared" ref="U275:U280" ca="1" si="27">V275&amp;""&amp;",..,"&amp;""&amp;W275</f>
        <v>2901,..,3401</v>
      </c>
      <c r="V275" s="40">
        <f ca="1">(SUMPRODUCT(MID(0&amp;(LEFT(A274,SUM(LEN(A274)-LEN(SUBSTITUTE(A274,{"0","1","2","3"},""))))), LARGE(INDEX(ISNUMBER(--MID((LEFT(A274,SUM(LEN(A274)-LEN(SUBSTITUTE(A274,{"0","1","2","3"},""))))), ROW(INDIRECT("1:"&amp;LEN((LEFT(A274,SUM(LEN(A274)-LEN(SUBSTITUTE(A274,{"0","1","2","3"},"")))))))), 1)) * ROW(INDIRECT("1:"&amp;LEN((LEFT(A274,SUM(LEN(A274)-LEN(SUBSTITUTE(A274,{"0","1","2","3"},"")))))))), 0), ROW(INDIRECT("1:"&amp;LEN((LEFT(A274,SUM(LEN(A274)-LEN(SUBSTITUTE(A274,{"0","1","2","3"},"")))))))))+1, 1) * 10^ROW(INDIRECT("1:"&amp;LEN((LEFT(A274,SUM(LEN(A274)-LEN(SUBSTITUTE(A274,{"0","1","2","3"},""))))))))/10))*100+1</f>
        <v>2901</v>
      </c>
      <c r="W275" s="40">
        <f ca="1">(SUMPRODUCT(MID(0&amp;(--TRIM(RIGHT(SUBSTITUTE(LEFT(A274,_xlfn.AGGREGATE(16,6,FIND({0,1,2,3,4,5,6,7,8,9},A274,ROW(INDIRECT("1:"&amp;LEN(A274)))),1))," ",REPT(" ",LEN(A274))),LEN(A274)))), LARGE(INDEX(ISNUMBER(--MID((--TRIM(RIGHT(SUBSTITUTE(LEFT(A274,_xlfn.AGGREGATE(16,6,FIND({0,1,2,3,4,5,6,7,8,9},A274,ROW(INDIRECT("1:"&amp;LEN(A274)))),1))," ",REPT(" ",LEN(A274))),LEN(A274)))), ROW(INDIRECT("1:"&amp;LEN((--TRIM(RIGHT(SUBSTITUTE(LEFT(A274,_xlfn.AGGREGATE(16,6,FIND({0,1,2,3,4,5,6,7,8,9},A274,ROW(INDIRECT("1:"&amp;LEN(A274)))),1))," ",REPT(" ",LEN(A274))),LEN(A274))))))), 1)) * ROW(INDIRECT("1:"&amp;LEN((--TRIM(RIGHT(SUBSTITUTE(LEFT(A274,_xlfn.AGGREGATE(16,6,FIND({0,1,2,3,4,5,6,7,8,9},A274,ROW(INDIRECT("1:"&amp;LEN(A274)))),1))," ",REPT(" ",LEN(A274))),LEN(A274))))))), 0), ROW(INDIRECT("1:"&amp;LEN((--TRIM(RIGHT(SUBSTITUTE(LEFT(A274,_xlfn.AGGREGATE(16,6,FIND({0,1,2,3,4,5,6,7,8,9},A274,ROW(INDIRECT("1:"&amp;LEN(A274)))),1))," ",REPT(" ",LEN(A274))),LEN(A274))))))))+1, 1) * 10^ROW(INDIRECT("1:"&amp;LEN((--TRIM(RIGHT(SUBSTITUTE(LEFT(A274,_xlfn.AGGREGATE(16,6,FIND({0,1,2,3,4,5,6,7,8,9},A274,ROW(INDIRECT("1:"&amp;LEN(A274)))),1))," ",REPT(" ",LEN(A274))),LEN(A274)))))))/10))*100+1</f>
        <v>3401</v>
      </c>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hidden="1" customHeight="1" x14ac:dyDescent="0.25">
      <c r="A276" s="66"/>
      <c r="B276" s="67"/>
      <c r="C276" s="70">
        <v>2</v>
      </c>
      <c r="D276" s="71"/>
      <c r="E276" s="52" t="s">
        <v>205</v>
      </c>
      <c r="F276" s="70">
        <f>(86.98+(0.6*(3.05+3.31+1.8)))*10.764</f>
        <v>988.95326399999999</v>
      </c>
      <c r="G276" s="71"/>
      <c r="H276" s="52">
        <v>0</v>
      </c>
      <c r="I276" s="52">
        <f>F276*(($I$89)+1)+H276</f>
        <v>1483.4298960000001</v>
      </c>
      <c r="J276" s="1"/>
      <c r="K276" s="1"/>
      <c r="L276" s="1"/>
      <c r="M276" s="1"/>
      <c r="N276" s="1"/>
      <c r="O276" s="1"/>
      <c r="P276" s="1"/>
      <c r="Q276" s="1"/>
      <c r="R276" s="1"/>
      <c r="S276" s="1"/>
      <c r="T276" s="1"/>
      <c r="U276" s="40" t="str">
        <f t="shared" ca="1" si="27"/>
        <v>2902,..,3402</v>
      </c>
      <c r="V276" s="40">
        <f t="shared" ref="V276:W280" ca="1" si="28">V275+1</f>
        <v>2902</v>
      </c>
      <c r="W276" s="40">
        <f t="shared" ca="1" si="28"/>
        <v>3402</v>
      </c>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hidden="1" customHeight="1" x14ac:dyDescent="0.25">
      <c r="A277" s="66"/>
      <c r="B277" s="67"/>
      <c r="C277" s="70">
        <v>3</v>
      </c>
      <c r="D277" s="71"/>
      <c r="E277" s="52" t="s">
        <v>232</v>
      </c>
      <c r="F277" s="70">
        <f>(129.6+(0.6*(3+3.4+4.26+3.59+2.8)))*10.764</f>
        <v>1505.1301199999998</v>
      </c>
      <c r="G277" s="71"/>
      <c r="H277" s="52">
        <v>0</v>
      </c>
      <c r="I277" s="52">
        <f>F277*(($I$89)+1)+H277</f>
        <v>2257.6951799999997</v>
      </c>
      <c r="J277" s="1"/>
      <c r="K277" s="1"/>
      <c r="L277" s="1"/>
      <c r="M277" s="1"/>
      <c r="N277" s="1"/>
      <c r="O277" s="1"/>
      <c r="P277" s="1"/>
      <c r="Q277" s="1"/>
      <c r="R277" s="1"/>
      <c r="S277" s="1"/>
      <c r="T277" s="1"/>
      <c r="U277" s="40" t="str">
        <f t="shared" ca="1" si="27"/>
        <v>2903,..,3403</v>
      </c>
      <c r="V277" s="40">
        <f t="shared" ca="1" si="28"/>
        <v>2903</v>
      </c>
      <c r="W277" s="40">
        <f t="shared" ca="1" si="28"/>
        <v>3403</v>
      </c>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hidden="1" customHeight="1" x14ac:dyDescent="0.25">
      <c r="A278" s="66"/>
      <c r="B278" s="67"/>
      <c r="C278" s="70">
        <v>4</v>
      </c>
      <c r="D278" s="71"/>
      <c r="E278" s="70" t="s">
        <v>231</v>
      </c>
      <c r="F278" s="72"/>
      <c r="G278" s="72"/>
      <c r="H278" s="72"/>
      <c r="I278" s="71"/>
      <c r="J278" s="1"/>
      <c r="K278" s="1">
        <f>2.85*1.63+6.55*5.64+2.29*2.82+3.05*3.35+3.31*4.55+3.05*3.75+2.29*2.83+6.51*3.35+5.36*1.2+3.05*3.75+1.5*3.4+1.05*3.4+1.8*1.05+1.38*2.13+2.29*1.46+2.44*1.53+1.38*2.14+2.29*1.46+2.44*1.53</f>
        <v>161.52530000000002</v>
      </c>
      <c r="L278" s="1">
        <f>1.5*6.55+1*2+1.2</f>
        <v>13.024999999999999</v>
      </c>
      <c r="M278" s="1"/>
      <c r="N278" s="1"/>
      <c r="O278" s="1"/>
      <c r="P278" s="1"/>
      <c r="Q278" s="1"/>
      <c r="R278" s="1"/>
      <c r="S278" s="1"/>
      <c r="T278" s="1"/>
      <c r="U278" s="40" t="str">
        <f t="shared" ca="1" si="27"/>
        <v>2904,..,3404</v>
      </c>
      <c r="V278" s="40">
        <f t="shared" ca="1" si="28"/>
        <v>2904</v>
      </c>
      <c r="W278" s="40">
        <f t="shared" ca="1" si="28"/>
        <v>3404</v>
      </c>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hidden="1" customHeight="1" x14ac:dyDescent="0.25">
      <c r="A279" s="66"/>
      <c r="B279" s="67"/>
      <c r="C279" s="70">
        <v>5</v>
      </c>
      <c r="D279" s="71"/>
      <c r="E279" s="52" t="s">
        <v>205</v>
      </c>
      <c r="F279" s="70">
        <f>(101.5+(0.6*(3.35+3.05+3.45)))*10.764</f>
        <v>1156.1612399999999</v>
      </c>
      <c r="G279" s="71"/>
      <c r="H279" s="52">
        <v>0</v>
      </c>
      <c r="I279" s="52">
        <f>F279*(($I$89)+1)+H279</f>
        <v>1734.2418599999999</v>
      </c>
      <c r="J279" s="1"/>
      <c r="K279" s="1"/>
      <c r="L279" s="1">
        <f>K278+L278</f>
        <v>174.55030000000002</v>
      </c>
      <c r="M279" s="1"/>
      <c r="N279" s="1"/>
      <c r="O279" s="1"/>
      <c r="P279" s="1"/>
      <c r="Q279" s="1"/>
      <c r="R279" s="1"/>
      <c r="S279" s="1"/>
      <c r="T279" s="1"/>
      <c r="U279" s="40" t="str">
        <f t="shared" ca="1" si="27"/>
        <v>2905,..,3405</v>
      </c>
      <c r="V279" s="40">
        <f t="shared" ca="1" si="28"/>
        <v>2905</v>
      </c>
      <c r="W279" s="40">
        <f t="shared" ca="1" si="28"/>
        <v>3405</v>
      </c>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hidden="1" customHeight="1" x14ac:dyDescent="0.25">
      <c r="A280" s="68"/>
      <c r="B280" s="69"/>
      <c r="C280" s="70">
        <v>6</v>
      </c>
      <c r="D280" s="71"/>
      <c r="E280" s="52" t="s">
        <v>232</v>
      </c>
      <c r="F280" s="70">
        <f>(129.57+(0.6*(3+3.4+4.26+3.59+2.8)))*10.764</f>
        <v>1504.8071999999997</v>
      </c>
      <c r="G280" s="71"/>
      <c r="H280" s="52">
        <v>0</v>
      </c>
      <c r="I280" s="52">
        <f>F280*(($I$89)+1)+H280</f>
        <v>2257.2107999999998</v>
      </c>
      <c r="J280" s="1"/>
      <c r="K280" s="1"/>
      <c r="L280" s="1"/>
      <c r="M280" s="1"/>
      <c r="N280" s="1"/>
      <c r="O280" s="1"/>
      <c r="P280" s="1"/>
      <c r="Q280" s="1"/>
      <c r="R280" s="1"/>
      <c r="S280" s="1"/>
      <c r="T280" s="1"/>
      <c r="U280" s="40" t="str">
        <f t="shared" ca="1" si="27"/>
        <v>2906,..,3406</v>
      </c>
      <c r="V280" s="40">
        <f t="shared" ca="1" si="28"/>
        <v>2906</v>
      </c>
      <c r="W280" s="40">
        <f t="shared" ca="1" si="28"/>
        <v>3406</v>
      </c>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hidden="1" x14ac:dyDescent="0.25">
      <c r="A281" s="61" t="s">
        <v>299</v>
      </c>
      <c r="B281" s="62"/>
      <c r="C281" s="62"/>
      <c r="D281" s="62"/>
      <c r="E281" s="62"/>
      <c r="F281" s="62"/>
      <c r="G281" s="62"/>
      <c r="H281" s="62"/>
      <c r="I281" s="63"/>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hidden="1" customHeight="1" x14ac:dyDescent="0.25">
      <c r="A282" s="64" t="str">
        <f>A281</f>
        <v>32nd, 36th &amp; 40th Floor</v>
      </c>
      <c r="B282" s="65"/>
      <c r="C282" s="70">
        <v>1</v>
      </c>
      <c r="D282" s="71"/>
      <c r="E282" s="54" t="s">
        <v>205</v>
      </c>
      <c r="F282" s="70">
        <f>(86.98+(0.6*(3.05+3.31+1.8)))*10.764</f>
        <v>988.95326399999999</v>
      </c>
      <c r="G282" s="71"/>
      <c r="H282" s="54">
        <v>0</v>
      </c>
      <c r="I282" s="54">
        <f t="shared" ref="I282:I287" si="29">F282*(($I$89)+1)+H282</f>
        <v>1483.4298960000001</v>
      </c>
      <c r="J282" s="1"/>
      <c r="K282" s="1"/>
      <c r="L282" s="1"/>
      <c r="M282" s="1"/>
      <c r="N282" s="1"/>
      <c r="O282" s="1"/>
      <c r="P282" s="1"/>
      <c r="Q282" s="1"/>
      <c r="R282" s="1"/>
      <c r="S282" s="1"/>
      <c r="T282" s="1"/>
      <c r="U282" s="40" t="str">
        <f t="shared" ref="U282:U287" ca="1" si="30">V282&amp;""&amp;",..,"&amp;""&amp;W282</f>
        <v>3201,..,4001</v>
      </c>
      <c r="V282" s="40">
        <f ca="1">(SUMPRODUCT(MID(0&amp;(LEFT(A281,SUM(LEN(A281)-LEN(SUBSTITUTE(A281,{"0","1","2","3"},""))))), LARGE(INDEX(ISNUMBER(--MID((LEFT(A281,SUM(LEN(A281)-LEN(SUBSTITUTE(A281,{"0","1","2","3"},""))))), ROW(INDIRECT("1:"&amp;LEN((LEFT(A281,SUM(LEN(A281)-LEN(SUBSTITUTE(A281,{"0","1","2","3"},"")))))))), 1)) * ROW(INDIRECT("1:"&amp;LEN((LEFT(A281,SUM(LEN(A281)-LEN(SUBSTITUTE(A281,{"0","1","2","3"},"")))))))), 0), ROW(INDIRECT("1:"&amp;LEN((LEFT(A281,SUM(LEN(A281)-LEN(SUBSTITUTE(A281,{"0","1","2","3"},"")))))))))+1, 1) * 10^ROW(INDIRECT("1:"&amp;LEN((LEFT(A281,SUM(LEN(A281)-LEN(SUBSTITUTE(A281,{"0","1","2","3"},""))))))))/10))*100+1</f>
        <v>3201</v>
      </c>
      <c r="W282" s="40">
        <f ca="1">(SUMPRODUCT(MID(0&amp;(--TRIM(RIGHT(SUBSTITUTE(LEFT(A281,_xlfn.AGGREGATE(16,6,FIND({0,1,2,3,4,5,6,7,8,9},A281,ROW(INDIRECT("1:"&amp;LEN(A281)))),1))," ",REPT(" ",LEN(A281))),LEN(A281)))), LARGE(INDEX(ISNUMBER(--MID((--TRIM(RIGHT(SUBSTITUTE(LEFT(A281,_xlfn.AGGREGATE(16,6,FIND({0,1,2,3,4,5,6,7,8,9},A281,ROW(INDIRECT("1:"&amp;LEN(A281)))),1))," ",REPT(" ",LEN(A281))),LEN(A281)))), ROW(INDIRECT("1:"&amp;LEN((--TRIM(RIGHT(SUBSTITUTE(LEFT(A281,_xlfn.AGGREGATE(16,6,FIND({0,1,2,3,4,5,6,7,8,9},A281,ROW(INDIRECT("1:"&amp;LEN(A281)))),1))," ",REPT(" ",LEN(A281))),LEN(A281))))))), 1)) * ROW(INDIRECT("1:"&amp;LEN((--TRIM(RIGHT(SUBSTITUTE(LEFT(A281,_xlfn.AGGREGATE(16,6,FIND({0,1,2,3,4,5,6,7,8,9},A281,ROW(INDIRECT("1:"&amp;LEN(A281)))),1))," ",REPT(" ",LEN(A281))),LEN(A281))))))), 0), ROW(INDIRECT("1:"&amp;LEN((--TRIM(RIGHT(SUBSTITUTE(LEFT(A281,_xlfn.AGGREGATE(16,6,FIND({0,1,2,3,4,5,6,7,8,9},A281,ROW(INDIRECT("1:"&amp;LEN(A281)))),1))," ",REPT(" ",LEN(A281))),LEN(A281))))))))+1, 1) * 10^ROW(INDIRECT("1:"&amp;LEN((--TRIM(RIGHT(SUBSTITUTE(LEFT(A281,_xlfn.AGGREGATE(16,6,FIND({0,1,2,3,4,5,6,7,8,9},A281,ROW(INDIRECT("1:"&amp;LEN(A281)))),1))," ",REPT(" ",LEN(A281))),LEN(A281)))))))/10))*100+1</f>
        <v>4001</v>
      </c>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hidden="1" customHeight="1" x14ac:dyDescent="0.25">
      <c r="A283" s="66"/>
      <c r="B283" s="67"/>
      <c r="C283" s="70">
        <v>2</v>
      </c>
      <c r="D283" s="71"/>
      <c r="E283" s="54" t="s">
        <v>205</v>
      </c>
      <c r="F283" s="70">
        <f>(86.98+(0.6*(3.05+3.31+1.8)))*10.764</f>
        <v>988.95326399999999</v>
      </c>
      <c r="G283" s="71"/>
      <c r="H283" s="54">
        <v>0</v>
      </c>
      <c r="I283" s="54">
        <f t="shared" si="29"/>
        <v>1483.4298960000001</v>
      </c>
      <c r="J283" s="1"/>
      <c r="K283" s="1"/>
      <c r="L283" s="1"/>
      <c r="M283" s="1"/>
      <c r="N283" s="1"/>
      <c r="O283" s="1"/>
      <c r="P283" s="1"/>
      <c r="Q283" s="1"/>
      <c r="R283" s="1"/>
      <c r="S283" s="1"/>
      <c r="T283" s="1"/>
      <c r="U283" s="40" t="str">
        <f t="shared" ca="1" si="30"/>
        <v>3202,..,4002</v>
      </c>
      <c r="V283" s="40">
        <f t="shared" ref="V283:W283" ca="1" si="31">V282+1</f>
        <v>3202</v>
      </c>
      <c r="W283" s="40">
        <f t="shared" ca="1" si="31"/>
        <v>4002</v>
      </c>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hidden="1" customHeight="1" x14ac:dyDescent="0.25">
      <c r="A284" s="66"/>
      <c r="B284" s="67"/>
      <c r="C284" s="70">
        <v>3</v>
      </c>
      <c r="D284" s="71"/>
      <c r="E284" s="54" t="s">
        <v>232</v>
      </c>
      <c r="F284" s="70">
        <f>(129.6+(0.6*(3+3.4+4.26+3.59+2.8)))*10.764</f>
        <v>1505.1301199999998</v>
      </c>
      <c r="G284" s="71"/>
      <c r="H284" s="54">
        <v>0</v>
      </c>
      <c r="I284" s="54">
        <f t="shared" si="29"/>
        <v>2257.6951799999997</v>
      </c>
      <c r="J284" s="1"/>
      <c r="K284" s="1"/>
      <c r="L284" s="1"/>
      <c r="M284" s="1"/>
      <c r="N284" s="1"/>
      <c r="O284" s="1"/>
      <c r="P284" s="1"/>
      <c r="Q284" s="1"/>
      <c r="R284" s="1"/>
      <c r="S284" s="1"/>
      <c r="T284" s="1"/>
      <c r="U284" s="40" t="str">
        <f t="shared" ca="1" si="30"/>
        <v>3203,..,4003</v>
      </c>
      <c r="V284" s="40">
        <f t="shared" ref="V284:W284" ca="1" si="32">V283+1</f>
        <v>3203</v>
      </c>
      <c r="W284" s="40">
        <f t="shared" ca="1" si="32"/>
        <v>4003</v>
      </c>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hidden="1" customHeight="1" x14ac:dyDescent="0.25">
      <c r="A285" s="66"/>
      <c r="B285" s="67"/>
      <c r="C285" s="70">
        <v>4</v>
      </c>
      <c r="D285" s="71"/>
      <c r="E285" s="54" t="s">
        <v>205</v>
      </c>
      <c r="F285" s="70">
        <f>(101.5+(0.6*(3.35+3.05+3.45)))*10.764</f>
        <v>1156.1612399999999</v>
      </c>
      <c r="G285" s="71"/>
      <c r="H285" s="54">
        <v>0</v>
      </c>
      <c r="I285" s="54">
        <f t="shared" si="29"/>
        <v>1734.2418599999999</v>
      </c>
      <c r="J285" s="1"/>
      <c r="K285" s="1"/>
      <c r="L285" s="1"/>
      <c r="M285" s="1"/>
      <c r="N285" s="1"/>
      <c r="O285" s="1"/>
      <c r="P285" s="1"/>
      <c r="Q285" s="1"/>
      <c r="R285" s="1"/>
      <c r="S285" s="1"/>
      <c r="T285" s="1"/>
      <c r="U285" s="40" t="str">
        <f t="shared" ca="1" si="30"/>
        <v>3204,..,4004</v>
      </c>
      <c r="V285" s="40">
        <f t="shared" ref="V285:W285" ca="1" si="33">V284+1</f>
        <v>3204</v>
      </c>
      <c r="W285" s="40">
        <f t="shared" ca="1" si="33"/>
        <v>4004</v>
      </c>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hidden="1" customHeight="1" x14ac:dyDescent="0.25">
      <c r="A286" s="66"/>
      <c r="B286" s="67"/>
      <c r="C286" s="70">
        <v>5</v>
      </c>
      <c r="D286" s="71"/>
      <c r="E286" s="54" t="s">
        <v>205</v>
      </c>
      <c r="F286" s="70">
        <f>(101.5+(0.6*(3.35+3.05+3.45)))*10.764</f>
        <v>1156.1612399999999</v>
      </c>
      <c r="G286" s="71"/>
      <c r="H286" s="54">
        <v>0</v>
      </c>
      <c r="I286" s="54">
        <f t="shared" si="29"/>
        <v>1734.2418599999999</v>
      </c>
      <c r="J286" s="1"/>
      <c r="K286" s="1"/>
      <c r="L286" s="1"/>
      <c r="M286" s="1"/>
      <c r="N286" s="1"/>
      <c r="O286" s="1"/>
      <c r="P286" s="1"/>
      <c r="Q286" s="1"/>
      <c r="R286" s="1"/>
      <c r="S286" s="1"/>
      <c r="T286" s="1"/>
      <c r="U286" s="40" t="str">
        <f t="shared" ca="1" si="30"/>
        <v>3205,..,4005</v>
      </c>
      <c r="V286" s="40">
        <f t="shared" ref="V286:W286" ca="1" si="34">V285+1</f>
        <v>3205</v>
      </c>
      <c r="W286" s="40">
        <f t="shared" ca="1" si="34"/>
        <v>4005</v>
      </c>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hidden="1" customHeight="1" x14ac:dyDescent="0.25">
      <c r="A287" s="68"/>
      <c r="B287" s="69"/>
      <c r="C287" s="70">
        <v>6</v>
      </c>
      <c r="D287" s="71"/>
      <c r="E287" s="54" t="s">
        <v>232</v>
      </c>
      <c r="F287" s="70">
        <f>(129.6+(0.6*(3+3.4+4.26+3.59+2.8)))*10.764</f>
        <v>1505.1301199999998</v>
      </c>
      <c r="G287" s="71"/>
      <c r="H287" s="54">
        <v>0</v>
      </c>
      <c r="I287" s="54">
        <f t="shared" si="29"/>
        <v>2257.6951799999997</v>
      </c>
      <c r="J287" s="1"/>
      <c r="K287" s="1"/>
      <c r="L287" s="1"/>
      <c r="M287" s="1"/>
      <c r="N287" s="1"/>
      <c r="O287" s="1"/>
      <c r="P287" s="1"/>
      <c r="Q287" s="1"/>
      <c r="R287" s="1"/>
      <c r="S287" s="1"/>
      <c r="T287" s="1"/>
      <c r="U287" s="40" t="str">
        <f t="shared" ca="1" si="30"/>
        <v>3206,..,4006</v>
      </c>
      <c r="V287" s="40">
        <f t="shared" ref="V287:W287" ca="1" si="35">V286+1</f>
        <v>3206</v>
      </c>
      <c r="W287" s="40">
        <f t="shared" ca="1" si="35"/>
        <v>4006</v>
      </c>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hidden="1" x14ac:dyDescent="0.25">
      <c r="A288" s="61" t="s">
        <v>300</v>
      </c>
      <c r="B288" s="62"/>
      <c r="C288" s="62"/>
      <c r="D288" s="62"/>
      <c r="E288" s="62"/>
      <c r="F288" s="62"/>
      <c r="G288" s="62"/>
      <c r="H288" s="62"/>
      <c r="I288" s="6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hidden="1" customHeight="1" x14ac:dyDescent="0.25">
      <c r="A289" s="64" t="str">
        <f>A288</f>
        <v>39th Floor (Part Refuge Area)</v>
      </c>
      <c r="B289" s="65"/>
      <c r="C289" s="70">
        <v>1</v>
      </c>
      <c r="D289" s="71"/>
      <c r="E289" s="54" t="s">
        <v>205</v>
      </c>
      <c r="F289" s="70">
        <f>(86.98+(0.6*(3.05+3.31+1.8)))*10.764</f>
        <v>988.95326399999999</v>
      </c>
      <c r="G289" s="71"/>
      <c r="H289" s="54">
        <v>0</v>
      </c>
      <c r="I289" s="54">
        <f>F289*(($I$89)+1)+H289</f>
        <v>1483.4298960000001</v>
      </c>
      <c r="J289" s="1"/>
      <c r="K289" s="1"/>
      <c r="L289" s="1"/>
      <c r="M289" s="1"/>
      <c r="N289" s="1"/>
      <c r="O289" s="1"/>
      <c r="P289" s="1"/>
      <c r="Q289" s="1"/>
      <c r="R289" s="1"/>
      <c r="S289" s="1"/>
      <c r="T289" s="1"/>
      <c r="U289" s="40" t="str">
        <f t="shared" ref="U289:U294" ca="1" si="36">V289&amp;""&amp;",..,"&amp;""&amp;W289</f>
        <v>301,..,3901</v>
      </c>
      <c r="V289" s="40">
        <f ca="1">(SUMPRODUCT(MID(0&amp;(LEFT(A288,SUM(LEN(A288)-LEN(SUBSTITUTE(A288,{"0","1","2","3"},""))))), LARGE(INDEX(ISNUMBER(--MID((LEFT(A288,SUM(LEN(A288)-LEN(SUBSTITUTE(A288,{"0","1","2","3"},""))))), ROW(INDIRECT("1:"&amp;LEN((LEFT(A288,SUM(LEN(A288)-LEN(SUBSTITUTE(A288,{"0","1","2","3"},"")))))))), 1)) * ROW(INDIRECT("1:"&amp;LEN((LEFT(A288,SUM(LEN(A288)-LEN(SUBSTITUTE(A288,{"0","1","2","3"},"")))))))), 0), ROW(INDIRECT("1:"&amp;LEN((LEFT(A288,SUM(LEN(A288)-LEN(SUBSTITUTE(A288,{"0","1","2","3"},"")))))))))+1, 1) * 10^ROW(INDIRECT("1:"&amp;LEN((LEFT(A288,SUM(LEN(A288)-LEN(SUBSTITUTE(A288,{"0","1","2","3"},""))))))))/10))*100+1</f>
        <v>301</v>
      </c>
      <c r="W289" s="40">
        <f ca="1">(SUMPRODUCT(MID(0&amp;(--TRIM(RIGHT(SUBSTITUTE(LEFT(A288,_xlfn.AGGREGATE(16,6,FIND({0,1,2,3,4,5,6,7,8,9},A288,ROW(INDIRECT("1:"&amp;LEN(A288)))),1))," ",REPT(" ",LEN(A288))),LEN(A288)))), LARGE(INDEX(ISNUMBER(--MID((--TRIM(RIGHT(SUBSTITUTE(LEFT(A288,_xlfn.AGGREGATE(16,6,FIND({0,1,2,3,4,5,6,7,8,9},A288,ROW(INDIRECT("1:"&amp;LEN(A288)))),1))," ",REPT(" ",LEN(A288))),LEN(A288)))), ROW(INDIRECT("1:"&amp;LEN((--TRIM(RIGHT(SUBSTITUTE(LEFT(A288,_xlfn.AGGREGATE(16,6,FIND({0,1,2,3,4,5,6,7,8,9},A288,ROW(INDIRECT("1:"&amp;LEN(A288)))),1))," ",REPT(" ",LEN(A288))),LEN(A288))))))), 1)) * ROW(INDIRECT("1:"&amp;LEN((--TRIM(RIGHT(SUBSTITUTE(LEFT(A288,_xlfn.AGGREGATE(16,6,FIND({0,1,2,3,4,5,6,7,8,9},A288,ROW(INDIRECT("1:"&amp;LEN(A288)))),1))," ",REPT(" ",LEN(A288))),LEN(A288))))))), 0), ROW(INDIRECT("1:"&amp;LEN((--TRIM(RIGHT(SUBSTITUTE(LEFT(A288,_xlfn.AGGREGATE(16,6,FIND({0,1,2,3,4,5,6,7,8,9},A288,ROW(INDIRECT("1:"&amp;LEN(A288)))),1))," ",REPT(" ",LEN(A288))),LEN(A288))))))))+1, 1) * 10^ROW(INDIRECT("1:"&amp;LEN((--TRIM(RIGHT(SUBSTITUTE(LEFT(A288,_xlfn.AGGREGATE(16,6,FIND({0,1,2,3,4,5,6,7,8,9},A288,ROW(INDIRECT("1:"&amp;LEN(A288)))),1))," ",REPT(" ",LEN(A288))),LEN(A288)))))))/10))*100+1</f>
        <v>3901</v>
      </c>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hidden="1" customHeight="1" x14ac:dyDescent="0.25">
      <c r="A290" s="66"/>
      <c r="B290" s="67"/>
      <c r="C290" s="70">
        <v>2</v>
      </c>
      <c r="D290" s="71"/>
      <c r="E290" s="54" t="s">
        <v>205</v>
      </c>
      <c r="F290" s="70">
        <f>(86.98+(0.6*(3.05+3.31+1.8)))*10.764</f>
        <v>988.95326399999999</v>
      </c>
      <c r="G290" s="71"/>
      <c r="H290" s="54">
        <v>0</v>
      </c>
      <c r="I290" s="54">
        <f>F290*(($I$89)+1)+H290</f>
        <v>1483.4298960000001</v>
      </c>
      <c r="J290" s="1"/>
      <c r="K290" s="1"/>
      <c r="L290" s="1"/>
      <c r="M290" s="1"/>
      <c r="N290" s="1"/>
      <c r="O290" s="1"/>
      <c r="P290" s="1"/>
      <c r="Q290" s="1"/>
      <c r="R290" s="1"/>
      <c r="S290" s="1"/>
      <c r="T290" s="1"/>
      <c r="U290" s="40" t="str">
        <f t="shared" ca="1" si="36"/>
        <v>302,..,3902</v>
      </c>
      <c r="V290" s="40">
        <f t="shared" ref="V290:W290" ca="1" si="37">V289+1</f>
        <v>302</v>
      </c>
      <c r="W290" s="40">
        <f t="shared" ca="1" si="37"/>
        <v>3902</v>
      </c>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hidden="1" customHeight="1" x14ac:dyDescent="0.25">
      <c r="A291" s="66"/>
      <c r="B291" s="67"/>
      <c r="C291" s="70">
        <v>3</v>
      </c>
      <c r="D291" s="71"/>
      <c r="E291" s="54" t="s">
        <v>232</v>
      </c>
      <c r="F291" s="70">
        <f>(129.6+(0.6*(3+3.4+4.26+3.59+2.8)))*10.764</f>
        <v>1505.1301199999998</v>
      </c>
      <c r="G291" s="71"/>
      <c r="H291" s="54">
        <v>0</v>
      </c>
      <c r="I291" s="54">
        <f>F291*(($I$89)+1)+H291</f>
        <v>2257.6951799999997</v>
      </c>
      <c r="J291" s="1"/>
      <c r="K291" s="1"/>
      <c r="L291" s="1"/>
      <c r="M291" s="1"/>
      <c r="N291" s="1"/>
      <c r="O291" s="1"/>
      <c r="P291" s="1"/>
      <c r="Q291" s="1"/>
      <c r="R291" s="1"/>
      <c r="S291" s="1"/>
      <c r="T291" s="1"/>
      <c r="U291" s="40" t="str">
        <f t="shared" ca="1" si="36"/>
        <v>303,..,3903</v>
      </c>
      <c r="V291" s="40">
        <f t="shared" ref="V291:W291" ca="1" si="38">V290+1</f>
        <v>303</v>
      </c>
      <c r="W291" s="40">
        <f t="shared" ca="1" si="38"/>
        <v>3903</v>
      </c>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hidden="1" customHeight="1" x14ac:dyDescent="0.25">
      <c r="A292" s="66"/>
      <c r="B292" s="67"/>
      <c r="C292" s="70">
        <v>4</v>
      </c>
      <c r="D292" s="71"/>
      <c r="E292" s="70" t="s">
        <v>231</v>
      </c>
      <c r="F292" s="72"/>
      <c r="G292" s="72"/>
      <c r="H292" s="72"/>
      <c r="I292" s="71"/>
      <c r="J292" s="1"/>
      <c r="K292" s="1">
        <f>2.85*1.63+6.55*5.64+2.29*2.82+3.05*3.35+3.31*4.55+3.05*3.75+2.29*2.83+6.51*3.35+5.36*1.2+3.05*3.75+1.5*3.4+1.05*3.4+1.8*1.05+1.38*2.13+2.29*1.46+2.44*1.53+1.38*2.14+2.29*1.46+2.44*1.53</f>
        <v>161.52530000000002</v>
      </c>
      <c r="L292" s="1">
        <f>1.5*6.55+1*2+1.2</f>
        <v>13.024999999999999</v>
      </c>
      <c r="M292" s="1"/>
      <c r="N292" s="1"/>
      <c r="O292" s="1"/>
      <c r="P292" s="1"/>
      <c r="Q292" s="1"/>
      <c r="R292" s="1"/>
      <c r="S292" s="1"/>
      <c r="T292" s="1"/>
      <c r="U292" s="40" t="str">
        <f t="shared" ca="1" si="36"/>
        <v>304,..,3904</v>
      </c>
      <c r="V292" s="40">
        <f t="shared" ref="V292:W292" ca="1" si="39">V291+1</f>
        <v>304</v>
      </c>
      <c r="W292" s="40">
        <f t="shared" ca="1" si="39"/>
        <v>3904</v>
      </c>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hidden="1" customHeight="1" x14ac:dyDescent="0.25">
      <c r="A293" s="66"/>
      <c r="B293" s="67"/>
      <c r="C293" s="70">
        <v>5</v>
      </c>
      <c r="D293" s="71"/>
      <c r="E293" s="54" t="s">
        <v>205</v>
      </c>
      <c r="F293" s="70">
        <f>(101.5+(0.6*(3.35+3.05+3.45)))*10.764</f>
        <v>1156.1612399999999</v>
      </c>
      <c r="G293" s="71"/>
      <c r="H293" s="54">
        <v>0</v>
      </c>
      <c r="I293" s="54">
        <f>F293*(($I$89)+1)+H293</f>
        <v>1734.2418599999999</v>
      </c>
      <c r="J293" s="1"/>
      <c r="K293" s="1"/>
      <c r="L293" s="1">
        <f>K292+L292</f>
        <v>174.55030000000002</v>
      </c>
      <c r="M293" s="1"/>
      <c r="N293" s="1"/>
      <c r="O293" s="1"/>
      <c r="P293" s="1"/>
      <c r="Q293" s="1"/>
      <c r="R293" s="1"/>
      <c r="S293" s="1"/>
      <c r="T293" s="1"/>
      <c r="U293" s="40" t="str">
        <f t="shared" ca="1" si="36"/>
        <v>305,..,3905</v>
      </c>
      <c r="V293" s="40">
        <f t="shared" ref="V293:W293" ca="1" si="40">V292+1</f>
        <v>305</v>
      </c>
      <c r="W293" s="40">
        <f t="shared" ca="1" si="40"/>
        <v>3905</v>
      </c>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hidden="1" customHeight="1" x14ac:dyDescent="0.25">
      <c r="A294" s="68"/>
      <c r="B294" s="69"/>
      <c r="C294" s="70">
        <v>6</v>
      </c>
      <c r="D294" s="71"/>
      <c r="E294" s="54" t="s">
        <v>232</v>
      </c>
      <c r="F294" s="70">
        <f>(129.57+(0.6*(3+3.4+4.26+3.59+2.8)))*10.764</f>
        <v>1504.8071999999997</v>
      </c>
      <c r="G294" s="71"/>
      <c r="H294" s="54">
        <v>0</v>
      </c>
      <c r="I294" s="54">
        <f>F294*(($I$89)+1)+H294</f>
        <v>2257.2107999999998</v>
      </c>
      <c r="J294" s="1"/>
      <c r="K294" s="1"/>
      <c r="L294" s="1"/>
      <c r="M294" s="1"/>
      <c r="N294" s="1"/>
      <c r="O294" s="1"/>
      <c r="P294" s="1"/>
      <c r="Q294" s="1"/>
      <c r="R294" s="1"/>
      <c r="S294" s="1"/>
      <c r="T294" s="1"/>
      <c r="U294" s="40" t="str">
        <f t="shared" ca="1" si="36"/>
        <v>306,..,3906</v>
      </c>
      <c r="V294" s="40">
        <f t="shared" ref="V294:W294" ca="1" si="41">V293+1</f>
        <v>306</v>
      </c>
      <c r="W294" s="40">
        <f t="shared" ca="1" si="41"/>
        <v>3906</v>
      </c>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hidden="1" x14ac:dyDescent="0.25">
      <c r="A295" s="61" t="s">
        <v>287</v>
      </c>
      <c r="B295" s="62"/>
      <c r="C295" s="62"/>
      <c r="D295" s="62"/>
      <c r="E295" s="62"/>
      <c r="F295" s="62"/>
      <c r="G295" s="62"/>
      <c r="H295" s="62"/>
      <c r="I295" s="63"/>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hidden="1" customHeight="1" x14ac:dyDescent="0.25">
      <c r="A296" s="64" t="str">
        <f>A295</f>
        <v xml:space="preserve">43rd Floor </v>
      </c>
      <c r="B296" s="65"/>
      <c r="C296" s="70">
        <v>1</v>
      </c>
      <c r="D296" s="71"/>
      <c r="E296" s="53" t="s">
        <v>205</v>
      </c>
      <c r="F296" s="70">
        <f>(86.98+(0.6*(3.05+3.31+1.8)))*10.764</f>
        <v>988.95326399999999</v>
      </c>
      <c r="G296" s="71"/>
      <c r="H296" s="53">
        <v>0</v>
      </c>
      <c r="I296" s="53">
        <f t="shared" ref="I296:I301" si="42">F296*(($I$89)+1)+H296</f>
        <v>1483.4298960000001</v>
      </c>
      <c r="J296" s="1"/>
      <c r="K296" s="1"/>
      <c r="L296" s="1"/>
      <c r="M296" s="1"/>
      <c r="N296" s="1"/>
      <c r="O296" s="1"/>
      <c r="P296" s="1"/>
      <c r="Q296" s="1"/>
      <c r="R296" s="1"/>
      <c r="S296" s="1"/>
      <c r="T296" s="1"/>
      <c r="U296" s="40" t="str">
        <f t="shared" ref="U296:U301" ca="1" si="43">V296&amp;""&amp;",..,"&amp;""&amp;W296</f>
        <v>401,..,4301</v>
      </c>
      <c r="V296" s="40">
        <f ca="1">(SUMPRODUCT(MID(0&amp;(LEFT(A295,SUM(LEN(A295)-LEN(SUBSTITUTE(A295,{"0","1","2","3"},""))))), LARGE(INDEX(ISNUMBER(--MID((LEFT(A295,SUM(LEN(A295)-LEN(SUBSTITUTE(A295,{"0","1","2","3"},""))))), ROW(INDIRECT("1:"&amp;LEN((LEFT(A295,SUM(LEN(A295)-LEN(SUBSTITUTE(A295,{"0","1","2","3"},"")))))))), 1)) * ROW(INDIRECT("1:"&amp;LEN((LEFT(A295,SUM(LEN(A295)-LEN(SUBSTITUTE(A295,{"0","1","2","3"},"")))))))), 0), ROW(INDIRECT("1:"&amp;LEN((LEFT(A295,SUM(LEN(A295)-LEN(SUBSTITUTE(A295,{"0","1","2","3"},"")))))))))+1, 1) * 10^ROW(INDIRECT("1:"&amp;LEN((LEFT(A295,SUM(LEN(A295)-LEN(SUBSTITUTE(A295,{"0","1","2","3"},""))))))))/10))*100+1</f>
        <v>401</v>
      </c>
      <c r="W296" s="40">
        <f ca="1">(SUMPRODUCT(MID(0&amp;(--TRIM(RIGHT(SUBSTITUTE(LEFT(A295,_xlfn.AGGREGATE(16,6,FIND({0,1,2,3,4,5,6,7,8,9},A295,ROW(INDIRECT("1:"&amp;LEN(A295)))),1))," ",REPT(" ",LEN(A295))),LEN(A295)))), LARGE(INDEX(ISNUMBER(--MID((--TRIM(RIGHT(SUBSTITUTE(LEFT(A295,_xlfn.AGGREGATE(16,6,FIND({0,1,2,3,4,5,6,7,8,9},A295,ROW(INDIRECT("1:"&amp;LEN(A295)))),1))," ",REPT(" ",LEN(A295))),LEN(A295)))), ROW(INDIRECT("1:"&amp;LEN((--TRIM(RIGHT(SUBSTITUTE(LEFT(A295,_xlfn.AGGREGATE(16,6,FIND({0,1,2,3,4,5,6,7,8,9},A295,ROW(INDIRECT("1:"&amp;LEN(A295)))),1))," ",REPT(" ",LEN(A295))),LEN(A295))))))), 1)) * ROW(INDIRECT("1:"&amp;LEN((--TRIM(RIGHT(SUBSTITUTE(LEFT(A295,_xlfn.AGGREGATE(16,6,FIND({0,1,2,3,4,5,6,7,8,9},A295,ROW(INDIRECT("1:"&amp;LEN(A295)))),1))," ",REPT(" ",LEN(A295))),LEN(A295))))))), 0), ROW(INDIRECT("1:"&amp;LEN((--TRIM(RIGHT(SUBSTITUTE(LEFT(A295,_xlfn.AGGREGATE(16,6,FIND({0,1,2,3,4,5,6,7,8,9},A295,ROW(INDIRECT("1:"&amp;LEN(A295)))),1))," ",REPT(" ",LEN(A295))),LEN(A295))))))))+1, 1) * 10^ROW(INDIRECT("1:"&amp;LEN((--TRIM(RIGHT(SUBSTITUTE(LEFT(A295,_xlfn.AGGREGATE(16,6,FIND({0,1,2,3,4,5,6,7,8,9},A295,ROW(INDIRECT("1:"&amp;LEN(A295)))),1))," ",REPT(" ",LEN(A295))),LEN(A295)))))))/10))*100+1</f>
        <v>4301</v>
      </c>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hidden="1" customHeight="1" x14ac:dyDescent="0.25">
      <c r="A297" s="66"/>
      <c r="B297" s="67"/>
      <c r="C297" s="70">
        <v>2</v>
      </c>
      <c r="D297" s="71"/>
      <c r="E297" s="53" t="s">
        <v>205</v>
      </c>
      <c r="F297" s="70">
        <f>(86.98+(0.6*(3.05+3.31+1.8)))*10.764</f>
        <v>988.95326399999999</v>
      </c>
      <c r="G297" s="71"/>
      <c r="H297" s="53">
        <v>0</v>
      </c>
      <c r="I297" s="53">
        <f t="shared" si="42"/>
        <v>1483.4298960000001</v>
      </c>
      <c r="J297" s="1"/>
      <c r="K297" s="1"/>
      <c r="L297" s="1"/>
      <c r="M297" s="1"/>
      <c r="N297" s="1"/>
      <c r="O297" s="1"/>
      <c r="P297" s="1"/>
      <c r="Q297" s="1"/>
      <c r="R297" s="1"/>
      <c r="S297" s="1"/>
      <c r="T297" s="1"/>
      <c r="U297" s="40" t="str">
        <f t="shared" ca="1" si="43"/>
        <v>402,..,4302</v>
      </c>
      <c r="V297" s="40">
        <f t="shared" ref="V297:W301" ca="1" si="44">V296+1</f>
        <v>402</v>
      </c>
      <c r="W297" s="40">
        <f t="shared" ca="1" si="44"/>
        <v>4302</v>
      </c>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42.75" hidden="1" customHeight="1" x14ac:dyDescent="0.25">
      <c r="A298" s="66"/>
      <c r="B298" s="67"/>
      <c r="C298" s="70">
        <v>3</v>
      </c>
      <c r="D298" s="71"/>
      <c r="E298" s="48" t="s">
        <v>289</v>
      </c>
      <c r="F298" s="70">
        <f>(272.57+(0.6*(3+3.4+4.26+3.05+4.26+4.8)))*10.764</f>
        <v>3081.0012479999996</v>
      </c>
      <c r="G298" s="71"/>
      <c r="H298" s="53">
        <v>0</v>
      </c>
      <c r="I298" s="53">
        <f t="shared" si="42"/>
        <v>4621.5018719999989</v>
      </c>
      <c r="J298" s="1"/>
      <c r="K298" s="1"/>
      <c r="L298" s="1"/>
      <c r="M298" s="1"/>
      <c r="N298" s="1"/>
      <c r="O298" s="1"/>
      <c r="P298" s="1"/>
      <c r="Q298" s="1"/>
      <c r="R298" s="1"/>
      <c r="S298" s="1"/>
      <c r="T298" s="1"/>
      <c r="U298" s="40" t="str">
        <f t="shared" ca="1" si="43"/>
        <v>403,..,4303</v>
      </c>
      <c r="V298" s="40">
        <f t="shared" ca="1" si="44"/>
        <v>403</v>
      </c>
      <c r="W298" s="40">
        <f t="shared" ca="1" si="44"/>
        <v>4303</v>
      </c>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40.5" hidden="1" customHeight="1" x14ac:dyDescent="0.25">
      <c r="A299" s="66"/>
      <c r="B299" s="67"/>
      <c r="C299" s="70">
        <v>4</v>
      </c>
      <c r="D299" s="71"/>
      <c r="E299" s="53" t="s">
        <v>290</v>
      </c>
      <c r="F299" s="70">
        <f>(191.58+(0.6*(3.35+3.05+3.82+2.74)))*10.764</f>
        <v>2145.867984</v>
      </c>
      <c r="G299" s="71"/>
      <c r="H299" s="53">
        <v>0</v>
      </c>
      <c r="I299" s="53">
        <f t="shared" si="42"/>
        <v>3218.8019759999997</v>
      </c>
      <c r="J299" s="1"/>
      <c r="K299" s="1"/>
      <c r="L299" s="1"/>
      <c r="M299" s="1"/>
      <c r="N299" s="1"/>
      <c r="O299" s="1"/>
      <c r="P299" s="1"/>
      <c r="Q299" s="1"/>
      <c r="R299" s="1"/>
      <c r="S299" s="1"/>
      <c r="T299" s="1"/>
      <c r="U299" s="40" t="str">
        <f t="shared" ca="1" si="43"/>
        <v>404,..,4304</v>
      </c>
      <c r="V299" s="40">
        <f t="shared" ca="1" si="44"/>
        <v>404</v>
      </c>
      <c r="W299" s="40">
        <f t="shared" ca="1" si="44"/>
        <v>4304</v>
      </c>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39.75" hidden="1" customHeight="1" x14ac:dyDescent="0.25">
      <c r="A300" s="66"/>
      <c r="B300" s="67"/>
      <c r="C300" s="70">
        <v>5</v>
      </c>
      <c r="D300" s="71"/>
      <c r="E300" s="53" t="s">
        <v>290</v>
      </c>
      <c r="F300" s="70">
        <f>(190.51+(0.6*(3.35+3.05+3.82+2.74)))*10.764</f>
        <v>2134.350504</v>
      </c>
      <c r="G300" s="71"/>
      <c r="H300" s="53">
        <v>0</v>
      </c>
      <c r="I300" s="53">
        <f t="shared" si="42"/>
        <v>3201.525756</v>
      </c>
      <c r="J300" s="1"/>
      <c r="K300" s="1"/>
      <c r="L300" s="1"/>
      <c r="M300" s="1"/>
      <c r="N300" s="1"/>
      <c r="O300" s="1"/>
      <c r="P300" s="1"/>
      <c r="Q300" s="1"/>
      <c r="R300" s="1"/>
      <c r="S300" s="1"/>
      <c r="T300" s="1"/>
      <c r="U300" s="40" t="str">
        <f t="shared" ca="1" si="43"/>
        <v>405,..,4305</v>
      </c>
      <c r="V300" s="40">
        <f t="shared" ca="1" si="44"/>
        <v>405</v>
      </c>
      <c r="W300" s="40">
        <f t="shared" ca="1" si="44"/>
        <v>4305</v>
      </c>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39.75" hidden="1" customHeight="1" x14ac:dyDescent="0.25">
      <c r="A301" s="68"/>
      <c r="B301" s="69"/>
      <c r="C301" s="70">
        <v>6</v>
      </c>
      <c r="D301" s="71"/>
      <c r="E301" s="53" t="s">
        <v>289</v>
      </c>
      <c r="F301" s="70">
        <f>(273.09+(0.6*(3+3.4+4.26+3.05+4.26+4.8)))*10.764</f>
        <v>3086.5985279999991</v>
      </c>
      <c r="G301" s="71"/>
      <c r="H301" s="53">
        <v>0</v>
      </c>
      <c r="I301" s="53">
        <f t="shared" si="42"/>
        <v>4629.8977919999988</v>
      </c>
      <c r="J301" s="1"/>
      <c r="K301" s="1"/>
      <c r="L301" s="1"/>
      <c r="M301" s="1"/>
      <c r="N301" s="1"/>
      <c r="O301" s="1"/>
      <c r="P301" s="1"/>
      <c r="Q301" s="1"/>
      <c r="R301" s="1"/>
      <c r="S301" s="1"/>
      <c r="T301" s="1"/>
      <c r="U301" s="40" t="str">
        <f t="shared" ca="1" si="43"/>
        <v>406,..,4306</v>
      </c>
      <c r="V301" s="40">
        <f t="shared" ca="1" si="44"/>
        <v>406</v>
      </c>
      <c r="W301" s="40">
        <f t="shared" ca="1" si="44"/>
        <v>4306</v>
      </c>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hidden="1" x14ac:dyDescent="0.25">
      <c r="A302" s="61" t="s">
        <v>288</v>
      </c>
      <c r="B302" s="62"/>
      <c r="C302" s="62"/>
      <c r="D302" s="62"/>
      <c r="E302" s="62"/>
      <c r="F302" s="62"/>
      <c r="G302" s="62"/>
      <c r="H302" s="62"/>
      <c r="I302" s="63"/>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0.25" hidden="1" customHeight="1" x14ac:dyDescent="0.25">
      <c r="A303" s="64" t="str">
        <f>A302</f>
        <v xml:space="preserve">44th Floor </v>
      </c>
      <c r="B303" s="65"/>
      <c r="C303" s="70">
        <v>1</v>
      </c>
      <c r="D303" s="71"/>
      <c r="E303" s="53" t="s">
        <v>205</v>
      </c>
      <c r="F303" s="70">
        <f>(86.98+(0.6*(3.05+3.31+1.8)))*10.764</f>
        <v>988.95326399999999</v>
      </c>
      <c r="G303" s="71"/>
      <c r="H303" s="53">
        <v>0</v>
      </c>
      <c r="I303" s="53">
        <f t="shared" ref="I303:I308" si="45">F303*(($I$89)+1)+H303</f>
        <v>1483.4298960000001</v>
      </c>
      <c r="J303" s="1"/>
      <c r="K303" s="1"/>
      <c r="L303" s="1"/>
      <c r="M303" s="1"/>
      <c r="N303" s="1"/>
      <c r="O303" s="1"/>
      <c r="P303" s="1"/>
      <c r="Q303" s="1"/>
      <c r="R303" s="1"/>
      <c r="S303" s="1"/>
      <c r="T303" s="1"/>
      <c r="U303" s="40" t="e">
        <f t="shared" ref="U303:U308" ca="1" si="46">V303&amp;""&amp;",..,"&amp;""&amp;W303</f>
        <v>#REF!</v>
      </c>
      <c r="V303" s="40" t="e">
        <f ca="1">(SUMPRODUCT(MID(0&amp;(LEFT(A302,SUM(LEN(A302)-LEN(SUBSTITUTE(A302,{"0","1","2","3"},""))))), LARGE(INDEX(ISNUMBER(--MID((LEFT(A302,SUM(LEN(A302)-LEN(SUBSTITUTE(A302,{"0","1","2","3"},""))))), ROW(INDIRECT("1:"&amp;LEN((LEFT(A302,SUM(LEN(A302)-LEN(SUBSTITUTE(A302,{"0","1","2","3"},"")))))))), 1)) * ROW(INDIRECT("1:"&amp;LEN((LEFT(A302,SUM(LEN(A302)-LEN(SUBSTITUTE(A302,{"0","1","2","3"},"")))))))), 0), ROW(INDIRECT("1:"&amp;LEN((LEFT(A302,SUM(LEN(A302)-LEN(SUBSTITUTE(A302,{"0","1","2","3"},"")))))))))+1, 1) * 10^ROW(INDIRECT("1:"&amp;LEN((LEFT(A302,SUM(LEN(A302)-LEN(SUBSTITUTE(A302,{"0","1","2","3"},""))))))))/10))*100+1</f>
        <v>#REF!</v>
      </c>
      <c r="W303" s="40">
        <f ca="1">(SUMPRODUCT(MID(0&amp;(--TRIM(RIGHT(SUBSTITUTE(LEFT(A302,_xlfn.AGGREGATE(16,6,FIND({0,1,2,3,4,5,6,7,8,9},A302,ROW(INDIRECT("1:"&amp;LEN(A302)))),1))," ",REPT(" ",LEN(A302))),LEN(A302)))), LARGE(INDEX(ISNUMBER(--MID((--TRIM(RIGHT(SUBSTITUTE(LEFT(A302,_xlfn.AGGREGATE(16,6,FIND({0,1,2,3,4,5,6,7,8,9},A302,ROW(INDIRECT("1:"&amp;LEN(A302)))),1))," ",REPT(" ",LEN(A302))),LEN(A302)))), ROW(INDIRECT("1:"&amp;LEN((--TRIM(RIGHT(SUBSTITUTE(LEFT(A302,_xlfn.AGGREGATE(16,6,FIND({0,1,2,3,4,5,6,7,8,9},A302,ROW(INDIRECT("1:"&amp;LEN(A302)))),1))," ",REPT(" ",LEN(A302))),LEN(A302))))))), 1)) * ROW(INDIRECT("1:"&amp;LEN((--TRIM(RIGHT(SUBSTITUTE(LEFT(A302,_xlfn.AGGREGATE(16,6,FIND({0,1,2,3,4,5,6,7,8,9},A302,ROW(INDIRECT("1:"&amp;LEN(A302)))),1))," ",REPT(" ",LEN(A302))),LEN(A302))))))), 0), ROW(INDIRECT("1:"&amp;LEN((--TRIM(RIGHT(SUBSTITUTE(LEFT(A302,_xlfn.AGGREGATE(16,6,FIND({0,1,2,3,4,5,6,7,8,9},A302,ROW(INDIRECT("1:"&amp;LEN(A302)))),1))," ",REPT(" ",LEN(A302))),LEN(A302))))))))+1, 1) * 10^ROW(INDIRECT("1:"&amp;LEN((--TRIM(RIGHT(SUBSTITUTE(LEFT(A302,_xlfn.AGGREGATE(16,6,FIND({0,1,2,3,4,5,6,7,8,9},A302,ROW(INDIRECT("1:"&amp;LEN(A302)))),1))," ",REPT(" ",LEN(A302))),LEN(A302)))))))/10))*100+1</f>
        <v>4401</v>
      </c>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hidden="1" customHeight="1" x14ac:dyDescent="0.25">
      <c r="A304" s="66"/>
      <c r="B304" s="67"/>
      <c r="C304" s="70">
        <v>2</v>
      </c>
      <c r="D304" s="71"/>
      <c r="E304" s="53" t="s">
        <v>205</v>
      </c>
      <c r="F304" s="70">
        <f>(86.98+(0.6*(3.05+3.31+1.8)))*10.764</f>
        <v>988.95326399999999</v>
      </c>
      <c r="G304" s="71"/>
      <c r="H304" s="53">
        <v>0</v>
      </c>
      <c r="I304" s="53">
        <f t="shared" si="45"/>
        <v>1483.4298960000001</v>
      </c>
      <c r="J304" s="1"/>
      <c r="K304" s="1"/>
      <c r="L304" s="1"/>
      <c r="M304" s="1"/>
      <c r="N304" s="1"/>
      <c r="O304" s="1"/>
      <c r="P304" s="1"/>
      <c r="Q304" s="1"/>
      <c r="R304" s="1"/>
      <c r="S304" s="1"/>
      <c r="T304" s="1"/>
      <c r="U304" s="40" t="e">
        <f t="shared" ca="1" si="46"/>
        <v>#REF!</v>
      </c>
      <c r="V304" s="40" t="e">
        <f t="shared" ref="V304:W308" ca="1" si="47">V303+1</f>
        <v>#REF!</v>
      </c>
      <c r="W304" s="40">
        <f t="shared" ca="1" si="47"/>
        <v>4402</v>
      </c>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hidden="1" customHeight="1" x14ac:dyDescent="0.25">
      <c r="A305" s="66"/>
      <c r="B305" s="67"/>
      <c r="C305" s="70">
        <v>3</v>
      </c>
      <c r="D305" s="71"/>
      <c r="E305" s="70" t="s">
        <v>291</v>
      </c>
      <c r="F305" s="72"/>
      <c r="G305" s="72"/>
      <c r="H305" s="72"/>
      <c r="I305" s="71"/>
      <c r="J305" s="1"/>
      <c r="K305" s="1"/>
      <c r="L305" s="1"/>
      <c r="M305" s="1"/>
      <c r="N305" s="1"/>
      <c r="O305" s="1"/>
      <c r="P305" s="1"/>
      <c r="Q305" s="1"/>
      <c r="R305" s="1"/>
      <c r="S305" s="1"/>
      <c r="T305" s="1"/>
      <c r="U305" s="40" t="e">
        <f t="shared" ca="1" si="46"/>
        <v>#REF!</v>
      </c>
      <c r="V305" s="40" t="e">
        <f t="shared" ca="1" si="47"/>
        <v>#REF!</v>
      </c>
      <c r="W305" s="40">
        <f t="shared" ca="1" si="47"/>
        <v>4403</v>
      </c>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0.25" hidden="1" customHeight="1" x14ac:dyDescent="0.25">
      <c r="A306" s="66"/>
      <c r="B306" s="67"/>
      <c r="C306" s="70">
        <v>4</v>
      </c>
      <c r="D306" s="71"/>
      <c r="E306" s="70" t="s">
        <v>292</v>
      </c>
      <c r="F306" s="72">
        <f>(191.58+(0.6*(3.35+3.05+3.82+2.74)))*10.764</f>
        <v>2145.867984</v>
      </c>
      <c r="G306" s="72"/>
      <c r="H306" s="72">
        <v>0</v>
      </c>
      <c r="I306" s="71">
        <f t="shared" si="45"/>
        <v>3218.8019759999997</v>
      </c>
      <c r="J306" s="1"/>
      <c r="K306" s="1"/>
      <c r="L306" s="1"/>
      <c r="M306" s="1"/>
      <c r="N306" s="1"/>
      <c r="O306" s="1"/>
      <c r="P306" s="1"/>
      <c r="Q306" s="1"/>
      <c r="R306" s="1"/>
      <c r="S306" s="1"/>
      <c r="T306" s="1"/>
      <c r="U306" s="40" t="e">
        <f t="shared" ca="1" si="46"/>
        <v>#REF!</v>
      </c>
      <c r="V306" s="40" t="e">
        <f t="shared" ca="1" si="47"/>
        <v>#REF!</v>
      </c>
      <c r="W306" s="40">
        <f t="shared" ca="1" si="47"/>
        <v>4404</v>
      </c>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hidden="1" customHeight="1" x14ac:dyDescent="0.25">
      <c r="A307" s="66"/>
      <c r="B307" s="67"/>
      <c r="C307" s="70">
        <v>5</v>
      </c>
      <c r="D307" s="71"/>
      <c r="E307" s="70" t="s">
        <v>292</v>
      </c>
      <c r="F307" s="72">
        <f>(190.51+(0.6*(3.35+3.05+3.82+2.74)))*10.764</f>
        <v>2134.350504</v>
      </c>
      <c r="G307" s="72"/>
      <c r="H307" s="72">
        <v>0</v>
      </c>
      <c r="I307" s="71">
        <f t="shared" si="45"/>
        <v>3201.525756</v>
      </c>
      <c r="J307" s="1"/>
      <c r="K307" s="1"/>
      <c r="L307" s="1"/>
      <c r="M307" s="1"/>
      <c r="N307" s="1"/>
      <c r="O307" s="1"/>
      <c r="P307" s="1"/>
      <c r="Q307" s="1"/>
      <c r="R307" s="1"/>
      <c r="S307" s="1"/>
      <c r="T307" s="1"/>
      <c r="U307" s="40" t="e">
        <f t="shared" ca="1" si="46"/>
        <v>#REF!</v>
      </c>
      <c r="V307" s="40" t="e">
        <f t="shared" ca="1" si="47"/>
        <v>#REF!</v>
      </c>
      <c r="W307" s="40">
        <f t="shared" ca="1" si="47"/>
        <v>4405</v>
      </c>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hidden="1" customHeight="1" x14ac:dyDescent="0.25">
      <c r="A308" s="68"/>
      <c r="B308" s="69"/>
      <c r="C308" s="70">
        <v>6</v>
      </c>
      <c r="D308" s="71"/>
      <c r="E308" s="70" t="s">
        <v>291</v>
      </c>
      <c r="F308" s="72">
        <f>(273.09+(0.6*(3+3.4+4.26+3.05+4.26+4.8)))*10.764</f>
        <v>3086.5985279999991</v>
      </c>
      <c r="G308" s="72"/>
      <c r="H308" s="72">
        <v>0</v>
      </c>
      <c r="I308" s="71">
        <f t="shared" si="45"/>
        <v>4629.8977919999988</v>
      </c>
      <c r="J308" s="1"/>
      <c r="K308" s="1"/>
      <c r="L308" s="1"/>
      <c r="M308" s="1"/>
      <c r="N308" s="1"/>
      <c r="O308" s="1"/>
      <c r="P308" s="1"/>
      <c r="Q308" s="1"/>
      <c r="R308" s="1"/>
      <c r="S308" s="1"/>
      <c r="T308" s="1"/>
      <c r="U308" s="40" t="e">
        <f t="shared" ca="1" si="46"/>
        <v>#REF!</v>
      </c>
      <c r="V308" s="40" t="e">
        <f t="shared" ca="1" si="47"/>
        <v>#REF!</v>
      </c>
      <c r="W308" s="40">
        <f t="shared" ca="1" si="47"/>
        <v>4406</v>
      </c>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hidden="1" x14ac:dyDescent="0.25">
      <c r="A309" s="61" t="s">
        <v>293</v>
      </c>
      <c r="B309" s="62"/>
      <c r="C309" s="62"/>
      <c r="D309" s="62"/>
      <c r="E309" s="62"/>
      <c r="F309" s="62"/>
      <c r="G309" s="62"/>
      <c r="H309" s="62"/>
      <c r="I309" s="63"/>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hidden="1" customHeight="1" x14ac:dyDescent="0.25">
      <c r="A310" s="64" t="str">
        <f>A309</f>
        <v xml:space="preserve">48th Floor </v>
      </c>
      <c r="B310" s="65"/>
      <c r="C310" s="70">
        <v>1</v>
      </c>
      <c r="D310" s="71"/>
      <c r="E310" s="53" t="s">
        <v>251</v>
      </c>
      <c r="F310" s="70">
        <f>(175.1+(0.6*(3.05+3.31+1.8+3.31+3.05)))*10.764</f>
        <v>1978.5523679999997</v>
      </c>
      <c r="G310" s="71"/>
      <c r="H310" s="53">
        <v>0</v>
      </c>
      <c r="I310" s="53">
        <f>F310*(($I$89)+1)+H310</f>
        <v>2967.8285519999995</v>
      </c>
      <c r="J310" s="1"/>
      <c r="K310" s="1"/>
      <c r="L310" s="1"/>
      <c r="M310" s="1"/>
      <c r="N310" s="1"/>
      <c r="O310" s="1"/>
      <c r="P310" s="1"/>
      <c r="Q310" s="1"/>
      <c r="R310" s="1"/>
      <c r="S310" s="1"/>
      <c r="T310" s="1"/>
      <c r="U310" s="40" t="e">
        <f ca="1">V310&amp;""&amp;",..,"&amp;""&amp;W310</f>
        <v>#REF!</v>
      </c>
      <c r="V310" s="40" t="e">
        <f ca="1">(SUMPRODUCT(MID(0&amp;(LEFT(A309,SUM(LEN(A309)-LEN(SUBSTITUTE(A309,{"0","1","2","3"},""))))), LARGE(INDEX(ISNUMBER(--MID((LEFT(A309,SUM(LEN(A309)-LEN(SUBSTITUTE(A309,{"0","1","2","3"},""))))), ROW(INDIRECT("1:"&amp;LEN((LEFT(A309,SUM(LEN(A309)-LEN(SUBSTITUTE(A309,{"0","1","2","3"},"")))))))), 1)) * ROW(INDIRECT("1:"&amp;LEN((LEFT(A309,SUM(LEN(A309)-LEN(SUBSTITUTE(A309,{"0","1","2","3"},"")))))))), 0), ROW(INDIRECT("1:"&amp;LEN((LEFT(A309,SUM(LEN(A309)-LEN(SUBSTITUTE(A309,{"0","1","2","3"},"")))))))))+1, 1) * 10^ROW(INDIRECT("1:"&amp;LEN((LEFT(A309,SUM(LEN(A309)-LEN(SUBSTITUTE(A309,{"0","1","2","3"},""))))))))/10))*100+1</f>
        <v>#REF!</v>
      </c>
      <c r="W310" s="40">
        <f ca="1">(SUMPRODUCT(MID(0&amp;(--TRIM(RIGHT(SUBSTITUTE(LEFT(A309,_xlfn.AGGREGATE(16,6,FIND({0,1,2,3,4,5,6,7,8,9},A309,ROW(INDIRECT("1:"&amp;LEN(A309)))),1))," ",REPT(" ",LEN(A309))),LEN(A309)))), LARGE(INDEX(ISNUMBER(--MID((--TRIM(RIGHT(SUBSTITUTE(LEFT(A309,_xlfn.AGGREGATE(16,6,FIND({0,1,2,3,4,5,6,7,8,9},A309,ROW(INDIRECT("1:"&amp;LEN(A309)))),1))," ",REPT(" ",LEN(A309))),LEN(A309)))), ROW(INDIRECT("1:"&amp;LEN((--TRIM(RIGHT(SUBSTITUTE(LEFT(A309,_xlfn.AGGREGATE(16,6,FIND({0,1,2,3,4,5,6,7,8,9},A309,ROW(INDIRECT("1:"&amp;LEN(A309)))),1))," ",REPT(" ",LEN(A309))),LEN(A309))))))), 1)) * ROW(INDIRECT("1:"&amp;LEN((--TRIM(RIGHT(SUBSTITUTE(LEFT(A309,_xlfn.AGGREGATE(16,6,FIND({0,1,2,3,4,5,6,7,8,9},A309,ROW(INDIRECT("1:"&amp;LEN(A309)))),1))," ",REPT(" ",LEN(A309))),LEN(A309))))))), 0), ROW(INDIRECT("1:"&amp;LEN((--TRIM(RIGHT(SUBSTITUTE(LEFT(A309,_xlfn.AGGREGATE(16,6,FIND({0,1,2,3,4,5,6,7,8,9},A309,ROW(INDIRECT("1:"&amp;LEN(A309)))),1))," ",REPT(" ",LEN(A309))),LEN(A309))))))))+1, 1) * 10^ROW(INDIRECT("1:"&amp;LEN((--TRIM(RIGHT(SUBSTITUTE(LEFT(A309,_xlfn.AGGREGATE(16,6,FIND({0,1,2,3,4,5,6,7,8,9},A309,ROW(INDIRECT("1:"&amp;LEN(A309)))),1))," ",REPT(" ",LEN(A309))),LEN(A309)))))))/10))*100+1</f>
        <v>4801</v>
      </c>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42.75" hidden="1" customHeight="1" x14ac:dyDescent="0.25">
      <c r="A311" s="66"/>
      <c r="B311" s="67"/>
      <c r="C311" s="70">
        <v>3</v>
      </c>
      <c r="D311" s="71"/>
      <c r="E311" s="48" t="s">
        <v>295</v>
      </c>
      <c r="F311" s="70">
        <f>(272.57+(0.6*(3+3.4+4.26+3.05+4.26+4.8)))*10.764</f>
        <v>3081.0012479999996</v>
      </c>
      <c r="G311" s="71"/>
      <c r="H311" s="53">
        <v>0</v>
      </c>
      <c r="I311" s="53">
        <f>F311*(($I$89)+1)+H311</f>
        <v>4621.5018719999989</v>
      </c>
      <c r="J311" s="1"/>
      <c r="K311" s="1"/>
      <c r="L311" s="1"/>
      <c r="M311" s="1"/>
      <c r="N311" s="1"/>
      <c r="O311" s="1"/>
      <c r="P311" s="1"/>
      <c r="Q311" s="1"/>
      <c r="R311" s="1"/>
      <c r="S311" s="1"/>
      <c r="T311" s="1"/>
      <c r="U311" s="40" t="e">
        <f>V311&amp;""&amp;",..,"&amp;""&amp;W311</f>
        <v>#REF!</v>
      </c>
      <c r="V311" s="40" t="e">
        <f>#REF!+1</f>
        <v>#REF!</v>
      </c>
      <c r="W311" s="40" t="e">
        <f>#REF!+1</f>
        <v>#REF!</v>
      </c>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40.5" hidden="1" customHeight="1" x14ac:dyDescent="0.25">
      <c r="A312" s="66"/>
      <c r="B312" s="67"/>
      <c r="C312" s="70">
        <v>4</v>
      </c>
      <c r="D312" s="71"/>
      <c r="E312" s="53" t="s">
        <v>296</v>
      </c>
      <c r="F312" s="70">
        <f>(191.58+(0.6*(3.35+3.05+3.82+2.74)))*10.764</f>
        <v>2145.867984</v>
      </c>
      <c r="G312" s="71"/>
      <c r="H312" s="53">
        <v>0</v>
      </c>
      <c r="I312" s="53">
        <f>F312*(($I$89)+1)+H312</f>
        <v>3218.8019759999997</v>
      </c>
      <c r="J312" s="1"/>
      <c r="K312" s="1"/>
      <c r="L312" s="1"/>
      <c r="M312" s="1"/>
      <c r="N312" s="1"/>
      <c r="O312" s="1"/>
      <c r="P312" s="1"/>
      <c r="Q312" s="1"/>
      <c r="R312" s="1"/>
      <c r="S312" s="1"/>
      <c r="T312" s="1"/>
      <c r="U312" s="40" t="e">
        <f>V312&amp;""&amp;",..,"&amp;""&amp;W312</f>
        <v>#REF!</v>
      </c>
      <c r="V312" s="40" t="e">
        <f t="shared" ref="V312:W314" si="48">V311+1</f>
        <v>#REF!</v>
      </c>
      <c r="W312" s="40" t="e">
        <f t="shared" si="48"/>
        <v>#REF!</v>
      </c>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39.75" hidden="1" customHeight="1" x14ac:dyDescent="0.25">
      <c r="A313" s="66"/>
      <c r="B313" s="67"/>
      <c r="C313" s="70">
        <v>5</v>
      </c>
      <c r="D313" s="71"/>
      <c r="E313" s="54" t="s">
        <v>296</v>
      </c>
      <c r="F313" s="70">
        <f>(190.51+(0.6*(3.35+3.05+3.82+2.74)))*10.764</f>
        <v>2134.350504</v>
      </c>
      <c r="G313" s="71"/>
      <c r="H313" s="53">
        <v>0</v>
      </c>
      <c r="I313" s="53">
        <f>F313*(($I$89)+1)+H313</f>
        <v>3201.525756</v>
      </c>
      <c r="J313" s="1"/>
      <c r="K313" s="1"/>
      <c r="L313" s="1"/>
      <c r="M313" s="1"/>
      <c r="N313" s="1"/>
      <c r="O313" s="1"/>
      <c r="P313" s="1"/>
      <c r="Q313" s="1"/>
      <c r="R313" s="1"/>
      <c r="S313" s="1"/>
      <c r="T313" s="1"/>
      <c r="U313" s="40" t="e">
        <f>V313&amp;""&amp;",..,"&amp;""&amp;W313</f>
        <v>#REF!</v>
      </c>
      <c r="V313" s="40" t="e">
        <f t="shared" si="48"/>
        <v>#REF!</v>
      </c>
      <c r="W313" s="40" t="e">
        <f t="shared" si="48"/>
        <v>#REF!</v>
      </c>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39.75" hidden="1" customHeight="1" x14ac:dyDescent="0.25">
      <c r="A314" s="68"/>
      <c r="B314" s="69"/>
      <c r="C314" s="70">
        <v>6</v>
      </c>
      <c r="D314" s="71"/>
      <c r="E314" s="48" t="s">
        <v>295</v>
      </c>
      <c r="F314" s="70">
        <f>(273.09+(0.6*(3+3.4+4.26+3.05+4.26+4.8)))*10.764</f>
        <v>3086.5985279999991</v>
      </c>
      <c r="G314" s="71"/>
      <c r="H314" s="53">
        <v>0</v>
      </c>
      <c r="I314" s="53">
        <f>F314*(($I$89)+1)+H314</f>
        <v>4629.8977919999988</v>
      </c>
      <c r="J314" s="1"/>
      <c r="K314" s="1"/>
      <c r="L314" s="1"/>
      <c r="M314" s="1"/>
      <c r="N314" s="1"/>
      <c r="O314" s="1"/>
      <c r="P314" s="1"/>
      <c r="Q314" s="1"/>
      <c r="R314" s="1"/>
      <c r="S314" s="1"/>
      <c r="T314" s="1"/>
      <c r="U314" s="40" t="e">
        <f>V314&amp;""&amp;",..,"&amp;""&amp;W314</f>
        <v>#REF!</v>
      </c>
      <c r="V314" s="40" t="e">
        <f t="shared" si="48"/>
        <v>#REF!</v>
      </c>
      <c r="W314" s="40" t="e">
        <f t="shared" si="48"/>
        <v>#REF!</v>
      </c>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hidden="1" x14ac:dyDescent="0.25">
      <c r="A315" s="61" t="s">
        <v>294</v>
      </c>
      <c r="B315" s="62"/>
      <c r="C315" s="62"/>
      <c r="D315" s="62"/>
      <c r="E315" s="62"/>
      <c r="F315" s="62"/>
      <c r="G315" s="62"/>
      <c r="H315" s="62"/>
      <c r="I315" s="63"/>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hidden="1" customHeight="1" x14ac:dyDescent="0.25">
      <c r="A316" s="64" t="str">
        <f>A315</f>
        <v xml:space="preserve">49th Floor </v>
      </c>
      <c r="B316" s="65"/>
      <c r="C316" s="70">
        <v>1</v>
      </c>
      <c r="D316" s="71"/>
      <c r="E316" s="54" t="s">
        <v>251</v>
      </c>
      <c r="F316" s="70">
        <f>(175.1+(0.6*(3.05+3.31+1.8+3.31+3.05)))*10.764</f>
        <v>1978.5523679999997</v>
      </c>
      <c r="G316" s="71"/>
      <c r="H316" s="53">
        <v>0</v>
      </c>
      <c r="I316" s="53">
        <f>F316*(($I$89)+1)+H316</f>
        <v>2967.8285519999995</v>
      </c>
      <c r="J316" s="1"/>
      <c r="K316" s="1"/>
      <c r="L316" s="1"/>
      <c r="M316" s="1"/>
      <c r="N316" s="1"/>
      <c r="O316" s="1"/>
      <c r="P316" s="1"/>
      <c r="Q316" s="1"/>
      <c r="R316" s="1"/>
      <c r="S316" s="1"/>
      <c r="T316" s="1"/>
      <c r="U316" s="40" t="e">
        <f t="shared" ref="U316:U320" ca="1" si="49">V316&amp;""&amp;",..,"&amp;""&amp;W316</f>
        <v>#REF!</v>
      </c>
      <c r="V316" s="40" t="e">
        <f ca="1">(SUMPRODUCT(MID(0&amp;(LEFT(A315,SUM(LEN(A315)-LEN(SUBSTITUTE(A315,{"0","1","2","3"},""))))), LARGE(INDEX(ISNUMBER(--MID((LEFT(A315,SUM(LEN(A315)-LEN(SUBSTITUTE(A315,{"0","1","2","3"},""))))), ROW(INDIRECT("1:"&amp;LEN((LEFT(A315,SUM(LEN(A315)-LEN(SUBSTITUTE(A315,{"0","1","2","3"},"")))))))), 1)) * ROW(INDIRECT("1:"&amp;LEN((LEFT(A315,SUM(LEN(A315)-LEN(SUBSTITUTE(A315,{"0","1","2","3"},"")))))))), 0), ROW(INDIRECT("1:"&amp;LEN((LEFT(A315,SUM(LEN(A315)-LEN(SUBSTITUTE(A315,{"0","1","2","3"},"")))))))))+1, 1) * 10^ROW(INDIRECT("1:"&amp;LEN((LEFT(A315,SUM(LEN(A315)-LEN(SUBSTITUTE(A315,{"0","1","2","3"},""))))))))/10))*100+1</f>
        <v>#REF!</v>
      </c>
      <c r="W316" s="40">
        <f ca="1">(SUMPRODUCT(MID(0&amp;(--TRIM(RIGHT(SUBSTITUTE(LEFT(A315,_xlfn.AGGREGATE(16,6,FIND({0,1,2,3,4,5,6,7,8,9},A315,ROW(INDIRECT("1:"&amp;LEN(A315)))),1))," ",REPT(" ",LEN(A315))),LEN(A315)))), LARGE(INDEX(ISNUMBER(--MID((--TRIM(RIGHT(SUBSTITUTE(LEFT(A315,_xlfn.AGGREGATE(16,6,FIND({0,1,2,3,4,5,6,7,8,9},A315,ROW(INDIRECT("1:"&amp;LEN(A315)))),1))," ",REPT(" ",LEN(A315))),LEN(A315)))), ROW(INDIRECT("1:"&amp;LEN((--TRIM(RIGHT(SUBSTITUTE(LEFT(A315,_xlfn.AGGREGATE(16,6,FIND({0,1,2,3,4,5,6,7,8,9},A315,ROW(INDIRECT("1:"&amp;LEN(A315)))),1))," ",REPT(" ",LEN(A315))),LEN(A315))))))), 1)) * ROW(INDIRECT("1:"&amp;LEN((--TRIM(RIGHT(SUBSTITUTE(LEFT(A315,_xlfn.AGGREGATE(16,6,FIND({0,1,2,3,4,5,6,7,8,9},A315,ROW(INDIRECT("1:"&amp;LEN(A315)))),1))," ",REPT(" ",LEN(A315))),LEN(A315))))))), 0), ROW(INDIRECT("1:"&amp;LEN((--TRIM(RIGHT(SUBSTITUTE(LEFT(A315,_xlfn.AGGREGATE(16,6,FIND({0,1,2,3,4,5,6,7,8,9},A315,ROW(INDIRECT("1:"&amp;LEN(A315)))),1))," ",REPT(" ",LEN(A315))),LEN(A315))))))))+1, 1) * 10^ROW(INDIRECT("1:"&amp;LEN((--TRIM(RIGHT(SUBSTITUTE(LEFT(A315,_xlfn.AGGREGATE(16,6,FIND({0,1,2,3,4,5,6,7,8,9},A315,ROW(INDIRECT("1:"&amp;LEN(A315)))),1))," ",REPT(" ",LEN(A315))),LEN(A315)))))))/10))*100+1</f>
        <v>4901</v>
      </c>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0.25" hidden="1" customHeight="1" x14ac:dyDescent="0.25">
      <c r="A317" s="66"/>
      <c r="B317" s="67"/>
      <c r="C317" s="70">
        <v>3</v>
      </c>
      <c r="D317" s="71"/>
      <c r="E317" s="70" t="s">
        <v>297</v>
      </c>
      <c r="F317" s="72"/>
      <c r="G317" s="72"/>
      <c r="H317" s="72"/>
      <c r="I317" s="71"/>
      <c r="J317" s="1"/>
      <c r="K317" s="1"/>
      <c r="L317" s="1"/>
      <c r="M317" s="1"/>
      <c r="N317" s="1"/>
      <c r="O317" s="1"/>
      <c r="P317" s="1"/>
      <c r="Q317" s="1"/>
      <c r="R317" s="1"/>
      <c r="S317" s="1"/>
      <c r="T317" s="1"/>
      <c r="U317" s="40" t="e">
        <f t="shared" si="49"/>
        <v>#REF!</v>
      </c>
      <c r="V317" s="40" t="e">
        <f>#REF!+1</f>
        <v>#REF!</v>
      </c>
      <c r="W317" s="40" t="e">
        <f>#REF!+1</f>
        <v>#REF!</v>
      </c>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hidden="1" customHeight="1" x14ac:dyDescent="0.25">
      <c r="A318" s="66"/>
      <c r="B318" s="67"/>
      <c r="C318" s="70">
        <v>4</v>
      </c>
      <c r="D318" s="71"/>
      <c r="E318" s="70" t="s">
        <v>298</v>
      </c>
      <c r="F318" s="72">
        <f>(191.58+(0.6*(3.35+3.05+3.82+2.74)))*10.764</f>
        <v>2145.867984</v>
      </c>
      <c r="G318" s="72"/>
      <c r="H318" s="72">
        <v>0</v>
      </c>
      <c r="I318" s="71">
        <f>F318*(($I$89)+1)+H318</f>
        <v>3218.8019759999997</v>
      </c>
      <c r="J318" s="1"/>
      <c r="K318" s="1"/>
      <c r="L318" s="1"/>
      <c r="M318" s="1"/>
      <c r="N318" s="1"/>
      <c r="O318" s="1"/>
      <c r="P318" s="1"/>
      <c r="Q318" s="1"/>
      <c r="R318" s="1"/>
      <c r="S318" s="1"/>
      <c r="T318" s="1"/>
      <c r="U318" s="40" t="e">
        <f t="shared" si="49"/>
        <v>#REF!</v>
      </c>
      <c r="V318" s="40" t="e">
        <f t="shared" ref="V318:W320" si="50">V317+1</f>
        <v>#REF!</v>
      </c>
      <c r="W318" s="40" t="e">
        <f t="shared" si="50"/>
        <v>#REF!</v>
      </c>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hidden="1" customHeight="1" x14ac:dyDescent="0.25">
      <c r="A319" s="66"/>
      <c r="B319" s="67"/>
      <c r="C319" s="70">
        <v>5</v>
      </c>
      <c r="D319" s="71"/>
      <c r="E319" s="70" t="s">
        <v>298</v>
      </c>
      <c r="F319" s="72">
        <f>(190.51+(0.6*(3.35+3.05+3.82+2.74)))*10.764</f>
        <v>2134.350504</v>
      </c>
      <c r="G319" s="72"/>
      <c r="H319" s="72">
        <v>0</v>
      </c>
      <c r="I319" s="71">
        <f>F319*(($I$89)+1)+H319</f>
        <v>3201.525756</v>
      </c>
      <c r="J319" s="1"/>
      <c r="K319" s="1"/>
      <c r="L319" s="1"/>
      <c r="M319" s="1"/>
      <c r="N319" s="1"/>
      <c r="O319" s="1"/>
      <c r="P319" s="1"/>
      <c r="Q319" s="1"/>
      <c r="R319" s="1"/>
      <c r="S319" s="1"/>
      <c r="T319" s="1"/>
      <c r="U319" s="40" t="e">
        <f t="shared" si="49"/>
        <v>#REF!</v>
      </c>
      <c r="V319" s="40" t="e">
        <f t="shared" si="50"/>
        <v>#REF!</v>
      </c>
      <c r="W319" s="40" t="e">
        <f t="shared" si="50"/>
        <v>#REF!</v>
      </c>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0.25" hidden="1" customHeight="1" x14ac:dyDescent="0.25">
      <c r="A320" s="68"/>
      <c r="B320" s="69"/>
      <c r="C320" s="70">
        <v>6</v>
      </c>
      <c r="D320" s="71"/>
      <c r="E320" s="70" t="s">
        <v>297</v>
      </c>
      <c r="F320" s="72">
        <f>(273.09+(0.6*(3+3.4+4.26+3.05+4.26+4.8)))*10.764</f>
        <v>3086.5985279999991</v>
      </c>
      <c r="G320" s="72"/>
      <c r="H320" s="72">
        <v>0</v>
      </c>
      <c r="I320" s="71">
        <f>F320*(($I$89)+1)+H320</f>
        <v>4629.8977919999988</v>
      </c>
      <c r="J320" s="1"/>
      <c r="K320" s="1"/>
      <c r="L320" s="1"/>
      <c r="M320" s="1"/>
      <c r="N320" s="1"/>
      <c r="O320" s="1"/>
      <c r="P320" s="1"/>
      <c r="Q320" s="1"/>
      <c r="R320" s="1"/>
      <c r="S320" s="1"/>
      <c r="T320" s="1"/>
      <c r="U320" s="40" t="e">
        <f t="shared" si="49"/>
        <v>#REF!</v>
      </c>
      <c r="V320" s="40" t="e">
        <f t="shared" si="50"/>
        <v>#REF!</v>
      </c>
      <c r="W320" s="40" t="e">
        <f t="shared" si="50"/>
        <v>#REF!</v>
      </c>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hidden="1" x14ac:dyDescent="0.25">
      <c r="A321" s="61" t="s">
        <v>301</v>
      </c>
      <c r="B321" s="62"/>
      <c r="C321" s="62"/>
      <c r="D321" s="62"/>
      <c r="E321" s="62"/>
      <c r="F321" s="62"/>
      <c r="G321" s="62"/>
      <c r="H321" s="62"/>
      <c r="I321" s="63"/>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hidden="1" customHeight="1" x14ac:dyDescent="0.25">
      <c r="A322" s="64" t="str">
        <f>A321</f>
        <v xml:space="preserve">50th Floor </v>
      </c>
      <c r="B322" s="65"/>
      <c r="C322" s="70">
        <v>1</v>
      </c>
      <c r="D322" s="71"/>
      <c r="E322" s="54" t="s">
        <v>251</v>
      </c>
      <c r="F322" s="70">
        <f>(175.1+(0.6*(3.05+3.31+1.8)))*10.764</f>
        <v>1937.4769439999998</v>
      </c>
      <c r="G322" s="71"/>
      <c r="H322" s="54">
        <v>0</v>
      </c>
      <c r="I322" s="54">
        <f>F322*(($I$89)+1)+H322</f>
        <v>2906.2154159999995</v>
      </c>
      <c r="J322" s="1"/>
      <c r="K322" s="1"/>
      <c r="L322" s="1"/>
      <c r="M322" s="1"/>
      <c r="N322" s="1"/>
      <c r="O322" s="1"/>
      <c r="P322" s="1"/>
      <c r="Q322" s="1"/>
      <c r="R322" s="1"/>
      <c r="S322" s="1"/>
      <c r="T322" s="1"/>
      <c r="U322" s="40" t="str">
        <f ca="1">V322&amp;""&amp;",..,"&amp;""&amp;W322</f>
        <v>501,..,5001</v>
      </c>
      <c r="V322" s="40">
        <f ca="1">(SUMPRODUCT(MID(0&amp;(LEFT(A321,SUM(LEN(A321)-LEN(SUBSTITUTE(A321,{"0","1","2","3"},""))))), LARGE(INDEX(ISNUMBER(--MID((LEFT(A321,SUM(LEN(A321)-LEN(SUBSTITUTE(A321,{"0","1","2","3"},""))))), ROW(INDIRECT("1:"&amp;LEN((LEFT(A321,SUM(LEN(A321)-LEN(SUBSTITUTE(A321,{"0","1","2","3"},"")))))))), 1)) * ROW(INDIRECT("1:"&amp;LEN((LEFT(A321,SUM(LEN(A321)-LEN(SUBSTITUTE(A321,{"0","1","2","3"},"")))))))), 0), ROW(INDIRECT("1:"&amp;LEN((LEFT(A321,SUM(LEN(A321)-LEN(SUBSTITUTE(A321,{"0","1","2","3"},"")))))))))+1, 1) * 10^ROW(INDIRECT("1:"&amp;LEN((LEFT(A321,SUM(LEN(A321)-LEN(SUBSTITUTE(A321,{"0","1","2","3"},""))))))))/10))*100+1</f>
        <v>501</v>
      </c>
      <c r="W322" s="40">
        <f ca="1">(SUMPRODUCT(MID(0&amp;(--TRIM(RIGHT(SUBSTITUTE(LEFT(A321,_xlfn.AGGREGATE(16,6,FIND({0,1,2,3,4,5,6,7,8,9},A321,ROW(INDIRECT("1:"&amp;LEN(A321)))),1))," ",REPT(" ",LEN(A321))),LEN(A321)))), LARGE(INDEX(ISNUMBER(--MID((--TRIM(RIGHT(SUBSTITUTE(LEFT(A321,_xlfn.AGGREGATE(16,6,FIND({0,1,2,3,4,5,6,7,8,9},A321,ROW(INDIRECT("1:"&amp;LEN(A321)))),1))," ",REPT(" ",LEN(A321))),LEN(A321)))), ROW(INDIRECT("1:"&amp;LEN((--TRIM(RIGHT(SUBSTITUTE(LEFT(A321,_xlfn.AGGREGATE(16,6,FIND({0,1,2,3,4,5,6,7,8,9},A321,ROW(INDIRECT("1:"&amp;LEN(A321)))),1))," ",REPT(" ",LEN(A321))),LEN(A321))))))), 1)) * ROW(INDIRECT("1:"&amp;LEN((--TRIM(RIGHT(SUBSTITUTE(LEFT(A321,_xlfn.AGGREGATE(16,6,FIND({0,1,2,3,4,5,6,7,8,9},A321,ROW(INDIRECT("1:"&amp;LEN(A321)))),1))," ",REPT(" ",LEN(A321))),LEN(A321))))))), 0), ROW(INDIRECT("1:"&amp;LEN((--TRIM(RIGHT(SUBSTITUTE(LEFT(A321,_xlfn.AGGREGATE(16,6,FIND({0,1,2,3,4,5,6,7,8,9},A321,ROW(INDIRECT("1:"&amp;LEN(A321)))),1))," ",REPT(" ",LEN(A321))),LEN(A321))))))))+1, 1) * 10^ROW(INDIRECT("1:"&amp;LEN((--TRIM(RIGHT(SUBSTITUTE(LEFT(A321,_xlfn.AGGREGATE(16,6,FIND({0,1,2,3,4,5,6,7,8,9},A321,ROW(INDIRECT("1:"&amp;LEN(A321)))),1))," ",REPT(" ",LEN(A321))),LEN(A321)))))))/10))*100+1</f>
        <v>5001</v>
      </c>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42.75" hidden="1" customHeight="1" x14ac:dyDescent="0.25">
      <c r="A323" s="66"/>
      <c r="B323" s="67"/>
      <c r="C323" s="70">
        <v>3</v>
      </c>
      <c r="D323" s="71"/>
      <c r="E323" s="48" t="s">
        <v>256</v>
      </c>
      <c r="F323" s="70">
        <f>(272.57+(0.6*(3+3.4+4.26+3.05+4.26+4.8)))*10.764</f>
        <v>3081.0012479999996</v>
      </c>
      <c r="G323" s="71"/>
      <c r="H323" s="54">
        <v>0</v>
      </c>
      <c r="I323" s="54">
        <f>F323*(($I$89)+1)+H323</f>
        <v>4621.5018719999989</v>
      </c>
      <c r="J323" s="1"/>
      <c r="K323" s="1"/>
      <c r="L323" s="1"/>
      <c r="M323" s="1"/>
      <c r="N323" s="1"/>
      <c r="O323" s="1"/>
      <c r="P323" s="1"/>
      <c r="Q323" s="1"/>
      <c r="R323" s="1"/>
      <c r="S323" s="1"/>
      <c r="T323" s="1"/>
      <c r="U323" s="40" t="e">
        <f>V323&amp;""&amp;",..,"&amp;""&amp;W323</f>
        <v>#REF!</v>
      </c>
      <c r="V323" s="40" t="e">
        <f>#REF!+1</f>
        <v>#REF!</v>
      </c>
      <c r="W323" s="40" t="e">
        <f>#REF!+1</f>
        <v>#REF!</v>
      </c>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40.5" hidden="1" customHeight="1" x14ac:dyDescent="0.25">
      <c r="A324" s="66"/>
      <c r="B324" s="67"/>
      <c r="C324" s="70">
        <v>4</v>
      </c>
      <c r="D324" s="71"/>
      <c r="E324" s="54" t="s">
        <v>257</v>
      </c>
      <c r="F324" s="70">
        <f>(433.31+(0.6*(6.8+3.36+3.36+6.8+6.55+3.05+3.35+12.61)))*10.764</f>
        <v>4960.4602320000004</v>
      </c>
      <c r="G324" s="71"/>
      <c r="H324" s="54">
        <v>0</v>
      </c>
      <c r="I324" s="54">
        <f>F324*(($I$89)+1)+H324</f>
        <v>7440.6903480000001</v>
      </c>
      <c r="J324" s="1"/>
      <c r="K324" s="1"/>
      <c r="L324" s="1"/>
      <c r="M324" s="1"/>
      <c r="N324" s="1"/>
      <c r="O324" s="1"/>
      <c r="P324" s="1"/>
      <c r="Q324" s="1"/>
      <c r="R324" s="1"/>
      <c r="S324" s="1"/>
      <c r="T324" s="1"/>
      <c r="U324" s="40" t="e">
        <f>V324&amp;""&amp;",..,"&amp;""&amp;W324</f>
        <v>#REF!</v>
      </c>
      <c r="V324" s="40" t="e">
        <f t="shared" ref="V324:W324" si="51">V323+1</f>
        <v>#REF!</v>
      </c>
      <c r="W324" s="40" t="e">
        <f t="shared" si="51"/>
        <v>#REF!</v>
      </c>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39.75" hidden="1" customHeight="1" x14ac:dyDescent="0.25">
      <c r="A325" s="68"/>
      <c r="B325" s="69"/>
      <c r="C325" s="70">
        <v>6</v>
      </c>
      <c r="D325" s="71"/>
      <c r="E325" s="48" t="s">
        <v>256</v>
      </c>
      <c r="F325" s="70">
        <f>(273.09+(0.6*(3+3.4+4.26+3.05+4.26+4.8)))*10.764</f>
        <v>3086.5985279999991</v>
      </c>
      <c r="G325" s="71"/>
      <c r="H325" s="54">
        <v>0</v>
      </c>
      <c r="I325" s="54">
        <f>F325*(($I$89)+1)+H325</f>
        <v>4629.8977919999988</v>
      </c>
      <c r="J325" s="1"/>
      <c r="K325" s="1"/>
      <c r="L325" s="1"/>
      <c r="M325" s="1"/>
      <c r="N325" s="1"/>
      <c r="O325" s="1"/>
      <c r="P325" s="1"/>
      <c r="Q325" s="1"/>
      <c r="R325" s="1"/>
      <c r="S325" s="1"/>
      <c r="T325" s="1"/>
      <c r="U325" s="40" t="e">
        <f>V325&amp;""&amp;",..,"&amp;""&amp;W325</f>
        <v>#REF!</v>
      </c>
      <c r="V325" s="40" t="e">
        <f>#REF!+1</f>
        <v>#REF!</v>
      </c>
      <c r="W325" s="40" t="e">
        <f>#REF!+1</f>
        <v>#REF!</v>
      </c>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hidden="1" x14ac:dyDescent="0.25">
      <c r="A326" s="61" t="s">
        <v>302</v>
      </c>
      <c r="B326" s="62"/>
      <c r="C326" s="62"/>
      <c r="D326" s="62"/>
      <c r="E326" s="62"/>
      <c r="F326" s="62"/>
      <c r="G326" s="62"/>
      <c r="H326" s="62"/>
      <c r="I326" s="63"/>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0.25" hidden="1" customHeight="1" x14ac:dyDescent="0.25">
      <c r="A327" s="64" t="str">
        <f>A326</f>
        <v xml:space="preserve">51st Floor </v>
      </c>
      <c r="B327" s="65"/>
      <c r="C327" s="70">
        <v>1</v>
      </c>
      <c r="D327" s="71"/>
      <c r="E327" s="54" t="s">
        <v>251</v>
      </c>
      <c r="F327" s="70">
        <f>(175.1+(0.6*(3.05+3.31+1.8+3.31+3.05)))*10.764</f>
        <v>1978.5523679999997</v>
      </c>
      <c r="G327" s="71"/>
      <c r="H327" s="54">
        <v>0</v>
      </c>
      <c r="I327" s="54">
        <f>F327*(($I$89)+1)+H327</f>
        <v>2967.8285519999995</v>
      </c>
      <c r="J327" s="1"/>
      <c r="K327" s="1"/>
      <c r="L327" s="1"/>
      <c r="M327" s="1"/>
      <c r="N327" s="1"/>
      <c r="O327" s="1"/>
      <c r="P327" s="1"/>
      <c r="Q327" s="1"/>
      <c r="R327" s="1"/>
      <c r="S327" s="1"/>
      <c r="T327" s="1"/>
      <c r="U327" s="40" t="str">
        <f t="shared" ref="U327:U330" ca="1" si="52">V327&amp;""&amp;",..,"&amp;""&amp;W327</f>
        <v>501,..,5101</v>
      </c>
      <c r="V327" s="40">
        <f ca="1">(SUMPRODUCT(MID(0&amp;(LEFT(A326,SUM(LEN(A326)-LEN(SUBSTITUTE(A326,{"0","1","2","3"},""))))), LARGE(INDEX(ISNUMBER(--MID((LEFT(A326,SUM(LEN(A326)-LEN(SUBSTITUTE(A326,{"0","1","2","3"},""))))), ROW(INDIRECT("1:"&amp;LEN((LEFT(A326,SUM(LEN(A326)-LEN(SUBSTITUTE(A326,{"0","1","2","3"},"")))))))), 1)) * ROW(INDIRECT("1:"&amp;LEN((LEFT(A326,SUM(LEN(A326)-LEN(SUBSTITUTE(A326,{"0","1","2","3"},"")))))))), 0), ROW(INDIRECT("1:"&amp;LEN((LEFT(A326,SUM(LEN(A326)-LEN(SUBSTITUTE(A326,{"0","1","2","3"},"")))))))))+1, 1) * 10^ROW(INDIRECT("1:"&amp;LEN((LEFT(A326,SUM(LEN(A326)-LEN(SUBSTITUTE(A326,{"0","1","2","3"},""))))))))/10))*100+1</f>
        <v>501</v>
      </c>
      <c r="W327" s="40">
        <f ca="1">(SUMPRODUCT(MID(0&amp;(--TRIM(RIGHT(SUBSTITUTE(LEFT(A326,_xlfn.AGGREGATE(16,6,FIND({0,1,2,3,4,5,6,7,8,9},A326,ROW(INDIRECT("1:"&amp;LEN(A326)))),1))," ",REPT(" ",LEN(A326))),LEN(A326)))), LARGE(INDEX(ISNUMBER(--MID((--TRIM(RIGHT(SUBSTITUTE(LEFT(A326,_xlfn.AGGREGATE(16,6,FIND({0,1,2,3,4,5,6,7,8,9},A326,ROW(INDIRECT("1:"&amp;LEN(A326)))),1))," ",REPT(" ",LEN(A326))),LEN(A326)))), ROW(INDIRECT("1:"&amp;LEN((--TRIM(RIGHT(SUBSTITUTE(LEFT(A326,_xlfn.AGGREGATE(16,6,FIND({0,1,2,3,4,5,6,7,8,9},A326,ROW(INDIRECT("1:"&amp;LEN(A326)))),1))," ",REPT(" ",LEN(A326))),LEN(A326))))))), 1)) * ROW(INDIRECT("1:"&amp;LEN((--TRIM(RIGHT(SUBSTITUTE(LEFT(A326,_xlfn.AGGREGATE(16,6,FIND({0,1,2,3,4,5,6,7,8,9},A326,ROW(INDIRECT("1:"&amp;LEN(A326)))),1))," ",REPT(" ",LEN(A326))),LEN(A326))))))), 0), ROW(INDIRECT("1:"&amp;LEN((--TRIM(RIGHT(SUBSTITUTE(LEFT(A326,_xlfn.AGGREGATE(16,6,FIND({0,1,2,3,4,5,6,7,8,9},A326,ROW(INDIRECT("1:"&amp;LEN(A326)))),1))," ",REPT(" ",LEN(A326))),LEN(A326))))))))+1, 1) * 10^ROW(INDIRECT("1:"&amp;LEN((--TRIM(RIGHT(SUBSTITUTE(LEFT(A326,_xlfn.AGGREGATE(16,6,FIND({0,1,2,3,4,5,6,7,8,9},A326,ROW(INDIRECT("1:"&amp;LEN(A326)))),1))," ",REPT(" ",LEN(A326))),LEN(A326)))))))/10))*100+1</f>
        <v>5101</v>
      </c>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0.25" hidden="1" customHeight="1" x14ac:dyDescent="0.25">
      <c r="A328" s="66"/>
      <c r="B328" s="67"/>
      <c r="C328" s="70">
        <v>3</v>
      </c>
      <c r="D328" s="71"/>
      <c r="E328" s="70" t="s">
        <v>258</v>
      </c>
      <c r="F328" s="72"/>
      <c r="G328" s="72"/>
      <c r="H328" s="72"/>
      <c r="I328" s="71"/>
      <c r="J328" s="1"/>
      <c r="K328" s="1"/>
      <c r="L328" s="1"/>
      <c r="M328" s="1"/>
      <c r="N328" s="1"/>
      <c r="O328" s="1"/>
      <c r="P328" s="1"/>
      <c r="Q328" s="1"/>
      <c r="R328" s="1"/>
      <c r="S328" s="1"/>
      <c r="T328" s="1"/>
      <c r="U328" s="40" t="e">
        <f t="shared" si="52"/>
        <v>#REF!</v>
      </c>
      <c r="V328" s="40" t="e">
        <f>#REF!+1</f>
        <v>#REF!</v>
      </c>
      <c r="W328" s="40" t="e">
        <f>#REF!+1</f>
        <v>#REF!</v>
      </c>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0.25" hidden="1" customHeight="1" x14ac:dyDescent="0.25">
      <c r="A329" s="66"/>
      <c r="B329" s="67"/>
      <c r="C329" s="70">
        <v>4</v>
      </c>
      <c r="D329" s="71"/>
      <c r="E329" s="70" t="s">
        <v>303</v>
      </c>
      <c r="F329" s="72">
        <f>(191.58+(0.6*(3.35+3.05+3.82+2.74)))*10.764</f>
        <v>2145.867984</v>
      </c>
      <c r="G329" s="72"/>
      <c r="H329" s="72">
        <v>0</v>
      </c>
      <c r="I329" s="71">
        <f>F329*(($I$89)+1)+H329</f>
        <v>3218.8019759999997</v>
      </c>
      <c r="J329" s="1"/>
      <c r="K329" s="1"/>
      <c r="L329" s="1"/>
      <c r="M329" s="1"/>
      <c r="N329" s="1"/>
      <c r="O329" s="1"/>
      <c r="P329" s="1"/>
      <c r="Q329" s="1"/>
      <c r="R329" s="1"/>
      <c r="S329" s="1"/>
      <c r="T329" s="1"/>
      <c r="U329" s="40" t="e">
        <f t="shared" si="52"/>
        <v>#REF!</v>
      </c>
      <c r="V329" s="40" t="e">
        <f t="shared" ref="V329:W329" si="53">V328+1</f>
        <v>#REF!</v>
      </c>
      <c r="W329" s="40" t="e">
        <f t="shared" si="53"/>
        <v>#REF!</v>
      </c>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0.25" hidden="1" customHeight="1" x14ac:dyDescent="0.25">
      <c r="A330" s="68"/>
      <c r="B330" s="69"/>
      <c r="C330" s="70">
        <v>6</v>
      </c>
      <c r="D330" s="71"/>
      <c r="E330" s="70" t="s">
        <v>258</v>
      </c>
      <c r="F330" s="72">
        <f>(273.09+(0.6*(3+3.4+4.26+3.05+4.26+4.8)))*10.764</f>
        <v>3086.5985279999991</v>
      </c>
      <c r="G330" s="72"/>
      <c r="H330" s="72">
        <v>0</v>
      </c>
      <c r="I330" s="71">
        <f>F330*(($I$89)+1)+H330</f>
        <v>4629.8977919999988</v>
      </c>
      <c r="J330" s="1"/>
      <c r="K330" s="1"/>
      <c r="L330" s="1"/>
      <c r="M330" s="1"/>
      <c r="N330" s="1"/>
      <c r="O330" s="1"/>
      <c r="P330" s="1"/>
      <c r="Q330" s="1"/>
      <c r="R330" s="1"/>
      <c r="S330" s="1"/>
      <c r="T330" s="1"/>
      <c r="U330" s="40" t="e">
        <f t="shared" si="52"/>
        <v>#REF!</v>
      </c>
      <c r="V330" s="40" t="e">
        <f>#REF!+1</f>
        <v>#REF!</v>
      </c>
      <c r="W330" s="40" t="e">
        <f>#REF!+1</f>
        <v>#REF!</v>
      </c>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ht="20.25" x14ac:dyDescent="0.25">
      <c r="A331" s="83" t="s">
        <v>75</v>
      </c>
      <c r="B331" s="83"/>
      <c r="C331" s="83"/>
      <c r="D331" s="83"/>
      <c r="E331" s="83"/>
      <c r="F331" s="83"/>
      <c r="G331" s="83"/>
      <c r="H331" s="83"/>
      <c r="I331" s="83"/>
    </row>
    <row r="332" spans="1:151 16227:16384" ht="124.5" customHeight="1" x14ac:dyDescent="0.25">
      <c r="A332" s="9" t="s">
        <v>83</v>
      </c>
      <c r="B332" s="12" t="s">
        <v>4</v>
      </c>
      <c r="C332" s="73" t="s">
        <v>325</v>
      </c>
      <c r="D332" s="73"/>
      <c r="E332" s="73"/>
      <c r="F332" s="73"/>
      <c r="G332" s="73"/>
      <c r="H332" s="73"/>
      <c r="I332" s="73"/>
      <c r="J332" s="1" t="s">
        <v>310</v>
      </c>
    </row>
    <row r="333" spans="1:151 16227:16384" ht="20.25" x14ac:dyDescent="0.25">
      <c r="A333" s="111" t="s">
        <v>249</v>
      </c>
      <c r="B333" s="111"/>
      <c r="C333" s="111"/>
      <c r="D333" s="111"/>
      <c r="E333" s="111"/>
      <c r="F333" s="111"/>
      <c r="G333" s="111"/>
      <c r="H333" s="111"/>
      <c r="I333" s="111"/>
    </row>
    <row r="334" spans="1:151 16227:16384" ht="20.25" x14ac:dyDescent="0.25">
      <c r="A334" s="87" t="s">
        <v>76</v>
      </c>
      <c r="B334" s="87"/>
      <c r="C334" s="87"/>
      <c r="D334" s="2" t="s">
        <v>4</v>
      </c>
      <c r="E334" s="74" t="str">
        <f>E3</f>
        <v>The Address By GS Tower  C</v>
      </c>
      <c r="F334" s="75"/>
      <c r="G334" s="75"/>
      <c r="H334" s="75"/>
      <c r="I334" s="76"/>
    </row>
    <row r="335" spans="1:151 16227:16384" ht="40.5" customHeight="1" x14ac:dyDescent="0.25">
      <c r="A335" s="87" t="s">
        <v>134</v>
      </c>
      <c r="B335" s="87"/>
      <c r="C335" s="87"/>
      <c r="D335" s="2" t="s">
        <v>4</v>
      </c>
      <c r="E335" s="74" t="str">
        <f>E9</f>
        <v>Invictus &amp; The Address By GS Tower C, Survey No.65, 66, 118/1, 118/2,
119/A/1/A, 119/A/1/B, 119/A/2, 119-B, 120/1/3, 131/A1, 131/B, 132/2, 133/A,
133/B &amp; 138/1/A, near Raymond Head Office, Raymond Realty Road, J K Gram,
Panchpakhadi, Thane West, Thane, Thane - 400606.</v>
      </c>
      <c r="F335" s="75"/>
      <c r="G335" s="75"/>
      <c r="H335" s="75"/>
      <c r="I335" s="76"/>
    </row>
    <row r="336" spans="1:151 16227:16384" ht="20.25" customHeight="1" x14ac:dyDescent="0.25">
      <c r="A336" s="121" t="s">
        <v>140</v>
      </c>
      <c r="B336" s="121"/>
      <c r="C336" s="121"/>
      <c r="D336" s="16" t="s">
        <v>4</v>
      </c>
      <c r="E336" s="122" t="str">
        <f>I3</f>
        <v>03/07/2025 at 01:32PM</v>
      </c>
      <c r="F336" s="123"/>
      <c r="G336" s="123"/>
      <c r="H336" s="123"/>
      <c r="I336" s="124"/>
    </row>
    <row r="337" spans="1:9" ht="20.25" x14ac:dyDescent="0.25">
      <c r="A337" s="28"/>
      <c r="B337" s="29"/>
      <c r="C337" s="29"/>
      <c r="D337" s="29"/>
      <c r="E337" s="29"/>
      <c r="F337" s="29"/>
      <c r="G337" s="29"/>
      <c r="H337" s="29"/>
      <c r="I337" s="25"/>
    </row>
    <row r="338" spans="1:9" ht="20.25" x14ac:dyDescent="0.25">
      <c r="A338" s="30"/>
      <c r="B338" s="31"/>
      <c r="C338" s="31"/>
      <c r="D338" s="31"/>
      <c r="E338" s="31"/>
      <c r="F338" s="31"/>
      <c r="G338" s="31"/>
      <c r="H338" s="31"/>
      <c r="I338" s="26"/>
    </row>
    <row r="339" spans="1:9" ht="20.25" x14ac:dyDescent="0.25">
      <c r="A339" s="30"/>
      <c r="B339" s="31"/>
      <c r="C339" s="31"/>
      <c r="D339" s="31"/>
      <c r="E339" s="31"/>
      <c r="F339" s="31"/>
      <c r="G339" s="31"/>
      <c r="H339" s="31"/>
      <c r="I339" s="26"/>
    </row>
    <row r="340" spans="1:9" ht="20.25" x14ac:dyDescent="0.25">
      <c r="A340" s="30"/>
      <c r="B340" s="31"/>
      <c r="C340" s="31"/>
      <c r="D340" s="31"/>
      <c r="E340" s="31"/>
      <c r="F340" s="31"/>
      <c r="G340" s="31"/>
      <c r="H340" s="31"/>
      <c r="I340" s="26"/>
    </row>
    <row r="341" spans="1:9" ht="20.25" x14ac:dyDescent="0.25">
      <c r="A341" s="30"/>
      <c r="B341" s="31"/>
      <c r="C341" s="31"/>
      <c r="D341" s="31"/>
      <c r="E341" s="31"/>
      <c r="F341" s="31"/>
      <c r="G341" s="31"/>
      <c r="H341" s="31"/>
      <c r="I341" s="26"/>
    </row>
    <row r="342" spans="1:9" ht="20.25" x14ac:dyDescent="0.25">
      <c r="A342" s="30"/>
      <c r="B342" s="31"/>
      <c r="C342" s="31"/>
      <c r="D342" s="31"/>
      <c r="E342" s="31"/>
      <c r="F342" s="31"/>
      <c r="G342" s="31"/>
      <c r="H342" s="31"/>
      <c r="I342" s="26"/>
    </row>
    <row r="343" spans="1:9" ht="20.25" x14ac:dyDescent="0.25">
      <c r="A343" s="30"/>
      <c r="B343" s="31"/>
      <c r="C343" s="31"/>
      <c r="D343" s="31"/>
      <c r="E343" s="31"/>
      <c r="F343" s="31"/>
      <c r="G343" s="31"/>
      <c r="H343" s="31"/>
      <c r="I343" s="26"/>
    </row>
    <row r="344" spans="1:9" ht="20.25" x14ac:dyDescent="0.25">
      <c r="A344" s="30"/>
      <c r="B344" s="31"/>
      <c r="C344" s="31"/>
      <c r="D344" s="31"/>
      <c r="E344" s="31"/>
      <c r="F344" s="31"/>
      <c r="G344" s="31"/>
      <c r="H344" s="31"/>
      <c r="I344" s="26"/>
    </row>
    <row r="345" spans="1:9" ht="20.25" x14ac:dyDescent="0.25">
      <c r="A345" s="30"/>
      <c r="B345" s="31"/>
      <c r="C345" s="31"/>
      <c r="D345" s="31"/>
      <c r="E345" s="31"/>
      <c r="F345" s="31"/>
      <c r="G345" s="31"/>
      <c r="H345" s="31"/>
      <c r="I345" s="26"/>
    </row>
    <row r="346" spans="1:9" ht="20.25" x14ac:dyDescent="0.25">
      <c r="A346" s="30"/>
      <c r="B346" s="31"/>
      <c r="C346" s="31"/>
      <c r="D346" s="31"/>
      <c r="E346" s="31"/>
      <c r="F346" s="31"/>
      <c r="G346" s="31"/>
      <c r="H346" s="31"/>
      <c r="I346" s="26"/>
    </row>
    <row r="347" spans="1:9" ht="20.25" x14ac:dyDescent="0.25">
      <c r="A347" s="30"/>
      <c r="B347" s="31"/>
      <c r="C347" s="31"/>
      <c r="D347" s="31"/>
      <c r="E347" s="31"/>
      <c r="F347" s="31"/>
      <c r="G347" s="31"/>
      <c r="H347" s="31"/>
      <c r="I347" s="26"/>
    </row>
    <row r="348" spans="1:9" ht="20.25" x14ac:dyDescent="0.25">
      <c r="A348" s="30"/>
      <c r="B348" s="31"/>
      <c r="C348" s="31"/>
      <c r="D348" s="31"/>
      <c r="E348" s="31"/>
      <c r="F348" s="31"/>
      <c r="G348" s="31"/>
      <c r="H348" s="31"/>
      <c r="I348" s="26"/>
    </row>
    <row r="349" spans="1:9" ht="20.25" x14ac:dyDescent="0.25">
      <c r="A349" s="30"/>
      <c r="B349" s="31"/>
      <c r="C349" s="31"/>
      <c r="D349" s="31"/>
      <c r="E349" s="31"/>
      <c r="F349" s="31"/>
      <c r="G349" s="31"/>
      <c r="H349" s="31"/>
      <c r="I349" s="26"/>
    </row>
    <row r="350" spans="1:9" ht="20.25" x14ac:dyDescent="0.25">
      <c r="A350" s="30"/>
      <c r="B350" s="31"/>
      <c r="C350" s="31"/>
      <c r="D350" s="31"/>
      <c r="E350" s="31"/>
      <c r="F350" s="31"/>
      <c r="G350" s="31"/>
      <c r="H350" s="31"/>
      <c r="I350" s="26"/>
    </row>
    <row r="351" spans="1:9" ht="20.25" x14ac:dyDescent="0.25">
      <c r="A351" s="30"/>
      <c r="B351" s="31"/>
      <c r="C351" s="31"/>
      <c r="D351" s="31"/>
      <c r="E351" s="31"/>
      <c r="F351" s="31"/>
      <c r="G351" s="31"/>
      <c r="H351" s="31"/>
      <c r="I351" s="26"/>
    </row>
    <row r="352" spans="1:9" ht="20.25" x14ac:dyDescent="0.25">
      <c r="A352" s="30"/>
      <c r="B352" s="31"/>
      <c r="C352" s="31"/>
      <c r="D352" s="31"/>
      <c r="E352" s="31"/>
      <c r="F352" s="31"/>
      <c r="G352" s="31"/>
      <c r="H352" s="31"/>
      <c r="I352" s="26"/>
    </row>
    <row r="353" spans="1:9" ht="20.25" x14ac:dyDescent="0.25">
      <c r="A353" s="30"/>
      <c r="B353" s="31"/>
      <c r="C353" s="31"/>
      <c r="D353" s="31"/>
      <c r="E353" s="31"/>
      <c r="F353" s="31"/>
      <c r="G353" s="31"/>
      <c r="H353" s="31"/>
      <c r="I353" s="26"/>
    </row>
    <row r="354" spans="1:9" ht="20.25" x14ac:dyDescent="0.25">
      <c r="A354" s="30"/>
      <c r="B354" s="31"/>
      <c r="C354" s="31"/>
      <c r="D354" s="31"/>
      <c r="E354" s="31"/>
      <c r="F354" s="31"/>
      <c r="G354" s="31"/>
      <c r="H354" s="31"/>
      <c r="I354" s="26"/>
    </row>
    <row r="355" spans="1:9" ht="20.25" x14ac:dyDescent="0.25">
      <c r="A355" s="30"/>
      <c r="B355" s="31"/>
      <c r="C355" s="31"/>
      <c r="D355" s="31"/>
      <c r="E355" s="31"/>
      <c r="F355" s="31"/>
      <c r="G355" s="31"/>
      <c r="H355" s="31"/>
      <c r="I355" s="26"/>
    </row>
    <row r="356" spans="1:9" ht="20.25" x14ac:dyDescent="0.25">
      <c r="A356" s="30"/>
      <c r="B356" s="31"/>
      <c r="C356" s="31"/>
      <c r="D356" s="31"/>
      <c r="E356" s="31"/>
      <c r="F356" s="31"/>
      <c r="G356" s="31"/>
      <c r="H356" s="31"/>
      <c r="I356" s="26"/>
    </row>
    <row r="357" spans="1:9" ht="20.25" x14ac:dyDescent="0.25">
      <c r="A357" s="30"/>
      <c r="B357" s="31"/>
      <c r="C357" s="31"/>
      <c r="D357" s="31"/>
      <c r="E357" s="31"/>
      <c r="F357" s="31"/>
      <c r="G357" s="31"/>
      <c r="H357" s="31"/>
      <c r="I357" s="26"/>
    </row>
    <row r="358" spans="1:9" ht="20.25" x14ac:dyDescent="0.25">
      <c r="A358" s="30"/>
      <c r="B358" s="31"/>
      <c r="C358" s="31"/>
      <c r="D358" s="31"/>
      <c r="E358" s="31"/>
      <c r="F358" s="31"/>
      <c r="G358" s="31"/>
      <c r="H358" s="31"/>
      <c r="I358" s="26"/>
    </row>
    <row r="359" spans="1:9" ht="20.25" x14ac:dyDescent="0.25">
      <c r="A359" s="30"/>
      <c r="B359" s="31"/>
      <c r="C359" s="31"/>
      <c r="D359" s="31"/>
      <c r="E359" s="31"/>
      <c r="F359" s="31"/>
      <c r="G359" s="31"/>
      <c r="H359" s="31"/>
      <c r="I359" s="26"/>
    </row>
    <row r="360" spans="1:9" ht="20.25" x14ac:dyDescent="0.25">
      <c r="A360" s="30"/>
      <c r="B360" s="31"/>
      <c r="C360" s="31"/>
      <c r="D360" s="31"/>
      <c r="E360" s="31"/>
      <c r="F360" s="31"/>
      <c r="G360" s="31"/>
      <c r="H360" s="31"/>
      <c r="I360" s="26"/>
    </row>
    <row r="361" spans="1:9" ht="20.25" x14ac:dyDescent="0.25">
      <c r="A361" s="30"/>
      <c r="B361" s="31"/>
      <c r="C361" s="31"/>
      <c r="D361" s="31"/>
      <c r="E361" s="31"/>
      <c r="F361" s="31"/>
      <c r="G361" s="31"/>
      <c r="H361" s="31"/>
      <c r="I361" s="26"/>
    </row>
    <row r="362" spans="1:9" ht="20.25" x14ac:dyDescent="0.25">
      <c r="A362" s="30"/>
      <c r="B362" s="31"/>
      <c r="C362" s="31"/>
      <c r="D362" s="31"/>
      <c r="E362" s="31"/>
      <c r="F362" s="31"/>
      <c r="G362" s="31"/>
      <c r="H362" s="31"/>
      <c r="I362" s="26"/>
    </row>
    <row r="363" spans="1:9" ht="20.25" x14ac:dyDescent="0.25">
      <c r="A363" s="30"/>
      <c r="B363" s="31"/>
      <c r="C363" s="31"/>
      <c r="D363" s="31"/>
      <c r="E363" s="31"/>
      <c r="F363" s="31"/>
      <c r="G363" s="31"/>
      <c r="H363" s="31"/>
      <c r="I363" s="26"/>
    </row>
    <row r="364" spans="1:9" ht="20.25" x14ac:dyDescent="0.25">
      <c r="A364" s="30"/>
      <c r="B364" s="31"/>
      <c r="C364" s="31"/>
      <c r="D364" s="31"/>
      <c r="E364" s="31"/>
      <c r="F364" s="31"/>
      <c r="G364" s="31"/>
      <c r="H364" s="31"/>
      <c r="I364" s="26"/>
    </row>
    <row r="365" spans="1:9" ht="20.25" x14ac:dyDescent="0.25">
      <c r="A365" s="30"/>
      <c r="B365" s="31"/>
      <c r="C365" s="31"/>
      <c r="D365" s="31"/>
      <c r="E365" s="31"/>
      <c r="F365" s="31"/>
      <c r="G365" s="31"/>
      <c r="H365" s="31"/>
      <c r="I365" s="26"/>
    </row>
    <row r="366" spans="1:9" ht="20.25" x14ac:dyDescent="0.25">
      <c r="A366" s="30"/>
      <c r="B366" s="31"/>
      <c r="C366" s="31"/>
      <c r="D366" s="31"/>
      <c r="E366" s="31"/>
      <c r="F366" s="31"/>
      <c r="G366" s="31"/>
      <c r="H366" s="31"/>
      <c r="I366" s="26"/>
    </row>
    <row r="367" spans="1:9" ht="20.25" x14ac:dyDescent="0.25">
      <c r="A367" s="30"/>
      <c r="B367" s="31"/>
      <c r="C367" s="31"/>
      <c r="D367" s="31"/>
      <c r="E367" s="31"/>
      <c r="F367" s="31"/>
      <c r="G367" s="31"/>
      <c r="H367" s="31"/>
      <c r="I367" s="26"/>
    </row>
    <row r="368" spans="1:9" ht="20.25" x14ac:dyDescent="0.25">
      <c r="A368" s="30"/>
      <c r="B368" s="31"/>
      <c r="C368" s="31"/>
      <c r="D368" s="31"/>
      <c r="E368" s="31"/>
      <c r="F368" s="31"/>
      <c r="G368" s="31"/>
      <c r="H368" s="31"/>
      <c r="I368" s="26"/>
    </row>
    <row r="369" spans="1:9" ht="20.25" x14ac:dyDescent="0.25">
      <c r="A369" s="30"/>
      <c r="B369" s="31"/>
      <c r="C369" s="31"/>
      <c r="D369" s="31"/>
      <c r="E369" s="31"/>
      <c r="F369" s="31"/>
      <c r="G369" s="31"/>
      <c r="H369" s="31"/>
      <c r="I369" s="26"/>
    </row>
    <row r="370" spans="1:9" ht="20.25" x14ac:dyDescent="0.25">
      <c r="A370" s="30"/>
      <c r="B370" s="31"/>
      <c r="C370" s="31"/>
      <c r="D370" s="31"/>
      <c r="E370" s="31"/>
      <c r="F370" s="31"/>
      <c r="G370" s="31"/>
      <c r="H370" s="31"/>
      <c r="I370" s="26"/>
    </row>
    <row r="371" spans="1:9" ht="20.25" x14ac:dyDescent="0.25">
      <c r="A371" s="30"/>
      <c r="B371" s="31"/>
      <c r="C371" s="31"/>
      <c r="D371" s="31"/>
      <c r="E371" s="31"/>
      <c r="F371" s="31"/>
      <c r="G371" s="31"/>
      <c r="H371" s="31"/>
      <c r="I371" s="26"/>
    </row>
    <row r="372" spans="1:9" ht="20.25" x14ac:dyDescent="0.25">
      <c r="A372" s="30"/>
      <c r="B372" s="31"/>
      <c r="C372" s="31"/>
      <c r="D372" s="31"/>
      <c r="E372" s="31"/>
      <c r="F372" s="31"/>
      <c r="G372" s="31"/>
      <c r="H372" s="31"/>
      <c r="I372" s="26"/>
    </row>
    <row r="373" spans="1:9" ht="20.25" x14ac:dyDescent="0.25">
      <c r="A373" s="30"/>
      <c r="B373" s="31"/>
      <c r="C373" s="31"/>
      <c r="D373" s="31"/>
      <c r="E373" s="31"/>
      <c r="F373" s="31"/>
      <c r="G373" s="31"/>
      <c r="H373" s="31"/>
      <c r="I373" s="26"/>
    </row>
    <row r="374" spans="1:9" ht="20.25" x14ac:dyDescent="0.25">
      <c r="A374" s="30"/>
      <c r="B374" s="31"/>
      <c r="C374" s="31"/>
      <c r="D374" s="31"/>
      <c r="E374" s="31"/>
      <c r="F374" s="31"/>
      <c r="G374" s="31"/>
      <c r="H374" s="31"/>
      <c r="I374" s="26"/>
    </row>
    <row r="375" spans="1:9" ht="20.25" x14ac:dyDescent="0.25">
      <c r="A375" s="30"/>
      <c r="B375" s="31"/>
      <c r="C375" s="31"/>
      <c r="D375" s="31"/>
      <c r="E375" s="31"/>
      <c r="F375" s="31"/>
      <c r="G375" s="31"/>
      <c r="H375" s="31"/>
      <c r="I375" s="26"/>
    </row>
    <row r="376" spans="1:9" ht="20.25" x14ac:dyDescent="0.25">
      <c r="A376" s="84" t="s">
        <v>84</v>
      </c>
      <c r="B376" s="85"/>
      <c r="C376" s="85"/>
      <c r="D376" s="85"/>
      <c r="E376" s="85"/>
      <c r="F376" s="85"/>
      <c r="G376" s="85"/>
      <c r="H376" s="85"/>
      <c r="I376" s="86"/>
    </row>
    <row r="377" spans="1:9" ht="20.25" x14ac:dyDescent="0.25">
      <c r="A377" s="28"/>
      <c r="B377" s="29"/>
      <c r="C377" s="29"/>
      <c r="D377" s="29"/>
      <c r="E377" s="29"/>
      <c r="F377" s="29"/>
      <c r="G377" s="29"/>
      <c r="H377" s="29"/>
      <c r="I377" s="25"/>
    </row>
    <row r="378" spans="1:9" ht="20.25" x14ac:dyDescent="0.25">
      <c r="A378" s="30"/>
      <c r="B378" s="31"/>
      <c r="C378" s="31"/>
      <c r="D378" s="31"/>
      <c r="E378" s="31"/>
      <c r="F378" s="31"/>
      <c r="G378" s="31"/>
      <c r="H378" s="31"/>
      <c r="I378" s="26"/>
    </row>
    <row r="379" spans="1:9" ht="20.25" x14ac:dyDescent="0.25">
      <c r="A379" s="30"/>
      <c r="B379" s="31"/>
      <c r="C379" s="31"/>
      <c r="D379" s="31"/>
      <c r="E379" s="31"/>
      <c r="F379" s="31"/>
      <c r="G379" s="31"/>
      <c r="H379" s="31"/>
      <c r="I379" s="26"/>
    </row>
    <row r="380" spans="1:9" ht="20.25" x14ac:dyDescent="0.25">
      <c r="A380" s="30"/>
      <c r="B380" s="31"/>
      <c r="C380" s="31"/>
      <c r="D380" s="31"/>
      <c r="E380" s="31"/>
      <c r="F380" s="31"/>
      <c r="G380" s="31"/>
      <c r="H380" s="31"/>
      <c r="I380" s="26"/>
    </row>
    <row r="381" spans="1:9" ht="20.25" x14ac:dyDescent="0.25">
      <c r="A381" s="30"/>
      <c r="B381" s="31"/>
      <c r="C381" s="31"/>
      <c r="D381" s="31"/>
      <c r="E381" s="31"/>
      <c r="F381" s="31"/>
      <c r="G381" s="31"/>
      <c r="H381" s="31"/>
      <c r="I381" s="26"/>
    </row>
    <row r="382" spans="1:9" ht="20.25" x14ac:dyDescent="0.25">
      <c r="A382" s="30"/>
      <c r="B382" s="31"/>
      <c r="C382" s="31"/>
      <c r="D382" s="31"/>
      <c r="E382" s="31"/>
      <c r="F382" s="31"/>
      <c r="G382" s="31"/>
      <c r="H382" s="31"/>
      <c r="I382" s="26"/>
    </row>
    <row r="383" spans="1:9" ht="20.25" x14ac:dyDescent="0.25">
      <c r="A383" s="30"/>
      <c r="B383" s="31"/>
      <c r="C383" s="31"/>
      <c r="D383" s="31"/>
      <c r="E383" s="31"/>
      <c r="F383" s="31"/>
      <c r="G383" s="31"/>
      <c r="H383" s="31"/>
      <c r="I383" s="26"/>
    </row>
    <row r="384" spans="1:9" ht="20.25" x14ac:dyDescent="0.25">
      <c r="A384" s="30"/>
      <c r="B384" s="31"/>
      <c r="C384" s="31"/>
      <c r="D384" s="31"/>
      <c r="E384" s="31"/>
      <c r="F384" s="31"/>
      <c r="G384" s="31"/>
      <c r="H384" s="31"/>
      <c r="I384" s="26"/>
    </row>
    <row r="385" spans="1:9" ht="20.25" x14ac:dyDescent="0.25">
      <c r="A385" s="30"/>
      <c r="B385" s="31"/>
      <c r="C385" s="31"/>
      <c r="D385" s="31"/>
      <c r="E385" s="31"/>
      <c r="F385" s="31"/>
      <c r="G385" s="31"/>
      <c r="H385" s="31"/>
      <c r="I385" s="26"/>
    </row>
    <row r="386" spans="1:9" ht="20.25" x14ac:dyDescent="0.25">
      <c r="A386" s="30"/>
      <c r="B386" s="31"/>
      <c r="C386" s="31"/>
      <c r="D386" s="31"/>
      <c r="E386" s="31"/>
      <c r="F386" s="31"/>
      <c r="G386" s="31"/>
      <c r="H386" s="31"/>
      <c r="I386" s="26"/>
    </row>
    <row r="387" spans="1:9" ht="20.25" x14ac:dyDescent="0.25">
      <c r="A387" s="30"/>
      <c r="B387" s="31"/>
      <c r="C387" s="31"/>
      <c r="D387" s="31"/>
      <c r="E387" s="31"/>
      <c r="F387" s="31"/>
      <c r="G387" s="31"/>
      <c r="H387" s="31"/>
      <c r="I387" s="26"/>
    </row>
    <row r="388" spans="1:9" ht="20.25" x14ac:dyDescent="0.25">
      <c r="A388" s="30"/>
      <c r="B388" s="31"/>
      <c r="C388" s="31"/>
      <c r="D388" s="31"/>
      <c r="E388" s="31"/>
      <c r="F388" s="31"/>
      <c r="G388" s="31"/>
      <c r="H388" s="31"/>
      <c r="I388" s="26"/>
    </row>
    <row r="389" spans="1:9" ht="20.25" x14ac:dyDescent="0.25">
      <c r="A389" s="30"/>
      <c r="B389" s="31"/>
      <c r="C389" s="31"/>
      <c r="D389" s="31"/>
      <c r="E389" s="31"/>
      <c r="F389" s="31"/>
      <c r="G389" s="31"/>
      <c r="H389" s="31"/>
      <c r="I389" s="26"/>
    </row>
    <row r="390" spans="1:9" ht="20.25" x14ac:dyDescent="0.25">
      <c r="A390" s="30"/>
      <c r="B390" s="31"/>
      <c r="C390" s="31"/>
      <c r="D390" s="31"/>
      <c r="E390" s="31"/>
      <c r="F390" s="31"/>
      <c r="G390" s="31"/>
      <c r="H390" s="31"/>
      <c r="I390" s="26"/>
    </row>
    <row r="391" spans="1:9" ht="20.25" x14ac:dyDescent="0.25">
      <c r="A391" s="30"/>
      <c r="B391" s="31"/>
      <c r="C391" s="31"/>
      <c r="D391" s="31"/>
      <c r="E391" s="31"/>
      <c r="F391" s="31"/>
      <c r="G391" s="31"/>
      <c r="H391" s="31"/>
      <c r="I391" s="26"/>
    </row>
    <row r="392" spans="1:9" ht="20.25" x14ac:dyDescent="0.25">
      <c r="A392" s="30"/>
      <c r="B392" s="31"/>
      <c r="C392" s="31"/>
      <c r="D392" s="31"/>
      <c r="E392" s="31"/>
      <c r="F392" s="31"/>
      <c r="G392" s="31"/>
      <c r="H392" s="31"/>
      <c r="I392" s="26"/>
    </row>
    <row r="393" spans="1:9" ht="20.25" x14ac:dyDescent="0.25">
      <c r="A393" s="30"/>
      <c r="B393" s="31"/>
      <c r="C393" s="31"/>
      <c r="D393" s="31"/>
      <c r="E393" s="31"/>
      <c r="F393" s="31"/>
      <c r="G393" s="31"/>
      <c r="H393" s="31"/>
      <c r="I393" s="26"/>
    </row>
    <row r="394" spans="1:9" ht="20.25" x14ac:dyDescent="0.25">
      <c r="A394" s="30"/>
      <c r="B394" s="31"/>
      <c r="C394" s="31"/>
      <c r="D394" s="31"/>
      <c r="E394" s="31"/>
      <c r="F394" s="31"/>
      <c r="G394" s="31"/>
      <c r="H394" s="31"/>
      <c r="I394" s="26"/>
    </row>
    <row r="395" spans="1:9" ht="20.25" x14ac:dyDescent="0.25">
      <c r="A395" s="30"/>
      <c r="B395" s="31"/>
      <c r="C395" s="31"/>
      <c r="D395" s="31"/>
      <c r="E395" s="31"/>
      <c r="F395" s="31"/>
      <c r="G395" s="31"/>
      <c r="H395" s="31"/>
      <c r="I395" s="26"/>
    </row>
    <row r="396" spans="1:9" ht="20.25" x14ac:dyDescent="0.25">
      <c r="A396" s="30"/>
      <c r="B396" s="31"/>
      <c r="C396" s="31"/>
      <c r="D396" s="31"/>
      <c r="E396" s="31"/>
      <c r="F396" s="31"/>
      <c r="G396" s="31"/>
      <c r="H396" s="31"/>
      <c r="I396" s="26"/>
    </row>
    <row r="397" spans="1:9" ht="20.25" x14ac:dyDescent="0.25">
      <c r="A397" s="30"/>
      <c r="B397" s="31"/>
      <c r="C397" s="31"/>
      <c r="D397" s="31"/>
      <c r="E397" s="31"/>
      <c r="F397" s="31"/>
      <c r="G397" s="31"/>
      <c r="H397" s="31"/>
      <c r="I397" s="26"/>
    </row>
    <row r="398" spans="1:9" ht="20.25" x14ac:dyDescent="0.25">
      <c r="A398" s="30"/>
      <c r="B398" s="31"/>
      <c r="C398" s="31"/>
      <c r="D398" s="31"/>
      <c r="E398" s="31"/>
      <c r="F398" s="31"/>
      <c r="G398" s="31"/>
      <c r="H398" s="31"/>
      <c r="I398" s="26"/>
    </row>
    <row r="399" spans="1:9" ht="20.25" x14ac:dyDescent="0.25">
      <c r="A399" s="30"/>
      <c r="B399" s="31"/>
      <c r="C399" s="31"/>
      <c r="D399" s="31"/>
      <c r="E399" s="31"/>
      <c r="F399" s="31"/>
      <c r="G399" s="31"/>
      <c r="H399" s="31"/>
      <c r="I399" s="26"/>
    </row>
    <row r="400" spans="1:9" ht="20.25" x14ac:dyDescent="0.25">
      <c r="A400" s="30"/>
      <c r="B400" s="31"/>
      <c r="C400" s="31"/>
      <c r="D400" s="31"/>
      <c r="E400" s="31"/>
      <c r="F400" s="31"/>
      <c r="G400" s="31"/>
      <c r="H400" s="31"/>
      <c r="I400" s="26"/>
    </row>
    <row r="401" spans="1:9" ht="20.25" x14ac:dyDescent="0.25">
      <c r="A401" s="30"/>
      <c r="B401" s="31"/>
      <c r="C401" s="31"/>
      <c r="D401" s="31"/>
      <c r="E401" s="31"/>
      <c r="F401" s="31"/>
      <c r="G401" s="31"/>
      <c r="H401" s="31"/>
      <c r="I401" s="26"/>
    </row>
    <row r="402" spans="1:9" ht="20.25" x14ac:dyDescent="0.25">
      <c r="A402" s="30"/>
      <c r="B402" s="31"/>
      <c r="C402" s="31"/>
      <c r="D402" s="31"/>
      <c r="E402" s="31"/>
      <c r="F402" s="31"/>
      <c r="G402" s="31"/>
      <c r="H402" s="31"/>
      <c r="I402" s="26"/>
    </row>
    <row r="403" spans="1:9" ht="20.25" x14ac:dyDescent="0.25">
      <c r="A403" s="30"/>
      <c r="B403" s="31"/>
      <c r="C403" s="31"/>
      <c r="D403" s="31"/>
      <c r="E403" s="31"/>
      <c r="F403" s="31"/>
      <c r="G403" s="31"/>
      <c r="H403" s="31"/>
      <c r="I403" s="26"/>
    </row>
    <row r="404" spans="1:9" ht="20.25" x14ac:dyDescent="0.25">
      <c r="A404" s="30"/>
      <c r="B404" s="31"/>
      <c r="C404" s="31"/>
      <c r="D404" s="31"/>
      <c r="E404" s="31"/>
      <c r="F404" s="31"/>
      <c r="G404" s="31"/>
      <c r="H404" s="31"/>
      <c r="I404" s="26"/>
    </row>
    <row r="405" spans="1:9" ht="20.25" x14ac:dyDescent="0.25">
      <c r="A405" s="30"/>
      <c r="B405" s="31"/>
      <c r="C405" s="31"/>
      <c r="D405" s="31"/>
      <c r="E405" s="31"/>
      <c r="F405" s="31"/>
      <c r="G405" s="31"/>
      <c r="H405" s="31"/>
      <c r="I405" s="26"/>
    </row>
    <row r="406" spans="1:9" ht="20.25" x14ac:dyDescent="0.25">
      <c r="A406" s="30"/>
      <c r="B406" s="31"/>
      <c r="C406" s="31"/>
      <c r="D406" s="31"/>
      <c r="E406" s="31"/>
      <c r="F406" s="31"/>
      <c r="G406" s="31"/>
      <c r="H406" s="31"/>
      <c r="I406" s="26"/>
    </row>
    <row r="407" spans="1:9" ht="20.25" x14ac:dyDescent="0.25">
      <c r="A407" s="30"/>
      <c r="B407" s="31"/>
      <c r="C407" s="31"/>
      <c r="D407" s="31"/>
      <c r="E407" s="31"/>
      <c r="F407" s="31"/>
      <c r="G407" s="31"/>
      <c r="H407" s="31"/>
      <c r="I407" s="26"/>
    </row>
    <row r="408" spans="1:9" ht="20.25" hidden="1" x14ac:dyDescent="0.25">
      <c r="A408" s="30"/>
      <c r="B408" s="31"/>
      <c r="C408" s="31"/>
      <c r="D408" s="31"/>
      <c r="E408" s="31"/>
      <c r="F408" s="31"/>
      <c r="G408" s="31"/>
      <c r="H408" s="31"/>
      <c r="I408" s="26"/>
    </row>
    <row r="409" spans="1:9" ht="20.25" hidden="1" x14ac:dyDescent="0.25">
      <c r="A409" s="30"/>
      <c r="B409" s="31"/>
      <c r="C409" s="31"/>
      <c r="D409" s="31"/>
      <c r="E409" s="31"/>
      <c r="F409" s="31"/>
      <c r="G409" s="31"/>
      <c r="H409" s="31"/>
      <c r="I409" s="26"/>
    </row>
    <row r="410" spans="1:9" ht="20.25" hidden="1" x14ac:dyDescent="0.25">
      <c r="A410" s="30"/>
      <c r="B410" s="31"/>
      <c r="C410" s="31"/>
      <c r="D410" s="31"/>
      <c r="E410" s="31"/>
      <c r="F410" s="31"/>
      <c r="G410" s="31"/>
      <c r="H410" s="31"/>
      <c r="I410" s="26"/>
    </row>
    <row r="411" spans="1:9" ht="20.25" hidden="1" x14ac:dyDescent="0.25">
      <c r="A411" s="30"/>
      <c r="B411" s="31"/>
      <c r="C411" s="31"/>
      <c r="D411" s="31"/>
      <c r="E411" s="31"/>
      <c r="F411" s="31"/>
      <c r="G411" s="31"/>
      <c r="H411" s="31"/>
      <c r="I411" s="26"/>
    </row>
    <row r="412" spans="1:9" ht="20.25" hidden="1" x14ac:dyDescent="0.25">
      <c r="A412" s="30"/>
      <c r="B412" s="31"/>
      <c r="C412" s="31"/>
      <c r="D412" s="31"/>
      <c r="E412" s="31"/>
      <c r="F412" s="31"/>
      <c r="G412" s="31"/>
      <c r="H412" s="31"/>
      <c r="I412" s="26"/>
    </row>
    <row r="413" spans="1:9" ht="20.25" hidden="1" x14ac:dyDescent="0.25">
      <c r="A413" s="30"/>
      <c r="B413" s="31"/>
      <c r="C413" s="31"/>
      <c r="D413" s="31"/>
      <c r="E413" s="31"/>
      <c r="F413" s="31"/>
      <c r="G413" s="31"/>
      <c r="H413" s="31"/>
      <c r="I413" s="26"/>
    </row>
    <row r="414" spans="1:9" ht="20.25" hidden="1" x14ac:dyDescent="0.25">
      <c r="A414" s="30"/>
      <c r="B414" s="31"/>
      <c r="C414" s="31"/>
      <c r="D414" s="31"/>
      <c r="E414" s="31"/>
      <c r="F414" s="31"/>
      <c r="G414" s="31"/>
      <c r="H414" s="31"/>
      <c r="I414" s="26"/>
    </row>
    <row r="415" spans="1:9" ht="20.25" hidden="1" x14ac:dyDescent="0.25">
      <c r="A415" s="30"/>
      <c r="B415" s="31"/>
      <c r="C415" s="31"/>
      <c r="D415" s="31"/>
      <c r="E415" s="31"/>
      <c r="F415" s="31"/>
      <c r="G415" s="31"/>
      <c r="H415" s="31"/>
      <c r="I415" s="26"/>
    </row>
    <row r="416" spans="1:9" ht="20.25" hidden="1" x14ac:dyDescent="0.25">
      <c r="A416" s="30"/>
      <c r="B416" s="31"/>
      <c r="C416" s="31"/>
      <c r="D416" s="31"/>
      <c r="E416" s="31"/>
      <c r="F416" s="31"/>
      <c r="G416" s="31"/>
      <c r="H416" s="31"/>
      <c r="I416" s="26"/>
    </row>
    <row r="417" spans="1:9" ht="20.25" hidden="1" x14ac:dyDescent="0.25">
      <c r="A417" s="30"/>
      <c r="B417" s="31"/>
      <c r="C417" s="31"/>
      <c r="D417" s="31"/>
      <c r="E417" s="31"/>
      <c r="F417" s="31"/>
      <c r="G417" s="31"/>
      <c r="H417" s="31"/>
      <c r="I417" s="26"/>
    </row>
    <row r="418" spans="1:9" ht="20.25" x14ac:dyDescent="0.25">
      <c r="A418" s="83" t="s">
        <v>29</v>
      </c>
      <c r="B418" s="83"/>
      <c r="C418" s="83"/>
      <c r="D418" s="83"/>
      <c r="E418" s="83"/>
      <c r="F418" s="83"/>
      <c r="G418" s="83"/>
      <c r="H418" s="83"/>
      <c r="I418" s="83"/>
    </row>
    <row r="419" spans="1:9" ht="20.25" x14ac:dyDescent="0.25">
      <c r="A419" s="112" t="s">
        <v>86</v>
      </c>
      <c r="B419" s="113"/>
      <c r="C419" s="113"/>
      <c r="D419" s="113"/>
      <c r="E419" s="113"/>
      <c r="F419" s="113"/>
      <c r="G419" s="113"/>
      <c r="H419" s="113"/>
      <c r="I419" s="114"/>
    </row>
    <row r="420" spans="1:9" ht="20.25" x14ac:dyDescent="0.25">
      <c r="A420" s="115" t="s">
        <v>87</v>
      </c>
      <c r="B420" s="116"/>
      <c r="C420" s="116"/>
      <c r="D420" s="116"/>
      <c r="E420" s="116"/>
      <c r="F420" s="116"/>
      <c r="G420" s="116"/>
      <c r="H420" s="116"/>
      <c r="I420" s="117"/>
    </row>
    <row r="421" spans="1:9" ht="45" customHeight="1" x14ac:dyDescent="0.25">
      <c r="A421" s="115" t="s">
        <v>88</v>
      </c>
      <c r="B421" s="116"/>
      <c r="C421" s="116"/>
      <c r="D421" s="116"/>
      <c r="E421" s="116"/>
      <c r="F421" s="116"/>
      <c r="G421" s="116"/>
      <c r="H421" s="116"/>
      <c r="I421" s="117"/>
    </row>
    <row r="422" spans="1:9" ht="42.75" customHeight="1" x14ac:dyDescent="0.25">
      <c r="A422" s="115" t="s">
        <v>89</v>
      </c>
      <c r="B422" s="116"/>
      <c r="C422" s="116"/>
      <c r="D422" s="116"/>
      <c r="E422" s="116"/>
      <c r="F422" s="116"/>
      <c r="G422" s="116"/>
      <c r="H422" s="116"/>
      <c r="I422" s="117"/>
    </row>
    <row r="423" spans="1:9" ht="20.25" x14ac:dyDescent="0.25">
      <c r="A423" s="115" t="s">
        <v>90</v>
      </c>
      <c r="B423" s="116"/>
      <c r="C423" s="116"/>
      <c r="D423" s="116"/>
      <c r="E423" s="116"/>
      <c r="F423" s="116"/>
      <c r="G423" s="116"/>
      <c r="H423" s="116"/>
      <c r="I423" s="117"/>
    </row>
    <row r="424" spans="1:9" ht="20.25" x14ac:dyDescent="0.25">
      <c r="A424" s="115" t="s">
        <v>91</v>
      </c>
      <c r="B424" s="116"/>
      <c r="C424" s="116"/>
      <c r="D424" s="116"/>
      <c r="E424" s="116"/>
      <c r="F424" s="116"/>
      <c r="G424" s="116"/>
      <c r="H424" s="116"/>
      <c r="I424" s="117"/>
    </row>
    <row r="425" spans="1:9" ht="45" customHeight="1" x14ac:dyDescent="0.25">
      <c r="A425" s="115" t="s">
        <v>92</v>
      </c>
      <c r="B425" s="116"/>
      <c r="C425" s="116"/>
      <c r="D425" s="116"/>
      <c r="E425" s="116"/>
      <c r="F425" s="116"/>
      <c r="G425" s="116"/>
      <c r="H425" s="116"/>
      <c r="I425" s="117"/>
    </row>
    <row r="426" spans="1:9" ht="45" customHeight="1" x14ac:dyDescent="0.25">
      <c r="A426" s="115" t="s">
        <v>93</v>
      </c>
      <c r="B426" s="116"/>
      <c r="C426" s="116"/>
      <c r="D426" s="116"/>
      <c r="E426" s="116"/>
      <c r="F426" s="116"/>
      <c r="G426" s="116"/>
      <c r="H426" s="116"/>
      <c r="I426" s="117"/>
    </row>
    <row r="427" spans="1:9" ht="20.25" x14ac:dyDescent="0.25">
      <c r="A427" s="118" t="s">
        <v>94</v>
      </c>
      <c r="B427" s="119"/>
      <c r="C427" s="119"/>
      <c r="D427" s="119"/>
      <c r="E427" s="119"/>
      <c r="F427" s="119"/>
      <c r="G427" s="119"/>
      <c r="H427" s="119"/>
      <c r="I427" s="120"/>
    </row>
    <row r="428" spans="1:9" ht="70.5" customHeight="1" x14ac:dyDescent="0.25">
      <c r="A428" s="110" t="s">
        <v>35</v>
      </c>
      <c r="B428" s="110"/>
      <c r="C428" s="110"/>
      <c r="D428" s="2" t="s">
        <v>4</v>
      </c>
      <c r="E428" s="22" t="s">
        <v>239</v>
      </c>
      <c r="F428" s="13" t="s">
        <v>10</v>
      </c>
      <c r="G428" s="2" t="s">
        <v>4</v>
      </c>
      <c r="H428" s="80"/>
      <c r="I428" s="80"/>
    </row>
  </sheetData>
  <mergeCells count="674">
    <mergeCell ref="A64:B64"/>
    <mergeCell ref="C64:D64"/>
    <mergeCell ref="C51:E51"/>
    <mergeCell ref="A52:I52"/>
    <mergeCell ref="A53:C54"/>
    <mergeCell ref="D53:D54"/>
    <mergeCell ref="F53:G53"/>
    <mergeCell ref="F54:G54"/>
    <mergeCell ref="A55:B55"/>
    <mergeCell ref="C55:D55"/>
    <mergeCell ref="F55:G55"/>
    <mergeCell ref="A56:B56"/>
    <mergeCell ref="C56:D56"/>
    <mergeCell ref="F56:G67"/>
    <mergeCell ref="H56:I67"/>
    <mergeCell ref="A57:B57"/>
    <mergeCell ref="A62:B62"/>
    <mergeCell ref="C62:D62"/>
    <mergeCell ref="A46:B46"/>
    <mergeCell ref="C46:D46"/>
    <mergeCell ref="E46:G46"/>
    <mergeCell ref="H46:I46"/>
    <mergeCell ref="C49:E49"/>
    <mergeCell ref="H49:I49"/>
    <mergeCell ref="A63:B63"/>
    <mergeCell ref="C63:D63"/>
    <mergeCell ref="J4:K4"/>
    <mergeCell ref="C23:I23"/>
    <mergeCell ref="H14:I14"/>
    <mergeCell ref="G38:H38"/>
    <mergeCell ref="A39:C39"/>
    <mergeCell ref="A35:C35"/>
    <mergeCell ref="A40:C40"/>
    <mergeCell ref="A38:C38"/>
    <mergeCell ref="H16:I16"/>
    <mergeCell ref="H17:I17"/>
    <mergeCell ref="H15:I15"/>
    <mergeCell ref="H18:I18"/>
    <mergeCell ref="H19:I19"/>
    <mergeCell ref="H31:I31"/>
    <mergeCell ref="H22:I22"/>
    <mergeCell ref="G39:H39"/>
    <mergeCell ref="A274:I274"/>
    <mergeCell ref="A275:B280"/>
    <mergeCell ref="C275:D275"/>
    <mergeCell ref="F275:G275"/>
    <mergeCell ref="C276:D276"/>
    <mergeCell ref="F276:G276"/>
    <mergeCell ref="C277:D277"/>
    <mergeCell ref="F277:G277"/>
    <mergeCell ref="C278:D278"/>
    <mergeCell ref="E278:I278"/>
    <mergeCell ref="C279:D279"/>
    <mergeCell ref="F279:G279"/>
    <mergeCell ref="C280:D280"/>
    <mergeCell ref="F280:G280"/>
    <mergeCell ref="A267:I267"/>
    <mergeCell ref="A268:B273"/>
    <mergeCell ref="C268:D268"/>
    <mergeCell ref="F268:G268"/>
    <mergeCell ref="C269:D269"/>
    <mergeCell ref="F269:G269"/>
    <mergeCell ref="C270:D270"/>
    <mergeCell ref="F270:G270"/>
    <mergeCell ref="C273:D273"/>
    <mergeCell ref="F273:G273"/>
    <mergeCell ref="C200:D200"/>
    <mergeCell ref="F200:G200"/>
    <mergeCell ref="C201:D201"/>
    <mergeCell ref="F201:G201"/>
    <mergeCell ref="C265:D265"/>
    <mergeCell ref="F265:G265"/>
    <mergeCell ref="C266:D266"/>
    <mergeCell ref="F266:G266"/>
    <mergeCell ref="E264:I264"/>
    <mergeCell ref="E243:I243"/>
    <mergeCell ref="C244:D244"/>
    <mergeCell ref="F244:G244"/>
    <mergeCell ref="C233:D233"/>
    <mergeCell ref="F233:G233"/>
    <mergeCell ref="C234:D234"/>
    <mergeCell ref="F234:G234"/>
    <mergeCell ref="A235:I235"/>
    <mergeCell ref="A230:B234"/>
    <mergeCell ref="A254:B259"/>
    <mergeCell ref="F261:G261"/>
    <mergeCell ref="C262:D262"/>
    <mergeCell ref="F262:G262"/>
    <mergeCell ref="C263:D263"/>
    <mergeCell ref="F263:G263"/>
    <mergeCell ref="E199:I199"/>
    <mergeCell ref="C193:D193"/>
    <mergeCell ref="E193:I193"/>
    <mergeCell ref="C194:D194"/>
    <mergeCell ref="F194:G194"/>
    <mergeCell ref="C271:D271"/>
    <mergeCell ref="F271:G271"/>
    <mergeCell ref="C272:D272"/>
    <mergeCell ref="F272:G272"/>
    <mergeCell ref="A253:I253"/>
    <mergeCell ref="C254:D254"/>
    <mergeCell ref="F254:G254"/>
    <mergeCell ref="C255:D255"/>
    <mergeCell ref="F255:G255"/>
    <mergeCell ref="C256:D256"/>
    <mergeCell ref="F256:G256"/>
    <mergeCell ref="F251:G251"/>
    <mergeCell ref="C252:D252"/>
    <mergeCell ref="F252:G252"/>
    <mergeCell ref="A248:B252"/>
    <mergeCell ref="C251:D251"/>
    <mergeCell ref="A261:B266"/>
    <mergeCell ref="A260:I260"/>
    <mergeCell ref="C261:D261"/>
    <mergeCell ref="E181:I181"/>
    <mergeCell ref="C174:D174"/>
    <mergeCell ref="F174:G174"/>
    <mergeCell ref="C175:D175"/>
    <mergeCell ref="E175:I175"/>
    <mergeCell ref="C176:D176"/>
    <mergeCell ref="F176:G176"/>
    <mergeCell ref="A153:B158"/>
    <mergeCell ref="C183:D183"/>
    <mergeCell ref="F183:G183"/>
    <mergeCell ref="C177:D177"/>
    <mergeCell ref="E177:I177"/>
    <mergeCell ref="A178:I178"/>
    <mergeCell ref="C179:D179"/>
    <mergeCell ref="F179:G179"/>
    <mergeCell ref="F180:G180"/>
    <mergeCell ref="C180:D180"/>
    <mergeCell ref="C181:D181"/>
    <mergeCell ref="A173:B177"/>
    <mergeCell ref="A179:B183"/>
    <mergeCell ref="F170:G170"/>
    <mergeCell ref="C171:D171"/>
    <mergeCell ref="E171:I171"/>
    <mergeCell ref="A172:I172"/>
    <mergeCell ref="C173:D173"/>
    <mergeCell ref="F173:G173"/>
    <mergeCell ref="C167:D167"/>
    <mergeCell ref="C257:D257"/>
    <mergeCell ref="F257:G257"/>
    <mergeCell ref="C258:D258"/>
    <mergeCell ref="F258:G258"/>
    <mergeCell ref="C259:D259"/>
    <mergeCell ref="F259:G259"/>
    <mergeCell ref="A247:I247"/>
    <mergeCell ref="C248:D248"/>
    <mergeCell ref="F248:G248"/>
    <mergeCell ref="C249:D249"/>
    <mergeCell ref="F249:G249"/>
    <mergeCell ref="C250:D250"/>
    <mergeCell ref="F250:G250"/>
    <mergeCell ref="C245:D245"/>
    <mergeCell ref="F245:G245"/>
    <mergeCell ref="C246:D246"/>
    <mergeCell ref="F246:G246"/>
    <mergeCell ref="A241:I241"/>
    <mergeCell ref="C242:D242"/>
    <mergeCell ref="E242:I242"/>
    <mergeCell ref="C243:D243"/>
    <mergeCell ref="C264:D264"/>
    <mergeCell ref="A242:B246"/>
    <mergeCell ref="C240:D240"/>
    <mergeCell ref="F240:G240"/>
    <mergeCell ref="C238:D238"/>
    <mergeCell ref="F238:G238"/>
    <mergeCell ref="C237:D237"/>
    <mergeCell ref="E237:I237"/>
    <mergeCell ref="C239:D239"/>
    <mergeCell ref="E239:I239"/>
    <mergeCell ref="A236:B240"/>
    <mergeCell ref="C236:D236"/>
    <mergeCell ref="E236:I236"/>
    <mergeCell ref="A229:I229"/>
    <mergeCell ref="C230:D230"/>
    <mergeCell ref="E230:I230"/>
    <mergeCell ref="C231:D231"/>
    <mergeCell ref="E231:I231"/>
    <mergeCell ref="C232:D232"/>
    <mergeCell ref="E232:I232"/>
    <mergeCell ref="C226:D226"/>
    <mergeCell ref="E226:I226"/>
    <mergeCell ref="C227:D227"/>
    <mergeCell ref="F227:G227"/>
    <mergeCell ref="C228:D228"/>
    <mergeCell ref="F228:G228"/>
    <mergeCell ref="A224:B228"/>
    <mergeCell ref="C222:D222"/>
    <mergeCell ref="F222:G222"/>
    <mergeCell ref="A223:I223"/>
    <mergeCell ref="C224:D224"/>
    <mergeCell ref="E224:I224"/>
    <mergeCell ref="C225:D225"/>
    <mergeCell ref="E225:I225"/>
    <mergeCell ref="A218:B222"/>
    <mergeCell ref="C219:D219"/>
    <mergeCell ref="E219:I219"/>
    <mergeCell ref="C220:D220"/>
    <mergeCell ref="E220:I220"/>
    <mergeCell ref="C221:D221"/>
    <mergeCell ref="F221:G221"/>
    <mergeCell ref="A213:I213"/>
    <mergeCell ref="A214:I214"/>
    <mergeCell ref="A215:I215"/>
    <mergeCell ref="A216:I216"/>
    <mergeCell ref="A217:I217"/>
    <mergeCell ref="C218:D218"/>
    <mergeCell ref="E218:I218"/>
    <mergeCell ref="A86:B86"/>
    <mergeCell ref="C86:D86"/>
    <mergeCell ref="F86:G86"/>
    <mergeCell ref="A90:I90"/>
    <mergeCell ref="A134:B138"/>
    <mergeCell ref="A128:B132"/>
    <mergeCell ref="A121:B126"/>
    <mergeCell ref="A114:B119"/>
    <mergeCell ref="A140:B145"/>
    <mergeCell ref="F145:G145"/>
    <mergeCell ref="F100:G100"/>
    <mergeCell ref="A95:I95"/>
    <mergeCell ref="C96:D96"/>
    <mergeCell ref="E104:I104"/>
    <mergeCell ref="C105:D105"/>
    <mergeCell ref="F105:G105"/>
    <mergeCell ref="F167:G167"/>
    <mergeCell ref="H79:I79"/>
    <mergeCell ref="A79:F79"/>
    <mergeCell ref="A83:B83"/>
    <mergeCell ref="C83:D83"/>
    <mergeCell ref="A84:B84"/>
    <mergeCell ref="C84:D84"/>
    <mergeCell ref="F84:G84"/>
    <mergeCell ref="A212:I212"/>
    <mergeCell ref="C168:D168"/>
    <mergeCell ref="F168:G168"/>
    <mergeCell ref="C169:D169"/>
    <mergeCell ref="F169:G169"/>
    <mergeCell ref="A166:B171"/>
    <mergeCell ref="C166:D166"/>
    <mergeCell ref="F166:G166"/>
    <mergeCell ref="C160:D160"/>
    <mergeCell ref="F160:G160"/>
    <mergeCell ref="C161:D161"/>
    <mergeCell ref="F161:G161"/>
    <mergeCell ref="C162:D162"/>
    <mergeCell ref="F162:G162"/>
    <mergeCell ref="A160:B164"/>
    <mergeCell ref="C170:D170"/>
    <mergeCell ref="C123:D123"/>
    <mergeCell ref="A85:B85"/>
    <mergeCell ref="C85:D85"/>
    <mergeCell ref="F85:G85"/>
    <mergeCell ref="C126:D126"/>
    <mergeCell ref="F126:G126"/>
    <mergeCell ref="E98:I98"/>
    <mergeCell ref="C99:D99"/>
    <mergeCell ref="F99:G99"/>
    <mergeCell ref="C100:D100"/>
    <mergeCell ref="A101:I101"/>
    <mergeCell ref="E102:I102"/>
    <mergeCell ref="E103:I103"/>
    <mergeCell ref="C104:D104"/>
    <mergeCell ref="A102:B106"/>
    <mergeCell ref="A96:B100"/>
    <mergeCell ref="C106:D106"/>
    <mergeCell ref="F106:G106"/>
    <mergeCell ref="E97:I97"/>
    <mergeCell ref="C116:D116"/>
    <mergeCell ref="E116:I116"/>
    <mergeCell ref="C118:D118"/>
    <mergeCell ref="C122:D122"/>
    <mergeCell ref="E115:I115"/>
    <mergeCell ref="A108:B112"/>
    <mergeCell ref="C117:D117"/>
    <mergeCell ref="E117:I117"/>
    <mergeCell ref="C131:D131"/>
    <mergeCell ref="F131:G131"/>
    <mergeCell ref="C132:D132"/>
    <mergeCell ref="F132:G132"/>
    <mergeCell ref="C128:D128"/>
    <mergeCell ref="C124:D124"/>
    <mergeCell ref="F124:G124"/>
    <mergeCell ref="C125:D125"/>
    <mergeCell ref="F125:G125"/>
    <mergeCell ref="A120:I120"/>
    <mergeCell ref="A127:I127"/>
    <mergeCell ref="C143:D143"/>
    <mergeCell ref="F143:G143"/>
    <mergeCell ref="C142:D142"/>
    <mergeCell ref="A133:I133"/>
    <mergeCell ref="C137:D137"/>
    <mergeCell ref="F137:G137"/>
    <mergeCell ref="C138:D138"/>
    <mergeCell ref="F138:G138"/>
    <mergeCell ref="C134:D134"/>
    <mergeCell ref="F134:G134"/>
    <mergeCell ref="C140:D140"/>
    <mergeCell ref="F140:G140"/>
    <mergeCell ref="F135:G135"/>
    <mergeCell ref="C136:D136"/>
    <mergeCell ref="F136:G136"/>
    <mergeCell ref="F153:G153"/>
    <mergeCell ref="C129:D129"/>
    <mergeCell ref="E129:I129"/>
    <mergeCell ref="C130:D130"/>
    <mergeCell ref="F130:G130"/>
    <mergeCell ref="F144:G144"/>
    <mergeCell ref="C145:D145"/>
    <mergeCell ref="C150:D150"/>
    <mergeCell ref="F150:G150"/>
    <mergeCell ref="A146:I146"/>
    <mergeCell ref="C147:D147"/>
    <mergeCell ref="F147:G147"/>
    <mergeCell ref="F142:G142"/>
    <mergeCell ref="C135:D135"/>
    <mergeCell ref="C151:D151"/>
    <mergeCell ref="F151:G151"/>
    <mergeCell ref="C148:D148"/>
    <mergeCell ref="F148:G148"/>
    <mergeCell ref="C141:D141"/>
    <mergeCell ref="A139:I139"/>
    <mergeCell ref="C149:D149"/>
    <mergeCell ref="F149:G149"/>
    <mergeCell ref="F141:G141"/>
    <mergeCell ref="C144:D144"/>
    <mergeCell ref="A78:I78"/>
    <mergeCell ref="A74:C74"/>
    <mergeCell ref="H74:I74"/>
    <mergeCell ref="A75:C75"/>
    <mergeCell ref="H75:I75"/>
    <mergeCell ref="A76:C76"/>
    <mergeCell ref="H76:I76"/>
    <mergeCell ref="A77:C77"/>
    <mergeCell ref="H77:I77"/>
    <mergeCell ref="A70:C70"/>
    <mergeCell ref="H70:I70"/>
    <mergeCell ref="A72:C72"/>
    <mergeCell ref="H72:I72"/>
    <mergeCell ref="A73:C73"/>
    <mergeCell ref="H73:I73"/>
    <mergeCell ref="A71:C71"/>
    <mergeCell ref="H71:I71"/>
    <mergeCell ref="C50:E50"/>
    <mergeCell ref="C57:D57"/>
    <mergeCell ref="A58:B58"/>
    <mergeCell ref="A65:B65"/>
    <mergeCell ref="C65:D65"/>
    <mergeCell ref="A66:B66"/>
    <mergeCell ref="C66:D66"/>
    <mergeCell ref="A67:B67"/>
    <mergeCell ref="C67:D67"/>
    <mergeCell ref="C58:D58"/>
    <mergeCell ref="A59:B59"/>
    <mergeCell ref="C59:D59"/>
    <mergeCell ref="A60:B60"/>
    <mergeCell ref="C60:D60"/>
    <mergeCell ref="A61:B61"/>
    <mergeCell ref="C61:D61"/>
    <mergeCell ref="C28:E28"/>
    <mergeCell ref="C14:E14"/>
    <mergeCell ref="C15:E15"/>
    <mergeCell ref="C16:E16"/>
    <mergeCell ref="C17:E17"/>
    <mergeCell ref="C18:E18"/>
    <mergeCell ref="C19:E19"/>
    <mergeCell ref="C20:E20"/>
    <mergeCell ref="C21:E21"/>
    <mergeCell ref="C22:E22"/>
    <mergeCell ref="E9:I9"/>
    <mergeCell ref="A428:C428"/>
    <mergeCell ref="H428:I428"/>
    <mergeCell ref="A333:I333"/>
    <mergeCell ref="E335:I335"/>
    <mergeCell ref="A419:I419"/>
    <mergeCell ref="A425:I425"/>
    <mergeCell ref="A426:I426"/>
    <mergeCell ref="A427:I427"/>
    <mergeCell ref="A420:I420"/>
    <mergeCell ref="A421:I421"/>
    <mergeCell ref="A422:I422"/>
    <mergeCell ref="A423:I423"/>
    <mergeCell ref="A335:C335"/>
    <mergeCell ref="A418:I418"/>
    <mergeCell ref="A424:I424"/>
    <mergeCell ref="A376:I376"/>
    <mergeCell ref="E334:I334"/>
    <mergeCell ref="A336:C336"/>
    <mergeCell ref="E336:I336"/>
    <mergeCell ref="F128:G128"/>
    <mergeCell ref="H51:I51"/>
    <mergeCell ref="H36:I36"/>
    <mergeCell ref="A36:C36"/>
    <mergeCell ref="A1:I1"/>
    <mergeCell ref="A4:C4"/>
    <mergeCell ref="A334:C334"/>
    <mergeCell ref="H27:I27"/>
    <mergeCell ref="H28:I28"/>
    <mergeCell ref="A37:I37"/>
    <mergeCell ref="H48:I48"/>
    <mergeCell ref="H50:I50"/>
    <mergeCell ref="A42:I42"/>
    <mergeCell ref="A47:I47"/>
    <mergeCell ref="A82:I82"/>
    <mergeCell ref="H80:I80"/>
    <mergeCell ref="A2:C2"/>
    <mergeCell ref="E2:F2"/>
    <mergeCell ref="A41:C41"/>
    <mergeCell ref="H41:I41"/>
    <mergeCell ref="E4:F4"/>
    <mergeCell ref="E12:I12"/>
    <mergeCell ref="A6:C6"/>
    <mergeCell ref="A7:C7"/>
    <mergeCell ref="A8:C8"/>
    <mergeCell ref="E8:I8"/>
    <mergeCell ref="H7:I7"/>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C43:D43"/>
    <mergeCell ref="C24:I24"/>
    <mergeCell ref="A91:I91"/>
    <mergeCell ref="E121:I121"/>
    <mergeCell ref="E122:I122"/>
    <mergeCell ref="E123:I123"/>
    <mergeCell ref="A92:I92"/>
    <mergeCell ref="C121:D121"/>
    <mergeCell ref="E108:I108"/>
    <mergeCell ref="C109:D109"/>
    <mergeCell ref="E109:I109"/>
    <mergeCell ref="C110:D110"/>
    <mergeCell ref="E110:I110"/>
    <mergeCell ref="C111:D111"/>
    <mergeCell ref="F111:G111"/>
    <mergeCell ref="C119:D119"/>
    <mergeCell ref="F119:G119"/>
    <mergeCell ref="F112:G112"/>
    <mergeCell ref="A113:I113"/>
    <mergeCell ref="C114:D114"/>
    <mergeCell ref="E114:I114"/>
    <mergeCell ref="F118:G118"/>
    <mergeCell ref="A107:I107"/>
    <mergeCell ref="C108:D108"/>
    <mergeCell ref="C112:D112"/>
    <mergeCell ref="C115:D115"/>
    <mergeCell ref="C332:I332"/>
    <mergeCell ref="A331:I331"/>
    <mergeCell ref="A68:I68"/>
    <mergeCell ref="A69:C69"/>
    <mergeCell ref="H69:I69"/>
    <mergeCell ref="A81:F81"/>
    <mergeCell ref="H81:I81"/>
    <mergeCell ref="C97:D97"/>
    <mergeCell ref="C98:D98"/>
    <mergeCell ref="H88:H89"/>
    <mergeCell ref="F88:G89"/>
    <mergeCell ref="E88:E89"/>
    <mergeCell ref="C88:D89"/>
    <mergeCell ref="A88:B89"/>
    <mergeCell ref="C102:D102"/>
    <mergeCell ref="C103:D103"/>
    <mergeCell ref="A87:I87"/>
    <mergeCell ref="F83:G83"/>
    <mergeCell ref="A80:F80"/>
    <mergeCell ref="A93:I93"/>
    <mergeCell ref="A94:I94"/>
    <mergeCell ref="E96:I96"/>
    <mergeCell ref="A147:B151"/>
    <mergeCell ref="A184:I184"/>
    <mergeCell ref="C163:D163"/>
    <mergeCell ref="F163:G163"/>
    <mergeCell ref="C164:D164"/>
    <mergeCell ref="F164:G164"/>
    <mergeCell ref="A165:I165"/>
    <mergeCell ref="A159:I159"/>
    <mergeCell ref="C29:E29"/>
    <mergeCell ref="C30:E30"/>
    <mergeCell ref="C31:E31"/>
    <mergeCell ref="C32:I32"/>
    <mergeCell ref="C48:E48"/>
    <mergeCell ref="A34:C34"/>
    <mergeCell ref="H34:I34"/>
    <mergeCell ref="H44:I44"/>
    <mergeCell ref="C44:D44"/>
    <mergeCell ref="H35:I35"/>
    <mergeCell ref="A43:B43"/>
    <mergeCell ref="A44:B44"/>
    <mergeCell ref="E44:G44"/>
    <mergeCell ref="E43:G43"/>
    <mergeCell ref="A45:B45"/>
    <mergeCell ref="C45:D45"/>
    <mergeCell ref="E45:G45"/>
    <mergeCell ref="H45:I45"/>
    <mergeCell ref="A152:I152"/>
    <mergeCell ref="C153:D153"/>
    <mergeCell ref="C186:D186"/>
    <mergeCell ref="F186:G186"/>
    <mergeCell ref="C187:D187"/>
    <mergeCell ref="F187:G187"/>
    <mergeCell ref="C188:D188"/>
    <mergeCell ref="F188:G188"/>
    <mergeCell ref="F203:G203"/>
    <mergeCell ref="A185:B188"/>
    <mergeCell ref="C185:D185"/>
    <mergeCell ref="F185:G185"/>
    <mergeCell ref="C182:D182"/>
    <mergeCell ref="F182:G182"/>
    <mergeCell ref="C158:D158"/>
    <mergeCell ref="F158:G158"/>
    <mergeCell ref="E156:I156"/>
    <mergeCell ref="C154:D154"/>
    <mergeCell ref="F154:G154"/>
    <mergeCell ref="C155:D155"/>
    <mergeCell ref="F155:G155"/>
    <mergeCell ref="C157:D157"/>
    <mergeCell ref="F157:G157"/>
    <mergeCell ref="C156:D156"/>
    <mergeCell ref="C204:D204"/>
    <mergeCell ref="F204:G204"/>
    <mergeCell ref="C195:D195"/>
    <mergeCell ref="F195:G195"/>
    <mergeCell ref="A189:I189"/>
    <mergeCell ref="C192:D192"/>
    <mergeCell ref="F192:G192"/>
    <mergeCell ref="C190:D190"/>
    <mergeCell ref="F190:G190"/>
    <mergeCell ref="C191:D191"/>
    <mergeCell ref="F191:G191"/>
    <mergeCell ref="A190:B195"/>
    <mergeCell ref="A197:B201"/>
    <mergeCell ref="A203:B206"/>
    <mergeCell ref="C205:D205"/>
    <mergeCell ref="F205:G205"/>
    <mergeCell ref="A202:I202"/>
    <mergeCell ref="C203:D203"/>
    <mergeCell ref="A196:I196"/>
    <mergeCell ref="C197:D197"/>
    <mergeCell ref="F197:G197"/>
    <mergeCell ref="C198:D198"/>
    <mergeCell ref="F198:G198"/>
    <mergeCell ref="C199:D199"/>
    <mergeCell ref="C210:D210"/>
    <mergeCell ref="E210:I210"/>
    <mergeCell ref="A208:B211"/>
    <mergeCell ref="E211:I211"/>
    <mergeCell ref="C211:D211"/>
    <mergeCell ref="C206:D206"/>
    <mergeCell ref="F206:G206"/>
    <mergeCell ref="A207:I207"/>
    <mergeCell ref="C208:D208"/>
    <mergeCell ref="F208:G208"/>
    <mergeCell ref="C209:D209"/>
    <mergeCell ref="E209:I209"/>
    <mergeCell ref="A295:I295"/>
    <mergeCell ref="A296:B301"/>
    <mergeCell ref="C296:D296"/>
    <mergeCell ref="F296:G296"/>
    <mergeCell ref="C297:D297"/>
    <mergeCell ref="F297:G297"/>
    <mergeCell ref="C298:D298"/>
    <mergeCell ref="F298:G298"/>
    <mergeCell ref="C299:D299"/>
    <mergeCell ref="F299:G299"/>
    <mergeCell ref="C300:D300"/>
    <mergeCell ref="F300:G300"/>
    <mergeCell ref="C301:D301"/>
    <mergeCell ref="F301:G301"/>
    <mergeCell ref="A302:I302"/>
    <mergeCell ref="A303:B308"/>
    <mergeCell ref="C303:D303"/>
    <mergeCell ref="F303:G303"/>
    <mergeCell ref="C304:D304"/>
    <mergeCell ref="F304:G304"/>
    <mergeCell ref="C305:D305"/>
    <mergeCell ref="C306:D306"/>
    <mergeCell ref="C307:D307"/>
    <mergeCell ref="C308:D308"/>
    <mergeCell ref="E305:I305"/>
    <mergeCell ref="E306:I306"/>
    <mergeCell ref="E307:I307"/>
    <mergeCell ref="E308:I308"/>
    <mergeCell ref="A309:I309"/>
    <mergeCell ref="A310:B314"/>
    <mergeCell ref="C310:D310"/>
    <mergeCell ref="F310:G310"/>
    <mergeCell ref="C311:D311"/>
    <mergeCell ref="F311:G311"/>
    <mergeCell ref="C312:D312"/>
    <mergeCell ref="F312:G312"/>
    <mergeCell ref="C313:D313"/>
    <mergeCell ref="F313:G313"/>
    <mergeCell ref="C314:D314"/>
    <mergeCell ref="F314:G314"/>
    <mergeCell ref="A315:I315"/>
    <mergeCell ref="A316:B320"/>
    <mergeCell ref="C316:D316"/>
    <mergeCell ref="F316:G316"/>
    <mergeCell ref="C317:D317"/>
    <mergeCell ref="E317:I317"/>
    <mergeCell ref="C318:D318"/>
    <mergeCell ref="E318:I318"/>
    <mergeCell ref="C319:D319"/>
    <mergeCell ref="E319:I319"/>
    <mergeCell ref="C320:D320"/>
    <mergeCell ref="E320:I320"/>
    <mergeCell ref="A281:I281"/>
    <mergeCell ref="A282:B287"/>
    <mergeCell ref="C282:D282"/>
    <mergeCell ref="F282:G282"/>
    <mergeCell ref="C283:D283"/>
    <mergeCell ref="F283:G283"/>
    <mergeCell ref="C284:D284"/>
    <mergeCell ref="F284:G284"/>
    <mergeCell ref="C285:D285"/>
    <mergeCell ref="F285:G285"/>
    <mergeCell ref="C286:D286"/>
    <mergeCell ref="F286:G286"/>
    <mergeCell ref="C287:D287"/>
    <mergeCell ref="F287:G287"/>
    <mergeCell ref="A288:I288"/>
    <mergeCell ref="A289:B294"/>
    <mergeCell ref="C289:D289"/>
    <mergeCell ref="F289:G289"/>
    <mergeCell ref="C290:D290"/>
    <mergeCell ref="F290:G290"/>
    <mergeCell ref="C291:D291"/>
    <mergeCell ref="F291:G291"/>
    <mergeCell ref="C292:D292"/>
    <mergeCell ref="E292:I292"/>
    <mergeCell ref="C293:D293"/>
    <mergeCell ref="F293:G293"/>
    <mergeCell ref="C294:D294"/>
    <mergeCell ref="F294:G294"/>
    <mergeCell ref="A321:I321"/>
    <mergeCell ref="A322:B325"/>
    <mergeCell ref="C322:D322"/>
    <mergeCell ref="F322:G322"/>
    <mergeCell ref="C323:D323"/>
    <mergeCell ref="F323:G323"/>
    <mergeCell ref="C324:D324"/>
    <mergeCell ref="F324:G324"/>
    <mergeCell ref="C325:D325"/>
    <mergeCell ref="F325:G325"/>
    <mergeCell ref="A326:I326"/>
    <mergeCell ref="A327:B330"/>
    <mergeCell ref="C327:D327"/>
    <mergeCell ref="F327:G327"/>
    <mergeCell ref="C328:D328"/>
    <mergeCell ref="E328:I328"/>
    <mergeCell ref="C329:D329"/>
    <mergeCell ref="E329:I329"/>
    <mergeCell ref="C330:D330"/>
    <mergeCell ref="E330:I330"/>
  </mergeCells>
  <phoneticPr fontId="11" type="noConversion"/>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2" scale="65" fitToHeight="0" orientation="portrait" r:id="rId2"/>
  <headerFooter>
    <oddHeader>&amp;C&amp;25&amp;G</oddHeader>
    <oddFooter>&amp;L&amp;"Times New Roman,Bold"&amp;16Ref No: &amp;F&amp;R&amp;"Times New Roman,Bold"&amp;16&amp;P</oddFooter>
  </headerFooter>
  <rowBreaks count="3" manualBreakCount="3">
    <brk id="67" max="16383" man="1"/>
    <brk id="332" max="16383" man="1"/>
    <brk id="375"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2025-07-04T11:15:35Z</cp:lastPrinted>
  <dcterms:created xsi:type="dcterms:W3CDTF">2010-11-23T11:42:48Z</dcterms:created>
  <dcterms:modified xsi:type="dcterms:W3CDTF">2025-07-04T11:16:16Z</dcterms:modified>
</cp:coreProperties>
</file>