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F4B57D83-BDD9-49D0-9AEC-ED7E748C5908}" xr6:coauthVersionLast="36" xr6:coauthVersionMax="36" xr10:uidLastSave="{00000000-0000-0000-0000-000000000000}"/>
  <bookViews>
    <workbookView xWindow="0" yWindow="0" windowWidth="20490" windowHeight="7455"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Report!$A$1:$H$418</definedName>
  </definedNames>
  <calcPr calcId="191029"/>
</workbook>
</file>

<file path=xl/calcChain.xml><?xml version="1.0" encoding="utf-8"?>
<calcChain xmlns="http://schemas.openxmlformats.org/spreadsheetml/2006/main">
  <c r="D282" i="3" l="1"/>
  <c r="J2" i="3"/>
  <c r="C107" i="3"/>
  <c r="C106" i="3"/>
  <c r="C105" i="3"/>
  <c r="C73" i="3"/>
  <c r="C136" i="3"/>
  <c r="C75" i="3"/>
  <c r="J20" i="3" l="1"/>
  <c r="G169" i="3" l="1"/>
  <c r="G168" i="3"/>
  <c r="D281" i="3" l="1"/>
  <c r="I233" i="3"/>
  <c r="D280" i="3"/>
  <c r="E265" i="3"/>
  <c r="H265" i="3" s="1"/>
  <c r="A265" i="3"/>
  <c r="A266" i="3" s="1"/>
  <c r="E264" i="3"/>
  <c r="H264" i="3" s="1"/>
  <c r="E261" i="3"/>
  <c r="E260" i="3"/>
  <c r="H260" i="3" s="1"/>
  <c r="E258" i="3"/>
  <c r="H258" i="3" s="1"/>
  <c r="E257" i="3"/>
  <c r="H257" i="3" s="1"/>
  <c r="E256" i="3"/>
  <c r="H256" i="3" s="1"/>
  <c r="H261" i="3"/>
  <c r="A261" i="3"/>
  <c r="A262" i="3" s="1"/>
  <c r="A257" i="3"/>
  <c r="A258" i="3" s="1"/>
  <c r="E253" i="3"/>
  <c r="H253" i="3" s="1"/>
  <c r="E251" i="3"/>
  <c r="H251" i="3" s="1"/>
  <c r="E250" i="3"/>
  <c r="H250" i="3" s="1"/>
  <c r="E248" i="3"/>
  <c r="H248" i="3" s="1"/>
  <c r="E247" i="3"/>
  <c r="H247" i="3" s="1"/>
  <c r="E246" i="3"/>
  <c r="H246" i="3" s="1"/>
  <c r="E245" i="3"/>
  <c r="H245" i="3" s="1"/>
  <c r="E182" i="3" s="1"/>
  <c r="A251" i="3"/>
  <c r="A252" i="3" s="1"/>
  <c r="A253" i="3" s="1"/>
  <c r="A246" i="3"/>
  <c r="A247" i="3" s="1"/>
  <c r="A248" i="3" s="1"/>
  <c r="E242" i="3"/>
  <c r="H242" i="3" s="1"/>
  <c r="E240" i="3"/>
  <c r="H240" i="3" s="1"/>
  <c r="E239" i="3"/>
  <c r="H239" i="3" s="1"/>
  <c r="E236" i="3"/>
  <c r="H236" i="3" s="1"/>
  <c r="E237" i="3"/>
  <c r="H237" i="3" s="1"/>
  <c r="E235" i="3"/>
  <c r="H235" i="3" s="1"/>
  <c r="E234" i="3"/>
  <c r="H234" i="3" s="1"/>
  <c r="A240" i="3"/>
  <c r="A241" i="3" s="1"/>
  <c r="A242" i="3" s="1"/>
  <c r="A235" i="3"/>
  <c r="A236" i="3" s="1"/>
  <c r="A237" i="3" s="1"/>
  <c r="E183" i="3" l="1"/>
  <c r="G181" i="3"/>
  <c r="G182" i="3"/>
  <c r="G183" i="3"/>
  <c r="E181" i="3"/>
  <c r="E231" i="3"/>
  <c r="H231" i="3" s="1"/>
  <c r="E230" i="3"/>
  <c r="H230" i="3" s="1"/>
  <c r="F229" i="3"/>
  <c r="E229" i="3"/>
  <c r="H229" i="3" s="1"/>
  <c r="A229" i="3"/>
  <c r="A230" i="3" s="1"/>
  <c r="A231" i="3" s="1"/>
  <c r="F228" i="3"/>
  <c r="E228" i="3"/>
  <c r="F224" i="3"/>
  <c r="F223" i="3"/>
  <c r="E226" i="3"/>
  <c r="H226" i="3" s="1"/>
  <c r="E225" i="3"/>
  <c r="E224" i="3"/>
  <c r="A224" i="3"/>
  <c r="A225" i="3" s="1"/>
  <c r="A226" i="3" s="1"/>
  <c r="E223" i="3"/>
  <c r="E221" i="3"/>
  <c r="H221" i="3" s="1"/>
  <c r="E220" i="3"/>
  <c r="H220" i="3" s="1"/>
  <c r="E219" i="3"/>
  <c r="H219" i="3" s="1"/>
  <c r="E218" i="3"/>
  <c r="H218" i="3" s="1"/>
  <c r="E216" i="3"/>
  <c r="H216" i="3" s="1"/>
  <c r="E215" i="3"/>
  <c r="H215" i="3" s="1"/>
  <c r="E214" i="3"/>
  <c r="H214" i="3" s="1"/>
  <c r="E213" i="3"/>
  <c r="H213" i="3" s="1"/>
  <c r="A219" i="3"/>
  <c r="A220" i="3" s="1"/>
  <c r="A221" i="3" s="1"/>
  <c r="A214" i="3"/>
  <c r="A215" i="3" s="1"/>
  <c r="A216" i="3" s="1"/>
  <c r="F210" i="3"/>
  <c r="E210" i="3"/>
  <c r="E209" i="3"/>
  <c r="H209" i="3" s="1"/>
  <c r="E208" i="3"/>
  <c r="E204" i="3"/>
  <c r="H204" i="3" s="1"/>
  <c r="F206" i="3"/>
  <c r="E206" i="3"/>
  <c r="A209" i="3"/>
  <c r="A210" i="3" s="1"/>
  <c r="E205" i="3"/>
  <c r="H205" i="3" s="1"/>
  <c r="A205" i="3"/>
  <c r="A206" i="3" s="1"/>
  <c r="E201" i="3"/>
  <c r="H201" i="3" s="1"/>
  <c r="E200" i="3"/>
  <c r="H200" i="3" s="1"/>
  <c r="F199" i="3"/>
  <c r="E199" i="3"/>
  <c r="E197" i="3"/>
  <c r="E196" i="3"/>
  <c r="F195" i="3"/>
  <c r="E195" i="3"/>
  <c r="J195" i="3"/>
  <c r="A200" i="3"/>
  <c r="A201" i="3" s="1"/>
  <c r="A147" i="3"/>
  <c r="A131" i="3"/>
  <c r="A115" i="3"/>
  <c r="D116" i="3" s="1"/>
  <c r="A99" i="3"/>
  <c r="H55" i="3"/>
  <c r="C55" i="3"/>
  <c r="C17" i="3"/>
  <c r="H4" i="3"/>
  <c r="G4" i="3"/>
  <c r="H132" i="3"/>
  <c r="H210" i="3" l="1"/>
  <c r="H195" i="3"/>
  <c r="H206" i="3"/>
  <c r="H223" i="3"/>
  <c r="H228" i="3"/>
  <c r="H224" i="3"/>
  <c r="H199" i="3"/>
  <c r="H225" i="3"/>
  <c r="H208" i="3"/>
  <c r="D145" i="3"/>
  <c r="D144" i="3"/>
  <c r="D140" i="3"/>
  <c r="D136" i="3"/>
  <c r="J135" i="3"/>
  <c r="C134" i="3" s="1"/>
  <c r="J133" i="3"/>
  <c r="D143" i="3"/>
  <c r="D139" i="3"/>
  <c r="D141" i="3"/>
  <c r="D137" i="3"/>
  <c r="D142" i="3"/>
  <c r="D138" i="3"/>
  <c r="J134" i="3"/>
  <c r="D132" i="3"/>
  <c r="J124" i="3"/>
  <c r="J123" i="3"/>
  <c r="J125" i="3"/>
  <c r="H116" i="3"/>
  <c r="G180" i="3" l="1"/>
  <c r="G179" i="3"/>
  <c r="E180" i="3"/>
  <c r="E179" i="3"/>
  <c r="J140" i="3"/>
  <c r="J136" i="3"/>
  <c r="J137" i="3" s="1"/>
  <c r="J139" i="3"/>
  <c r="J141" i="3"/>
  <c r="D134" i="3"/>
  <c r="D129" i="3"/>
  <c r="D128" i="3"/>
  <c r="D124" i="3"/>
  <c r="D120" i="3"/>
  <c r="D125" i="3"/>
  <c r="D121" i="3"/>
  <c r="J119" i="3"/>
  <c r="C118" i="3" s="1"/>
  <c r="J117" i="3"/>
  <c r="D127" i="3"/>
  <c r="D123" i="3"/>
  <c r="D126" i="3"/>
  <c r="D122" i="3"/>
  <c r="J118" i="3"/>
  <c r="J120"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L42" i="6" l="1"/>
  <c r="K42" i="6" s="1"/>
  <c r="I42" i="6"/>
  <c r="H42" i="6" s="1"/>
  <c r="E42" i="6"/>
  <c r="J142" i="3"/>
  <c r="J121" i="3"/>
  <c r="J126" i="3" s="1"/>
  <c r="J138" i="3"/>
  <c r="J143" i="3" s="1"/>
  <c r="D118" i="3"/>
  <c r="E44" i="6"/>
  <c r="D42" i="6"/>
  <c r="D44" i="6" s="1"/>
  <c r="C135" i="3" l="1"/>
  <c r="E134" i="3" s="1"/>
  <c r="I131" i="3" s="1"/>
  <c r="G134" i="3" s="1"/>
  <c r="J122" i="3"/>
  <c r="J127" i="3" s="1"/>
  <c r="C119" i="3" s="1"/>
  <c r="D119" i="3" s="1"/>
  <c r="C26" i="3"/>
  <c r="C18" i="3"/>
  <c r="H196" i="3"/>
  <c r="H197" i="3"/>
  <c r="D135" i="3" l="1"/>
  <c r="E118" i="3"/>
  <c r="I115" i="3" s="1"/>
  <c r="G118" i="3" s="1"/>
  <c r="G178" i="3"/>
  <c r="G184" i="3" s="1"/>
  <c r="E178" i="3"/>
  <c r="E184" i="3" s="1"/>
  <c r="G175" i="3"/>
  <c r="E175" i="3"/>
  <c r="D100" i="3"/>
  <c r="J109" i="3" s="1"/>
  <c r="A83" i="3"/>
  <c r="D84" i="3" s="1"/>
  <c r="D68" i="3"/>
  <c r="H84" i="3"/>
  <c r="J108"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J93" i="3"/>
  <c r="J92" i="3"/>
  <c r="K12" i="4" l="1"/>
  <c r="K16" i="4" s="1"/>
  <c r="C8" i="4" s="1"/>
  <c r="E8" i="4" s="1"/>
  <c r="E7" i="4"/>
  <c r="A196" i="3"/>
  <c r="A197" i="3" s="1"/>
  <c r="F7" i="4" l="1"/>
  <c r="J4" i="4" s="1"/>
  <c r="H7" i="4" s="1"/>
  <c r="H175" i="3" l="1"/>
  <c r="G170" i="3" l="1"/>
  <c r="J77" i="3"/>
  <c r="J76" i="3"/>
  <c r="H68" i="3"/>
  <c r="J72" i="3" l="1"/>
  <c r="D77" i="3"/>
  <c r="D74" i="3"/>
  <c r="D72" i="3"/>
  <c r="J70" i="3"/>
  <c r="D81" i="3"/>
  <c r="D79" i="3"/>
  <c r="D76" i="3"/>
  <c r="D73" i="3"/>
  <c r="J71" i="3"/>
  <c r="J69" i="3"/>
  <c r="D80" i="3"/>
  <c r="D78" i="3"/>
  <c r="D75" i="3"/>
  <c r="D97" i="3" l="1"/>
  <c r="D89" i="3"/>
  <c r="D92" i="3"/>
  <c r="J86" i="3"/>
  <c r="D96" i="3"/>
  <c r="D90" i="3"/>
  <c r="J85" i="3"/>
  <c r="D95" i="3"/>
  <c r="J88" i="3"/>
  <c r="J89" i="3" s="1"/>
  <c r="D94" i="3"/>
  <c r="D88" i="3"/>
  <c r="J87" i="3"/>
  <c r="C86" i="3" s="1"/>
  <c r="D93" i="3"/>
  <c r="D91" i="3"/>
  <c r="J73" i="3"/>
  <c r="J78" i="3" s="1"/>
  <c r="C70" i="3"/>
  <c r="D86" i="3" l="1"/>
  <c r="J90" i="3"/>
  <c r="J94" i="3"/>
  <c r="J91" i="3"/>
  <c r="D70" i="3"/>
  <c r="J74" i="3"/>
  <c r="H100" i="3"/>
  <c r="D148" i="3" l="1"/>
  <c r="D109" i="3"/>
  <c r="J95" i="3"/>
  <c r="C87" i="3" s="1"/>
  <c r="D113" i="3"/>
  <c r="D112" i="3"/>
  <c r="D106" i="3"/>
  <c r="J103" i="3"/>
  <c r="C102" i="3" s="1"/>
  <c r="D108" i="3"/>
  <c r="D107" i="3"/>
  <c r="J101" i="3"/>
  <c r="D111" i="3"/>
  <c r="D105" i="3"/>
  <c r="J104" i="3"/>
  <c r="J105" i="3" s="1"/>
  <c r="J106" i="3" s="1"/>
  <c r="J107" i="3" s="1"/>
  <c r="D110" i="3"/>
  <c r="D104" i="3"/>
  <c r="J102" i="3"/>
  <c r="J75" i="3"/>
  <c r="H148" i="3"/>
  <c r="D161" i="3" l="1"/>
  <c r="J149" i="3"/>
  <c r="D160" i="3"/>
  <c r="D156" i="3"/>
  <c r="D152" i="3"/>
  <c r="D158" i="3"/>
  <c r="D157" i="3"/>
  <c r="J151" i="3"/>
  <c r="C150" i="3" s="1"/>
  <c r="D154" i="3"/>
  <c r="D159" i="3"/>
  <c r="D155" i="3"/>
  <c r="D153" i="3"/>
  <c r="J150" i="3"/>
  <c r="J156" i="3"/>
  <c r="J152" i="3"/>
  <c r="J153" i="3" s="1"/>
  <c r="J158" i="3" s="1"/>
  <c r="J155" i="3"/>
  <c r="J157" i="3"/>
  <c r="D87" i="3"/>
  <c r="E86" i="3"/>
  <c r="I83" i="3" s="1"/>
  <c r="G86" i="3" s="1"/>
  <c r="J110" i="3"/>
  <c r="J111" i="3" s="1"/>
  <c r="C103" i="3" s="1"/>
  <c r="D103" i="3" s="1"/>
  <c r="D102" i="3"/>
  <c r="J79" i="3"/>
  <c r="D150" i="3" l="1"/>
  <c r="J154" i="3"/>
  <c r="J159" i="3" s="1"/>
  <c r="C151" i="3" s="1"/>
  <c r="D151" i="3" s="1"/>
  <c r="E102" i="3"/>
  <c r="I99" i="3" s="1"/>
  <c r="G102" i="3" s="1"/>
  <c r="C71" i="3"/>
  <c r="E70" i="3" s="1"/>
  <c r="E150" i="3" l="1"/>
  <c r="I147" i="3" s="1"/>
  <c r="G150" i="3" s="1"/>
  <c r="D71" i="3"/>
  <c r="I67" i="3"/>
  <c r="G70" i="3" s="1"/>
  <c r="G162"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68"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<sst xmlns="http://schemas.openxmlformats.org/spreadsheetml/2006/main" count="837" uniqueCount="381">
  <si>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</si>
  <si>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</si>
  <si>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</si>
  <si>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</si>
  <si>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</si>
  <si>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</si>
  <si>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</si>
  <si>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</si>
  <si>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</si>
  <si>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</si>
  <si>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</si>
  <si>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</si>
  <si>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</si>
  <si>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</si>
  <si>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</si>
  <si>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</si>
  <si>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</si>
  <si>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</si>
  <si>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</si>
  <si>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</si>
  <si>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</si>
  <si>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</si>
  <si>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</si>
  <si>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</si>
  <si>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</si>
  <si>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</si>
  <si>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</si>
  <si>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</si>
  <si>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</si>
  <si>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</si>
  <si>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</si>
  <si>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</si>
  <si>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</si>
  <si>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</si>
  <si>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</si>
  <si>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</si>
  <si>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</si>
  <si>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</si>
  <si>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</si>
  <si>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</si>
  <si>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</si>
  <si>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</si>
  <si>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</si>
  <si>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</si>
  <si>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</si>
  <si>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</si>
  <si>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</si>
  <si>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</si>
  <si>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</si>
  <si>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</si>
  <si>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</si>
  <si>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</si>
  <si>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</si>
  <si>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</si>
  <si>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</si>
  <si>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</si>
  <si>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</si>
  <si>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</si>
  <si>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</si>
  <si>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</si>
  <si>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</si>
  <si>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</si>
  <si>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</si>
  <si>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</si>
  <si>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</si>
  <si>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</si>
  <si>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</si>
  <si>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</si>
  <si>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</si>
  <si>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</si>
  <si>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</si>
  <si>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</si>
  <si>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</si>
  <si>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</si>
  <si>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</si>
  <si>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</si>
  <si>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</si>
  <si>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</si>
  <si>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</si>
  <si>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</si>
  <si>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</si>
  <si>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</si>
  <si>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</si>
  <si>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</si>
  <si>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</si>
  <si>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</si>
  <si>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</si>
  <si>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</si>
  <si>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</si>
  <si>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</si>
  <si>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</si>
  <si>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</si>
  <si>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</si>
  <si>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</si>
  <si>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</si>
  <si>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</si>
  <si>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</si>
  <si>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</si>
  <si>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</si>
  <si>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</si>
  <si>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</si>
  <si>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</si>
  <si>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</si>
  <si>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</si>
  <si>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</si>
  <si>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</si>
  <si>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</si>
  <si>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</si>
  <si>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</si>
  <si>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</si>
  <si>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</si>
  <si>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</si>
  <si>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</si>
  <si>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</si>
  <si>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</si>
  <si>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</si>
  <si>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</si>
  <si>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</si>
  <si>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</si>
  <si>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</si>
  <si>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</si>
  <si>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</si>
  <si>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</si>
  <si>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</si>
  <si>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</si>
  <si>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</si>
  <si>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</si>
  <si>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</si>
  <si>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</si>
  <si>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</si>
  <si>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</si>
  <si>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</si>
  <si>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</si>
  <si>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</si>
  <si>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</si>
  <si>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</si>
  <si>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</si>
  <si>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</si>
  <si>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</si>
  <si>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</si>
  <si>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</si>
  <si>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</si>
  <si>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</si>
  <si>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</si>
  <si>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</si>
  <si>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</si>
  <si>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</si>
  <si>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</si>
  <si>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</si>
  <si>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</si>
  <si>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</si>
  <si>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</si>
  <si>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</si>
  <si>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</si>
  <si>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</si>
  <si>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</si>
  <si>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</si>
  <si>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</si>
  <si>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</si>
  <si>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</si>
  <si>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</si>
  <si>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</si>
  <si>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</si>
  <si>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</si>
  <si>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</si>
  <si>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</si>
  <si>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</si>
  <si>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</si>
  <si>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</si>
  <si>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</si>
  <si>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</si>
  <si>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</si>
  <si>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</si>
  <si>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</si>
  <si>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</si>
  <si>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</si>
  <si>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</si>
  <si>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</si>
  <si>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</si>
  <si>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</si>
  <si>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</si>
  <si>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</si>
  <si>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</si>
  <si>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</si>
  <si>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</si>
  <si>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</si>
  <si>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</si>
  <si>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</si>
  <si>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</si>
  <si>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</si>
  <si>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</si>
  <si>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</si>
  <si>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</si>
  <si>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</si>
  <si>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</si>
  <si>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</si>
  <si>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</si>
  <si>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</si>
  <si>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</si>
  <si>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</si>
  <si>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</si>
  <si>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</si>
  <si>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</si>
  <si>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</si>
  <si>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</si>
  <si>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</si>
  <si>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</si>
  <si>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</si>
  <si>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</si>
  <si>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</si>
  <si>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</si>
  <si>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</si>
  <si>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</si>
  <si>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</si>
  <si>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</si>
  <si>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</si>
  <si>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</si>
  <si>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</si>
  <si>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</si>
  <si>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</si>
  <si>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</si>
  <si>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</si>
  <si>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</si>
  <si>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</si>
  <si>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</si>
  <si>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</si>
  <si>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</si>
  <si>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</si>
  <si>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</si>
  <si>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</si>
  <si>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</si>
  <si>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</si>
  <si>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</si>
  <si>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</si>
  <si>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</si>
  <si>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</si>
  <si>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Construction work is in process at the time of Visit (labour found)
Construction work was not active at the time of Visit. (labour Not found)
All work completed. Wait for OC / OC received.
Work not yet Started.</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</si>
  <si>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</si>
  <si>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</si>
  <si>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</si>
  <si>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</si>
  <si>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</si>
  <si>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</si>
  <si>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</si>
  <si>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</si>
  <si>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</si>
  <si>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</si>
  <si>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</si>
  <si>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</si>
  <si>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</si>
  <si>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</si>
  <si>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</si>
  <si>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</si>
  <si>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</si>
  <si>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</si>
  <si>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</si>
  <si>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</si>
  <si>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</si>
  <si>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</si>
  <si>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</si>
  <si>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</si>
  <si>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</si>
  <si>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</si>
  <si>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</si>
  <si>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</si>
  <si>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</si>
  <si>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</si>
  <si>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</si>
  <si>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</si>
  <si>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</si>
  <si>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</si>
  <si>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</si>
  <si>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</si>
  <si>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</si>
  <si>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</si>
  <si>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</si>
  <si>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</si>
  <si>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</si>
  <si>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</si>
  <si>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</si>
  <si>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</si>
  <si>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</si>
  <si>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</si>
  <si>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</si>
  <si>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</si>
  <si>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</si>
  <si>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</si>
  <si>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</si>
  <si>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</si>
  <si>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</si>
  <si>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</si>
  <si>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</si>
  <si>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</si>
  <si>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</si>
  <si>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</si>
  <si>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</si>
  <si>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</si>
  <si>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</si>
  <si>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</si>
  <si>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</si>
  <si>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</si>
  <si>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</si>
  <si>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</si>
  <si>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</si>
  <si>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Arkade Nest</t>
  </si>
  <si>
    <t>14/11/2024 @ 03:48PM</t>
  </si>
  <si>
    <t>Arkade Developers Pvt. Ltd.</t>
  </si>
  <si>
    <t>Arkade Nest, CTS No.704, near Mangla Tower, K.Kamarajar Road, Asha Nagar,
Nahur, Mulund West, Kurla, Mumbai - 400080.</t>
  </si>
  <si>
    <t>Approved Layout &amp; Floor Plans, CC, RERA certificate.</t>
  </si>
  <si>
    <t>P51800050953</t>
  </si>
  <si>
    <t>Municipal Corporation of Greater Mumbai (MCGM)</t>
  </si>
  <si>
    <t>99909920237082
IFSC Code : HDFC0000667</t>
  </si>
  <si>
    <t>As per RERA Site Flats = 87</t>
  </si>
  <si>
    <t>19.166817,72.941444</t>
  </si>
  <si>
    <t>https://maps.app.goo.gl/TRF5Vbgo43rLgwGj8</t>
  </si>
  <si>
    <t>Rejuve 360</t>
  </si>
  <si>
    <t>Swimming Pool, Gymnasium, Indoor Games, Food Court, Mini Theatre, Jogging Track, Club House, Cafeteria, Laundromat, Multipurpose Hall, Landscaping &amp; Tree Planting, etc.</t>
  </si>
  <si>
    <t>13.40M</t>
  </si>
  <si>
    <t>550M from P &amp; T Colony Bus Stop</t>
  </si>
  <si>
    <t>About 1.00KM from 
Dhanvallabh English High School C.B.S.E School</t>
  </si>
  <si>
    <t>About 1.30KM form Fortis Hospital</t>
  </si>
  <si>
    <t>1. Approx. 1.00KM from Dmart.
2. Approx. 2.60KM from R Mall.</t>
  </si>
  <si>
    <t>Road</t>
  </si>
  <si>
    <t>Other Plot</t>
  </si>
  <si>
    <t>Building</t>
  </si>
  <si>
    <t>Open Plot</t>
  </si>
  <si>
    <t>13.40M. Wide Road</t>
  </si>
  <si>
    <t>18.30 M. Wide Road</t>
  </si>
  <si>
    <t>2B + G + 1st to 22nd Floor</t>
  </si>
  <si>
    <t>Wing A</t>
  </si>
  <si>
    <t>Wing B</t>
  </si>
  <si>
    <t>Wing C</t>
  </si>
  <si>
    <t>Wing D</t>
  </si>
  <si>
    <t>Wing E</t>
  </si>
  <si>
    <t>Wing F</t>
  </si>
  <si>
    <t xml:space="preserve">P-10674/2022/(704)/T Ward/NAHUR - T/337/4/Amend </t>
  </si>
  <si>
    <t>24000 to 25000</t>
  </si>
  <si>
    <t>2.00KM from Mulund Railway Station
3.70KM from Nahur Railway Station</t>
  </si>
  <si>
    <t>2nd Basement For Tank Area</t>
  </si>
  <si>
    <t>Ground Floor for Entrance Lobby &amp; Parking</t>
  </si>
  <si>
    <t>1st to 4th Podium Floor For Parking</t>
  </si>
  <si>
    <t>5th Podium Floor For Society Office, Swimming Pool, Fitness Centre, Letter Box Area.</t>
  </si>
  <si>
    <t>7th, 9th, 11th, 13th, 15th, 17th, 19th, 21st Floor (Refuge Balcony At Mid landing of Staircase)</t>
  </si>
  <si>
    <t>3BHK</t>
  </si>
  <si>
    <t>2BHK</t>
  </si>
  <si>
    <t>Wing A to F</t>
  </si>
  <si>
    <t>7th, 9th, 11th, 13th, 15th, 17th, 19th Floor (Refuge Balcony At Mid landing of Staircase)</t>
  </si>
  <si>
    <t>21st Floor (Refuge Balcony At Mid landing of Staircase)</t>
  </si>
  <si>
    <t>22nd Floor</t>
  </si>
  <si>
    <t>6th, 7th, 9th to 14th, 16th to 22nd Floor For Residential</t>
  </si>
  <si>
    <t>8th Floor (Part Refuge Area)</t>
  </si>
  <si>
    <t>8th &amp; 15th Floor (Part Refuge Area)</t>
  </si>
  <si>
    <t>Refuge Area</t>
  </si>
  <si>
    <t>6th, 8th, 10th, 12th, 14th, 16th, 18th, 20th Floor For Residential</t>
  </si>
  <si>
    <t>6th, 8th, 10th, 12th, 14th, 16th, 18th, 20th &amp; 22nd Floor For Residential</t>
  </si>
  <si>
    <t>15th Floor (Part Refuge Area)</t>
  </si>
  <si>
    <t xml:space="preserve">We considered Gross carpet area = Net carpet + Balcony.
</t>
  </si>
  <si>
    <t>Mr.Nainesh Tambe</t>
  </si>
  <si>
    <t>Arkade House, A.S.Marg, next to Children's Academy, Kandivali, Ashok Nagar, Kandivali East, Mumbai, Maharashtra 400101</t>
  </si>
  <si>
    <t>Arkade Nest, Off, Jain Mandir Marg, Sarvodaya Nagar, Mulund West, Mumbai, Maharashtra 400080</t>
  </si>
  <si>
    <t>P-10674/2022/(704)/T Ward/NAHUR - TCFO/1/New</t>
  </si>
  <si>
    <t xml:space="preserve">Fire NOC Details
Valid Up to: </t>
  </si>
  <si>
    <t>Wing A, B, C, D, E, F = Gr floor + Intermediate floor + 1st to 4th podium floor + 5th to 21st residential floors(Height of 69.95 mtrs)</t>
  </si>
  <si>
    <t>SNCR/WEST/B/041822/666906</t>
  </si>
  <si>
    <t>Site Elevation = 13.59M (ASML)
Permissible Top Elevation = 299.75M (ASML)</t>
  </si>
  <si>
    <t xml:space="preserve">Airport Authority Clearance Details
Valid Up to: </t>
  </si>
  <si>
    <t>Rera Carpet area</t>
  </si>
  <si>
    <t>Flats = 351</t>
  </si>
  <si>
    <t xml:space="preserve">We have refered Airport NOC &amp; Fire NOC from MCGM Site.
</t>
  </si>
  <si>
    <t xml:space="preserve">Construction work of Wing A to D &amp; F goes beyond approved CC permission.
</t>
  </si>
  <si>
    <t>1st Basement For Parking &amp; Tank Area</t>
  </si>
  <si>
    <t xml:space="preserve">Saudeep sales 8591080134 </t>
  </si>
  <si>
    <t>C.C. is re – endorsed for wing A, B, C, D, E, F &amp; G and upto top podium and full C.C. is granted for wing A, B, C,
F &amp; G as per amended approved plans dated 16.01.2025 by restricting C.C. of BUA of I.H. building and TDR
benefit, FSI benefit of Amenity open space, area of road set back and BUA of Temporary structure subject to
timely renewal of B.G, SWM NOC, Workmen’s compensation policy and taking all sorts of precautions during construction and for air pollution.</t>
  </si>
  <si>
    <t>P-10674/2022/(704)/T Ward/NAHUR -
T/FCC/2/Amend</t>
  </si>
  <si>
    <t>P-10674/2022/(704)/T Ward/NAHUR -
T/FCC/3/Amend</t>
  </si>
  <si>
    <t>Full C.C. is re – endorsed for wings A, B, C, F, G and further C.C. is granted for Wing D up to 9th residential upper floors and for Wing E up to 8th residential upper floors as per amended approved plans dated 16.01.2025 by restricting C.C. of BUA of I.H. building and TDR benefit, FSI benefit of Amenity open space, area of road set back and BUA of Temporary structure, subject to timely renewal of B.G, SWM NOC, Workmen’s compensation policy and taking all sorts of precautions during construction and for air pollution.</t>
  </si>
  <si>
    <t>We have updated revised CC from MCGM site (On 04/07/2025).</t>
  </si>
  <si>
    <t>Wing A &amp; B = 2B + G + 1st to 22nd Floor.</t>
  </si>
  <si>
    <t>04/07/2025 at 12:46PM</t>
  </si>
  <si>
    <t>Mr. Suraj Khare</t>
  </si>
  <si>
    <t>Wing G not registered on RERA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</si>
</sst>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4" fillId="0" borderId="0" applyNumberFormat="0" applyFill="0" applyBorder="0" applyAlignment="0" applyProtection="0"/>
  </cellStyleXfs>
  <cellXfs count="19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2"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2" xfId="0" applyFont="1" applyFill="1" applyBorder="1" applyAlignment="1">
      <alignment vertical="top" wrapText="1"/>
    </xf>
    <xf numFmtId="0" fontId="4" fillId="4" borderId="5" xfId="0" applyFont="1" applyFill="1" applyBorder="1" applyAlignment="1">
      <alignmen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8" fillId="4" borderId="2" xfId="0"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14" fontId="4" fillId="4" borderId="2" xfId="0" applyNumberFormat="1"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17" fontId="4" fillId="4" borderId="1" xfId="0" applyNumberFormat="1" applyFont="1" applyFill="1" applyBorder="1" applyAlignment="1">
      <alignment horizontal="left" vertical="top" wrapText="1"/>
    </xf>
    <xf numFmtId="0" fontId="25" fillId="4" borderId="1" xfId="2" applyFont="1" applyFill="1" applyBorder="1" applyAlignment="1">
      <alignment horizontal="left" vertical="top" wrapText="1"/>
    </xf>
    <xf numFmtId="0" fontId="26"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xf numFmtId="0" fontId="27" fillId="0" borderId="0" xfId="0"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2</xdr:col>
      <xdr:colOff>295618</xdr:colOff>
      <xdr:row>351</xdr:row>
      <xdr:rowOff>78701</xdr:rowOff>
    </xdr:from>
    <xdr:to>
      <xdr:col>5</xdr:col>
      <xdr:colOff>1011108</xdr:colOff>
      <xdr:row>373</xdr:row>
      <xdr:rowOff>223827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48853" y="92975466"/>
          <a:ext cx="4245343" cy="5815302"/>
        </a:xfrm>
        <a:prstGeom prst="rect">
          <a:avLst/>
        </a:prstGeom>
        <a:ln>
          <a:solidFill>
            <a:schemeClr val="tx1"/>
          </a:solidFill>
        </a:ln>
      </xdr:spPr>
    </xdr:pic>
    <xdr:clientData/>
  </xdr:twoCellAnchor>
  <xdr:twoCellAnchor editAs="oneCell">
    <xdr:from>
      <xdr:col>1</xdr:col>
      <xdr:colOff>1008529</xdr:colOff>
      <xdr:row>328</xdr:row>
      <xdr:rowOff>22412</xdr:rowOff>
    </xdr:from>
    <xdr:to>
      <xdr:col>6</xdr:col>
      <xdr:colOff>158374</xdr:colOff>
      <xdr:row>350</xdr:row>
      <xdr:rowOff>165131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rot="10800000">
          <a:off x="2185147" y="86991265"/>
          <a:ext cx="5032933" cy="5812895"/>
        </a:xfrm>
        <a:prstGeom prst="rect">
          <a:avLst/>
        </a:prstGeom>
        <a:ln>
          <a:solidFill>
            <a:schemeClr val="tx1"/>
          </a:solidFill>
        </a:ln>
      </xdr:spPr>
    </xdr:pic>
    <xdr:clientData/>
  </xdr:twoCellAnchor>
  <xdr:twoCellAnchor>
    <xdr:from>
      <xdr:col>2</xdr:col>
      <xdr:colOff>607090</xdr:colOff>
      <xdr:row>337</xdr:row>
      <xdr:rowOff>61181</xdr:rowOff>
    </xdr:from>
    <xdr:to>
      <xdr:col>3</xdr:col>
      <xdr:colOff>342726</xdr:colOff>
      <xdr:row>342</xdr:row>
      <xdr:rowOff>118844</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20416116">
          <a:off x="2960325" y="89349652"/>
          <a:ext cx="912254" cy="134633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2</xdr:col>
      <xdr:colOff>876146</xdr:colOff>
      <xdr:row>343</xdr:row>
      <xdr:rowOff>176341</xdr:rowOff>
    </xdr:from>
    <xdr:to>
      <xdr:col>3</xdr:col>
      <xdr:colOff>73669</xdr:colOff>
      <xdr:row>347</xdr:row>
      <xdr:rowOff>88424</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rot="4002872">
          <a:off x="2944939" y="91295665"/>
          <a:ext cx="943025"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A Wing </a:t>
          </a:r>
        </a:p>
      </xdr:txBody>
    </xdr:sp>
    <xdr:clientData/>
  </xdr:twoCellAnchor>
  <xdr:twoCellAnchor>
    <xdr:from>
      <xdr:col>3</xdr:col>
      <xdr:colOff>15897</xdr:colOff>
      <xdr:row>342</xdr:row>
      <xdr:rowOff>118760</xdr:rowOff>
    </xdr:from>
    <xdr:to>
      <xdr:col>3</xdr:col>
      <xdr:colOff>928151</xdr:colOff>
      <xdr:row>347</xdr:row>
      <xdr:rowOff>176423</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rot="20416116">
          <a:off x="3545750" y="90695907"/>
          <a:ext cx="912254" cy="134634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2</xdr:col>
      <xdr:colOff>522421</xdr:colOff>
      <xdr:row>332</xdr:row>
      <xdr:rowOff>250086</xdr:rowOff>
    </xdr:from>
    <xdr:to>
      <xdr:col>3</xdr:col>
      <xdr:colOff>255508</xdr:colOff>
      <xdr:row>337</xdr:row>
      <xdr:rowOff>46351</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rot="20416116">
          <a:off x="2875656" y="88249880"/>
          <a:ext cx="909705" cy="108494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3</xdr:col>
      <xdr:colOff>906015</xdr:colOff>
      <xdr:row>345</xdr:row>
      <xdr:rowOff>66980</xdr:rowOff>
    </xdr:from>
    <xdr:to>
      <xdr:col>4</xdr:col>
      <xdr:colOff>819197</xdr:colOff>
      <xdr:row>348</xdr:row>
      <xdr:rowOff>37334</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rot="16200000">
          <a:off x="4608988" y="91244213"/>
          <a:ext cx="743560" cy="10898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4</xdr:col>
      <xdr:colOff>890462</xdr:colOff>
      <xdr:row>345</xdr:row>
      <xdr:rowOff>175674</xdr:rowOff>
    </xdr:from>
    <xdr:to>
      <xdr:col>5</xdr:col>
      <xdr:colOff>894408</xdr:colOff>
      <xdr:row>348</xdr:row>
      <xdr:rowOff>197974</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rot="16200000">
          <a:off x="5789462" y="91333498"/>
          <a:ext cx="795506" cy="118056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5</xdr:col>
      <xdr:colOff>5296</xdr:colOff>
      <xdr:row>341</xdr:row>
      <xdr:rowOff>149677</xdr:rowOff>
    </xdr:from>
    <xdr:to>
      <xdr:col>5</xdr:col>
      <xdr:colOff>769980</xdr:colOff>
      <xdr:row>345</xdr:row>
      <xdr:rowOff>60668</xdr:rowOff>
    </xdr:to>
    <xdr:sp macro="" textlink="">
      <xdr:nvSpPr>
        <xdr:cNvPr id="10" name="Rectangle 9">
          <a:extLst>
            <a:ext uri="{FF2B5EF4-FFF2-40B4-BE49-F238E27FC236}">
              <a16:creationId xmlns:a16="http://schemas.microsoft.com/office/drawing/2014/main" id="{00000000-0008-0000-0000-00000A000000}"/>
            </a:ext>
          </a:extLst>
        </xdr:cNvPr>
        <xdr:cNvSpPr/>
      </xdr:nvSpPr>
      <xdr:spPr>
        <a:xfrm>
          <a:off x="5856367" y="100597606"/>
          <a:ext cx="764684" cy="94513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3</xdr:col>
      <xdr:colOff>327307</xdr:colOff>
      <xdr:row>337</xdr:row>
      <xdr:rowOff>136172</xdr:rowOff>
    </xdr:from>
    <xdr:to>
      <xdr:col>3</xdr:col>
      <xdr:colOff>701448</xdr:colOff>
      <xdr:row>341</xdr:row>
      <xdr:rowOff>38637</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rot="4229888">
          <a:off x="3577528" y="89704275"/>
          <a:ext cx="933406"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B Wing </a:t>
          </a:r>
        </a:p>
      </xdr:txBody>
    </xdr:sp>
    <xdr:clientData/>
  </xdr:twoCellAnchor>
  <xdr:twoCellAnchor>
    <xdr:from>
      <xdr:col>2</xdr:col>
      <xdr:colOff>478311</xdr:colOff>
      <xdr:row>331</xdr:row>
      <xdr:rowOff>97848</xdr:rowOff>
    </xdr:from>
    <xdr:to>
      <xdr:col>3</xdr:col>
      <xdr:colOff>353041</xdr:colOff>
      <xdr:row>332</xdr:row>
      <xdr:rowOff>213087</xdr:rowOff>
    </xdr:to>
    <xdr:sp macro="" textlink="">
      <xdr:nvSpPr>
        <xdr:cNvPr id="12" name="Rectangle 11">
          <a:extLst>
            <a:ext uri="{FF2B5EF4-FFF2-40B4-BE49-F238E27FC236}">
              <a16:creationId xmlns:a16="http://schemas.microsoft.com/office/drawing/2014/main" id="{00000000-0008-0000-0000-00000C000000}"/>
            </a:ext>
          </a:extLst>
        </xdr:cNvPr>
        <xdr:cNvSpPr/>
      </xdr:nvSpPr>
      <xdr:spPr>
        <a:xfrm rot="20252277">
          <a:off x="2831546" y="87839907"/>
          <a:ext cx="1051348" cy="37297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C Wing </a:t>
          </a:r>
        </a:p>
      </xdr:txBody>
    </xdr:sp>
    <xdr:clientData/>
  </xdr:twoCellAnchor>
  <xdr:twoCellAnchor>
    <xdr:from>
      <xdr:col>4</xdr:col>
      <xdr:colOff>304120</xdr:colOff>
      <xdr:row>341</xdr:row>
      <xdr:rowOff>251934</xdr:rowOff>
    </xdr:from>
    <xdr:to>
      <xdr:col>5</xdr:col>
      <xdr:colOff>160885</xdr:colOff>
      <xdr:row>343</xdr:row>
      <xdr:rowOff>110605</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4984977" y="100699863"/>
          <a:ext cx="1026979" cy="37574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D Wing </a:t>
          </a:r>
        </a:p>
      </xdr:txBody>
    </xdr:sp>
    <xdr:clientData/>
  </xdr:twoCellAnchor>
  <xdr:twoCellAnchor>
    <xdr:from>
      <xdr:col>4</xdr:col>
      <xdr:colOff>1050970</xdr:colOff>
      <xdr:row>348</xdr:row>
      <xdr:rowOff>197739</xdr:rowOff>
    </xdr:from>
    <xdr:to>
      <xdr:col>5</xdr:col>
      <xdr:colOff>773206</xdr:colOff>
      <xdr:row>350</xdr:row>
      <xdr:rowOff>56410</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5757441" y="92321298"/>
          <a:ext cx="898853" cy="37414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E Wing </a:t>
          </a:r>
        </a:p>
      </xdr:txBody>
    </xdr:sp>
    <xdr:clientData/>
  </xdr:twoCellAnchor>
  <xdr:twoCellAnchor>
    <xdr:from>
      <xdr:col>4</xdr:col>
      <xdr:colOff>418</xdr:colOff>
      <xdr:row>343</xdr:row>
      <xdr:rowOff>214309</xdr:rowOff>
    </xdr:from>
    <xdr:to>
      <xdr:col>4</xdr:col>
      <xdr:colOff>907675</xdr:colOff>
      <xdr:row>345</xdr:row>
      <xdr:rowOff>71812</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4706889" y="91049191"/>
          <a:ext cx="907257" cy="372974"/>
        </a:xfrm>
        <a:prstGeom prst="rect">
          <a:avLst/>
        </a:prstGeom>
        <a:ln>
          <a:solidFill>
            <a:srgbClr val="FF0000"/>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F Wing </a:t>
          </a:r>
        </a:p>
      </xdr:txBody>
    </xdr:sp>
    <xdr:clientData/>
  </xdr:twoCellAnchor>
  <xdr:twoCellAnchor>
    <xdr:from>
      <xdr:col>1</xdr:col>
      <xdr:colOff>974911</xdr:colOff>
      <xdr:row>377</xdr:row>
      <xdr:rowOff>212913</xdr:rowOff>
    </xdr:from>
    <xdr:to>
      <xdr:col>6</xdr:col>
      <xdr:colOff>156882</xdr:colOff>
      <xdr:row>405</xdr:row>
      <xdr:rowOff>212912</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2145125" y="109968127"/>
          <a:ext cx="5033043" cy="7238999"/>
          <a:chOff x="2580297" y="70969908"/>
          <a:chExt cx="5391760" cy="10239413"/>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2580297" y="70969908"/>
            <a:ext cx="5391760" cy="4657730"/>
          </a:xfrm>
          <a:prstGeom prst="rect">
            <a:avLst/>
          </a:prstGeom>
          <a:ln>
            <a:solidFill>
              <a:schemeClr val="tx1"/>
            </a:solidFill>
          </a:ln>
        </xdr:spPr>
      </xdr:pic>
      <xdr:grpSp>
        <xdr:nvGrpSpPr>
          <xdr:cNvPr id="18" name="Group 17">
            <a:extLst>
              <a:ext uri="{FF2B5EF4-FFF2-40B4-BE49-F238E27FC236}">
                <a16:creationId xmlns:a16="http://schemas.microsoft.com/office/drawing/2014/main" id="{00000000-0008-0000-0000-000012000000}"/>
              </a:ext>
            </a:extLst>
          </xdr:cNvPr>
          <xdr:cNvGrpSpPr/>
        </xdr:nvGrpSpPr>
        <xdr:grpSpPr>
          <a:xfrm>
            <a:off x="3030682" y="75809321"/>
            <a:ext cx="4418742" cy="5400000"/>
            <a:chOff x="800823" y="80239721"/>
            <a:chExt cx="4747788" cy="4140000"/>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800823" y="80239721"/>
              <a:ext cx="4747788" cy="4140000"/>
            </a:xfrm>
            <a:prstGeom prst="rect">
              <a:avLst/>
            </a:prstGeom>
            <a:ln>
              <a:solidFill>
                <a:schemeClr val="tx1"/>
              </a:solidFill>
            </a:ln>
          </xdr:spPr>
        </xdr:pic>
        <xdr:sp macro="" textlink="">
          <xdr:nvSpPr>
            <xdr:cNvPr id="20" name="Rectangle 19">
              <a:extLst>
                <a:ext uri="{FF2B5EF4-FFF2-40B4-BE49-F238E27FC236}">
                  <a16:creationId xmlns:a16="http://schemas.microsoft.com/office/drawing/2014/main" id="{00000000-0008-0000-0000-000014000000}"/>
                </a:ext>
              </a:extLst>
            </xdr:cNvPr>
            <xdr:cNvSpPr/>
          </xdr:nvSpPr>
          <xdr:spPr>
            <a:xfrm rot="1720786">
              <a:off x="3145906" y="81535964"/>
              <a:ext cx="888173" cy="821869"/>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8</xdr:col>
      <xdr:colOff>435428</xdr:colOff>
      <xdr:row>283</xdr:row>
      <xdr:rowOff>54428</xdr:rowOff>
    </xdr:from>
    <xdr:to>
      <xdr:col>18</xdr:col>
      <xdr:colOff>462642</xdr:colOff>
      <xdr:row>321</xdr:row>
      <xdr:rowOff>163285</xdr:rowOff>
    </xdr:to>
    <xdr:grpSp>
      <xdr:nvGrpSpPr>
        <xdr:cNvPr id="21" name="Group 20">
          <a:extLst>
            <a:ext uri="{FF2B5EF4-FFF2-40B4-BE49-F238E27FC236}">
              <a16:creationId xmlns:a16="http://schemas.microsoft.com/office/drawing/2014/main" id="{00000000-0008-0000-0000-000015000000}"/>
            </a:ext>
          </a:extLst>
        </xdr:cNvPr>
        <xdr:cNvGrpSpPr/>
      </xdr:nvGrpSpPr>
      <xdr:grpSpPr>
        <a:xfrm>
          <a:off x="9797142" y="85507285"/>
          <a:ext cx="7987393" cy="9933214"/>
          <a:chOff x="530077" y="139822"/>
          <a:chExt cx="6062726" cy="7582068"/>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559510" y="5561890"/>
            <a:ext cx="1624519"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613804" y="2850856"/>
            <a:ext cx="1895272" cy="2520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30077" y="139822"/>
            <a:ext cx="1895272"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30077" y="2850856"/>
            <a:ext cx="1895272" cy="2520000"/>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629732" y="139822"/>
            <a:ext cx="1895272" cy="252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697531" y="139822"/>
            <a:ext cx="1895272" cy="2520000"/>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697531" y="2850856"/>
            <a:ext cx="1895272" cy="252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749180" y="5561890"/>
            <a:ext cx="1624519"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8850" y="5561890"/>
            <a:ext cx="1624519" cy="2160000"/>
          </a:xfrm>
          <a:prstGeom prst="rect">
            <a:avLst/>
          </a:prstGeom>
        </xdr:spPr>
      </xdr:pic>
      <xdr:sp macro="" textlink="">
        <xdr:nvSpPr>
          <xdr:cNvPr id="31" name="TextBox 11">
            <a:extLst>
              <a:ext uri="{FF2B5EF4-FFF2-40B4-BE49-F238E27FC236}">
                <a16:creationId xmlns:a16="http://schemas.microsoft.com/office/drawing/2014/main" id="{00000000-0008-0000-0000-00001F000000}"/>
              </a:ext>
            </a:extLst>
          </xdr:cNvPr>
          <xdr:cNvSpPr txBox="1"/>
        </xdr:nvSpPr>
        <xdr:spPr>
          <a:xfrm>
            <a:off x="5573092" y="500152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Wing E</a:t>
            </a:r>
            <a:endParaRPr lang="en-IN" b="1">
              <a:solidFill>
                <a:srgbClr val="FFFF00"/>
              </a:solidFill>
            </a:endParaRPr>
          </a:p>
        </xdr:txBody>
      </xdr:sp>
      <xdr:sp macro="" textlink="">
        <xdr:nvSpPr>
          <xdr:cNvPr id="32" name="TextBox 12">
            <a:extLst>
              <a:ext uri="{FF2B5EF4-FFF2-40B4-BE49-F238E27FC236}">
                <a16:creationId xmlns:a16="http://schemas.microsoft.com/office/drawing/2014/main" id="{00000000-0008-0000-0000-000020000000}"/>
              </a:ext>
            </a:extLst>
          </xdr:cNvPr>
          <xdr:cNvSpPr txBox="1"/>
        </xdr:nvSpPr>
        <xdr:spPr>
          <a:xfrm>
            <a:off x="3289962" y="3033652"/>
            <a:ext cx="84189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F</a:t>
            </a:r>
            <a:endParaRPr lang="en-IN" b="1"/>
          </a:p>
        </xdr:txBody>
      </xdr:sp>
      <xdr:sp macro="" textlink="">
        <xdr:nvSpPr>
          <xdr:cNvPr id="33" name="TextBox 13">
            <a:extLst>
              <a:ext uri="{FF2B5EF4-FFF2-40B4-BE49-F238E27FC236}">
                <a16:creationId xmlns:a16="http://schemas.microsoft.com/office/drawing/2014/main" id="{00000000-0008-0000-0000-000021000000}"/>
              </a:ext>
            </a:extLst>
          </xdr:cNvPr>
          <xdr:cNvSpPr txBox="1"/>
        </xdr:nvSpPr>
        <xdr:spPr>
          <a:xfrm>
            <a:off x="1039932" y="2998362"/>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a:t>
            </a:r>
            <a:endParaRPr lang="en-IN" b="1"/>
          </a:p>
        </xdr:txBody>
      </xdr:sp>
      <xdr:sp macro="" textlink="">
        <xdr:nvSpPr>
          <xdr:cNvPr id="34" name="TextBox 14">
            <a:extLst>
              <a:ext uri="{FF2B5EF4-FFF2-40B4-BE49-F238E27FC236}">
                <a16:creationId xmlns:a16="http://schemas.microsoft.com/office/drawing/2014/main" id="{00000000-0008-0000-0000-000022000000}"/>
              </a:ext>
            </a:extLst>
          </xdr:cNvPr>
          <xdr:cNvSpPr txBox="1"/>
        </xdr:nvSpPr>
        <xdr:spPr>
          <a:xfrm>
            <a:off x="4893769" y="510587"/>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C</a:t>
            </a:r>
            <a:endParaRPr lang="en-IN" b="1"/>
          </a:p>
        </xdr:txBody>
      </xdr:sp>
      <xdr:sp macro="" textlink="">
        <xdr:nvSpPr>
          <xdr:cNvPr id="35" name="TextBox 15">
            <a:extLst>
              <a:ext uri="{FF2B5EF4-FFF2-40B4-BE49-F238E27FC236}">
                <a16:creationId xmlns:a16="http://schemas.microsoft.com/office/drawing/2014/main" id="{00000000-0008-0000-0000-000023000000}"/>
              </a:ext>
            </a:extLst>
          </xdr:cNvPr>
          <xdr:cNvSpPr txBox="1"/>
        </xdr:nvSpPr>
        <xdr:spPr>
          <a:xfrm>
            <a:off x="2738951" y="549083"/>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sp macro="" textlink="">
        <xdr:nvSpPr>
          <xdr:cNvPr id="36" name="TextBox 16">
            <a:extLst>
              <a:ext uri="{FF2B5EF4-FFF2-40B4-BE49-F238E27FC236}">
                <a16:creationId xmlns:a16="http://schemas.microsoft.com/office/drawing/2014/main" id="{00000000-0008-0000-0000-000024000000}"/>
              </a:ext>
            </a:extLst>
          </xdr:cNvPr>
          <xdr:cNvSpPr txBox="1"/>
        </xdr:nvSpPr>
        <xdr:spPr>
          <a:xfrm>
            <a:off x="875548" y="589472"/>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grpSp>
    <xdr:clientData/>
  </xdr:twoCellAnchor>
  <xdr:twoCellAnchor editAs="oneCell">
    <xdr:from>
      <xdr:col>8</xdr:col>
      <xdr:colOff>449037</xdr:colOff>
      <xdr:row>163</xdr:row>
      <xdr:rowOff>449036</xdr:rowOff>
    </xdr:from>
    <xdr:to>
      <xdr:col>15</xdr:col>
      <xdr:colOff>85822</xdr:colOff>
      <xdr:row>178</xdr:row>
      <xdr:rowOff>222692</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4"/>
        <a:stretch>
          <a:fillRect/>
        </a:stretch>
      </xdr:blipFill>
      <xdr:spPr>
        <a:xfrm>
          <a:off x="9810751" y="47448107"/>
          <a:ext cx="5760000" cy="3093799"/>
        </a:xfrm>
        <a:prstGeom prst="rect">
          <a:avLst/>
        </a:prstGeom>
      </xdr:spPr>
    </xdr:pic>
    <xdr:clientData/>
  </xdr:twoCellAnchor>
  <xdr:twoCellAnchor>
    <xdr:from>
      <xdr:col>8</xdr:col>
      <xdr:colOff>612321</xdr:colOff>
      <xdr:row>283</xdr:row>
      <xdr:rowOff>13607</xdr:rowOff>
    </xdr:from>
    <xdr:to>
      <xdr:col>22</xdr:col>
      <xdr:colOff>368126</xdr:colOff>
      <xdr:row>311</xdr:row>
      <xdr:rowOff>61312</xdr:rowOff>
    </xdr:to>
    <xdr:grpSp>
      <xdr:nvGrpSpPr>
        <xdr:cNvPr id="44" name="Group 43">
          <a:extLst>
            <a:ext uri="{FF2B5EF4-FFF2-40B4-BE49-F238E27FC236}">
              <a16:creationId xmlns:a16="http://schemas.microsoft.com/office/drawing/2014/main" id="{00000000-0008-0000-0000-00002C000000}"/>
            </a:ext>
          </a:extLst>
        </xdr:cNvPr>
        <xdr:cNvGrpSpPr/>
      </xdr:nvGrpSpPr>
      <xdr:grpSpPr>
        <a:xfrm>
          <a:off x="9974035" y="85466464"/>
          <a:ext cx="8328305" cy="7286705"/>
          <a:chOff x="381000" y="77724000"/>
          <a:chExt cx="8328305" cy="7286705"/>
        </a:xfrm>
      </xdr:grpSpPr>
      <xdr:pic>
        <xdr:nvPicPr>
          <xdr:cNvPr id="38" name="Picture 37" descr="insp-221894-843.jpg (719×956)">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381000" y="77724000"/>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insp-221894-844.jpg (719×956)">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381000" y="81410705"/>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insp-221894-851.jpg (719×956)">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a:fillRect/>
          </a:stretch>
        </xdr:blipFill>
        <xdr:spPr bwMode="auto">
          <a:xfrm>
            <a:off x="3191387" y="81410705"/>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insp-221894-861.jpg (719×956)">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6001774" y="77724000"/>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insp-221894-862.jpg (719×956)">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3191387" y="77724000"/>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insp-221894-883.jpg (719×956)">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6001773" y="81410705"/>
            <a:ext cx="2707531"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326572</xdr:colOff>
      <xdr:row>53</xdr:row>
      <xdr:rowOff>394607</xdr:rowOff>
    </xdr:from>
    <xdr:to>
      <xdr:col>17</xdr:col>
      <xdr:colOff>37428</xdr:colOff>
      <xdr:row>58</xdr:row>
      <xdr:rowOff>1660072</xdr:rowOff>
    </xdr:to>
    <xdr:pic>
      <xdr:nvPicPr>
        <xdr:cNvPr id="45" name="Picture 44">
          <a:extLst>
            <a:ext uri="{FF2B5EF4-FFF2-40B4-BE49-F238E27FC236}">
              <a16:creationId xmlns:a16="http://schemas.microsoft.com/office/drawing/2014/main" id="{9030F5A3-5F35-4890-AA60-08F091AAE37F}"/>
            </a:ext>
          </a:extLst>
        </xdr:cNvPr>
        <xdr:cNvPicPr>
          <a:picLocks noChangeAspect="1"/>
        </xdr:cNvPicPr>
      </xdr:nvPicPr>
      <xdr:blipFill>
        <a:blip xmlns:r="http://schemas.openxmlformats.org/officeDocument/2006/relationships" r:embed="rId21"/>
        <a:stretch>
          <a:fillRect/>
        </a:stretch>
      </xdr:blipFill>
      <xdr:spPr>
        <a:xfrm>
          <a:off x="9688286" y="23132143"/>
          <a:ext cx="7058713" cy="5048250"/>
        </a:xfrm>
        <a:prstGeom prst="rect">
          <a:avLst/>
        </a:prstGeom>
      </xdr:spPr>
    </xdr:pic>
    <xdr:clientData/>
  </xdr:twoCellAnchor>
  <xdr:twoCellAnchor>
    <xdr:from>
      <xdr:col>0</xdr:col>
      <xdr:colOff>217714</xdr:colOff>
      <xdr:row>283</xdr:row>
      <xdr:rowOff>176892</xdr:rowOff>
    </xdr:from>
    <xdr:to>
      <xdr:col>7</xdr:col>
      <xdr:colOff>979714</xdr:colOff>
      <xdr:row>321</xdr:row>
      <xdr:rowOff>149678</xdr:rowOff>
    </xdr:to>
    <xdr:grpSp>
      <xdr:nvGrpSpPr>
        <xdr:cNvPr id="46" name="Group 45">
          <a:extLst>
            <a:ext uri="{FF2B5EF4-FFF2-40B4-BE49-F238E27FC236}">
              <a16:creationId xmlns:a16="http://schemas.microsoft.com/office/drawing/2014/main" id="{1F859F0D-F2BE-4890-B77B-3680B079029E}"/>
            </a:ext>
          </a:extLst>
        </xdr:cNvPr>
        <xdr:cNvGrpSpPr/>
      </xdr:nvGrpSpPr>
      <xdr:grpSpPr>
        <a:xfrm>
          <a:off x="217714" y="85629749"/>
          <a:ext cx="8953500" cy="9797143"/>
          <a:chOff x="-317616" y="395567"/>
          <a:chExt cx="7610609" cy="7936519"/>
        </a:xfrm>
      </xdr:grpSpPr>
      <xdr:pic>
        <xdr:nvPicPr>
          <xdr:cNvPr id="47" name="Picture 46">
            <a:extLst>
              <a:ext uri="{FF2B5EF4-FFF2-40B4-BE49-F238E27FC236}">
                <a16:creationId xmlns:a16="http://schemas.microsoft.com/office/drawing/2014/main" id="{FE62FCDA-6BEE-4377-94C8-322E815904D1}"/>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17616" y="395567"/>
            <a:ext cx="2436778" cy="3240000"/>
          </a:xfrm>
          <a:prstGeom prst="rect">
            <a:avLst/>
          </a:prstGeom>
          <a:ln>
            <a:solidFill>
              <a:schemeClr val="tx1"/>
            </a:solidFill>
          </a:ln>
        </xdr:spPr>
      </xdr:pic>
      <xdr:pic>
        <xdr:nvPicPr>
          <xdr:cNvPr id="48" name="Picture 47">
            <a:extLst>
              <a:ext uri="{FF2B5EF4-FFF2-40B4-BE49-F238E27FC236}">
                <a16:creationId xmlns:a16="http://schemas.microsoft.com/office/drawing/2014/main" id="{040A7A25-2455-46E4-9500-04BBE46F3BF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648907" y="3841815"/>
            <a:ext cx="1759895" cy="2340000"/>
          </a:xfrm>
          <a:prstGeom prst="rect">
            <a:avLst/>
          </a:prstGeom>
          <a:ln>
            <a:solidFill>
              <a:schemeClr val="tx1"/>
            </a:solidFill>
          </a:ln>
        </xdr:spPr>
      </xdr:pic>
      <xdr:pic>
        <xdr:nvPicPr>
          <xdr:cNvPr id="49" name="Picture 48">
            <a:extLst>
              <a:ext uri="{FF2B5EF4-FFF2-40B4-BE49-F238E27FC236}">
                <a16:creationId xmlns:a16="http://schemas.microsoft.com/office/drawing/2014/main" id="{4E02F832-2614-4D98-B453-E44B7BAE7923}"/>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539793" y="3832791"/>
            <a:ext cx="1759895" cy="2340000"/>
          </a:xfrm>
          <a:prstGeom prst="rect">
            <a:avLst/>
          </a:prstGeom>
          <a:ln>
            <a:solidFill>
              <a:schemeClr val="tx1"/>
            </a:solidFill>
          </a:ln>
        </xdr:spPr>
      </xdr:pic>
      <xdr:pic>
        <xdr:nvPicPr>
          <xdr:cNvPr id="50" name="Picture 49">
            <a:extLst>
              <a:ext uri="{FF2B5EF4-FFF2-40B4-BE49-F238E27FC236}">
                <a16:creationId xmlns:a16="http://schemas.microsoft.com/office/drawing/2014/main" id="{81BD318E-8915-40A8-ADDF-81DADEC3EFF6}"/>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428455" y="3832791"/>
            <a:ext cx="1759895" cy="2340000"/>
          </a:xfrm>
          <a:prstGeom prst="rect">
            <a:avLst/>
          </a:prstGeom>
          <a:ln>
            <a:solidFill>
              <a:schemeClr val="tx1"/>
            </a:solidFill>
          </a:ln>
        </xdr:spPr>
      </xdr:pic>
      <xdr:pic>
        <xdr:nvPicPr>
          <xdr:cNvPr id="51" name="Picture 50">
            <a:extLst>
              <a:ext uri="{FF2B5EF4-FFF2-40B4-BE49-F238E27FC236}">
                <a16:creationId xmlns:a16="http://schemas.microsoft.com/office/drawing/2014/main" id="{BD97E578-8000-4F1E-B9EC-E64A0254FE58}"/>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55746" y="6352086"/>
            <a:ext cx="1489142" cy="1980000"/>
          </a:xfrm>
          <a:prstGeom prst="rect">
            <a:avLst/>
          </a:prstGeom>
          <a:ln>
            <a:solidFill>
              <a:schemeClr val="tx1"/>
            </a:solidFill>
          </a:ln>
        </xdr:spPr>
      </xdr:pic>
      <xdr:pic>
        <xdr:nvPicPr>
          <xdr:cNvPr id="52" name="Picture 51">
            <a:extLst>
              <a:ext uri="{FF2B5EF4-FFF2-40B4-BE49-F238E27FC236}">
                <a16:creationId xmlns:a16="http://schemas.microsoft.com/office/drawing/2014/main" id="{D8636C4B-34BE-480F-A8D3-885F783ACAB7}"/>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527422" y="6352086"/>
            <a:ext cx="1489142" cy="1980000"/>
          </a:xfrm>
          <a:prstGeom prst="rect">
            <a:avLst/>
          </a:prstGeom>
          <a:ln>
            <a:solidFill>
              <a:schemeClr val="tx1"/>
            </a:solidFill>
          </a:ln>
        </xdr:spPr>
      </xdr:pic>
      <xdr:pic>
        <xdr:nvPicPr>
          <xdr:cNvPr id="53" name="Picture 52">
            <a:extLst>
              <a:ext uri="{FF2B5EF4-FFF2-40B4-BE49-F238E27FC236}">
                <a16:creationId xmlns:a16="http://schemas.microsoft.com/office/drawing/2014/main" id="{BADB1D5C-1BF4-47CE-AB5F-58D1D8CF05F4}"/>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5163260" y="6352086"/>
            <a:ext cx="1489142" cy="1980000"/>
          </a:xfrm>
          <a:prstGeom prst="rect">
            <a:avLst/>
          </a:prstGeom>
          <a:ln>
            <a:solidFill>
              <a:schemeClr val="tx1"/>
            </a:solidFill>
          </a:ln>
        </xdr:spPr>
      </xdr:pic>
      <xdr:pic>
        <xdr:nvPicPr>
          <xdr:cNvPr id="54" name="Picture 53">
            <a:extLst>
              <a:ext uri="{FF2B5EF4-FFF2-40B4-BE49-F238E27FC236}">
                <a16:creationId xmlns:a16="http://schemas.microsoft.com/office/drawing/2014/main" id="{36DF65D0-0F8A-4E49-9080-A5C65E748752}"/>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891584" y="6352086"/>
            <a:ext cx="1489142" cy="1980000"/>
          </a:xfrm>
          <a:prstGeom prst="rect">
            <a:avLst/>
          </a:prstGeom>
          <a:ln>
            <a:solidFill>
              <a:schemeClr val="tx1"/>
            </a:solidFill>
          </a:ln>
        </xdr:spPr>
      </xdr:pic>
      <xdr:sp macro="" textlink="">
        <xdr:nvSpPr>
          <xdr:cNvPr id="55" name="TextBox 64">
            <a:extLst>
              <a:ext uri="{FF2B5EF4-FFF2-40B4-BE49-F238E27FC236}">
                <a16:creationId xmlns:a16="http://schemas.microsoft.com/office/drawing/2014/main" id="{E74371D6-A93D-4546-88FB-B796E11FF970}"/>
              </a:ext>
            </a:extLst>
          </xdr:cNvPr>
          <xdr:cNvSpPr txBox="1"/>
        </xdr:nvSpPr>
        <xdr:spPr>
          <a:xfrm>
            <a:off x="142153" y="124609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56" name="TextBox 65">
            <a:extLst>
              <a:ext uri="{FF2B5EF4-FFF2-40B4-BE49-F238E27FC236}">
                <a16:creationId xmlns:a16="http://schemas.microsoft.com/office/drawing/2014/main" id="{09132A2E-2EDD-41CB-8059-F0CDDC1DEFBB}"/>
              </a:ext>
            </a:extLst>
          </xdr:cNvPr>
          <xdr:cNvSpPr txBox="1"/>
        </xdr:nvSpPr>
        <xdr:spPr>
          <a:xfrm>
            <a:off x="1334997" y="1439725"/>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pic>
        <xdr:nvPicPr>
          <xdr:cNvPr id="57" name="Picture 56">
            <a:extLst>
              <a:ext uri="{FF2B5EF4-FFF2-40B4-BE49-F238E27FC236}">
                <a16:creationId xmlns:a16="http://schemas.microsoft.com/office/drawing/2014/main" id="{828FE192-3E7D-4A9B-B5DB-5DDB8EEAF00D}"/>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856215" y="395567"/>
            <a:ext cx="2436778" cy="3240000"/>
          </a:xfrm>
          <a:prstGeom prst="rect">
            <a:avLst/>
          </a:prstGeom>
          <a:ln>
            <a:solidFill>
              <a:schemeClr val="tx1"/>
            </a:solidFill>
          </a:ln>
        </xdr:spPr>
      </xdr:pic>
      <xdr:sp macro="" textlink="">
        <xdr:nvSpPr>
          <xdr:cNvPr id="58" name="TextBox 67">
            <a:extLst>
              <a:ext uri="{FF2B5EF4-FFF2-40B4-BE49-F238E27FC236}">
                <a16:creationId xmlns:a16="http://schemas.microsoft.com/office/drawing/2014/main" id="{FC065674-AED4-4117-A69C-0C0C82AD47F1}"/>
              </a:ext>
            </a:extLst>
          </xdr:cNvPr>
          <xdr:cNvSpPr txBox="1"/>
        </xdr:nvSpPr>
        <xdr:spPr>
          <a:xfrm>
            <a:off x="5577410" y="130525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pic>
        <xdr:nvPicPr>
          <xdr:cNvPr id="59" name="Picture 58">
            <a:extLst>
              <a:ext uri="{FF2B5EF4-FFF2-40B4-BE49-F238E27FC236}">
                <a16:creationId xmlns:a16="http://schemas.microsoft.com/office/drawing/2014/main" id="{907B5741-9845-41E8-9FF4-6BF9A56B0D3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282958" y="395567"/>
            <a:ext cx="2436778" cy="3240000"/>
          </a:xfrm>
          <a:prstGeom prst="rect">
            <a:avLst/>
          </a:prstGeom>
          <a:ln>
            <a:solidFill>
              <a:schemeClr val="tx1"/>
            </a:solidFill>
          </a:ln>
        </xdr:spPr>
      </xdr:pic>
      <xdr:sp macro="" textlink="">
        <xdr:nvSpPr>
          <xdr:cNvPr id="60" name="TextBox 72">
            <a:extLst>
              <a:ext uri="{FF2B5EF4-FFF2-40B4-BE49-F238E27FC236}">
                <a16:creationId xmlns:a16="http://schemas.microsoft.com/office/drawing/2014/main" id="{3C06EB5C-12EB-4232-94FC-F0FE464DADA7}"/>
              </a:ext>
            </a:extLst>
          </xdr:cNvPr>
          <xdr:cNvSpPr txBox="1"/>
        </xdr:nvSpPr>
        <xdr:spPr>
          <a:xfrm>
            <a:off x="3424127" y="1004723"/>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61" name="TextBox 73">
            <a:extLst>
              <a:ext uri="{FF2B5EF4-FFF2-40B4-BE49-F238E27FC236}">
                <a16:creationId xmlns:a16="http://schemas.microsoft.com/office/drawing/2014/main" id="{73C325EF-7785-4BEA-88A8-3C428BD4148C}"/>
              </a:ext>
            </a:extLst>
          </xdr:cNvPr>
          <xdr:cNvSpPr txBox="1"/>
        </xdr:nvSpPr>
        <xdr:spPr>
          <a:xfrm>
            <a:off x="2578931" y="1559575"/>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62" name="TextBox 74">
            <a:extLst>
              <a:ext uri="{FF2B5EF4-FFF2-40B4-BE49-F238E27FC236}">
                <a16:creationId xmlns:a16="http://schemas.microsoft.com/office/drawing/2014/main" id="{C6FE7F6B-9316-4148-9070-0FEB811DE861}"/>
              </a:ext>
            </a:extLst>
          </xdr:cNvPr>
          <xdr:cNvSpPr txBox="1"/>
        </xdr:nvSpPr>
        <xdr:spPr>
          <a:xfrm>
            <a:off x="830608" y="4387334"/>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63" name="TextBox 75">
            <a:extLst>
              <a:ext uri="{FF2B5EF4-FFF2-40B4-BE49-F238E27FC236}">
                <a16:creationId xmlns:a16="http://schemas.microsoft.com/office/drawing/2014/main" id="{0A121981-1154-4DF0-A98E-230C13F7F61D}"/>
              </a:ext>
            </a:extLst>
          </xdr:cNvPr>
          <xdr:cNvSpPr txBox="1"/>
        </xdr:nvSpPr>
        <xdr:spPr>
          <a:xfrm>
            <a:off x="1533241" y="4072505"/>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cxnSp macro="">
        <xdr:nvCxnSpPr>
          <xdr:cNvPr id="64" name="Straight Arrow Connector 63">
            <a:extLst>
              <a:ext uri="{FF2B5EF4-FFF2-40B4-BE49-F238E27FC236}">
                <a16:creationId xmlns:a16="http://schemas.microsoft.com/office/drawing/2014/main" id="{610145CA-8FA3-438D-8BFB-6B06E8D4C9BF}"/>
              </a:ext>
            </a:extLst>
          </xdr:cNvPr>
          <xdr:cNvCxnSpPr>
            <a:cxnSpLocks/>
          </xdr:cNvCxnSpPr>
        </xdr:nvCxnSpPr>
        <xdr:spPr>
          <a:xfrm>
            <a:off x="1837160" y="4382144"/>
            <a:ext cx="54425" cy="61168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5" name="Straight Arrow Connector 64">
            <a:extLst>
              <a:ext uri="{FF2B5EF4-FFF2-40B4-BE49-F238E27FC236}">
                <a16:creationId xmlns:a16="http://schemas.microsoft.com/office/drawing/2014/main" id="{EA040796-DA1B-4369-9F20-B8141924ADA0}"/>
              </a:ext>
            </a:extLst>
          </xdr:cNvPr>
          <xdr:cNvCxnSpPr>
            <a:cxnSpLocks/>
          </xdr:cNvCxnSpPr>
        </xdr:nvCxnSpPr>
        <xdr:spPr>
          <a:xfrm flipH="1">
            <a:off x="1268388" y="4687985"/>
            <a:ext cx="39396" cy="23895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TextBox 82">
            <a:extLst>
              <a:ext uri="{FF2B5EF4-FFF2-40B4-BE49-F238E27FC236}">
                <a16:creationId xmlns:a16="http://schemas.microsoft.com/office/drawing/2014/main" id="{8A448425-7F36-4E06-B6C4-CD733DA70621}"/>
              </a:ext>
            </a:extLst>
          </xdr:cNvPr>
          <xdr:cNvSpPr txBox="1"/>
        </xdr:nvSpPr>
        <xdr:spPr>
          <a:xfrm>
            <a:off x="3033543" y="4257171"/>
            <a:ext cx="84189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F</a:t>
            </a:r>
            <a:endParaRPr lang="en-IN" b="1">
              <a:solidFill>
                <a:srgbClr val="FF0000"/>
              </a:solidFill>
            </a:endParaRPr>
          </a:p>
        </xdr:txBody>
      </xdr:sp>
      <xdr:sp macro="" textlink="">
        <xdr:nvSpPr>
          <xdr:cNvPr id="67" name="TextBox 83">
            <a:extLst>
              <a:ext uri="{FF2B5EF4-FFF2-40B4-BE49-F238E27FC236}">
                <a16:creationId xmlns:a16="http://schemas.microsoft.com/office/drawing/2014/main" id="{0F6B1E70-232D-4095-97F0-AC8E9BCFBAA6}"/>
              </a:ext>
            </a:extLst>
          </xdr:cNvPr>
          <xdr:cNvSpPr txBox="1"/>
        </xdr:nvSpPr>
        <xdr:spPr>
          <a:xfrm>
            <a:off x="193863" y="6292377"/>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G</a:t>
            </a:r>
            <a:endParaRPr lang="en-IN" b="1">
              <a:solidFill>
                <a:srgbClr val="FF0000"/>
              </a:solidFill>
            </a:endParaRPr>
          </a:p>
        </xdr:txBody>
      </xdr:sp>
      <xdr:sp macro="" textlink="">
        <xdr:nvSpPr>
          <xdr:cNvPr id="68" name="TextBox 84">
            <a:extLst>
              <a:ext uri="{FF2B5EF4-FFF2-40B4-BE49-F238E27FC236}">
                <a16:creationId xmlns:a16="http://schemas.microsoft.com/office/drawing/2014/main" id="{EA0D3ED3-3831-499A-8CF0-7F7A4A999B46}"/>
              </a:ext>
            </a:extLst>
          </xdr:cNvPr>
          <xdr:cNvSpPr txBox="1"/>
        </xdr:nvSpPr>
        <xdr:spPr>
          <a:xfrm>
            <a:off x="4580296" y="3967262"/>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G</a:t>
            </a:r>
            <a:endParaRPr lang="en-IN" b="1">
              <a:solidFill>
                <a:srgbClr val="FF0000"/>
              </a:solidFill>
            </a:endParaRPr>
          </a:p>
        </xdr:txBody>
      </xdr:sp>
      <xdr:sp macro="" textlink="">
        <xdr:nvSpPr>
          <xdr:cNvPr id="69" name="TextBox 85">
            <a:extLst>
              <a:ext uri="{FF2B5EF4-FFF2-40B4-BE49-F238E27FC236}">
                <a16:creationId xmlns:a16="http://schemas.microsoft.com/office/drawing/2014/main" id="{AB18A3F3-B7B4-46C9-833C-C828DCB82160}"/>
              </a:ext>
            </a:extLst>
          </xdr:cNvPr>
          <xdr:cNvSpPr txBox="1"/>
        </xdr:nvSpPr>
        <xdr:spPr>
          <a:xfrm>
            <a:off x="915149" y="6990940"/>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cxnSp macro="">
        <xdr:nvCxnSpPr>
          <xdr:cNvPr id="70" name="Straight Arrow Connector 69">
            <a:extLst>
              <a:ext uri="{FF2B5EF4-FFF2-40B4-BE49-F238E27FC236}">
                <a16:creationId xmlns:a16="http://schemas.microsoft.com/office/drawing/2014/main" id="{70D220A8-70AD-4261-AD2B-656F91EE74F8}"/>
              </a:ext>
            </a:extLst>
          </xdr:cNvPr>
          <xdr:cNvCxnSpPr>
            <a:cxnSpLocks/>
          </xdr:cNvCxnSpPr>
        </xdr:nvCxnSpPr>
        <xdr:spPr>
          <a:xfrm flipH="1">
            <a:off x="1228992" y="7300505"/>
            <a:ext cx="39396" cy="238952"/>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1082981</xdr:colOff>
      <xdr:row>339</xdr:row>
      <xdr:rowOff>204108</xdr:rowOff>
    </xdr:from>
    <xdr:to>
      <xdr:col>5</xdr:col>
      <xdr:colOff>789215</xdr:colOff>
      <xdr:row>341</xdr:row>
      <xdr:rowOff>90604</xdr:rowOff>
    </xdr:to>
    <xdr:sp macro="" textlink="">
      <xdr:nvSpPr>
        <xdr:cNvPr id="71" name="Rectangle 70">
          <a:extLst>
            <a:ext uri="{FF2B5EF4-FFF2-40B4-BE49-F238E27FC236}">
              <a16:creationId xmlns:a16="http://schemas.microsoft.com/office/drawing/2014/main" id="{4A4DE5AE-E79F-4A8F-8A89-00356EBBF3C1}"/>
            </a:ext>
          </a:extLst>
        </xdr:cNvPr>
        <xdr:cNvSpPr/>
      </xdr:nvSpPr>
      <xdr:spPr>
        <a:xfrm>
          <a:off x="5763838" y="100134965"/>
          <a:ext cx="876448" cy="403568"/>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4</xdr:col>
      <xdr:colOff>225199</xdr:colOff>
      <xdr:row>340</xdr:row>
      <xdr:rowOff>23334</xdr:rowOff>
    </xdr:from>
    <xdr:to>
      <xdr:col>5</xdr:col>
      <xdr:colOff>81964</xdr:colOff>
      <xdr:row>341</xdr:row>
      <xdr:rowOff>140540</xdr:rowOff>
    </xdr:to>
    <xdr:sp macro="" textlink="">
      <xdr:nvSpPr>
        <xdr:cNvPr id="72" name="Rectangle 71">
          <a:extLst>
            <a:ext uri="{FF2B5EF4-FFF2-40B4-BE49-F238E27FC236}">
              <a16:creationId xmlns:a16="http://schemas.microsoft.com/office/drawing/2014/main" id="{839A836F-E227-48E2-A387-BD8CBEEBC65A}"/>
            </a:ext>
          </a:extLst>
        </xdr:cNvPr>
        <xdr:cNvSpPr/>
      </xdr:nvSpPr>
      <xdr:spPr>
        <a:xfrm>
          <a:off x="4906056" y="100212727"/>
          <a:ext cx="1026979" cy="37574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bg2">
                  <a:lumMod val="10000"/>
                </a:schemeClr>
              </a:solidFill>
            </a:rPr>
            <a:t>G Wing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RF5Vbgo43rLgwGj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418"/>
  <sheetViews>
    <sheetView tabSelected="1" view="pageBreakPreview" zoomScale="70" zoomScaleNormal="85" zoomScaleSheetLayoutView="70" zoomScalePageLayoutView="70" workbookViewId="0">
      <selection activeCell="J10" sqref="J10"/>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2" ht="20.25" x14ac:dyDescent="0.25">
      <c r="A1" s="103" t="s">
        <v>38</v>
      </c>
      <c r="B1" s="104"/>
      <c r="C1" s="104"/>
      <c r="D1" s="104"/>
      <c r="E1" s="104"/>
      <c r="F1" s="104"/>
      <c r="G1" s="104"/>
      <c r="H1" s="105"/>
    </row>
    <row r="2" spans="1:12" ht="42" customHeight="1" x14ac:dyDescent="0.25">
      <c r="A2" s="95" t="s">
        <v>10</v>
      </c>
      <c r="B2" s="95"/>
      <c r="C2" s="96" t="s">
        <v>85</v>
      </c>
      <c r="D2" s="96"/>
      <c r="E2" s="95" t="s">
        <v>12</v>
      </c>
      <c r="F2" s="95"/>
      <c r="G2" s="91">
        <v>45840</v>
      </c>
      <c r="H2" s="91">
        <v>45607</v>
      </c>
      <c r="J2" s="164">
        <f>K3+90</f>
        <v>45823</v>
      </c>
      <c r="K2" s="165"/>
    </row>
    <row r="3" spans="1:12" ht="42.75" customHeight="1" x14ac:dyDescent="0.25">
      <c r="A3" s="95" t="s">
        <v>39</v>
      </c>
      <c r="B3" s="95"/>
      <c r="C3" s="166" t="s">
        <v>304</v>
      </c>
      <c r="D3" s="166"/>
      <c r="E3" s="95" t="s">
        <v>156</v>
      </c>
      <c r="F3" s="95"/>
      <c r="G3" s="96" t="s">
        <v>378</v>
      </c>
      <c r="H3" s="96" t="s">
        <v>305</v>
      </c>
      <c r="K3" s="91">
        <v>45733</v>
      </c>
      <c r="L3" s="91">
        <v>45607</v>
      </c>
    </row>
    <row r="4" spans="1:12" ht="43.5" customHeight="1" x14ac:dyDescent="0.25">
      <c r="A4" s="95" t="s">
        <v>36</v>
      </c>
      <c r="B4" s="95"/>
      <c r="C4" s="141" t="s">
        <v>371</v>
      </c>
      <c r="D4" s="143"/>
      <c r="E4" s="95" t="s">
        <v>33</v>
      </c>
      <c r="F4" s="95"/>
      <c r="G4" s="96" t="str">
        <f ca="1">TEXT(TODAY(),"DD/MM/YYYY")</f>
        <v>04/07/2025</v>
      </c>
      <c r="H4" s="96" t="str">
        <f ca="1">TEXT(TODAY(),"DD/MM/YYYY")</f>
        <v>04/07/2025</v>
      </c>
    </row>
    <row r="5" spans="1:12" ht="20.25" x14ac:dyDescent="0.25">
      <c r="A5" s="112" t="s">
        <v>40</v>
      </c>
      <c r="B5" s="112"/>
      <c r="C5" s="112"/>
      <c r="D5" s="112"/>
      <c r="E5" s="112"/>
      <c r="F5" s="112"/>
      <c r="G5" s="112"/>
      <c r="H5" s="112"/>
    </row>
    <row r="6" spans="1:12" ht="43.5" customHeight="1" x14ac:dyDescent="0.25">
      <c r="A6" s="95" t="s">
        <v>29</v>
      </c>
      <c r="B6" s="95"/>
      <c r="C6" s="96" t="s">
        <v>91</v>
      </c>
      <c r="D6" s="96"/>
      <c r="E6" s="95" t="s">
        <v>35</v>
      </c>
      <c r="F6" s="95"/>
      <c r="G6" s="96" t="s">
        <v>379</v>
      </c>
      <c r="H6" s="96"/>
    </row>
    <row r="7" spans="1:12" ht="23.25" customHeight="1" x14ac:dyDescent="0.25">
      <c r="A7" s="95" t="s">
        <v>42</v>
      </c>
      <c r="B7" s="95"/>
      <c r="C7" s="96" t="s">
        <v>306</v>
      </c>
      <c r="D7" s="96"/>
      <c r="E7" s="95" t="s">
        <v>43</v>
      </c>
      <c r="F7" s="95"/>
      <c r="G7" s="132" t="s">
        <v>306</v>
      </c>
      <c r="H7" s="133"/>
      <c r="K7" s="194" t="s">
        <v>380</v>
      </c>
    </row>
    <row r="8" spans="1:12" ht="48.75" customHeight="1" x14ac:dyDescent="0.25">
      <c r="A8" s="95" t="s">
        <v>44</v>
      </c>
      <c r="B8" s="95"/>
      <c r="C8" s="96" t="s">
        <v>358</v>
      </c>
      <c r="D8" s="96"/>
      <c r="E8" s="96"/>
      <c r="F8" s="96"/>
      <c r="G8" s="96"/>
      <c r="H8" s="96"/>
    </row>
    <row r="9" spans="1:12" ht="45" customHeight="1" x14ac:dyDescent="0.25">
      <c r="A9" s="135" t="s">
        <v>147</v>
      </c>
      <c r="B9" s="35" t="s">
        <v>41</v>
      </c>
      <c r="C9" s="96" t="s">
        <v>359</v>
      </c>
      <c r="D9" s="96"/>
      <c r="E9" s="96"/>
      <c r="F9" s="96"/>
      <c r="G9" s="96"/>
      <c r="H9" s="96"/>
    </row>
    <row r="10" spans="1:12" ht="42.75" customHeight="1" x14ac:dyDescent="0.25">
      <c r="A10" s="135"/>
      <c r="B10" s="35" t="s">
        <v>11</v>
      </c>
      <c r="C10" s="96" t="s">
        <v>307</v>
      </c>
      <c r="D10" s="96"/>
      <c r="E10" s="96"/>
      <c r="F10" s="96"/>
      <c r="G10" s="96"/>
      <c r="H10" s="96"/>
    </row>
    <row r="11" spans="1:12" ht="42" customHeight="1" x14ac:dyDescent="0.25">
      <c r="A11" s="135"/>
      <c r="B11" s="35" t="s">
        <v>5</v>
      </c>
      <c r="C11" s="96" t="s">
        <v>307</v>
      </c>
      <c r="D11" s="96"/>
      <c r="E11" s="96"/>
      <c r="F11" s="96"/>
      <c r="G11" s="96"/>
      <c r="H11" s="96"/>
    </row>
    <row r="12" spans="1:12" ht="40.5" customHeight="1" x14ac:dyDescent="0.25">
      <c r="A12" s="95" t="s">
        <v>34</v>
      </c>
      <c r="B12" s="95"/>
      <c r="C12" s="96" t="s">
        <v>308</v>
      </c>
      <c r="D12" s="96"/>
      <c r="E12" s="96"/>
      <c r="F12" s="96"/>
      <c r="G12" s="96"/>
      <c r="H12" s="96"/>
    </row>
    <row r="13" spans="1:12" ht="20.100000000000001" customHeight="1" x14ac:dyDescent="0.25">
      <c r="A13" s="112" t="s">
        <v>45</v>
      </c>
      <c r="B13" s="112"/>
      <c r="C13" s="112"/>
      <c r="D13" s="112"/>
      <c r="E13" s="112"/>
      <c r="F13" s="112"/>
      <c r="G13" s="112"/>
      <c r="H13" s="112"/>
    </row>
    <row r="14" spans="1:12" ht="41.25" customHeight="1" x14ac:dyDescent="0.25">
      <c r="A14" s="95" t="s">
        <v>27</v>
      </c>
      <c r="B14" s="95" t="s">
        <v>4</v>
      </c>
      <c r="C14" s="96" t="s">
        <v>86</v>
      </c>
      <c r="D14" s="96"/>
      <c r="E14" s="95" t="s">
        <v>46</v>
      </c>
      <c r="F14" s="95" t="s">
        <v>4</v>
      </c>
      <c r="G14" s="96" t="s">
        <v>310</v>
      </c>
      <c r="H14" s="96"/>
    </row>
    <row r="15" spans="1:12" ht="41.25" customHeight="1" x14ac:dyDescent="0.25">
      <c r="A15" s="95" t="s">
        <v>47</v>
      </c>
      <c r="B15" s="95" t="s">
        <v>4</v>
      </c>
      <c r="C15" s="96" t="s">
        <v>309</v>
      </c>
      <c r="D15" s="96"/>
      <c r="E15" s="95" t="s">
        <v>48</v>
      </c>
      <c r="F15" s="95" t="s">
        <v>4</v>
      </c>
      <c r="G15" s="91">
        <v>46568</v>
      </c>
      <c r="H15" s="96"/>
    </row>
    <row r="16" spans="1:12" ht="41.25" customHeight="1" x14ac:dyDescent="0.25">
      <c r="A16" s="95" t="s">
        <v>49</v>
      </c>
      <c r="B16" s="95" t="s">
        <v>4</v>
      </c>
      <c r="C16" s="91">
        <v>45061</v>
      </c>
      <c r="D16" s="96"/>
      <c r="E16" s="95" t="s">
        <v>50</v>
      </c>
      <c r="F16" s="95" t="s">
        <v>4</v>
      </c>
      <c r="G16" s="167">
        <v>45383</v>
      </c>
      <c r="H16" s="96"/>
    </row>
    <row r="17" spans="1:10" ht="41.25" customHeight="1" x14ac:dyDescent="0.25">
      <c r="A17" s="95" t="s">
        <v>51</v>
      </c>
      <c r="B17" s="95" t="s">
        <v>4</v>
      </c>
      <c r="C17" s="91">
        <f>G15</f>
        <v>46568</v>
      </c>
      <c r="D17" s="96"/>
      <c r="E17" s="95" t="s">
        <v>52</v>
      </c>
      <c r="F17" s="95" t="s">
        <v>4</v>
      </c>
      <c r="G17" s="96" t="s">
        <v>311</v>
      </c>
      <c r="H17" s="96"/>
    </row>
    <row r="18" spans="1:10" ht="41.25" customHeight="1" x14ac:dyDescent="0.25">
      <c r="A18" s="95" t="s">
        <v>53</v>
      </c>
      <c r="B18" s="95" t="s">
        <v>4</v>
      </c>
      <c r="C18" s="9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6"/>
      <c r="E18" s="95" t="s">
        <v>94</v>
      </c>
      <c r="F18" s="95" t="s">
        <v>4</v>
      </c>
      <c r="G18" s="96">
        <v>8327.2000000000007</v>
      </c>
      <c r="H18" s="96"/>
    </row>
    <row r="19" spans="1:10" ht="41.25" customHeight="1" x14ac:dyDescent="0.25">
      <c r="A19" s="95" t="s">
        <v>54</v>
      </c>
      <c r="B19" s="95" t="s">
        <v>4</v>
      </c>
      <c r="C19" s="96">
        <v>2.4</v>
      </c>
      <c r="D19" s="96"/>
      <c r="E19" s="95" t="s">
        <v>242</v>
      </c>
      <c r="F19" s="95" t="s">
        <v>4</v>
      </c>
      <c r="G19" s="96">
        <v>7860.02</v>
      </c>
      <c r="H19" s="96"/>
    </row>
    <row r="20" spans="1:10" ht="41.25" customHeight="1" x14ac:dyDescent="0.25">
      <c r="A20" s="95" t="s">
        <v>92</v>
      </c>
      <c r="B20" s="95" t="s">
        <v>4</v>
      </c>
      <c r="C20" s="96">
        <v>18935.87</v>
      </c>
      <c r="D20" s="96"/>
      <c r="E20" s="95" t="s">
        <v>93</v>
      </c>
      <c r="F20" s="95" t="s">
        <v>4</v>
      </c>
      <c r="G20" s="96">
        <v>25560.38</v>
      </c>
      <c r="H20" s="96"/>
      <c r="J20" s="1">
        <f>25560.38*10.764</f>
        <v>275131.93031999998</v>
      </c>
    </row>
    <row r="21" spans="1:10" ht="41.25" customHeight="1" x14ac:dyDescent="0.25">
      <c r="A21" s="95" t="s">
        <v>56</v>
      </c>
      <c r="B21" s="95" t="s">
        <v>4</v>
      </c>
      <c r="C21" s="96" t="s">
        <v>367</v>
      </c>
      <c r="D21" s="96"/>
      <c r="E21" s="95" t="s">
        <v>55</v>
      </c>
      <c r="F21" s="95" t="s">
        <v>4</v>
      </c>
      <c r="G21" s="96" t="s">
        <v>312</v>
      </c>
      <c r="H21" s="96"/>
    </row>
    <row r="22" spans="1:10" ht="20.25" x14ac:dyDescent="0.25">
      <c r="A22" s="95" t="s">
        <v>160</v>
      </c>
      <c r="B22" s="95" t="s">
        <v>4</v>
      </c>
      <c r="C22" s="96" t="s">
        <v>313</v>
      </c>
      <c r="D22" s="96"/>
      <c r="E22" s="95" t="s">
        <v>161</v>
      </c>
      <c r="F22" s="95" t="s">
        <v>4</v>
      </c>
      <c r="G22" s="96" t="s">
        <v>315</v>
      </c>
      <c r="H22" s="96"/>
    </row>
    <row r="23" spans="1:10" ht="20.25" x14ac:dyDescent="0.25">
      <c r="A23" s="95" t="s">
        <v>158</v>
      </c>
      <c r="B23" s="95" t="s">
        <v>4</v>
      </c>
      <c r="C23" s="168" t="s">
        <v>314</v>
      </c>
      <c r="D23" s="169"/>
      <c r="E23" s="169"/>
      <c r="F23" s="169"/>
      <c r="G23" s="169"/>
      <c r="H23" s="169"/>
    </row>
    <row r="24" spans="1:10" ht="64.5" customHeight="1" x14ac:dyDescent="0.25">
      <c r="A24" s="95" t="s">
        <v>25</v>
      </c>
      <c r="B24" s="95" t="s">
        <v>4</v>
      </c>
      <c r="C24" s="96" t="s">
        <v>316</v>
      </c>
      <c r="D24" s="96"/>
      <c r="E24" s="96"/>
      <c r="F24" s="96"/>
      <c r="G24" s="96"/>
      <c r="H24" s="96"/>
    </row>
    <row r="25" spans="1:10" ht="24" customHeight="1" x14ac:dyDescent="0.25">
      <c r="A25" s="112" t="s">
        <v>20</v>
      </c>
      <c r="B25" s="112"/>
      <c r="C25" s="112"/>
      <c r="D25" s="112"/>
      <c r="E25" s="112"/>
      <c r="F25" s="112"/>
      <c r="G25" s="112"/>
      <c r="H25" s="112"/>
    </row>
    <row r="26" spans="1:10" ht="43.5" customHeight="1" x14ac:dyDescent="0.25">
      <c r="A26" s="95" t="s">
        <v>26</v>
      </c>
      <c r="B26" s="95" t="s">
        <v>4</v>
      </c>
      <c r="C26" s="96" t="str">
        <f>IF(AND(G26="Upper"),"Developed","Developing")</f>
        <v>Developing</v>
      </c>
      <c r="D26" s="96"/>
      <c r="E26" s="95" t="s">
        <v>13</v>
      </c>
      <c r="F26" s="95" t="s">
        <v>4</v>
      </c>
      <c r="G26" s="96" t="s">
        <v>162</v>
      </c>
      <c r="H26" s="96"/>
    </row>
    <row r="27" spans="1:10" ht="43.5" customHeight="1" x14ac:dyDescent="0.25">
      <c r="A27" s="95" t="s">
        <v>14</v>
      </c>
      <c r="B27" s="95" t="s">
        <v>4</v>
      </c>
      <c r="C27" s="96" t="s">
        <v>97</v>
      </c>
      <c r="D27" s="96"/>
      <c r="E27" s="95" t="s">
        <v>148</v>
      </c>
      <c r="F27" s="95" t="s">
        <v>4</v>
      </c>
      <c r="G27" s="96" t="s">
        <v>317</v>
      </c>
      <c r="H27" s="96"/>
    </row>
    <row r="28" spans="1:10" ht="43.5" customHeight="1" x14ac:dyDescent="0.25">
      <c r="A28" s="95" t="s">
        <v>23</v>
      </c>
      <c r="B28" s="95" t="s">
        <v>4</v>
      </c>
      <c r="C28" s="96" t="s">
        <v>96</v>
      </c>
      <c r="D28" s="96"/>
      <c r="E28" s="95" t="s">
        <v>16</v>
      </c>
      <c r="F28" s="95" t="s">
        <v>4</v>
      </c>
      <c r="G28" s="96" t="s">
        <v>318</v>
      </c>
      <c r="H28" s="96"/>
    </row>
    <row r="29" spans="1:10" ht="65.25" customHeight="1" x14ac:dyDescent="0.25">
      <c r="A29" s="95" t="s">
        <v>106</v>
      </c>
      <c r="B29" s="95" t="s">
        <v>4</v>
      </c>
      <c r="C29" s="96" t="s">
        <v>319</v>
      </c>
      <c r="D29" s="96"/>
      <c r="E29" s="95" t="s">
        <v>107</v>
      </c>
      <c r="F29" s="95" t="s">
        <v>4</v>
      </c>
      <c r="G29" s="96" t="s">
        <v>320</v>
      </c>
      <c r="H29" s="96"/>
    </row>
    <row r="30" spans="1:10" ht="84" customHeight="1" x14ac:dyDescent="0.25">
      <c r="A30" s="95" t="s">
        <v>17</v>
      </c>
      <c r="B30" s="95" t="s">
        <v>4</v>
      </c>
      <c r="C30" s="96" t="s">
        <v>321</v>
      </c>
      <c r="D30" s="96"/>
      <c r="E30" s="95" t="s">
        <v>15</v>
      </c>
      <c r="F30" s="95" t="s">
        <v>4</v>
      </c>
      <c r="G30" s="96" t="s">
        <v>337</v>
      </c>
      <c r="H30" s="96"/>
    </row>
    <row r="31" spans="1:10" ht="20.25" x14ac:dyDescent="0.25">
      <c r="A31" s="95" t="s">
        <v>112</v>
      </c>
      <c r="B31" s="95" t="s">
        <v>4</v>
      </c>
      <c r="C31" s="96" t="s">
        <v>113</v>
      </c>
      <c r="D31" s="96"/>
      <c r="E31" s="95" t="s">
        <v>114</v>
      </c>
      <c r="F31" s="95" t="s">
        <v>4</v>
      </c>
      <c r="G31" s="96" t="s">
        <v>113</v>
      </c>
      <c r="H31" s="96"/>
    </row>
    <row r="32" spans="1:10" ht="21.75" customHeight="1" x14ac:dyDescent="0.25">
      <c r="A32" s="95" t="s">
        <v>115</v>
      </c>
      <c r="B32" s="95" t="s">
        <v>4</v>
      </c>
      <c r="C32" s="96" t="s">
        <v>113</v>
      </c>
      <c r="D32" s="96"/>
      <c r="E32" s="96"/>
      <c r="F32" s="96"/>
      <c r="G32" s="96"/>
      <c r="H32" s="96"/>
    </row>
    <row r="33" spans="1:15" ht="20.25" x14ac:dyDescent="0.25">
      <c r="A33" s="136" t="s">
        <v>37</v>
      </c>
      <c r="B33" s="136"/>
      <c r="C33" s="136"/>
      <c r="D33" s="136"/>
      <c r="E33" s="136"/>
      <c r="F33" s="136"/>
      <c r="G33" s="136"/>
      <c r="H33" s="136"/>
    </row>
    <row r="34" spans="1:15" ht="43.5" customHeight="1" x14ac:dyDescent="0.25">
      <c r="A34" s="95" t="s">
        <v>18</v>
      </c>
      <c r="B34" s="95"/>
      <c r="C34" s="96" t="s">
        <v>98</v>
      </c>
      <c r="D34" s="96"/>
      <c r="E34" s="95" t="s">
        <v>19</v>
      </c>
      <c r="F34" s="95" t="s">
        <v>4</v>
      </c>
      <c r="G34" s="96" t="s">
        <v>99</v>
      </c>
      <c r="H34" s="96"/>
    </row>
    <row r="35" spans="1:15" ht="43.5" customHeight="1" x14ac:dyDescent="0.25">
      <c r="A35" s="95" t="s">
        <v>22</v>
      </c>
      <c r="B35" s="95"/>
      <c r="C35" s="96" t="s">
        <v>99</v>
      </c>
      <c r="D35" s="96"/>
      <c r="E35" s="95" t="s">
        <v>32</v>
      </c>
      <c r="F35" s="95" t="s">
        <v>4</v>
      </c>
      <c r="G35" s="96" t="s">
        <v>99</v>
      </c>
      <c r="H35" s="96"/>
    </row>
    <row r="36" spans="1:15" ht="20.25" x14ac:dyDescent="0.25">
      <c r="A36" s="95" t="s">
        <v>31</v>
      </c>
      <c r="B36" s="95"/>
      <c r="C36" s="96" t="s">
        <v>100</v>
      </c>
      <c r="D36" s="96"/>
      <c r="E36" s="95" t="s">
        <v>21</v>
      </c>
      <c r="F36" s="95" t="s">
        <v>4</v>
      </c>
      <c r="G36" s="96" t="s">
        <v>101</v>
      </c>
      <c r="H36" s="96"/>
    </row>
    <row r="37" spans="1:15" ht="20.25" x14ac:dyDescent="0.25">
      <c r="A37" s="112" t="s">
        <v>0</v>
      </c>
      <c r="B37" s="112"/>
      <c r="C37" s="112"/>
      <c r="D37" s="112"/>
      <c r="E37" s="112"/>
      <c r="F37" s="112"/>
      <c r="G37" s="112"/>
      <c r="H37" s="112"/>
    </row>
    <row r="38" spans="1:15" ht="20.25" x14ac:dyDescent="0.25">
      <c r="A38" s="134" t="s">
        <v>0</v>
      </c>
      <c r="B38" s="134"/>
      <c r="C38" s="134" t="s">
        <v>226</v>
      </c>
      <c r="D38" s="134"/>
      <c r="E38" s="134"/>
      <c r="F38" s="134" t="s">
        <v>7</v>
      </c>
      <c r="G38" s="134"/>
      <c r="H38" s="134"/>
      <c r="J38" s="170" t="s">
        <v>1</v>
      </c>
      <c r="K38" s="171"/>
      <c r="L38" s="37" t="s">
        <v>6</v>
      </c>
      <c r="M38" s="170" t="s">
        <v>2</v>
      </c>
      <c r="N38" s="171"/>
      <c r="O38" s="37" t="s">
        <v>3</v>
      </c>
    </row>
    <row r="39" spans="1:15" ht="20.25" x14ac:dyDescent="0.25">
      <c r="A39" s="135" t="s">
        <v>2</v>
      </c>
      <c r="B39" s="135"/>
      <c r="C39" s="163" t="s">
        <v>322</v>
      </c>
      <c r="D39" s="163"/>
      <c r="E39" s="163"/>
      <c r="F39" s="163" t="s">
        <v>326</v>
      </c>
      <c r="G39" s="163"/>
      <c r="H39" s="163"/>
    </row>
    <row r="40" spans="1:15" ht="20.25" x14ac:dyDescent="0.25">
      <c r="A40" s="135" t="s">
        <v>3</v>
      </c>
      <c r="B40" s="135"/>
      <c r="C40" s="163" t="s">
        <v>315</v>
      </c>
      <c r="D40" s="163"/>
      <c r="E40" s="163"/>
      <c r="F40" s="163" t="s">
        <v>323</v>
      </c>
      <c r="G40" s="163"/>
      <c r="H40" s="163"/>
    </row>
    <row r="41" spans="1:15" ht="20.25" x14ac:dyDescent="0.25">
      <c r="A41" s="135" t="s">
        <v>1</v>
      </c>
      <c r="B41" s="135"/>
      <c r="C41" s="163" t="s">
        <v>324</v>
      </c>
      <c r="D41" s="163"/>
      <c r="E41" s="163"/>
      <c r="F41" s="163" t="s">
        <v>323</v>
      </c>
      <c r="G41" s="163"/>
      <c r="H41" s="163"/>
    </row>
    <row r="42" spans="1:15" ht="20.25" x14ac:dyDescent="0.25">
      <c r="A42" s="135" t="s">
        <v>6</v>
      </c>
      <c r="B42" s="135"/>
      <c r="C42" s="163" t="s">
        <v>325</v>
      </c>
      <c r="D42" s="163"/>
      <c r="E42" s="163"/>
      <c r="F42" s="163" t="s">
        <v>327</v>
      </c>
      <c r="G42" s="163"/>
      <c r="H42" s="163"/>
    </row>
    <row r="43" spans="1:15" ht="51" customHeight="1" x14ac:dyDescent="0.25">
      <c r="A43" s="95" t="s">
        <v>227</v>
      </c>
      <c r="B43" s="95"/>
      <c r="C43" s="96" t="s">
        <v>96</v>
      </c>
      <c r="D43" s="96"/>
      <c r="E43" s="96"/>
      <c r="F43" s="96"/>
      <c r="G43" s="96"/>
      <c r="H43" s="96"/>
    </row>
    <row r="44" spans="1:15" ht="20.25" x14ac:dyDescent="0.25">
      <c r="A44" s="112" t="s">
        <v>57</v>
      </c>
      <c r="B44" s="112"/>
      <c r="C44" s="112"/>
      <c r="D44" s="112"/>
      <c r="E44" s="112"/>
      <c r="F44" s="112"/>
      <c r="G44" s="112"/>
      <c r="H44" s="112"/>
    </row>
    <row r="45" spans="1:15" ht="21" customHeight="1" x14ac:dyDescent="0.25">
      <c r="A45" s="134" t="s">
        <v>58</v>
      </c>
      <c r="B45" s="134"/>
      <c r="C45" s="37" t="s">
        <v>59</v>
      </c>
      <c r="D45" s="134" t="s">
        <v>146</v>
      </c>
      <c r="E45" s="134"/>
      <c r="F45" s="134"/>
      <c r="G45" s="134" t="s">
        <v>60</v>
      </c>
      <c r="H45" s="134"/>
    </row>
    <row r="46" spans="1:15" ht="20.25" x14ac:dyDescent="0.25">
      <c r="A46" s="162" t="s">
        <v>329</v>
      </c>
      <c r="B46" s="162"/>
      <c r="C46" s="34" t="s">
        <v>87</v>
      </c>
      <c r="D46" s="163" t="s">
        <v>328</v>
      </c>
      <c r="E46" s="163"/>
      <c r="F46" s="163"/>
      <c r="G46" s="96" t="s">
        <v>328</v>
      </c>
      <c r="H46" s="96"/>
    </row>
    <row r="47" spans="1:15" ht="20.25" x14ac:dyDescent="0.25">
      <c r="A47" s="162" t="s">
        <v>330</v>
      </c>
      <c r="B47" s="162"/>
      <c r="C47" s="34" t="s">
        <v>87</v>
      </c>
      <c r="D47" s="163" t="s">
        <v>328</v>
      </c>
      <c r="E47" s="163"/>
      <c r="F47" s="163"/>
      <c r="G47" s="96" t="s">
        <v>328</v>
      </c>
      <c r="H47" s="96"/>
    </row>
    <row r="48" spans="1:15" ht="20.25" x14ac:dyDescent="0.25">
      <c r="A48" s="162" t="s">
        <v>331</v>
      </c>
      <c r="B48" s="162"/>
      <c r="C48" s="34" t="s">
        <v>87</v>
      </c>
      <c r="D48" s="163" t="s">
        <v>328</v>
      </c>
      <c r="E48" s="163"/>
      <c r="F48" s="163"/>
      <c r="G48" s="96" t="s">
        <v>328</v>
      </c>
      <c r="H48" s="96"/>
    </row>
    <row r="49" spans="1:8" ht="20.25" x14ac:dyDescent="0.25">
      <c r="A49" s="162" t="s">
        <v>332</v>
      </c>
      <c r="B49" s="162"/>
      <c r="C49" s="34" t="s">
        <v>87</v>
      </c>
      <c r="D49" s="163" t="s">
        <v>328</v>
      </c>
      <c r="E49" s="163"/>
      <c r="F49" s="163"/>
      <c r="G49" s="96" t="s">
        <v>328</v>
      </c>
      <c r="H49" s="96"/>
    </row>
    <row r="50" spans="1:8" ht="20.25" x14ac:dyDescent="0.25">
      <c r="A50" s="162" t="s">
        <v>333</v>
      </c>
      <c r="B50" s="162"/>
      <c r="C50" s="80" t="s">
        <v>87</v>
      </c>
      <c r="D50" s="163" t="s">
        <v>328</v>
      </c>
      <c r="E50" s="163"/>
      <c r="F50" s="163"/>
      <c r="G50" s="96" t="s">
        <v>328</v>
      </c>
      <c r="H50" s="96"/>
    </row>
    <row r="51" spans="1:8" ht="20.25" x14ac:dyDescent="0.25">
      <c r="A51" s="162" t="s">
        <v>334</v>
      </c>
      <c r="B51" s="162"/>
      <c r="C51" s="80" t="s">
        <v>87</v>
      </c>
      <c r="D51" s="163" t="s">
        <v>328</v>
      </c>
      <c r="E51" s="163"/>
      <c r="F51" s="163"/>
      <c r="G51" s="96" t="s">
        <v>328</v>
      </c>
      <c r="H51" s="96"/>
    </row>
    <row r="52" spans="1:8" ht="20.25" x14ac:dyDescent="0.25">
      <c r="A52" s="112" t="s">
        <v>61</v>
      </c>
      <c r="B52" s="112"/>
      <c r="C52" s="112"/>
      <c r="D52" s="112"/>
      <c r="E52" s="112"/>
      <c r="F52" s="112"/>
      <c r="G52" s="112"/>
      <c r="H52" s="112"/>
    </row>
    <row r="53" spans="1:8" ht="42.75" customHeight="1" x14ac:dyDescent="0.25">
      <c r="A53" s="95" t="s">
        <v>62</v>
      </c>
      <c r="B53" s="95" t="s">
        <v>4</v>
      </c>
      <c r="C53" s="96" t="s">
        <v>96</v>
      </c>
      <c r="D53" s="96"/>
      <c r="E53" s="96"/>
      <c r="F53" s="96"/>
      <c r="G53" s="96"/>
      <c r="H53" s="96"/>
    </row>
    <row r="54" spans="1:8" ht="44.25" customHeight="1" x14ac:dyDescent="0.25">
      <c r="A54" s="95" t="s">
        <v>63</v>
      </c>
      <c r="B54" s="95" t="s">
        <v>4</v>
      </c>
      <c r="C54" s="96" t="s">
        <v>335</v>
      </c>
      <c r="D54" s="96"/>
      <c r="E54" s="96"/>
      <c r="F54" s="96"/>
      <c r="G54" s="52" t="s">
        <v>228</v>
      </c>
      <c r="H54" s="84">
        <v>45673</v>
      </c>
    </row>
    <row r="55" spans="1:8" ht="44.25" customHeight="1" x14ac:dyDescent="0.25">
      <c r="A55" s="95" t="s">
        <v>64</v>
      </c>
      <c r="B55" s="95" t="s">
        <v>4</v>
      </c>
      <c r="C55" s="96" t="str">
        <f>C54</f>
        <v xml:space="preserve">P-10674/2022/(704)/T Ward/NAHUR - T/337/4/Amend </v>
      </c>
      <c r="D55" s="96"/>
      <c r="E55" s="96"/>
      <c r="F55" s="96"/>
      <c r="G55" s="52" t="s">
        <v>228</v>
      </c>
      <c r="H55" s="84">
        <f>H54</f>
        <v>45673</v>
      </c>
    </row>
    <row r="56" spans="1:8" ht="43.5" customHeight="1" x14ac:dyDescent="0.25">
      <c r="A56" s="95" t="s">
        <v>243</v>
      </c>
      <c r="B56" s="95"/>
      <c r="C56" s="96" t="s">
        <v>373</v>
      </c>
      <c r="D56" s="96"/>
      <c r="E56" s="96"/>
      <c r="F56" s="96"/>
      <c r="G56" s="52" t="s">
        <v>228</v>
      </c>
      <c r="H56" s="89">
        <v>45695</v>
      </c>
    </row>
    <row r="57" spans="1:8" ht="122.25" customHeight="1" x14ac:dyDescent="0.25">
      <c r="A57" s="95"/>
      <c r="B57" s="95"/>
      <c r="C57" s="96" t="s">
        <v>372</v>
      </c>
      <c r="D57" s="96"/>
      <c r="E57" s="96"/>
      <c r="F57" s="96"/>
      <c r="G57" s="52" t="s">
        <v>244</v>
      </c>
      <c r="H57" s="89">
        <v>46059</v>
      </c>
    </row>
    <row r="58" spans="1:8" ht="43.5" customHeight="1" x14ac:dyDescent="0.25">
      <c r="A58" s="95" t="s">
        <v>243</v>
      </c>
      <c r="B58" s="95"/>
      <c r="C58" s="96" t="s">
        <v>374</v>
      </c>
      <c r="D58" s="96"/>
      <c r="E58" s="96"/>
      <c r="F58" s="96"/>
      <c r="G58" s="52" t="s">
        <v>228</v>
      </c>
      <c r="H58" s="87">
        <v>45800</v>
      </c>
    </row>
    <row r="59" spans="1:8" ht="214.5" customHeight="1" x14ac:dyDescent="0.25">
      <c r="A59" s="95"/>
      <c r="B59" s="95"/>
      <c r="C59" s="96" t="s">
        <v>375</v>
      </c>
      <c r="D59" s="96"/>
      <c r="E59" s="96"/>
      <c r="F59" s="96"/>
      <c r="G59" s="52" t="s">
        <v>244</v>
      </c>
      <c r="H59" s="87">
        <v>46067</v>
      </c>
    </row>
    <row r="60" spans="1:8" ht="46.5" hidden="1" customHeight="1" x14ac:dyDescent="0.25">
      <c r="A60" s="95" t="s">
        <v>65</v>
      </c>
      <c r="B60" s="95" t="s">
        <v>4</v>
      </c>
      <c r="C60" s="96"/>
      <c r="D60" s="96"/>
      <c r="E60" s="96"/>
      <c r="F60" s="96"/>
      <c r="G60" s="52" t="s">
        <v>229</v>
      </c>
      <c r="H60" s="36"/>
    </row>
    <row r="61" spans="1:8" ht="45" hidden="1" customHeight="1" x14ac:dyDescent="0.25">
      <c r="A61" s="95" t="s">
        <v>66</v>
      </c>
      <c r="B61" s="95" t="s">
        <v>4</v>
      </c>
      <c r="C61" s="96"/>
      <c r="D61" s="96"/>
      <c r="E61" s="96"/>
      <c r="F61" s="96"/>
      <c r="G61" s="52" t="s">
        <v>229</v>
      </c>
      <c r="H61" s="36"/>
    </row>
    <row r="62" spans="1:8" ht="42" customHeight="1" x14ac:dyDescent="0.25">
      <c r="A62" s="144" t="s">
        <v>365</v>
      </c>
      <c r="B62" s="146"/>
      <c r="C62" s="96" t="s">
        <v>363</v>
      </c>
      <c r="D62" s="96"/>
      <c r="E62" s="96"/>
      <c r="F62" s="96"/>
      <c r="G62" s="52" t="s">
        <v>229</v>
      </c>
      <c r="H62" s="87">
        <v>44704</v>
      </c>
    </row>
    <row r="63" spans="1:8" ht="42.75" customHeight="1" x14ac:dyDescent="0.25">
      <c r="A63" s="150"/>
      <c r="B63" s="152"/>
      <c r="C63" s="96" t="s">
        <v>364</v>
      </c>
      <c r="D63" s="96"/>
      <c r="E63" s="96"/>
      <c r="F63" s="96"/>
      <c r="G63" s="52" t="s">
        <v>244</v>
      </c>
      <c r="H63" s="87">
        <v>47625</v>
      </c>
    </row>
    <row r="64" spans="1:8" ht="28.5" customHeight="1" x14ac:dyDescent="0.25">
      <c r="A64" s="144" t="s">
        <v>361</v>
      </c>
      <c r="B64" s="146"/>
      <c r="C64" s="96" t="s">
        <v>360</v>
      </c>
      <c r="D64" s="96"/>
      <c r="E64" s="96"/>
      <c r="F64" s="96"/>
      <c r="G64" s="52" t="s">
        <v>228</v>
      </c>
      <c r="H64" s="87">
        <v>44712</v>
      </c>
    </row>
    <row r="65" spans="1:10" ht="45" customHeight="1" x14ac:dyDescent="0.25">
      <c r="A65" s="150"/>
      <c r="B65" s="152"/>
      <c r="C65" s="141" t="s">
        <v>362</v>
      </c>
      <c r="D65" s="142"/>
      <c r="E65" s="142"/>
      <c r="F65" s="142"/>
      <c r="G65" s="142"/>
      <c r="H65" s="143"/>
    </row>
    <row r="66" spans="1:10" ht="21" thickBot="1" x14ac:dyDescent="0.3">
      <c r="A66" s="112" t="s">
        <v>67</v>
      </c>
      <c r="B66" s="112"/>
      <c r="C66" s="112"/>
      <c r="D66" s="112"/>
      <c r="E66" s="112"/>
      <c r="F66" s="112"/>
      <c r="G66" s="112"/>
      <c r="H66" s="112"/>
    </row>
    <row r="67" spans="1:10" ht="20.25" customHeight="1" x14ac:dyDescent="0.3">
      <c r="A67" s="113" t="s">
        <v>377</v>
      </c>
      <c r="B67" s="113"/>
      <c r="C67" s="113"/>
      <c r="D67" s="82" t="s">
        <v>116</v>
      </c>
      <c r="E67" s="108" t="s">
        <v>103</v>
      </c>
      <c r="F67" s="108"/>
      <c r="G67" s="82" t="s">
        <v>117</v>
      </c>
      <c r="H67" s="82" t="s">
        <v>118</v>
      </c>
      <c r="I67" s="15" t="str">
        <f ca="1">(IF(E70&gt;99%,"All work completed. Please provide OC.",IF(E70&gt;89.8%,"Plinth, RCC, Brick, Plaster, Flooring, Wooden, Plumbing, Electrification, etc., work Completed. Finishing work is in process.",IF(E70&lt;94%,(IF(C70=0,"Work not yet Started.",IF(D70=25%,"Piling work in process",IF(D70=50%,"Excavation work in process",IF(D70=100%,"Excavation work Completed. ","0")))&amp;(IF(C71=0%,"",IF(C71=J72,"Footing work is process",IF(C71=J73,"Footing work Completed",IF(C71=J74,"1st Basement Completed",IF(C71=J75,"1st &amp; 2nd Basement Completed",IF(C71=J76,"1st to 3rd Basement Completed",IF(C71=J77,"1st to 4th Basement Completed",IF(C71=J78,"Plinth work is process",IF(C71=J79,"Plinth work completed","0")))))))))))&amp;(IF(C72=(E68+G68+H68),", RCC Slab",IF(C72&gt;0,", RCC upto "&amp;C72&amp;" Slab",""))&amp;(IF(C73=H68,", Brickwork",IF(C73&gt;0,", Brickwork upto "&amp;C73&amp;" Floor",""))&amp;(IF(C74=H68,", Internal Plaster",IF(C74&gt;0,", Internal Plaster upto "&amp;C74&amp;" Floor",""))&amp;(IF(C75=H68,", External Plaster",IF(C75&gt;0,", External Plaster upto "&amp;C75&amp;" Floor",""))&amp;(IF(C76=H68,", External Plumbing, Elevation and Waterproofing",IF(C76&gt;0,", External Plumbing, Elevation and Waterproofing upto "&amp;C76&amp;" Floor",""))&amp;(IF(C77=H68,", Flooring &amp; Fitting",IF(C77&gt;0,", Flooring &amp; Fitting upto "&amp;C77&amp;" Floor",""))&amp;(IF(C78=H68,", Wooden Work",IF(C78&gt;0,", Wooden Work upto "&amp;C78&amp;" Floor",""))&amp;(IF(C79=H68,", Electrical &amp; Sanitary fittings",IF(C79&gt;0,", Electrical &amp; Sanitary fittings upto "&amp;C79&amp;" Floor",""))&amp;(IF(C80&gt;0,", Finishing upto "&amp;C80&amp;" Floor","")&amp;(IF(C72&gt;0.5," Completed",""))))))))))))))))</f>
        <v>Excavation work Completed. Plinth work completed, RCC upto 8 Slab, Brickwork upto 2 Floor Completed</v>
      </c>
      <c r="J67" s="17"/>
    </row>
    <row r="68" spans="1:10" ht="20.25" x14ac:dyDescent="0.3">
      <c r="A68" s="113"/>
      <c r="B68" s="113"/>
      <c r="C68" s="113"/>
      <c r="D68" s="82">
        <f>IF(AND(ISNUMBER(SEARCH("1B",A67))),1,IF(AND(ISNUMBER(SEARCH("2B",A67))),2,IF(AND(ISNUMBER(SEARCH("3B",A67))),3,IF(AND(ISNUMBER(SEARCH("4B",A67))),4,IF(ISNUMBER(SEARCH("5B",A67)),5,0)))))</f>
        <v>2</v>
      </c>
      <c r="E68" s="108">
        <v>1</v>
      </c>
      <c r="F68" s="108"/>
      <c r="G68" s="82">
        <v>0</v>
      </c>
      <c r="H68" s="82">
        <f ca="1">--TRIM(RIGHT(SUBSTITUTE(LEFT(A67,_xlfn.AGGREGATE(16,6,FIND({0,1,2,3,4,5,6,7,8,9},A67,ROW(INDIRECT("1:"&amp;LEN(A67)))),1))," ",REPT(" ",LEN(A67))),LEN(A67)))</f>
        <v>22</v>
      </c>
      <c r="I68" s="16" t="s">
        <v>122</v>
      </c>
      <c r="J68" s="17"/>
    </row>
    <row r="69" spans="1:10" ht="20.25" customHeight="1" x14ac:dyDescent="0.3">
      <c r="A69" s="109" t="s">
        <v>120</v>
      </c>
      <c r="B69" s="109"/>
      <c r="C69" s="78" t="s">
        <v>130</v>
      </c>
      <c r="D69" s="78" t="s">
        <v>131</v>
      </c>
      <c r="E69" s="109" t="s">
        <v>121</v>
      </c>
      <c r="F69" s="109"/>
      <c r="G69" s="26" t="s">
        <v>119</v>
      </c>
      <c r="H69" s="26"/>
      <c r="I69" s="19" t="s">
        <v>132</v>
      </c>
      <c r="J69" s="18">
        <f ca="1">H68*25%</f>
        <v>5.5</v>
      </c>
    </row>
    <row r="70" spans="1:10" ht="20.25" customHeight="1" x14ac:dyDescent="0.3">
      <c r="A70" s="94" t="s">
        <v>133</v>
      </c>
      <c r="B70" s="94"/>
      <c r="C70" s="82">
        <f ca="1">J71</f>
        <v>22</v>
      </c>
      <c r="D70" s="79">
        <f ca="1">((100/H68)*C70)/100</f>
        <v>1.0000000000000002</v>
      </c>
      <c r="E70" s="117">
        <f ca="1">(((C70/H68*10)+(C71/H68*15)+(25/(E68+G68+H68)*C72)+(5/(H68)*C73)+(2.5/(H68)*C74)+(2.5/(H68)*C75)+(5/H68*C76)+(10/H68*C77)+(2.5/H68*C78)+(2.5/H68*C79)+(10/H68*C80)+(10/H68*C81))/100)</f>
        <v>0.34150197628458501</v>
      </c>
      <c r="F70" s="118"/>
      <c r="G70" s="94" t="str">
        <f ca="1">I67</f>
        <v>Excavation work Completed. Plinth work completed, RCC upto 8 Slab, Brickwork upto 2 Floor Completed</v>
      </c>
      <c r="H70" s="94"/>
      <c r="I70" s="19" t="s">
        <v>123</v>
      </c>
      <c r="J70" s="22">
        <f ca="1">H68*50%</f>
        <v>11</v>
      </c>
    </row>
    <row r="71" spans="1:10" ht="20.25" x14ac:dyDescent="0.3">
      <c r="A71" s="94" t="s">
        <v>104</v>
      </c>
      <c r="B71" s="94"/>
      <c r="C71" s="83">
        <f ca="1">J79</f>
        <v>22</v>
      </c>
      <c r="D71" s="79">
        <f ca="1">((100/H68)*C71)/100</f>
        <v>1.0000000000000002</v>
      </c>
      <c r="E71" s="119"/>
      <c r="F71" s="120"/>
      <c r="G71" s="94"/>
      <c r="H71" s="94"/>
      <c r="I71" s="19" t="s">
        <v>124</v>
      </c>
      <c r="J71" s="22">
        <f ca="1">H68</f>
        <v>22</v>
      </c>
    </row>
    <row r="72" spans="1:10" ht="21" customHeight="1" x14ac:dyDescent="0.35">
      <c r="A72" s="94" t="s">
        <v>134</v>
      </c>
      <c r="B72" s="94"/>
      <c r="C72" s="82">
        <v>8</v>
      </c>
      <c r="D72" s="79">
        <f ca="1">((100/(E68+G68+H68))*C72)/100</f>
        <v>0.34782608695652173</v>
      </c>
      <c r="E72" s="119"/>
      <c r="F72" s="120"/>
      <c r="G72" s="94"/>
      <c r="H72" s="94"/>
      <c r="I72" s="19" t="s">
        <v>125</v>
      </c>
      <c r="J72" s="23">
        <f ca="1">(IF(D68&gt;1,(H68/(D68+2)),H68*0.2))</f>
        <v>5.5</v>
      </c>
    </row>
    <row r="73" spans="1:10" ht="21" customHeight="1" x14ac:dyDescent="0.35">
      <c r="A73" s="94" t="s">
        <v>135</v>
      </c>
      <c r="B73" s="94"/>
      <c r="C73" s="82">
        <f>C72-5-E68</f>
        <v>2</v>
      </c>
      <c r="D73" s="79">
        <f ca="1">((100/H68)*C73)/100</f>
        <v>9.0909090909090912E-2</v>
      </c>
      <c r="E73" s="119"/>
      <c r="F73" s="120"/>
      <c r="G73" s="94"/>
      <c r="H73" s="94"/>
      <c r="I73" s="19" t="s">
        <v>126</v>
      </c>
      <c r="J73" s="23">
        <f ca="1">(IF(D68&gt;1,(H68/(D68+2)+J72),H68*0.2+J72))</f>
        <v>11</v>
      </c>
    </row>
    <row r="74" spans="1:10" ht="21" customHeight="1" x14ac:dyDescent="0.35">
      <c r="A74" s="92" t="s">
        <v>136</v>
      </c>
      <c r="B74" s="93"/>
      <c r="C74" s="90">
        <v>0</v>
      </c>
      <c r="D74" s="79">
        <f ca="1">((100/H68)*C74)/100</f>
        <v>0</v>
      </c>
      <c r="E74" s="119"/>
      <c r="F74" s="120"/>
      <c r="G74" s="94"/>
      <c r="H74" s="94"/>
      <c r="I74" s="19" t="s">
        <v>137</v>
      </c>
      <c r="J74" s="23">
        <f ca="1">(IF(D68&gt;1,(H68/(D68+2)+J73),0))</f>
        <v>16.5</v>
      </c>
    </row>
    <row r="75" spans="1:10" ht="21" customHeight="1" x14ac:dyDescent="0.35">
      <c r="A75" s="92" t="s">
        <v>167</v>
      </c>
      <c r="B75" s="93"/>
      <c r="C75" s="90">
        <f>C74</f>
        <v>0</v>
      </c>
      <c r="D75" s="79">
        <f ca="1">((100/H68)*C75)/100</f>
        <v>0</v>
      </c>
      <c r="E75" s="119"/>
      <c r="F75" s="120"/>
      <c r="G75" s="94"/>
      <c r="H75" s="94"/>
      <c r="I75" s="19" t="s">
        <v>138</v>
      </c>
      <c r="J75" s="23">
        <f>(IF(D68&gt;2,(H68/(D68+2)+J74),0))</f>
        <v>0</v>
      </c>
    </row>
    <row r="76" spans="1:10" ht="21" x14ac:dyDescent="0.35">
      <c r="A76" s="92" t="s">
        <v>164</v>
      </c>
      <c r="B76" s="93"/>
      <c r="C76" s="82">
        <v>0</v>
      </c>
      <c r="D76" s="79">
        <f ca="1">((100/(H68))*C76)/100</f>
        <v>0</v>
      </c>
      <c r="E76" s="119"/>
      <c r="F76" s="120"/>
      <c r="G76" s="94"/>
      <c r="H76" s="94"/>
      <c r="I76" s="19" t="s">
        <v>140</v>
      </c>
      <c r="J76" s="24">
        <f>(IF(D68&gt;3,(H68/(D68+2)+J75),0))</f>
        <v>0</v>
      </c>
    </row>
    <row r="77" spans="1:10" ht="21" x14ac:dyDescent="0.35">
      <c r="A77" s="94" t="s">
        <v>139</v>
      </c>
      <c r="B77" s="94"/>
      <c r="C77" s="82">
        <v>0</v>
      </c>
      <c r="D77" s="79">
        <f ca="1">((100/(H68))*C77)/100</f>
        <v>0</v>
      </c>
      <c r="E77" s="119"/>
      <c r="F77" s="120"/>
      <c r="G77" s="94"/>
      <c r="H77" s="94"/>
      <c r="I77" s="19" t="s">
        <v>141</v>
      </c>
      <c r="J77" s="23">
        <f>(IF(D68&gt;4,(H68/(D68+2)+J76),0))</f>
        <v>0</v>
      </c>
    </row>
    <row r="78" spans="1:10" ht="21" customHeight="1" x14ac:dyDescent="0.35">
      <c r="A78" s="94" t="s">
        <v>166</v>
      </c>
      <c r="B78" s="94"/>
      <c r="C78" s="82">
        <v>0</v>
      </c>
      <c r="D78" s="79">
        <f ca="1">((100/H68)*C78)/100</f>
        <v>0</v>
      </c>
      <c r="E78" s="119"/>
      <c r="F78" s="120"/>
      <c r="G78" s="94"/>
      <c r="H78" s="94"/>
      <c r="I78" s="19" t="s">
        <v>127</v>
      </c>
      <c r="J78" s="23">
        <f>(IF(D68=1,(H68/(D68+3)+J73),IF(D68=0,(H68*0.3+J73),IF(D68&gt;1,0))))</f>
        <v>0</v>
      </c>
    </row>
    <row r="79" spans="1:10" ht="21.75" thickBot="1" x14ac:dyDescent="0.4">
      <c r="A79" s="94" t="s">
        <v>165</v>
      </c>
      <c r="B79" s="94"/>
      <c r="C79" s="82">
        <v>0</v>
      </c>
      <c r="D79" s="79">
        <f ca="1">((100/H68)*C79)/100</f>
        <v>0</v>
      </c>
      <c r="E79" s="119"/>
      <c r="F79" s="120"/>
      <c r="G79" s="94"/>
      <c r="H79" s="94"/>
      <c r="I79" s="21" t="s">
        <v>128</v>
      </c>
      <c r="J79" s="25">
        <f ca="1">(IF(D68&gt;1.5,(H68/(D68+2)+J73+MAX(0,J74-J73)+MAX(0,J75-J74)+MAX(0,J76-J75)+MAX(0,J77-J76)+MAX(0,J78-J77)),IF(D68=1,(H68/(D68+3)+J78),IF(D68=0,H68*0.3+J78))))</f>
        <v>22</v>
      </c>
    </row>
    <row r="80" spans="1:10" ht="20.25" x14ac:dyDescent="0.25">
      <c r="A80" s="94" t="s">
        <v>142</v>
      </c>
      <c r="B80" s="94"/>
      <c r="C80" s="82">
        <v>0</v>
      </c>
      <c r="D80" s="79">
        <f ca="1">((100/(H68))*C80)/100</f>
        <v>0</v>
      </c>
      <c r="E80" s="119"/>
      <c r="F80" s="120"/>
      <c r="G80" s="94"/>
      <c r="H80" s="94"/>
    </row>
    <row r="81" spans="1:10" ht="20.25" x14ac:dyDescent="0.25">
      <c r="A81" s="94" t="s">
        <v>143</v>
      </c>
      <c r="B81" s="94"/>
      <c r="C81" s="82">
        <v>0</v>
      </c>
      <c r="D81" s="79">
        <f ca="1">((100/(H68))*C81)/100</f>
        <v>0</v>
      </c>
      <c r="E81" s="121"/>
      <c r="F81" s="122"/>
      <c r="G81" s="94"/>
      <c r="H81" s="94"/>
    </row>
    <row r="82" spans="1:10" ht="21" hidden="1" thickBot="1" x14ac:dyDescent="0.3">
      <c r="A82" s="112" t="s">
        <v>67</v>
      </c>
      <c r="B82" s="112"/>
      <c r="C82" s="112"/>
      <c r="D82" s="112"/>
      <c r="E82" s="112"/>
      <c r="F82" s="112"/>
      <c r="G82" s="112"/>
      <c r="H82" s="112"/>
    </row>
    <row r="83" spans="1:10" ht="20.25" hidden="1" customHeight="1" x14ac:dyDescent="0.3">
      <c r="A83" s="113" t="str">
        <f>CONCATENATE((IF(OR(A47="",A47="NA"),"",A47)),"= ",(IF(OR(D47="",D47="NA"),"",D47)),".")</f>
        <v>Wing B= 2B + G + 1st to 22nd Floor.</v>
      </c>
      <c r="B83" s="113"/>
      <c r="C83" s="113"/>
      <c r="D83" s="82" t="s">
        <v>116</v>
      </c>
      <c r="E83" s="108" t="s">
        <v>103</v>
      </c>
      <c r="F83" s="108"/>
      <c r="G83" s="82" t="s">
        <v>117</v>
      </c>
      <c r="H83" s="82" t="s">
        <v>118</v>
      </c>
      <c r="I83" s="15" t="str">
        <f ca="1">(IF(E86&gt;99%,"All work completed. Please provide OC.",IF(E86&gt;89.8%,"Plinth, RCC, Brick, Plaster, Flooring, Wooden, Plumbing, Electrification, etc., work Completed. Finishing work is in process.",IF(E86&lt;94%,(IF(C86=0,"Work not yet Started.",IF(D86=25%,"Piling work in process",IF(D86=50%,"Excavation work in process",IF(D86=100%,"Excavation work Completed. ","0")))&amp;(IF(C87=0%,"",IF(C87=J88,"Footing work is process",IF(C87=J89,"Footing work Completed",IF(C87=J90,"1st Basement Completed",IF(C87=J91,"1st &amp; 2nd Basement Completed",IF(C87=J92,"1st to 3rd Basement Completed",IF(C87=J93,"1st to 4th Basement Completed",IF(C87=J94,"Plinth work is process",IF(C87=J95,"Plinth work completed","0")))))))))))&amp;(IF(C88=(E84+G84+H84),", RCC Slab",IF(C88&gt;0,", RCC upto "&amp;C88&amp;" Slab",""))&amp;(IF(C89=H84,", Brickwork",IF(C89&gt;0,", Brickwork upto "&amp;C89&amp;" Floor",""))&amp;(IF(C90=H84,", Internal Plaster",IF(C90&gt;0,", Internal Plaster upto "&amp;C90&amp;" Floor",""))&amp;(IF(C91=H84,", External Plaster",IF(C91&gt;0,", External Plaster upto "&amp;C91&amp;" Floor",""))&amp;(IF(C92=H84,", External Plumbing, Elevation and Waterproofing",IF(C92&gt;0,", External Plumbing, Elevation and Waterproofing upto "&amp;C92&amp;" Floor",""))&amp;(IF(C93=H84,", Flooring &amp; Fitting",IF(C93&gt;0,", Flooring &amp; Fitting upto "&amp;C93&amp;" Floor",""))&amp;(IF(C94=H84,", Wooden Work",IF(C94&gt;0,", Wooden Work upto "&amp;C94&amp;" Floor",""))&amp;(IF(C95=H84,", Electrical &amp; Sanitary fittings",IF(C95&gt;0,", Electrical &amp; Sanitary fittings upto "&amp;C95&amp;" Floor",""))&amp;(IF(C96&gt;0,", Finishing upto "&amp;C96&amp;" Floor","")&amp;(IF(C88&gt;0.5," Completed",""))))))))))))))))</f>
        <v>Excavation work Completed. Plinth work completed, RCC upto 1 Slab Completed</v>
      </c>
      <c r="J83" s="17"/>
    </row>
    <row r="84" spans="1:10" ht="20.25" hidden="1" x14ac:dyDescent="0.3">
      <c r="A84" s="113"/>
      <c r="B84" s="113"/>
      <c r="C84" s="113"/>
      <c r="D84" s="82">
        <f>IF(AND(ISNUMBER(SEARCH("1B",A83))),1,IF(AND(ISNUMBER(SEARCH("2B",A83))),2,IF(AND(ISNUMBER(SEARCH("3B",A83))),3,IF(AND(ISNUMBER(SEARCH("4B",A83))),4,IF(ISNUMBER(SEARCH("5B",A83)),5,0)))))</f>
        <v>2</v>
      </c>
      <c r="E84" s="108">
        <v>1</v>
      </c>
      <c r="F84" s="108"/>
      <c r="G84" s="82">
        <v>0</v>
      </c>
      <c r="H84" s="82">
        <f ca="1">--TRIM(RIGHT(SUBSTITUTE(LEFT(A83,_xlfn.AGGREGATE(16,6,FIND({0,1,2,3,4,5,6,7,8,9},A83,ROW(INDIRECT("1:"&amp;LEN(A83)))),1))," ",REPT(" ",LEN(A83))),LEN(A83)))</f>
        <v>22</v>
      </c>
      <c r="I84" s="16" t="s">
        <v>122</v>
      </c>
      <c r="J84" s="17"/>
    </row>
    <row r="85" spans="1:10" ht="20.25" hidden="1" customHeight="1" x14ac:dyDescent="0.3">
      <c r="A85" s="109" t="s">
        <v>120</v>
      </c>
      <c r="B85" s="109"/>
      <c r="C85" s="78" t="s">
        <v>130</v>
      </c>
      <c r="D85" s="78" t="s">
        <v>131</v>
      </c>
      <c r="E85" s="109" t="s">
        <v>121</v>
      </c>
      <c r="F85" s="109"/>
      <c r="G85" s="26" t="s">
        <v>119</v>
      </c>
      <c r="H85" s="26"/>
      <c r="I85" s="19" t="s">
        <v>132</v>
      </c>
      <c r="J85" s="18">
        <f ca="1">H84*25%</f>
        <v>5.5</v>
      </c>
    </row>
    <row r="86" spans="1:10" ht="20.25" hidden="1" customHeight="1" x14ac:dyDescent="0.3">
      <c r="A86" s="94" t="s">
        <v>133</v>
      </c>
      <c r="B86" s="94"/>
      <c r="C86" s="82">
        <f ca="1">J87</f>
        <v>22</v>
      </c>
      <c r="D86" s="79">
        <f ca="1">((100/H84)*C86)/100</f>
        <v>1.0000000000000002</v>
      </c>
      <c r="E86" s="117">
        <f ca="1">(((C86/H84*10)+(C87/H84*15)+(25/(E84+G84+H84)*C88)+(5/(H84)*C89)+(2.5/(H84)*C90)+(2.5/(H84)*C91)+(5/H84*C92)+(10/H84*C93)+(2.5/H84*C94)+(2.5/H84*C95)+(10/H84*C96)+(10/H84*C97))/100)</f>
        <v>0.2608695652173913</v>
      </c>
      <c r="F86" s="118"/>
      <c r="G86" s="94" t="str">
        <f ca="1">I83</f>
        <v>Excavation work Completed. Plinth work completed, RCC upto 1 Slab Completed</v>
      </c>
      <c r="H86" s="94"/>
      <c r="I86" s="19" t="s">
        <v>123</v>
      </c>
      <c r="J86" s="22">
        <f ca="1">H84*50%</f>
        <v>11</v>
      </c>
    </row>
    <row r="87" spans="1:10" ht="20.25" hidden="1" x14ac:dyDescent="0.3">
      <c r="A87" s="94" t="s">
        <v>104</v>
      </c>
      <c r="B87" s="94"/>
      <c r="C87" s="83">
        <f ca="1">J95</f>
        <v>22</v>
      </c>
      <c r="D87" s="79">
        <f ca="1">((100/H84)*C87)/100</f>
        <v>1.0000000000000002</v>
      </c>
      <c r="E87" s="119"/>
      <c r="F87" s="120"/>
      <c r="G87" s="94"/>
      <c r="H87" s="94"/>
      <c r="I87" s="19" t="s">
        <v>124</v>
      </c>
      <c r="J87" s="22">
        <f ca="1">H84</f>
        <v>22</v>
      </c>
    </row>
    <row r="88" spans="1:10" ht="21" hidden="1" customHeight="1" x14ac:dyDescent="0.35">
      <c r="A88" s="94" t="s">
        <v>134</v>
      </c>
      <c r="B88" s="94"/>
      <c r="C88" s="82">
        <v>1</v>
      </c>
      <c r="D88" s="79">
        <f ca="1">((100/(E84+G84+H84))*C88)/100</f>
        <v>4.3478260869565216E-2</v>
      </c>
      <c r="E88" s="119"/>
      <c r="F88" s="120"/>
      <c r="G88" s="94"/>
      <c r="H88" s="94"/>
      <c r="I88" s="19" t="s">
        <v>125</v>
      </c>
      <c r="J88" s="23">
        <f ca="1">(IF(D84&gt;1,(H84/(D84+2)),H84*0.2))</f>
        <v>5.5</v>
      </c>
    </row>
    <row r="89" spans="1:10" ht="21" hidden="1" customHeight="1" x14ac:dyDescent="0.35">
      <c r="A89" s="94" t="s">
        <v>135</v>
      </c>
      <c r="B89" s="94"/>
      <c r="C89" s="82">
        <v>0</v>
      </c>
      <c r="D89" s="79">
        <f ca="1">((100/H84)*C89)/100</f>
        <v>0</v>
      </c>
      <c r="E89" s="119"/>
      <c r="F89" s="120"/>
      <c r="G89" s="94"/>
      <c r="H89" s="94"/>
      <c r="I89" s="19" t="s">
        <v>126</v>
      </c>
      <c r="J89" s="23">
        <f ca="1">(IF(D84&gt;1,(H84/(D84+2)+J88),H84*0.2+J88))</f>
        <v>11</v>
      </c>
    </row>
    <row r="90" spans="1:10" ht="21" hidden="1" customHeight="1" x14ac:dyDescent="0.35">
      <c r="A90" s="92" t="s">
        <v>136</v>
      </c>
      <c r="B90" s="93"/>
      <c r="C90" s="82">
        <v>0</v>
      </c>
      <c r="D90" s="79">
        <f ca="1">((100/H84)*C90)/100</f>
        <v>0</v>
      </c>
      <c r="E90" s="119"/>
      <c r="F90" s="120"/>
      <c r="G90" s="94"/>
      <c r="H90" s="94"/>
      <c r="I90" s="19" t="s">
        <v>137</v>
      </c>
      <c r="J90" s="23">
        <f ca="1">(IF(D84&gt;1,(H84/(D84+2)+J89),0))</f>
        <v>16.5</v>
      </c>
    </row>
    <row r="91" spans="1:10" ht="21" hidden="1" customHeight="1" x14ac:dyDescent="0.35">
      <c r="A91" s="92" t="s">
        <v>167</v>
      </c>
      <c r="B91" s="93"/>
      <c r="C91" s="82">
        <v>0</v>
      </c>
      <c r="D91" s="79">
        <f ca="1">((100/H84)*C91)/100</f>
        <v>0</v>
      </c>
      <c r="E91" s="119"/>
      <c r="F91" s="120"/>
      <c r="G91" s="94"/>
      <c r="H91" s="94"/>
      <c r="I91" s="19" t="s">
        <v>138</v>
      </c>
      <c r="J91" s="23">
        <f>(IF(D84&gt;2,(H84/(D84+2)+J90),0))</f>
        <v>0</v>
      </c>
    </row>
    <row r="92" spans="1:10" ht="57.75" hidden="1" customHeight="1" x14ac:dyDescent="0.35">
      <c r="A92" s="92" t="s">
        <v>164</v>
      </c>
      <c r="B92" s="93"/>
      <c r="C92" s="82">
        <v>0</v>
      </c>
      <c r="D92" s="79">
        <f ca="1">((100/(H84))*C92)/100</f>
        <v>0</v>
      </c>
      <c r="E92" s="119"/>
      <c r="F92" s="120"/>
      <c r="G92" s="94"/>
      <c r="H92" s="94"/>
      <c r="I92" s="19" t="s">
        <v>140</v>
      </c>
      <c r="J92" s="24">
        <f>(IF(D84&gt;3,(H84/(D84+2)+J91),0))</f>
        <v>0</v>
      </c>
    </row>
    <row r="93" spans="1:10" ht="21" hidden="1" x14ac:dyDescent="0.35">
      <c r="A93" s="94" t="s">
        <v>139</v>
      </c>
      <c r="B93" s="94"/>
      <c r="C93" s="82">
        <v>0</v>
      </c>
      <c r="D93" s="79">
        <f ca="1">((100/(H84))*C93)/100</f>
        <v>0</v>
      </c>
      <c r="E93" s="119"/>
      <c r="F93" s="120"/>
      <c r="G93" s="94"/>
      <c r="H93" s="94"/>
      <c r="I93" s="19" t="s">
        <v>141</v>
      </c>
      <c r="J93" s="23">
        <f>(IF(D84&gt;4,(H84/(D84+2)+J92),0))</f>
        <v>0</v>
      </c>
    </row>
    <row r="94" spans="1:10" ht="21" hidden="1" customHeight="1" x14ac:dyDescent="0.35">
      <c r="A94" s="94" t="s">
        <v>166</v>
      </c>
      <c r="B94" s="94"/>
      <c r="C94" s="82">
        <v>0</v>
      </c>
      <c r="D94" s="79">
        <f ca="1">((100/H84)*C94)/100</f>
        <v>0</v>
      </c>
      <c r="E94" s="119"/>
      <c r="F94" s="120"/>
      <c r="G94" s="94"/>
      <c r="H94" s="94"/>
      <c r="I94" s="19" t="s">
        <v>127</v>
      </c>
      <c r="J94" s="23">
        <f>(IF(D84=1,(H84/(D84+3)+J89),IF(D84=0,(H84*0.3+J89),IF(D84&gt;1,0))))</f>
        <v>0</v>
      </c>
    </row>
    <row r="95" spans="1:10" ht="21.75" hidden="1" thickBot="1" x14ac:dyDescent="0.4">
      <c r="A95" s="94" t="s">
        <v>165</v>
      </c>
      <c r="B95" s="94"/>
      <c r="C95" s="82">
        <v>0</v>
      </c>
      <c r="D95" s="79">
        <f ca="1">((100/H84)*C95)/100</f>
        <v>0</v>
      </c>
      <c r="E95" s="119"/>
      <c r="F95" s="120"/>
      <c r="G95" s="94"/>
      <c r="H95" s="94"/>
      <c r="I95" s="21" t="s">
        <v>128</v>
      </c>
      <c r="J95" s="25">
        <f ca="1">(IF(D84&gt;1.5,(H84/(D84+2)+J89+MAX(0,J90-J89)+MAX(0,J91-J90)+MAX(0,J92-J91)+MAX(0,J93-J92)+MAX(0,J94-J93)),IF(D84=1,(H84/(D84+3)+J94),IF(D84=0,H84*0.3+J94))))</f>
        <v>22</v>
      </c>
    </row>
    <row r="96" spans="1:10" ht="20.25" hidden="1" x14ac:dyDescent="0.25">
      <c r="A96" s="94" t="s">
        <v>142</v>
      </c>
      <c r="B96" s="94"/>
      <c r="C96" s="82">
        <v>0</v>
      </c>
      <c r="D96" s="79">
        <f ca="1">((100/(H84))*C96)/100</f>
        <v>0</v>
      </c>
      <c r="E96" s="119"/>
      <c r="F96" s="120"/>
      <c r="G96" s="94"/>
      <c r="H96" s="94"/>
    </row>
    <row r="97" spans="1:10" ht="20.25" hidden="1" x14ac:dyDescent="0.25">
      <c r="A97" s="94" t="s">
        <v>143</v>
      </c>
      <c r="B97" s="94"/>
      <c r="C97" s="82">
        <v>0</v>
      </c>
      <c r="D97" s="79">
        <f ca="1">((100/(H84))*C97)/100</f>
        <v>0</v>
      </c>
      <c r="E97" s="121"/>
      <c r="F97" s="122"/>
      <c r="G97" s="94"/>
      <c r="H97" s="94"/>
    </row>
    <row r="98" spans="1:10" ht="21" thickBot="1" x14ac:dyDescent="0.3">
      <c r="A98" s="112" t="s">
        <v>67</v>
      </c>
      <c r="B98" s="112"/>
      <c r="C98" s="112"/>
      <c r="D98" s="112"/>
      <c r="E98" s="112"/>
      <c r="F98" s="112"/>
      <c r="G98" s="112"/>
      <c r="H98" s="112"/>
    </row>
    <row r="99" spans="1:10" ht="20.25" customHeight="1" x14ac:dyDescent="0.3">
      <c r="A99" s="113" t="str">
        <f>CONCATENATE((IF(OR(A48="",A48="NA"),"",A48)),"= ",(IF(OR(D48="",D48="NA"),"",D48)),".")</f>
        <v>Wing C= 2B + G + 1st to 22nd Floor.</v>
      </c>
      <c r="B99" s="113"/>
      <c r="C99" s="113"/>
      <c r="D99" s="82" t="s">
        <v>116</v>
      </c>
      <c r="E99" s="108" t="s">
        <v>103</v>
      </c>
      <c r="F99" s="108"/>
      <c r="G99" s="82" t="s">
        <v>117</v>
      </c>
      <c r="H99" s="82" t="s">
        <v>118</v>
      </c>
      <c r="I99" s="15" t="str">
        <f ca="1">(IF(E102&gt;99%,"All work completed. Please provide OC.",IF(E102&gt;89.8%,"Plinth, RCC, Brick, Plaster, Flooring, Wooden, Plumbing, Electrification, etc., work Completed. Finishing work is in process.",IF(E102&lt;94%,(IF(C102=0,"Work not yet Started.",IF(D102=25%,"Piling work in process",IF(D102=50%,"Excavation work in process",IF(D102=100%,"Excavation work Completed. ","0")))&amp;(IF(C103=0%,"",IF(C103=J104,"Footing work is process",IF(C103=J105,"Footing work Completed",IF(C103=J106,"1st Basement Completed",IF(C103=J107,"1st &amp; 2nd Basement Completed",IF(C103=J108,"1st to 3rd Basement Completed",IF(C103=J109,"1st to 4th Basement Completed",IF(C103=J110,"Plinth work is process",IF(C103=J111,"Plinth work completed","0")))))))))))&amp;(IF(C104=(E100+G100+H100),", RCC Slab",IF(C104&gt;0,", RCC upto "&amp;C104&amp;" Slab",""))&amp;(IF(C105=H100,", Brickwork",IF(C105&gt;0,", Brickwork upto "&amp;C105&amp;" Floor",""))&amp;(IF(C106=H100,", Internal Plaster",IF(C106&gt;0,", Internal Plaster upto "&amp;C106&amp;" Floor",""))&amp;(IF(C107=H100,", External Plaster",IF(C107&gt;0,", External Plaster upto "&amp;C107&amp;" Floor",""))&amp;(IF(C108=H100,", External Plumbing, Elevation and Waterproofing",IF(C108&gt;0,", External Plumbing, Elevation and Waterproofing upto "&amp;C108&amp;" Floor",""))&amp;(IF(C109=H100,", Flooring &amp; Fitting",IF(C109&gt;0,", Flooring &amp; Fitting upto "&amp;C109&amp;" Floor",""))&amp;(IF(C110=H100,", Wooden Work",IF(C110&gt;0,", Wooden Work upto "&amp;C110&amp;" Floor",""))&amp;(IF(C111=H100,", Electrical &amp; Sanitary fittings",IF(C111&gt;0,", Electrical &amp; Sanitary fittings upto "&amp;C111&amp;" Floor",""))&amp;(IF(C112&gt;0,", Finishing upto "&amp;C112&amp;" Floor","")&amp;(IF(C104&gt;0.5," Completed",""))))))))))))))))</f>
        <v>Excavation work Completed. Plinth work completed, RCC upto 12 Slab, Brickwork upto 6 Floor, Internal Plaster upto 4.5 Floor, External Plaster upto 4.5 Floor Completed</v>
      </c>
      <c r="J99" s="17"/>
    </row>
    <row r="100" spans="1:10" ht="20.25" x14ac:dyDescent="0.3">
      <c r="A100" s="113"/>
      <c r="B100" s="113"/>
      <c r="C100" s="113"/>
      <c r="D100" s="82">
        <f>IF(AND(ISNUMBER(SEARCH("1B",A99))),1,IF(AND(ISNUMBER(SEARCH("2B",A99))),2,IF(AND(ISNUMBER(SEARCH("3B",A99))),3,IF(AND(ISNUMBER(SEARCH("4B",A99))),4,IF(ISNUMBER(SEARCH("5B",A99)),5,0)))))</f>
        <v>2</v>
      </c>
      <c r="E100" s="108">
        <v>1</v>
      </c>
      <c r="F100" s="108"/>
      <c r="G100" s="82">
        <v>0</v>
      </c>
      <c r="H100" s="82">
        <f ca="1">--TRIM(RIGHT(SUBSTITUTE(LEFT(A99,_xlfn.AGGREGATE(16,6,FIND({0,1,2,3,4,5,6,7,8,9},A99,ROW(INDIRECT("1:"&amp;LEN(A99)))),1))," ",REPT(" ",LEN(A99))),LEN(A99)))</f>
        <v>22</v>
      </c>
      <c r="I100" s="16" t="s">
        <v>122</v>
      </c>
      <c r="J100" s="17"/>
    </row>
    <row r="101" spans="1:10" ht="20.25" customHeight="1" x14ac:dyDescent="0.3">
      <c r="A101" s="109" t="s">
        <v>120</v>
      </c>
      <c r="B101" s="109"/>
      <c r="C101" s="78" t="s">
        <v>130</v>
      </c>
      <c r="D101" s="78" t="s">
        <v>131</v>
      </c>
      <c r="E101" s="109" t="s">
        <v>121</v>
      </c>
      <c r="F101" s="109"/>
      <c r="G101" s="26" t="s">
        <v>119</v>
      </c>
      <c r="H101" s="26"/>
      <c r="I101" s="19" t="s">
        <v>132</v>
      </c>
      <c r="J101" s="18">
        <f ca="1">H100*25%</f>
        <v>5.5</v>
      </c>
    </row>
    <row r="102" spans="1:10" ht="20.25" customHeight="1" x14ac:dyDescent="0.3">
      <c r="A102" s="94" t="s">
        <v>133</v>
      </c>
      <c r="B102" s="94"/>
      <c r="C102" s="82">
        <f ca="1">J103</f>
        <v>22</v>
      </c>
      <c r="D102" s="79">
        <f ca="1">((100/H100)*C102)/100</f>
        <v>1.0000000000000002</v>
      </c>
      <c r="E102" s="117">
        <f ca="1">(((C102/H100*10)+(C103/H100*15)+(25/(E100+G100+H100)*C104)+(5/(H100)*C105)+(2.5/(H100)*C106)+(2.5/(H100)*C107)+(5/H100*C108)+(10/H100*C109)+(2.5/H100*C110)+(2.5/H100*C111)+(10/H100*C112)+(10/H100*C113))/100)</f>
        <v>0.40429841897233199</v>
      </c>
      <c r="F102" s="118"/>
      <c r="G102" s="94" t="str">
        <f ca="1">I99</f>
        <v>Excavation work Completed. Plinth work completed, RCC upto 12 Slab, Brickwork upto 6 Floor, Internal Plaster upto 4.5 Floor, External Plaster upto 4.5 Floor Completed</v>
      </c>
      <c r="H102" s="94"/>
      <c r="I102" s="19" t="s">
        <v>123</v>
      </c>
      <c r="J102" s="22">
        <f ca="1">H100*50%</f>
        <v>11</v>
      </c>
    </row>
    <row r="103" spans="1:10" ht="20.25" x14ac:dyDescent="0.3">
      <c r="A103" s="94" t="s">
        <v>104</v>
      </c>
      <c r="B103" s="94"/>
      <c r="C103" s="83">
        <f ca="1">J111</f>
        <v>22</v>
      </c>
      <c r="D103" s="79">
        <f ca="1">((100/H100)*C103)/100</f>
        <v>1.0000000000000002</v>
      </c>
      <c r="E103" s="119"/>
      <c r="F103" s="120"/>
      <c r="G103" s="94"/>
      <c r="H103" s="94"/>
      <c r="I103" s="19" t="s">
        <v>124</v>
      </c>
      <c r="J103" s="22">
        <f ca="1">H100</f>
        <v>22</v>
      </c>
    </row>
    <row r="104" spans="1:10" ht="21" customHeight="1" x14ac:dyDescent="0.35">
      <c r="A104" s="94" t="s">
        <v>134</v>
      </c>
      <c r="B104" s="94"/>
      <c r="C104" s="82">
        <v>12</v>
      </c>
      <c r="D104" s="79">
        <f ca="1">((100/(E100+G100+H100))*C104)/100</f>
        <v>0.52173913043478259</v>
      </c>
      <c r="E104" s="119"/>
      <c r="F104" s="120"/>
      <c r="G104" s="94"/>
      <c r="H104" s="94"/>
      <c r="I104" s="19" t="s">
        <v>125</v>
      </c>
      <c r="J104" s="23">
        <f ca="1">(IF(D100&gt;1,(H100/(D100+2)),H100*0.2))</f>
        <v>5.5</v>
      </c>
    </row>
    <row r="105" spans="1:10" ht="21" customHeight="1" x14ac:dyDescent="0.35">
      <c r="A105" s="94" t="s">
        <v>135</v>
      </c>
      <c r="B105" s="94"/>
      <c r="C105" s="82">
        <f>C104-5-E100</f>
        <v>6</v>
      </c>
      <c r="D105" s="79">
        <f ca="1">((100/H100)*C105)/100</f>
        <v>0.27272727272727271</v>
      </c>
      <c r="E105" s="119"/>
      <c r="F105" s="120"/>
      <c r="G105" s="94"/>
      <c r="H105" s="94"/>
      <c r="I105" s="19" t="s">
        <v>126</v>
      </c>
      <c r="J105" s="23">
        <f ca="1">(IF(D100&gt;1,(H100/(D100+2)+J104),H100*0.2+J104))</f>
        <v>11</v>
      </c>
    </row>
    <row r="106" spans="1:10" ht="21" customHeight="1" x14ac:dyDescent="0.35">
      <c r="A106" s="92" t="s">
        <v>136</v>
      </c>
      <c r="B106" s="93"/>
      <c r="C106" s="90">
        <f>C105*0.75</f>
        <v>4.5</v>
      </c>
      <c r="D106" s="79">
        <f ca="1">((100/H100)*C106)/100</f>
        <v>0.20454545454545456</v>
      </c>
      <c r="E106" s="119"/>
      <c r="F106" s="120"/>
      <c r="G106" s="94"/>
      <c r="H106" s="94"/>
      <c r="I106" s="19" t="s">
        <v>137</v>
      </c>
      <c r="J106" s="23">
        <f ca="1">(IF(D100&gt;1,(H100/(D100+2)+J105),0))</f>
        <v>16.5</v>
      </c>
    </row>
    <row r="107" spans="1:10" ht="21" customHeight="1" x14ac:dyDescent="0.35">
      <c r="A107" s="92" t="s">
        <v>167</v>
      </c>
      <c r="B107" s="93"/>
      <c r="C107" s="90">
        <f>C106</f>
        <v>4.5</v>
      </c>
      <c r="D107" s="79">
        <f ca="1">((100/H100)*C107)/100</f>
        <v>0.20454545454545456</v>
      </c>
      <c r="E107" s="119"/>
      <c r="F107" s="120"/>
      <c r="G107" s="94"/>
      <c r="H107" s="94"/>
      <c r="I107" s="19" t="s">
        <v>138</v>
      </c>
      <c r="J107" s="23">
        <f>(IF(D100&gt;2,(H100/(D100+2)+J106),0))</f>
        <v>0</v>
      </c>
    </row>
    <row r="108" spans="1:10" ht="57.75" customHeight="1" x14ac:dyDescent="0.35">
      <c r="A108" s="92" t="s">
        <v>164</v>
      </c>
      <c r="B108" s="93"/>
      <c r="C108" s="82">
        <v>0</v>
      </c>
      <c r="D108" s="79">
        <f ca="1">((100/(H100))*C108)/100</f>
        <v>0</v>
      </c>
      <c r="E108" s="119"/>
      <c r="F108" s="120"/>
      <c r="G108" s="94"/>
      <c r="H108" s="94"/>
      <c r="I108" s="19" t="s">
        <v>140</v>
      </c>
      <c r="J108" s="24">
        <f>(IF(D100&gt;3,(H100/(D100+2)+J107),0))</f>
        <v>0</v>
      </c>
    </row>
    <row r="109" spans="1:10" ht="21" x14ac:dyDescent="0.35">
      <c r="A109" s="94" t="s">
        <v>139</v>
      </c>
      <c r="B109" s="94"/>
      <c r="C109" s="82">
        <v>0</v>
      </c>
      <c r="D109" s="79">
        <f ca="1">((100/(H100))*C109)/100</f>
        <v>0</v>
      </c>
      <c r="E109" s="119"/>
      <c r="F109" s="120"/>
      <c r="G109" s="94"/>
      <c r="H109" s="94"/>
      <c r="I109" s="19" t="s">
        <v>141</v>
      </c>
      <c r="J109" s="23">
        <f>(IF(D100&gt;4,(H100/(D100+2)+J108),0))</f>
        <v>0</v>
      </c>
    </row>
    <row r="110" spans="1:10" ht="21" customHeight="1" x14ac:dyDescent="0.35">
      <c r="A110" s="94" t="s">
        <v>166</v>
      </c>
      <c r="B110" s="94"/>
      <c r="C110" s="82">
        <v>0</v>
      </c>
      <c r="D110" s="79">
        <f ca="1">((100/H100)*C110)/100</f>
        <v>0</v>
      </c>
      <c r="E110" s="119"/>
      <c r="F110" s="120"/>
      <c r="G110" s="94"/>
      <c r="H110" s="94"/>
      <c r="I110" s="19" t="s">
        <v>127</v>
      </c>
      <c r="J110" s="23">
        <f>(IF(D100=1,(H100/(D100+3)+J105),IF(D100=0,(H100*0.3+J105),IF(D100&gt;1,0))))</f>
        <v>0</v>
      </c>
    </row>
    <row r="111" spans="1:10" ht="21.75" thickBot="1" x14ac:dyDescent="0.4">
      <c r="A111" s="94" t="s">
        <v>165</v>
      </c>
      <c r="B111" s="94"/>
      <c r="C111" s="82">
        <v>0</v>
      </c>
      <c r="D111" s="79">
        <f ca="1">((100/H100)*C111)/100</f>
        <v>0</v>
      </c>
      <c r="E111" s="119"/>
      <c r="F111" s="120"/>
      <c r="G111" s="94"/>
      <c r="H111" s="94"/>
      <c r="I111" s="21" t="s">
        <v>128</v>
      </c>
      <c r="J111" s="25">
        <f ca="1">(IF(D100&gt;1.5,(H100/(D100+2)+J105+MAX(0,J106-J105)+MAX(0,J107-J106)+MAX(0,J108-J107)+MAX(0,J109-J108)+MAX(0,J110-J109)),IF(D100=1,(H100/(D100+3)+J110),IF(D100=0,H100*0.3+J110))))</f>
        <v>22</v>
      </c>
    </row>
    <row r="112" spans="1:10" ht="20.25" x14ac:dyDescent="0.25">
      <c r="A112" s="94" t="s">
        <v>142</v>
      </c>
      <c r="B112" s="94"/>
      <c r="C112" s="82">
        <v>0</v>
      </c>
      <c r="D112" s="79">
        <f ca="1">((100/(H100))*C112)/100</f>
        <v>0</v>
      </c>
      <c r="E112" s="119"/>
      <c r="F112" s="120"/>
      <c r="G112" s="94"/>
      <c r="H112" s="94"/>
    </row>
    <row r="113" spans="1:10" ht="20.25" x14ac:dyDescent="0.25">
      <c r="A113" s="94" t="s">
        <v>143</v>
      </c>
      <c r="B113" s="94"/>
      <c r="C113" s="82">
        <v>0</v>
      </c>
      <c r="D113" s="79">
        <f ca="1">((100/(H100))*C113)/100</f>
        <v>0</v>
      </c>
      <c r="E113" s="121"/>
      <c r="F113" s="122"/>
      <c r="G113" s="94"/>
      <c r="H113" s="94"/>
    </row>
    <row r="114" spans="1:10" ht="21" thickBot="1" x14ac:dyDescent="0.3">
      <c r="A114" s="112" t="s">
        <v>67</v>
      </c>
      <c r="B114" s="112"/>
      <c r="C114" s="112"/>
      <c r="D114" s="112"/>
      <c r="E114" s="112"/>
      <c r="F114" s="112"/>
      <c r="G114" s="112"/>
      <c r="H114" s="112"/>
    </row>
    <row r="115" spans="1:10" ht="20.25" customHeight="1" x14ac:dyDescent="0.3">
      <c r="A115" s="113" t="str">
        <f>CONCATENATE((IF(OR(A49="",A49="NA"),"",A49)),"= ",(IF(OR(D49="",D49="NA"),"",D49)),".")</f>
        <v>Wing D= 2B + G + 1st to 22nd Floor.</v>
      </c>
      <c r="B115" s="113"/>
      <c r="C115" s="113"/>
      <c r="D115" s="82" t="s">
        <v>116</v>
      </c>
      <c r="E115" s="108" t="s">
        <v>103</v>
      </c>
      <c r="F115" s="108"/>
      <c r="G115" s="82" t="s">
        <v>117</v>
      </c>
      <c r="H115" s="82" t="s">
        <v>118</v>
      </c>
      <c r="I115" s="15" t="str">
        <f ca="1">(IF(E118&gt;99%,"All work completed. Please provide OC.",IF(E118&gt;89.8%,"Plinth, RCC, Brick, Plaster, Flooring, Wooden, Plumbing, Electrification, etc., work Completed. Finishing work is in process.",IF(E118&lt;94%,(IF(C118=0,"Work not yet Started.",IF(D118=25%,"Piling work in process",IF(D118=50%,"Excavation work in process",IF(D118=100%,"Excavation work Completed. ","0")))&amp;(IF(C119=0%,"",IF(C119=J120,"Footing work is process",IF(C119=J121,"Footing work Completed",IF(C119=J122,"1st Basement Completed",IF(C119=J123,"1st &amp; 2nd Basement Completed",IF(C119=J124,"1st to 3rd Basement Completed",IF(C119=J125,"1st to 4th Basement Completed",IF(C119=J126,"Plinth work is process",IF(C119=J127,"Plinth work completed","0")))))))))))&amp;(IF(C120=(E116+G116+H116),", RCC Slab",IF(C120&gt;0,", RCC upto "&amp;C120&amp;" Slab",""))&amp;(IF(C121=H116,", Brickwork",IF(C121&gt;0,", Brickwork upto "&amp;C121&amp;" Floor",""))&amp;(IF(C122=H116,", Internal Plaster",IF(C122&gt;0,", Internal Plaster upto "&amp;C122&amp;" Floor",""))&amp;(IF(C123=H116,", External Plaster",IF(C123&gt;0,", External Plaster upto "&amp;C123&amp;" Floor",""))&amp;(IF(C124=H116,", External Plumbing, Elevation and Waterproofing",IF(C124&gt;0,", External Plumbing, Elevation and Waterproofing upto "&amp;C124&amp;" Floor",""))&amp;(IF(C125=H116,", Flooring &amp; Fitting",IF(C125&gt;0,", Flooring &amp; Fitting upto "&amp;C125&amp;" Floor",""))&amp;(IF(C126=H116,", Wooden Work",IF(C126&gt;0,", Wooden Work upto "&amp;C126&amp;" Floor",""))&amp;(IF(C127=H116,", Electrical &amp; Sanitary fittings",IF(C127&gt;0,", Electrical &amp; Sanitary fittings upto "&amp;C127&amp;" Floor",""))&amp;(IF(C128&gt;0,", Finishing upto "&amp;C128&amp;" Floor","")&amp;(IF(C120&gt;0.5," Completed",""))))))))))))))))</f>
        <v>Excavation work Completed. Plinth work completed, RCC upto 3 Slab Completed</v>
      </c>
      <c r="J115" s="17"/>
    </row>
    <row r="116" spans="1:10" ht="20.25" x14ac:dyDescent="0.3">
      <c r="A116" s="113"/>
      <c r="B116" s="113"/>
      <c r="C116" s="113"/>
      <c r="D116" s="82">
        <f>IF(AND(ISNUMBER(SEARCH("1B",A115))),1,IF(AND(ISNUMBER(SEARCH("2B",A115))),2,IF(AND(ISNUMBER(SEARCH("3B",A115))),3,IF(AND(ISNUMBER(SEARCH("4B",A115))),4,IF(ISNUMBER(SEARCH("5B",A115)),5,0)))))</f>
        <v>2</v>
      </c>
      <c r="E116" s="108">
        <v>1</v>
      </c>
      <c r="F116" s="108"/>
      <c r="G116" s="82">
        <v>0</v>
      </c>
      <c r="H116" s="82">
        <f ca="1">--TRIM(RIGHT(SUBSTITUTE(LEFT(A115,_xlfn.AGGREGATE(16,6,FIND({0,1,2,3,4,5,6,7,8,9},A115,ROW(INDIRECT("1:"&amp;LEN(A115)))),1))," ",REPT(" ",LEN(A115))),LEN(A115)))</f>
        <v>22</v>
      </c>
      <c r="I116" s="16" t="s">
        <v>122</v>
      </c>
      <c r="J116" s="17"/>
    </row>
    <row r="117" spans="1:10" ht="20.25" customHeight="1" x14ac:dyDescent="0.3">
      <c r="A117" s="109" t="s">
        <v>120</v>
      </c>
      <c r="B117" s="109"/>
      <c r="C117" s="78" t="s">
        <v>130</v>
      </c>
      <c r="D117" s="78" t="s">
        <v>131</v>
      </c>
      <c r="E117" s="109" t="s">
        <v>121</v>
      </c>
      <c r="F117" s="109"/>
      <c r="G117" s="26" t="s">
        <v>119</v>
      </c>
      <c r="H117" s="26"/>
      <c r="I117" s="19" t="s">
        <v>132</v>
      </c>
      <c r="J117" s="18">
        <f ca="1">H116*25%</f>
        <v>5.5</v>
      </c>
    </row>
    <row r="118" spans="1:10" ht="20.25" customHeight="1" x14ac:dyDescent="0.3">
      <c r="A118" s="94" t="s">
        <v>133</v>
      </c>
      <c r="B118" s="94"/>
      <c r="C118" s="82">
        <f ca="1">J119</f>
        <v>22</v>
      </c>
      <c r="D118" s="79">
        <f ca="1">((100/H116)*C118)/100</f>
        <v>1.0000000000000002</v>
      </c>
      <c r="E118" s="117">
        <f ca="1">(((C118/H116*10)+(C119/H116*15)+(25/(E116+G116+H116)*C120)+(5/(H116)*C121)+(2.5/(H116)*C122)+(2.5/(H116)*C123)+(5/H116*C124)+(10/H116*C125)+(2.5/H116*C126)+(2.5/H116*C127)+(10/H116*C128)+(10/H116*C129))/100)</f>
        <v>0.28260869565217389</v>
      </c>
      <c r="F118" s="118"/>
      <c r="G118" s="94" t="str">
        <f ca="1">I115</f>
        <v>Excavation work Completed. Plinth work completed, RCC upto 3 Slab Completed</v>
      </c>
      <c r="H118" s="94"/>
      <c r="I118" s="19" t="s">
        <v>123</v>
      </c>
      <c r="J118" s="22">
        <f ca="1">H116*50%</f>
        <v>11</v>
      </c>
    </row>
    <row r="119" spans="1:10" ht="20.25" x14ac:dyDescent="0.3">
      <c r="A119" s="94" t="s">
        <v>104</v>
      </c>
      <c r="B119" s="94"/>
      <c r="C119" s="83">
        <f ca="1">J127</f>
        <v>22</v>
      </c>
      <c r="D119" s="79">
        <f ca="1">((100/H116)*C119)/100</f>
        <v>1.0000000000000002</v>
      </c>
      <c r="E119" s="119"/>
      <c r="F119" s="120"/>
      <c r="G119" s="94"/>
      <c r="H119" s="94"/>
      <c r="I119" s="19" t="s">
        <v>124</v>
      </c>
      <c r="J119" s="22">
        <f ca="1">H116</f>
        <v>22</v>
      </c>
    </row>
    <row r="120" spans="1:10" ht="21" customHeight="1" x14ac:dyDescent="0.35">
      <c r="A120" s="94" t="s">
        <v>134</v>
      </c>
      <c r="B120" s="94"/>
      <c r="C120" s="82">
        <v>3</v>
      </c>
      <c r="D120" s="79">
        <f ca="1">((100/(E116+G116+H116))*C120)/100</f>
        <v>0.13043478260869565</v>
      </c>
      <c r="E120" s="119"/>
      <c r="F120" s="120"/>
      <c r="G120" s="94"/>
      <c r="H120" s="94"/>
      <c r="I120" s="19" t="s">
        <v>125</v>
      </c>
      <c r="J120" s="23">
        <f ca="1">(IF(D116&gt;1,(H116/(D116+2)),H116*0.2))</f>
        <v>5.5</v>
      </c>
    </row>
    <row r="121" spans="1:10" ht="21" customHeight="1" x14ac:dyDescent="0.35">
      <c r="A121" s="94" t="s">
        <v>135</v>
      </c>
      <c r="B121" s="94"/>
      <c r="C121" s="82">
        <v>0</v>
      </c>
      <c r="D121" s="79">
        <f ca="1">((100/H116)*C121)/100</f>
        <v>0</v>
      </c>
      <c r="E121" s="119"/>
      <c r="F121" s="120"/>
      <c r="G121" s="94"/>
      <c r="H121" s="94"/>
      <c r="I121" s="19" t="s">
        <v>126</v>
      </c>
      <c r="J121" s="23">
        <f ca="1">(IF(D116&gt;1,(H116/(D116+2)+J120),H116*0.2+J120))</f>
        <v>11</v>
      </c>
    </row>
    <row r="122" spans="1:10" ht="21" customHeight="1" x14ac:dyDescent="0.35">
      <c r="A122" s="92" t="s">
        <v>136</v>
      </c>
      <c r="B122" s="93"/>
      <c r="C122" s="82">
        <v>0</v>
      </c>
      <c r="D122" s="79">
        <f ca="1">((100/H116)*C122)/100</f>
        <v>0</v>
      </c>
      <c r="E122" s="119"/>
      <c r="F122" s="120"/>
      <c r="G122" s="94"/>
      <c r="H122" s="94"/>
      <c r="I122" s="19" t="s">
        <v>137</v>
      </c>
      <c r="J122" s="23">
        <f ca="1">(IF(D116&gt;1,(H116/(D116+2)+J121),0))</f>
        <v>16.5</v>
      </c>
    </row>
    <row r="123" spans="1:10" ht="21" customHeight="1" x14ac:dyDescent="0.35">
      <c r="A123" s="92" t="s">
        <v>167</v>
      </c>
      <c r="B123" s="93"/>
      <c r="C123" s="82">
        <v>0</v>
      </c>
      <c r="D123" s="79">
        <f ca="1">((100/H116)*C123)/100</f>
        <v>0</v>
      </c>
      <c r="E123" s="119"/>
      <c r="F123" s="120"/>
      <c r="G123" s="94"/>
      <c r="H123" s="94"/>
      <c r="I123" s="19" t="s">
        <v>138</v>
      </c>
      <c r="J123" s="23">
        <f>(IF(D116&gt;2,(H116/(D116+2)+J122),0))</f>
        <v>0</v>
      </c>
    </row>
    <row r="124" spans="1:10" ht="57.75" customHeight="1" x14ac:dyDescent="0.35">
      <c r="A124" s="92" t="s">
        <v>164</v>
      </c>
      <c r="B124" s="93"/>
      <c r="C124" s="82">
        <v>0</v>
      </c>
      <c r="D124" s="79">
        <f ca="1">((100/(H116))*C124)/100</f>
        <v>0</v>
      </c>
      <c r="E124" s="119"/>
      <c r="F124" s="120"/>
      <c r="G124" s="94"/>
      <c r="H124" s="94"/>
      <c r="I124" s="19" t="s">
        <v>140</v>
      </c>
      <c r="J124" s="24">
        <f>(IF(D116&gt;3,(H116/(D116+2)+J123),0))</f>
        <v>0</v>
      </c>
    </row>
    <row r="125" spans="1:10" ht="21" x14ac:dyDescent="0.35">
      <c r="A125" s="94" t="s">
        <v>139</v>
      </c>
      <c r="B125" s="94"/>
      <c r="C125" s="82">
        <v>0</v>
      </c>
      <c r="D125" s="79">
        <f ca="1">((100/(H116))*C125)/100</f>
        <v>0</v>
      </c>
      <c r="E125" s="119"/>
      <c r="F125" s="120"/>
      <c r="G125" s="94"/>
      <c r="H125" s="94"/>
      <c r="I125" s="19" t="s">
        <v>141</v>
      </c>
      <c r="J125" s="23">
        <f>(IF(D116&gt;4,(H116/(D116+2)+J124),0))</f>
        <v>0</v>
      </c>
    </row>
    <row r="126" spans="1:10" ht="21" customHeight="1" x14ac:dyDescent="0.35">
      <c r="A126" s="94" t="s">
        <v>166</v>
      </c>
      <c r="B126" s="94"/>
      <c r="C126" s="82">
        <v>0</v>
      </c>
      <c r="D126" s="79">
        <f ca="1">((100/H116)*C126)/100</f>
        <v>0</v>
      </c>
      <c r="E126" s="119"/>
      <c r="F126" s="120"/>
      <c r="G126" s="94"/>
      <c r="H126" s="94"/>
      <c r="I126" s="19" t="s">
        <v>127</v>
      </c>
      <c r="J126" s="23">
        <f>(IF(D116=1,(H116/(D116+3)+J121),IF(D116=0,(H116*0.3+J121),IF(D116&gt;1,0))))</f>
        <v>0</v>
      </c>
    </row>
    <row r="127" spans="1:10" ht="21.75" thickBot="1" x14ac:dyDescent="0.4">
      <c r="A127" s="94" t="s">
        <v>165</v>
      </c>
      <c r="B127" s="94"/>
      <c r="C127" s="82">
        <v>0</v>
      </c>
      <c r="D127" s="79">
        <f ca="1">((100/H116)*C127)/100</f>
        <v>0</v>
      </c>
      <c r="E127" s="119"/>
      <c r="F127" s="120"/>
      <c r="G127" s="94"/>
      <c r="H127" s="94"/>
      <c r="I127" s="21" t="s">
        <v>128</v>
      </c>
      <c r="J127" s="25">
        <f ca="1">(IF(D116&gt;1.5,(H116/(D116+2)+J121+MAX(0,J122-J121)+MAX(0,J123-J122)+MAX(0,J124-J123)+MAX(0,J125-J124)+MAX(0,J126-J125)),IF(D116=1,(H116/(D116+3)+J126),IF(D116=0,H116*0.3+J126))))</f>
        <v>22</v>
      </c>
    </row>
    <row r="128" spans="1:10" ht="20.25" x14ac:dyDescent="0.25">
      <c r="A128" s="94" t="s">
        <v>142</v>
      </c>
      <c r="B128" s="94"/>
      <c r="C128" s="82">
        <v>0</v>
      </c>
      <c r="D128" s="79">
        <f ca="1">((100/(H116))*C128)/100</f>
        <v>0</v>
      </c>
      <c r="E128" s="119"/>
      <c r="F128" s="120"/>
      <c r="G128" s="94"/>
      <c r="H128" s="94"/>
    </row>
    <row r="129" spans="1:10" ht="20.25" x14ac:dyDescent="0.25">
      <c r="A129" s="94" t="s">
        <v>143</v>
      </c>
      <c r="B129" s="94"/>
      <c r="C129" s="82">
        <v>0</v>
      </c>
      <c r="D129" s="79">
        <f ca="1">((100/(H116))*C129)/100</f>
        <v>0</v>
      </c>
      <c r="E129" s="121"/>
      <c r="F129" s="122"/>
      <c r="G129" s="94"/>
      <c r="H129" s="94"/>
    </row>
    <row r="130" spans="1:10" ht="21" thickBot="1" x14ac:dyDescent="0.3">
      <c r="A130" s="112" t="s">
        <v>67</v>
      </c>
      <c r="B130" s="112"/>
      <c r="C130" s="112"/>
      <c r="D130" s="112"/>
      <c r="E130" s="112"/>
      <c r="F130" s="112"/>
      <c r="G130" s="112"/>
      <c r="H130" s="112"/>
    </row>
    <row r="131" spans="1:10" ht="20.25" customHeight="1" x14ac:dyDescent="0.3">
      <c r="A131" s="113" t="str">
        <f>CONCATENATE((IF(OR(A50="",A50="NA"),"",A50)),"= ",(IF(OR(D50="",D50="NA"),"",D50)),".")</f>
        <v>Wing E= 2B + G + 1st to 22nd Floor.</v>
      </c>
      <c r="B131" s="113"/>
      <c r="C131" s="113"/>
      <c r="D131" s="82" t="s">
        <v>116</v>
      </c>
      <c r="E131" s="108" t="s">
        <v>103</v>
      </c>
      <c r="F131" s="108"/>
      <c r="G131" s="82" t="s">
        <v>117</v>
      </c>
      <c r="H131" s="82" t="s">
        <v>118</v>
      </c>
      <c r="I131" s="15" t="str">
        <f ca="1">(IF(E134&gt;99%,"All work completed. Please provide OC.",IF(E134&gt;89.8%,"Plinth, RCC, Brick, Plaster, Flooring, Wooden, Plumbing, Electrification, etc., work Completed. Finishing work is in process.",IF(E134&lt;94%,(IF(C134=0,"Work not yet Started.",IF(D134=25%,"Piling work in process",IF(D134=50%,"Excavation work in process",IF(D134=100%,"Excavation work Completed. ","0")))&amp;(IF(C135=0%,"",IF(C135=J136,"Footing work is process",IF(C135=J137,"Footing work Completed",IF(C135=J138,"1st Basement Completed",IF(C135=J139,"1st &amp; 2nd Basement Completed",IF(C135=J140,"1st to 3rd Basement Completed",IF(C135=J141,"1st to 4th Basement Completed",IF(C135=J142,"Plinth work is process",IF(C135=J143,"Plinth work completed","0")))))))))))&amp;(IF(C136=(E132+G132+H132),", RCC Slab",IF(C136&gt;0,", RCC upto "&amp;C136&amp;" Slab",""))&amp;(IF(C137=H132,", Brickwork",IF(C137&gt;0,", Brickwork upto "&amp;C137&amp;" Floor",""))&amp;(IF(C138=H132,", Internal Plaster",IF(C138&gt;0,", Internal Plaster upto "&amp;C138&amp;" Floor",""))&amp;(IF(C139=H132,", External Plaster",IF(C139&gt;0,", External Plaster upto "&amp;C139&amp;" Floor",""))&amp;(IF(C140=H132,", External Plumbing, Elevation and Waterproofing",IF(C140&gt;0,", External Plumbing, Elevation and Waterproofing upto "&amp;C140&amp;" Floor",""))&amp;(IF(C141=H132,", Flooring &amp; Fitting",IF(C141&gt;0,", Flooring &amp; Fitting upto "&amp;C141&amp;" Floor",""))&amp;(IF(C142=H132,", Wooden Work",IF(C142&gt;0,", Wooden Work upto "&amp;C142&amp;" Floor",""))&amp;(IF(C143=H132,", Electrical &amp; Sanitary fittings",IF(C143&gt;0,", Electrical &amp; Sanitary fittings upto "&amp;C143&amp;" Floor",""))&amp;(IF(C144&gt;0,", Finishing upto "&amp;C144&amp;" Floor","")&amp;(IF(C136&gt;0.5," Completed",""))))))))))))))))</f>
        <v>Excavation work Completed. Plinth work completed, RCC upto 2 Slab Completed</v>
      </c>
      <c r="J131" s="17"/>
    </row>
    <row r="132" spans="1:10" ht="20.25" x14ac:dyDescent="0.3">
      <c r="A132" s="113"/>
      <c r="B132" s="113"/>
      <c r="C132" s="113"/>
      <c r="D132" s="82">
        <f>IF(AND(ISNUMBER(SEARCH("1B",A131))),1,IF(AND(ISNUMBER(SEARCH("2B",A131))),2,IF(AND(ISNUMBER(SEARCH("3B",A131))),3,IF(AND(ISNUMBER(SEARCH("4B",A131))),4,IF(ISNUMBER(SEARCH("5B",A131)),5,0)))))</f>
        <v>2</v>
      </c>
      <c r="E132" s="108">
        <v>1</v>
      </c>
      <c r="F132" s="108"/>
      <c r="G132" s="82">
        <v>0</v>
      </c>
      <c r="H132" s="82">
        <f ca="1">--TRIM(RIGHT(SUBSTITUTE(LEFT(A131,_xlfn.AGGREGATE(16,6,FIND({0,1,2,3,4,5,6,7,8,9},A131,ROW(INDIRECT("1:"&amp;LEN(A131)))),1))," ",REPT(" ",LEN(A131))),LEN(A131)))</f>
        <v>22</v>
      </c>
      <c r="I132" s="16" t="s">
        <v>122</v>
      </c>
      <c r="J132" s="17"/>
    </row>
    <row r="133" spans="1:10" ht="20.25" customHeight="1" x14ac:dyDescent="0.3">
      <c r="A133" s="109" t="s">
        <v>120</v>
      </c>
      <c r="B133" s="109"/>
      <c r="C133" s="78" t="s">
        <v>130</v>
      </c>
      <c r="D133" s="78" t="s">
        <v>131</v>
      </c>
      <c r="E133" s="109" t="s">
        <v>121</v>
      </c>
      <c r="F133" s="109"/>
      <c r="G133" s="26" t="s">
        <v>119</v>
      </c>
      <c r="H133" s="26"/>
      <c r="I133" s="19" t="s">
        <v>132</v>
      </c>
      <c r="J133" s="18">
        <f ca="1">H132*25%</f>
        <v>5.5</v>
      </c>
    </row>
    <row r="134" spans="1:10" ht="20.25" customHeight="1" x14ac:dyDescent="0.3">
      <c r="A134" s="94" t="s">
        <v>133</v>
      </c>
      <c r="B134" s="94"/>
      <c r="C134" s="82">
        <f ca="1">J135</f>
        <v>22</v>
      </c>
      <c r="D134" s="79">
        <f ca="1">((100/H132)*C134)/100</f>
        <v>1.0000000000000002</v>
      </c>
      <c r="E134" s="117">
        <f ca="1">(((C134/H132*10)+(C135/H132*15)+(25/(E132+G132+H132)*C136)+(5/(H132)*C137)+(2.5/(H132)*C138)+(2.5/(H132)*C139)+(5/H132*C140)+(10/H132*C141)+(2.5/H132*C142)+(2.5/H132*C143)+(10/H132*C144)+(10/H132*C145))/100)</f>
        <v>0.27173913043478259</v>
      </c>
      <c r="F134" s="118"/>
      <c r="G134" s="94" t="str">
        <f ca="1">I131</f>
        <v>Excavation work Completed. Plinth work completed, RCC upto 2 Slab Completed</v>
      </c>
      <c r="H134" s="94"/>
      <c r="I134" s="19" t="s">
        <v>123</v>
      </c>
      <c r="J134" s="22">
        <f ca="1">H132*50%</f>
        <v>11</v>
      </c>
    </row>
    <row r="135" spans="1:10" ht="20.25" x14ac:dyDescent="0.3">
      <c r="A135" s="94" t="s">
        <v>104</v>
      </c>
      <c r="B135" s="94"/>
      <c r="C135" s="83">
        <f ca="1">J143</f>
        <v>22</v>
      </c>
      <c r="D135" s="79">
        <f ca="1">((100/H132)*C135)/100</f>
        <v>1.0000000000000002</v>
      </c>
      <c r="E135" s="119"/>
      <c r="F135" s="120"/>
      <c r="G135" s="94"/>
      <c r="H135" s="94"/>
      <c r="I135" s="19" t="s">
        <v>124</v>
      </c>
      <c r="J135" s="22">
        <f ca="1">H132</f>
        <v>22</v>
      </c>
    </row>
    <row r="136" spans="1:10" ht="21" customHeight="1" x14ac:dyDescent="0.35">
      <c r="A136" s="94" t="s">
        <v>134</v>
      </c>
      <c r="B136" s="94"/>
      <c r="C136" s="82">
        <f>2</f>
        <v>2</v>
      </c>
      <c r="D136" s="79">
        <f ca="1">((100/(E132+G132+H132))*C136)/100</f>
        <v>8.6956521739130432E-2</v>
      </c>
      <c r="E136" s="119"/>
      <c r="F136" s="120"/>
      <c r="G136" s="94"/>
      <c r="H136" s="94"/>
      <c r="I136" s="19" t="s">
        <v>125</v>
      </c>
      <c r="J136" s="23">
        <f ca="1">(IF(D132&gt;1,(H132/(D132+2)),H132*0.2))</f>
        <v>5.5</v>
      </c>
    </row>
    <row r="137" spans="1:10" ht="21" customHeight="1" x14ac:dyDescent="0.35">
      <c r="A137" s="94" t="s">
        <v>135</v>
      </c>
      <c r="B137" s="94"/>
      <c r="C137" s="82">
        <v>0</v>
      </c>
      <c r="D137" s="79">
        <f ca="1">((100/H132)*C137)/100</f>
        <v>0</v>
      </c>
      <c r="E137" s="119"/>
      <c r="F137" s="120"/>
      <c r="G137" s="94"/>
      <c r="H137" s="94"/>
      <c r="I137" s="19" t="s">
        <v>126</v>
      </c>
      <c r="J137" s="23">
        <f ca="1">(IF(D132&gt;1,(H132/(D132+2)+J136),H132*0.2+J136))</f>
        <v>11</v>
      </c>
    </row>
    <row r="138" spans="1:10" ht="21" customHeight="1" x14ac:dyDescent="0.35">
      <c r="A138" s="92" t="s">
        <v>136</v>
      </c>
      <c r="B138" s="93"/>
      <c r="C138" s="82">
        <v>0</v>
      </c>
      <c r="D138" s="79">
        <f ca="1">((100/H132)*C138)/100</f>
        <v>0</v>
      </c>
      <c r="E138" s="119"/>
      <c r="F138" s="120"/>
      <c r="G138" s="94"/>
      <c r="H138" s="94"/>
      <c r="I138" s="19" t="s">
        <v>137</v>
      </c>
      <c r="J138" s="23">
        <f ca="1">(IF(D132&gt;1,(H132/(D132+2)+J137),0))</f>
        <v>16.5</v>
      </c>
    </row>
    <row r="139" spans="1:10" ht="21" customHeight="1" x14ac:dyDescent="0.35">
      <c r="A139" s="92" t="s">
        <v>167</v>
      </c>
      <c r="B139" s="93"/>
      <c r="C139" s="82">
        <v>0</v>
      </c>
      <c r="D139" s="79">
        <f ca="1">((100/H132)*C139)/100</f>
        <v>0</v>
      </c>
      <c r="E139" s="119"/>
      <c r="F139" s="120"/>
      <c r="G139" s="94"/>
      <c r="H139" s="94"/>
      <c r="I139" s="19" t="s">
        <v>138</v>
      </c>
      <c r="J139" s="23">
        <f>(IF(D132&gt;2,(H132/(D132+2)+J138),0))</f>
        <v>0</v>
      </c>
    </row>
    <row r="140" spans="1:10" ht="57.75" customHeight="1" x14ac:dyDescent="0.35">
      <c r="A140" s="92" t="s">
        <v>164</v>
      </c>
      <c r="B140" s="93"/>
      <c r="C140" s="82">
        <v>0</v>
      </c>
      <c r="D140" s="79">
        <f ca="1">((100/(H132))*C140)/100</f>
        <v>0</v>
      </c>
      <c r="E140" s="119"/>
      <c r="F140" s="120"/>
      <c r="G140" s="94"/>
      <c r="H140" s="94"/>
      <c r="I140" s="19" t="s">
        <v>140</v>
      </c>
      <c r="J140" s="24">
        <f>(IF(D132&gt;3,(H132/(D132+2)+J139),0))</f>
        <v>0</v>
      </c>
    </row>
    <row r="141" spans="1:10" ht="21" x14ac:dyDescent="0.35">
      <c r="A141" s="94" t="s">
        <v>139</v>
      </c>
      <c r="B141" s="94"/>
      <c r="C141" s="82">
        <v>0</v>
      </c>
      <c r="D141" s="79">
        <f ca="1">((100/(H132))*C141)/100</f>
        <v>0</v>
      </c>
      <c r="E141" s="119"/>
      <c r="F141" s="120"/>
      <c r="G141" s="94"/>
      <c r="H141" s="94"/>
      <c r="I141" s="19" t="s">
        <v>141</v>
      </c>
      <c r="J141" s="23">
        <f>(IF(D132&gt;4,(H132/(D132+2)+J140),0))</f>
        <v>0</v>
      </c>
    </row>
    <row r="142" spans="1:10" ht="21" customHeight="1" x14ac:dyDescent="0.35">
      <c r="A142" s="94" t="s">
        <v>166</v>
      </c>
      <c r="B142" s="94"/>
      <c r="C142" s="82">
        <v>0</v>
      </c>
      <c r="D142" s="79">
        <f ca="1">((100/H132)*C142)/100</f>
        <v>0</v>
      </c>
      <c r="E142" s="119"/>
      <c r="F142" s="120"/>
      <c r="G142" s="94"/>
      <c r="H142" s="94"/>
      <c r="I142" s="19" t="s">
        <v>127</v>
      </c>
      <c r="J142" s="23">
        <f>(IF(D132=1,(H132/(D132+3)+J137),IF(D132=0,(H132*0.3+J137),IF(D132&gt;1,0))))</f>
        <v>0</v>
      </c>
    </row>
    <row r="143" spans="1:10" ht="21.75" thickBot="1" x14ac:dyDescent="0.4">
      <c r="A143" s="94" t="s">
        <v>165</v>
      </c>
      <c r="B143" s="94"/>
      <c r="C143" s="82">
        <v>0</v>
      </c>
      <c r="D143" s="79">
        <f ca="1">((100/H132)*C143)/100</f>
        <v>0</v>
      </c>
      <c r="E143" s="119"/>
      <c r="F143" s="120"/>
      <c r="G143" s="94"/>
      <c r="H143" s="94"/>
      <c r="I143" s="21" t="s">
        <v>128</v>
      </c>
      <c r="J143" s="25">
        <f ca="1">(IF(D132&gt;1.5,(H132/(D132+2)+J137+MAX(0,J138-J137)+MAX(0,J139-J138)+MAX(0,J140-J139)+MAX(0,J141-J140)+MAX(0,J142-J141)),IF(D132=1,(H132/(D132+3)+J142),IF(D132=0,H132*0.3+J142))))</f>
        <v>22</v>
      </c>
    </row>
    <row r="144" spans="1:10" ht="20.25" x14ac:dyDescent="0.25">
      <c r="A144" s="94" t="s">
        <v>142</v>
      </c>
      <c r="B144" s="94"/>
      <c r="C144" s="82">
        <v>0</v>
      </c>
      <c r="D144" s="79">
        <f ca="1">((100/(H132))*C144)/100</f>
        <v>0</v>
      </c>
      <c r="E144" s="119"/>
      <c r="F144" s="120"/>
      <c r="G144" s="94"/>
      <c r="H144" s="94"/>
    </row>
    <row r="145" spans="1:10" ht="20.25" x14ac:dyDescent="0.25">
      <c r="A145" s="94" t="s">
        <v>143</v>
      </c>
      <c r="B145" s="94"/>
      <c r="C145" s="82">
        <v>0</v>
      </c>
      <c r="D145" s="79">
        <f ca="1">((100/(H132))*C145)/100</f>
        <v>0</v>
      </c>
      <c r="E145" s="121"/>
      <c r="F145" s="122"/>
      <c r="G145" s="94"/>
      <c r="H145" s="94"/>
    </row>
    <row r="146" spans="1:10" ht="21" thickBot="1" x14ac:dyDescent="0.3">
      <c r="A146" s="112" t="s">
        <v>67</v>
      </c>
      <c r="B146" s="112"/>
      <c r="C146" s="112"/>
      <c r="D146" s="112"/>
      <c r="E146" s="112"/>
      <c r="F146" s="112"/>
      <c r="G146" s="112"/>
      <c r="H146" s="112"/>
    </row>
    <row r="147" spans="1:10" ht="20.25" customHeight="1" x14ac:dyDescent="0.3">
      <c r="A147" s="113" t="str">
        <f>CONCATENATE((IF(OR(A51="",A51="NA"),"",A51)),"= ",(IF(OR(D51="",D51="NA"),"",D51)),".")</f>
        <v>Wing F= 2B + G + 1st to 22nd Floor.</v>
      </c>
      <c r="B147" s="113"/>
      <c r="C147" s="113"/>
      <c r="D147" s="82" t="s">
        <v>116</v>
      </c>
      <c r="E147" s="108" t="s">
        <v>103</v>
      </c>
      <c r="F147" s="108"/>
      <c r="G147" s="82" t="s">
        <v>117</v>
      </c>
      <c r="H147" s="82" t="s">
        <v>118</v>
      </c>
      <c r="I147" s="15" t="str">
        <f ca="1">(IF(E150&gt;99%,"All work completed. Please provide OC.",IF(E150&gt;89.8%,"Plinth, RCC, Brick, Plaster, Flooring, Wooden, Plumbing, Electrification, etc., work Completed. Finishing work is in process.",IF(E150&lt;94%,(IF(C150=0,"Work not yet Started.",IF(D150=25%,"Piling work in process",IF(D150=50%,"Excavation work in process",IF(D150=100%,"Excavation work Completed. ","0")))&amp;(IF(C151=0%,"",IF(C151=J152,"Footing work is process",IF(C151=J153,"Footing work Completed",IF(C151=J154,"1st Basement Completed",IF(C151=J155,"1st &amp; 2nd Basement Completed",IF(C151=J156,"1st to 3rd Basement Completed",IF(C151=J157,"1st to 4th Basement Completed",IF(C151=J158,"Plinth work is process",IF(C151=J159,"Plinth work completed","0")))))))))))&amp;(IF(C152=(E148+G148+H148),", RCC Slab",IF(C152&gt;0,", RCC upto "&amp;C152&amp;" Slab",""))&amp;(IF(C153=H148,", Brickwork",IF(C153&gt;0,", Brickwork upto "&amp;C153&amp;" Floor",""))&amp;(IF(C154=H148,", Internal Plaster",IF(C154&gt;0,", Internal Plaster upto "&amp;C154&amp;" Floor",""))&amp;(IF(C155=H148,", External Plaster",IF(C155&gt;0,", External Plaster upto "&amp;C155&amp;" Floor",""))&amp;(IF(C156=H148,", External Plumbing, Elevation and Waterproofing",IF(C156&gt;0,", External Plumbing, Elevation and Waterproofing upto "&amp;C156&amp;" Floor",""))&amp;(IF(C157=H148,", Flooring &amp; Fitting",IF(C157&gt;0,", Flooring &amp; Fitting upto "&amp;C157&amp;" Floor",""))&amp;(IF(C158=H148,", Wooden Work",IF(C158&gt;0,", Wooden Work upto "&amp;C158&amp;" Floor",""))&amp;(IF(C159=H148,", Electrical &amp; Sanitary fittings",IF(C159&gt;0,", Electrical &amp; Sanitary fittings upto "&amp;C159&amp;" Floor",""))&amp;(IF(C160&gt;0,", Finishing upto "&amp;C160&amp;" Floor","")&amp;(IF(C152&gt;0.5," Completed",""))))))))))))))))</f>
        <v>Excavation work Completed. Plinth work completed, RCC upto 5 Slab Completed</v>
      </c>
      <c r="J147" s="17"/>
    </row>
    <row r="148" spans="1:10" ht="20.25" x14ac:dyDescent="0.3">
      <c r="A148" s="113"/>
      <c r="B148" s="113"/>
      <c r="C148" s="113"/>
      <c r="D148" s="82">
        <f>IF(AND(ISNUMBER(SEARCH("1B",A147))),1,IF(AND(ISNUMBER(SEARCH("2B",A147))),2,IF(AND(ISNUMBER(SEARCH("3B",A147))),3,IF(AND(ISNUMBER(SEARCH("4B",A147))),4,IF(ISNUMBER(SEARCH("5B",A147)),5,0)))))</f>
        <v>2</v>
      </c>
      <c r="E148" s="108">
        <v>1</v>
      </c>
      <c r="F148" s="108"/>
      <c r="G148" s="82">
        <v>0</v>
      </c>
      <c r="H148" s="82">
        <f ca="1">--TRIM(RIGHT(SUBSTITUTE(LEFT(A147,_xlfn.AGGREGATE(16,6,FIND({0,1,2,3,4,5,6,7,8,9},A147,ROW(INDIRECT("1:"&amp;LEN(A147)))),1))," ",REPT(" ",LEN(A147))),LEN(A147)))</f>
        <v>22</v>
      </c>
      <c r="I148" s="16" t="s">
        <v>122</v>
      </c>
      <c r="J148" s="17"/>
    </row>
    <row r="149" spans="1:10" ht="20.25" customHeight="1" x14ac:dyDescent="0.3">
      <c r="A149" s="109" t="s">
        <v>120</v>
      </c>
      <c r="B149" s="109"/>
      <c r="C149" s="78" t="s">
        <v>130</v>
      </c>
      <c r="D149" s="78" t="s">
        <v>131</v>
      </c>
      <c r="E149" s="109" t="s">
        <v>121</v>
      </c>
      <c r="F149" s="109"/>
      <c r="G149" s="26" t="s">
        <v>119</v>
      </c>
      <c r="H149" s="26"/>
      <c r="I149" s="19" t="s">
        <v>132</v>
      </c>
      <c r="J149" s="18">
        <f ca="1">H148*25%</f>
        <v>5.5</v>
      </c>
    </row>
    <row r="150" spans="1:10" ht="20.25" customHeight="1" x14ac:dyDescent="0.3">
      <c r="A150" s="94" t="s">
        <v>133</v>
      </c>
      <c r="B150" s="94"/>
      <c r="C150" s="82">
        <f ca="1">J151</f>
        <v>22</v>
      </c>
      <c r="D150" s="79">
        <f ca="1">((100/H148)*C150)/100</f>
        <v>1.0000000000000002</v>
      </c>
      <c r="E150" s="117">
        <f ca="1">(((C150/H148*10)+(C151/H148*15)+(25/(E148+G148+H148)*C152)+(5/(H148)*C153)+(2.5/(H148)*C154)+(2.5/(H148)*C155)+(5/H148*C156)+(10/H148*C157)+(2.5/H148*C158)+(2.5/H148*C159)+(10/H148*C160)+(10/H148*C161))/100)</f>
        <v>0.30434782608695654</v>
      </c>
      <c r="F150" s="118"/>
      <c r="G150" s="94" t="str">
        <f ca="1">I147</f>
        <v>Excavation work Completed. Plinth work completed, RCC upto 5 Slab Completed</v>
      </c>
      <c r="H150" s="94"/>
      <c r="I150" s="19" t="s">
        <v>123</v>
      </c>
      <c r="J150" s="22">
        <f ca="1">H148*50%</f>
        <v>11</v>
      </c>
    </row>
    <row r="151" spans="1:10" ht="20.25" x14ac:dyDescent="0.3">
      <c r="A151" s="94" t="s">
        <v>104</v>
      </c>
      <c r="B151" s="94"/>
      <c r="C151" s="83">
        <f ca="1">J159</f>
        <v>22</v>
      </c>
      <c r="D151" s="79">
        <f ca="1">((100/H148)*C151)/100</f>
        <v>1.0000000000000002</v>
      </c>
      <c r="E151" s="119"/>
      <c r="F151" s="120"/>
      <c r="G151" s="94"/>
      <c r="H151" s="94"/>
      <c r="I151" s="19" t="s">
        <v>124</v>
      </c>
      <c r="J151" s="22">
        <f ca="1">H148</f>
        <v>22</v>
      </c>
    </row>
    <row r="152" spans="1:10" ht="21" customHeight="1" x14ac:dyDescent="0.35">
      <c r="A152" s="94" t="s">
        <v>134</v>
      </c>
      <c r="B152" s="94"/>
      <c r="C152" s="82">
        <v>5</v>
      </c>
      <c r="D152" s="79">
        <f ca="1">((100/(E148+G148+H148))*C152)/100</f>
        <v>0.21739130434782608</v>
      </c>
      <c r="E152" s="119"/>
      <c r="F152" s="120"/>
      <c r="G152" s="94"/>
      <c r="H152" s="94"/>
      <c r="I152" s="19" t="s">
        <v>125</v>
      </c>
      <c r="J152" s="23">
        <f ca="1">(IF(D148&gt;1,(H148/(D148+2)),H148*0.2))</f>
        <v>5.5</v>
      </c>
    </row>
    <row r="153" spans="1:10" ht="21" customHeight="1" x14ac:dyDescent="0.35">
      <c r="A153" s="94" t="s">
        <v>135</v>
      </c>
      <c r="B153" s="94"/>
      <c r="C153" s="82">
        <v>0</v>
      </c>
      <c r="D153" s="79">
        <f ca="1">((100/H148)*C153)/100</f>
        <v>0</v>
      </c>
      <c r="E153" s="119"/>
      <c r="F153" s="120"/>
      <c r="G153" s="94"/>
      <c r="H153" s="94"/>
      <c r="I153" s="19" t="s">
        <v>126</v>
      </c>
      <c r="J153" s="23">
        <f ca="1">(IF(D148&gt;1,(H148/(D148+2)+J152),H148*0.2+J152))</f>
        <v>11</v>
      </c>
    </row>
    <row r="154" spans="1:10" ht="21" customHeight="1" x14ac:dyDescent="0.35">
      <c r="A154" s="92" t="s">
        <v>136</v>
      </c>
      <c r="B154" s="93"/>
      <c r="C154" s="82">
        <v>0</v>
      </c>
      <c r="D154" s="79">
        <f ca="1">((100/H148)*C154)/100</f>
        <v>0</v>
      </c>
      <c r="E154" s="119"/>
      <c r="F154" s="120"/>
      <c r="G154" s="94"/>
      <c r="H154" s="94"/>
      <c r="I154" s="19" t="s">
        <v>137</v>
      </c>
      <c r="J154" s="23">
        <f ca="1">(IF(D148&gt;1,(H148/(D148+2)+J153),0))</f>
        <v>16.5</v>
      </c>
    </row>
    <row r="155" spans="1:10" ht="21" customHeight="1" x14ac:dyDescent="0.35">
      <c r="A155" s="92" t="s">
        <v>167</v>
      </c>
      <c r="B155" s="93"/>
      <c r="C155" s="82">
        <v>0</v>
      </c>
      <c r="D155" s="79">
        <f ca="1">((100/H148)*C155)/100</f>
        <v>0</v>
      </c>
      <c r="E155" s="119"/>
      <c r="F155" s="120"/>
      <c r="G155" s="94"/>
      <c r="H155" s="94"/>
      <c r="I155" s="19" t="s">
        <v>138</v>
      </c>
      <c r="J155" s="23">
        <f>(IF(D148&gt;2,(H148/(D148+2)+J154),0))</f>
        <v>0</v>
      </c>
    </row>
    <row r="156" spans="1:10" ht="57.75" customHeight="1" x14ac:dyDescent="0.35">
      <c r="A156" s="92" t="s">
        <v>164</v>
      </c>
      <c r="B156" s="93"/>
      <c r="C156" s="82">
        <v>0</v>
      </c>
      <c r="D156" s="79">
        <f ca="1">((100/(H148))*C156)/100</f>
        <v>0</v>
      </c>
      <c r="E156" s="119"/>
      <c r="F156" s="120"/>
      <c r="G156" s="94"/>
      <c r="H156" s="94"/>
      <c r="I156" s="19" t="s">
        <v>140</v>
      </c>
      <c r="J156" s="24">
        <f>(IF(D148&gt;3,(H148/(D148+2)+J155),0))</f>
        <v>0</v>
      </c>
    </row>
    <row r="157" spans="1:10" ht="21" x14ac:dyDescent="0.35">
      <c r="A157" s="94" t="s">
        <v>139</v>
      </c>
      <c r="B157" s="94"/>
      <c r="C157" s="82">
        <v>0</v>
      </c>
      <c r="D157" s="79">
        <f ca="1">((100/(H148))*C157)/100</f>
        <v>0</v>
      </c>
      <c r="E157" s="119"/>
      <c r="F157" s="120"/>
      <c r="G157" s="94"/>
      <c r="H157" s="94"/>
      <c r="I157" s="19" t="s">
        <v>141</v>
      </c>
      <c r="J157" s="23">
        <f>(IF(D148&gt;4,(H148/(D148+2)+J156),0))</f>
        <v>0</v>
      </c>
    </row>
    <row r="158" spans="1:10" ht="21" customHeight="1" x14ac:dyDescent="0.35">
      <c r="A158" s="94" t="s">
        <v>166</v>
      </c>
      <c r="B158" s="94"/>
      <c r="C158" s="82">
        <v>0</v>
      </c>
      <c r="D158" s="79">
        <f ca="1">((100/H148)*C158)/100</f>
        <v>0</v>
      </c>
      <c r="E158" s="119"/>
      <c r="F158" s="120"/>
      <c r="G158" s="94"/>
      <c r="H158" s="94"/>
      <c r="I158" s="19" t="s">
        <v>127</v>
      </c>
      <c r="J158" s="23">
        <f>(IF(D148=1,(H148/(D148+3)+J153),IF(D148=0,(H148*0.3+J153),IF(D148&gt;1,0))))</f>
        <v>0</v>
      </c>
    </row>
    <row r="159" spans="1:10" ht="21.75" thickBot="1" x14ac:dyDescent="0.4">
      <c r="A159" s="94" t="s">
        <v>165</v>
      </c>
      <c r="B159" s="94"/>
      <c r="C159" s="82">
        <v>0</v>
      </c>
      <c r="D159" s="79">
        <f ca="1">((100/H148)*C159)/100</f>
        <v>0</v>
      </c>
      <c r="E159" s="119"/>
      <c r="F159" s="120"/>
      <c r="G159" s="94"/>
      <c r="H159" s="94"/>
      <c r="I159" s="21" t="s">
        <v>128</v>
      </c>
      <c r="J159" s="25">
        <f ca="1">(IF(D148&gt;1.5,(H148/(D148+2)+J153+MAX(0,J154-J153)+MAX(0,J155-J154)+MAX(0,J156-J155)+MAX(0,J157-J156)+MAX(0,J158-J157)),IF(D148=1,(H148/(D148+3)+J158),IF(D148=0,H148*0.3+J158))))</f>
        <v>22</v>
      </c>
    </row>
    <row r="160" spans="1:10" ht="20.25" x14ac:dyDescent="0.25">
      <c r="A160" s="94" t="s">
        <v>142</v>
      </c>
      <c r="B160" s="94"/>
      <c r="C160" s="82">
        <v>0</v>
      </c>
      <c r="D160" s="79">
        <f ca="1">((100/(H148))*C160)/100</f>
        <v>0</v>
      </c>
      <c r="E160" s="119"/>
      <c r="F160" s="120"/>
      <c r="G160" s="94"/>
      <c r="H160" s="94"/>
    </row>
    <row r="161" spans="1:150 16226:16383" ht="20.25" x14ac:dyDescent="0.25">
      <c r="A161" s="94" t="s">
        <v>143</v>
      </c>
      <c r="B161" s="94"/>
      <c r="C161" s="82">
        <v>0</v>
      </c>
      <c r="D161" s="79">
        <f ca="1">((100/(H148))*C161)/100</f>
        <v>0</v>
      </c>
      <c r="E161" s="121"/>
      <c r="F161" s="122"/>
      <c r="G161" s="94"/>
      <c r="H161" s="94"/>
    </row>
    <row r="162" spans="1:150 16226:16383" ht="36.75" customHeight="1" x14ac:dyDescent="0.3">
      <c r="A162" s="110" t="s">
        <v>129</v>
      </c>
      <c r="B162" s="111"/>
      <c r="C162" s="111"/>
      <c r="D162" s="111"/>
      <c r="E162" s="111"/>
      <c r="F162" s="111"/>
      <c r="G162" s="114">
        <f ca="1">AVERAGE(E70,E70,E70,E118,E134,E150)</f>
        <v>0.31386693017127798</v>
      </c>
      <c r="H162" s="115"/>
      <c r="I162" s="19"/>
      <c r="J162" s="20"/>
      <c r="K162" s="20"/>
    </row>
    <row r="163" spans="1:150 16226:16383" ht="20.25" x14ac:dyDescent="0.25">
      <c r="A163" s="103" t="s">
        <v>71</v>
      </c>
      <c r="B163" s="104"/>
      <c r="C163" s="104"/>
      <c r="D163" s="104"/>
      <c r="E163" s="104"/>
      <c r="F163" s="104"/>
      <c r="G163" s="104"/>
      <c r="H163" s="105"/>
    </row>
    <row r="164" spans="1:150 16226:16383" ht="54.75" customHeight="1" x14ac:dyDescent="0.25">
      <c r="A164" s="106" t="s">
        <v>72</v>
      </c>
      <c r="B164" s="107"/>
      <c r="C164" s="101" t="s">
        <v>108</v>
      </c>
      <c r="D164" s="102"/>
      <c r="E164" s="106" t="s">
        <v>144</v>
      </c>
      <c r="F164" s="107" t="s">
        <v>4</v>
      </c>
      <c r="G164" s="116" t="s">
        <v>157</v>
      </c>
      <c r="H164" s="116"/>
    </row>
    <row r="165" spans="1:150 16226:16383" ht="44.25" customHeight="1" x14ac:dyDescent="0.25">
      <c r="A165" s="106" t="s">
        <v>154</v>
      </c>
      <c r="B165" s="107"/>
      <c r="C165" s="101" t="s">
        <v>336</v>
      </c>
      <c r="D165" s="102"/>
      <c r="E165" s="106" t="s">
        <v>155</v>
      </c>
      <c r="F165" s="107" t="s">
        <v>4</v>
      </c>
      <c r="G165" s="96" t="s">
        <v>145</v>
      </c>
      <c r="H165" s="96"/>
    </row>
    <row r="166" spans="1:150 16226:16383" ht="20.25" x14ac:dyDescent="0.25">
      <c r="A166" s="106" t="s">
        <v>73</v>
      </c>
      <c r="B166" s="107"/>
      <c r="C166" s="141">
        <v>800000</v>
      </c>
      <c r="D166" s="143"/>
      <c r="E166" s="106" t="s">
        <v>102</v>
      </c>
      <c r="F166" s="107" t="s">
        <v>4</v>
      </c>
      <c r="G166" s="101" t="s">
        <v>109</v>
      </c>
      <c r="H166" s="102"/>
    </row>
    <row r="167" spans="1:150 16226:16383" ht="20.25" x14ac:dyDescent="0.25">
      <c r="A167" s="103" t="s">
        <v>70</v>
      </c>
      <c r="B167" s="104"/>
      <c r="C167" s="104"/>
      <c r="D167" s="104"/>
      <c r="E167" s="104"/>
      <c r="F167" s="104"/>
      <c r="G167" s="104"/>
      <c r="H167" s="105"/>
    </row>
    <row r="168" spans="1:150 16226:16383" ht="20.25" customHeight="1" x14ac:dyDescent="0.25">
      <c r="A168" s="106" t="s">
        <v>8</v>
      </c>
      <c r="B168" s="172"/>
      <c r="C168" s="172"/>
      <c r="D168" s="172"/>
      <c r="E168" s="172"/>
      <c r="F168" s="107"/>
      <c r="G168" s="137">
        <f>63960/10.764</f>
        <v>5942.0289855072469</v>
      </c>
      <c r="H168" s="138"/>
    </row>
    <row r="169" spans="1:150 16226:16383" ht="20.25" customHeight="1" x14ac:dyDescent="0.25">
      <c r="A169" s="106" t="s">
        <v>28</v>
      </c>
      <c r="B169" s="172"/>
      <c r="C169" s="172"/>
      <c r="D169" s="172"/>
      <c r="E169" s="172"/>
      <c r="F169" s="107" t="s">
        <v>4</v>
      </c>
      <c r="G169" s="126">
        <f>133050/10.764</f>
        <v>12360.646599777036</v>
      </c>
      <c r="H169" s="126"/>
    </row>
    <row r="170" spans="1:150 16226:16383" ht="20.25" customHeight="1" x14ac:dyDescent="0.25">
      <c r="A170" s="106" t="s">
        <v>110</v>
      </c>
      <c r="B170" s="172"/>
      <c r="C170" s="172"/>
      <c r="D170" s="172"/>
      <c r="E170" s="172"/>
      <c r="F170" s="107" t="s">
        <v>4</v>
      </c>
      <c r="G170" s="126">
        <f>G168*0.8</f>
        <v>4753.6231884057979</v>
      </c>
      <c r="H170" s="126"/>
    </row>
    <row r="171" spans="1:150 16226:16383" ht="20.25" hidden="1" x14ac:dyDescent="0.25">
      <c r="A171" s="130" t="s">
        <v>245</v>
      </c>
      <c r="B171" s="131"/>
      <c r="C171" s="131"/>
      <c r="D171" s="131"/>
      <c r="E171" s="131"/>
      <c r="F171" s="131"/>
      <c r="G171" s="131"/>
      <c r="H171" s="129"/>
    </row>
    <row r="172" spans="1:150 16226:16383" s="3" customFormat="1" ht="20.25" hidden="1" x14ac:dyDescent="0.25">
      <c r="A172" s="97" t="s">
        <v>151</v>
      </c>
      <c r="B172" s="98"/>
      <c r="C172" s="97" t="s">
        <v>152</v>
      </c>
      <c r="D172" s="98"/>
      <c r="E172" s="97" t="s">
        <v>150</v>
      </c>
      <c r="F172" s="98"/>
      <c r="G172" s="97" t="s">
        <v>163</v>
      </c>
      <c r="H172" s="98"/>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x14ac:dyDescent="0.25">
      <c r="A173" s="99"/>
      <c r="B173" s="100"/>
      <c r="C173" s="99"/>
      <c r="D173" s="100"/>
      <c r="E173" s="99"/>
      <c r="F173" s="100"/>
      <c r="G173" s="99"/>
      <c r="H173" s="10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x14ac:dyDescent="0.25">
      <c r="A174" s="99"/>
      <c r="B174" s="100"/>
      <c r="C174" s="99"/>
      <c r="D174" s="100"/>
      <c r="E174" s="99"/>
      <c r="F174" s="100"/>
      <c r="G174" s="99"/>
      <c r="H174" s="10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x14ac:dyDescent="0.25">
      <c r="A175" s="97" t="s">
        <v>153</v>
      </c>
      <c r="B175" s="98"/>
      <c r="C175" s="97" t="s">
        <v>95</v>
      </c>
      <c r="D175" s="98"/>
      <c r="E175" s="97">
        <f>SUM(F173:F174)</f>
        <v>0</v>
      </c>
      <c r="F175" s="98"/>
      <c r="G175" s="97">
        <f>SUM(H173:H174)</f>
        <v>0</v>
      </c>
      <c r="H175" s="98">
        <f>SUM(H173:H174)</f>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ht="20.25" x14ac:dyDescent="0.25">
      <c r="A176" s="130" t="s">
        <v>230</v>
      </c>
      <c r="B176" s="131"/>
      <c r="C176" s="131"/>
      <c r="D176" s="131"/>
      <c r="E176" s="131"/>
      <c r="F176" s="131"/>
      <c r="G176" s="131"/>
      <c r="H176" s="129"/>
    </row>
    <row r="177" spans="1:150 16226:16383" s="3" customFormat="1" ht="20.25" x14ac:dyDescent="0.25">
      <c r="A177" s="97" t="s">
        <v>151</v>
      </c>
      <c r="B177" s="98"/>
      <c r="C177" s="97" t="s">
        <v>152</v>
      </c>
      <c r="D177" s="98"/>
      <c r="E177" s="97" t="s">
        <v>150</v>
      </c>
      <c r="F177" s="98"/>
      <c r="G177" s="97" t="s">
        <v>163</v>
      </c>
      <c r="H177" s="98"/>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99" t="s">
        <v>329</v>
      </c>
      <c r="B178" s="100"/>
      <c r="C178" s="99" t="s">
        <v>87</v>
      </c>
      <c r="D178" s="100"/>
      <c r="E178" s="99">
        <f>COUNT(H195:H197)*9+COUNT(H199:H201)*8</f>
        <v>51</v>
      </c>
      <c r="F178" s="100"/>
      <c r="G178" s="99">
        <f>SUM(H195:H197)*9+SUM(H199:H201)*8</f>
        <v>44292.2454</v>
      </c>
      <c r="H178" s="10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99" t="s">
        <v>330</v>
      </c>
      <c r="B179" s="100"/>
      <c r="C179" s="99" t="s">
        <v>87</v>
      </c>
      <c r="D179" s="100"/>
      <c r="E179" s="99">
        <f>COUNT(H204:H206)*9+COUNT(H208:H210)*8</f>
        <v>51</v>
      </c>
      <c r="F179" s="100"/>
      <c r="G179" s="99">
        <f>SUM(H204:H206)*9+SUM(H208:H210)*8</f>
        <v>44305.054559999997</v>
      </c>
      <c r="H179" s="100"/>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99" t="s">
        <v>331</v>
      </c>
      <c r="B180" s="100"/>
      <c r="C180" s="99" t="s">
        <v>87</v>
      </c>
      <c r="D180" s="100"/>
      <c r="E180" s="99">
        <f>COUNT(H213:H216)*8+COUNT(H218:H221)*7+COUNT(H223:H226)+COUNT(H228:H231)</f>
        <v>68</v>
      </c>
      <c r="F180" s="100"/>
      <c r="G180" s="99">
        <f>SUM(H213:H216)*8+SUM(H218:H221)*7+SUM(H223:H226)+SUM(H228:H231)</f>
        <v>45594.043559999991</v>
      </c>
      <c r="H180" s="100"/>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99" t="s">
        <v>332</v>
      </c>
      <c r="B181" s="100"/>
      <c r="C181" s="99" t="s">
        <v>87</v>
      </c>
      <c r="D181" s="100"/>
      <c r="E181" s="99">
        <f>COUNT(H234:H237)*15+COUNT(H239:H240,H242)*2</f>
        <v>66</v>
      </c>
      <c r="F181" s="100"/>
      <c r="G181" s="99">
        <f>SUM(H234:H237)*15+SUM(H239:H240,H242)*2</f>
        <v>39219.818040000006</v>
      </c>
      <c r="H181" s="10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99" t="s">
        <v>333</v>
      </c>
      <c r="B182" s="100"/>
      <c r="C182" s="99" t="s">
        <v>87</v>
      </c>
      <c r="D182" s="100"/>
      <c r="E182" s="99">
        <f>COUNT(H245:H248)*15+COUNT(H250:H251,H253)*2</f>
        <v>66</v>
      </c>
      <c r="F182" s="100"/>
      <c r="G182" s="99">
        <f>SUM(H245:H248)*15+SUM(H250:H251,H253)*2</f>
        <v>40646.155679999996</v>
      </c>
      <c r="H182" s="100"/>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x14ac:dyDescent="0.25">
      <c r="A183" s="99" t="s">
        <v>334</v>
      </c>
      <c r="B183" s="100"/>
      <c r="C183" s="99" t="s">
        <v>87</v>
      </c>
      <c r="D183" s="100"/>
      <c r="E183" s="99">
        <f>COUNT(H256:H258)*15+COUNT(H260:H261)+COUNT(H264:H265)</f>
        <v>49</v>
      </c>
      <c r="F183" s="100"/>
      <c r="G183" s="99">
        <f>SUM(H256:H258)*15+SUM(H260:H261)+SUM(H264:H265)</f>
        <v>37214.807759999996</v>
      </c>
      <c r="H183" s="100"/>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x14ac:dyDescent="0.25">
      <c r="A184" s="97" t="s">
        <v>246</v>
      </c>
      <c r="B184" s="98"/>
      <c r="C184" s="97" t="s">
        <v>95</v>
      </c>
      <c r="D184" s="98"/>
      <c r="E184" s="97">
        <f>SUM(E178:F183)</f>
        <v>351</v>
      </c>
      <c r="F184" s="98"/>
      <c r="G184" s="97">
        <f>SUM(G178:H183)</f>
        <v>251272.125</v>
      </c>
      <c r="H184" s="98"/>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ht="20.25" x14ac:dyDescent="0.25">
      <c r="A185" s="127" t="s">
        <v>149</v>
      </c>
      <c r="B185" s="128"/>
      <c r="C185" s="128"/>
      <c r="D185" s="128"/>
      <c r="E185" s="128"/>
      <c r="F185" s="128"/>
      <c r="G185" s="128"/>
      <c r="H185" s="129"/>
    </row>
    <row r="186" spans="1:150 16226:16383" ht="66" customHeight="1" x14ac:dyDescent="0.25">
      <c r="A186" s="53" t="s">
        <v>231</v>
      </c>
      <c r="B186" s="33" t="s">
        <v>232</v>
      </c>
      <c r="C186" s="32" t="s">
        <v>233</v>
      </c>
      <c r="D186" s="27" t="s">
        <v>88</v>
      </c>
      <c r="E186" s="33" t="s">
        <v>366</v>
      </c>
      <c r="F186" s="32" t="s">
        <v>234</v>
      </c>
      <c r="G186" s="27" t="s">
        <v>90</v>
      </c>
      <c r="H186" s="27" t="s">
        <v>89</v>
      </c>
    </row>
    <row r="187" spans="1:150 16226:16383" s="3" customFormat="1" ht="20.25" x14ac:dyDescent="0.25">
      <c r="A187" s="159" t="s">
        <v>345</v>
      </c>
      <c r="B187" s="160"/>
      <c r="C187" s="160"/>
      <c r="D187" s="160"/>
      <c r="E187" s="160"/>
      <c r="F187" s="160"/>
      <c r="G187" s="160"/>
      <c r="H187" s="16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59" t="s">
        <v>338</v>
      </c>
      <c r="B188" s="160"/>
      <c r="C188" s="160"/>
      <c r="D188" s="160"/>
      <c r="E188" s="160"/>
      <c r="F188" s="160"/>
      <c r="G188" s="160"/>
      <c r="H188" s="16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59" t="s">
        <v>370</v>
      </c>
      <c r="B189" s="160"/>
      <c r="C189" s="160"/>
      <c r="D189" s="160"/>
      <c r="E189" s="160"/>
      <c r="F189" s="160"/>
      <c r="G189" s="160"/>
      <c r="H189" s="16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159" t="s">
        <v>339</v>
      </c>
      <c r="B190" s="160"/>
      <c r="C190" s="160"/>
      <c r="D190" s="160"/>
      <c r="E190" s="160"/>
      <c r="F190" s="160"/>
      <c r="G190" s="160"/>
      <c r="H190" s="16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159" t="s">
        <v>340</v>
      </c>
      <c r="B191" s="160"/>
      <c r="C191" s="160"/>
      <c r="D191" s="160"/>
      <c r="E191" s="160"/>
      <c r="F191" s="160"/>
      <c r="G191" s="160"/>
      <c r="H191" s="161"/>
      <c r="I191" s="1">
        <v>4</v>
      </c>
      <c r="J191" s="1"/>
      <c r="K191" s="81">
        <v>10.763999999999999</v>
      </c>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159" t="s">
        <v>341</v>
      </c>
      <c r="B192" s="160"/>
      <c r="C192" s="160"/>
      <c r="D192" s="160"/>
      <c r="E192" s="160"/>
      <c r="F192" s="160"/>
      <c r="G192" s="160"/>
      <c r="H192" s="161"/>
      <c r="I192" s="1">
        <v>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159" t="s">
        <v>329</v>
      </c>
      <c r="B193" s="160"/>
      <c r="C193" s="160"/>
      <c r="D193" s="160"/>
      <c r="E193" s="160"/>
      <c r="F193" s="160"/>
      <c r="G193" s="160"/>
      <c r="H193" s="16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59" t="s">
        <v>354</v>
      </c>
      <c r="B194" s="160"/>
      <c r="C194" s="160"/>
      <c r="D194" s="160"/>
      <c r="E194" s="160"/>
      <c r="F194" s="160"/>
      <c r="G194" s="160"/>
      <c r="H194" s="161"/>
      <c r="I194" s="1">
        <v>9</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25">
        <v>1</v>
      </c>
      <c r="B195" s="125"/>
      <c r="C195" s="54" t="s">
        <v>87</v>
      </c>
      <c r="D195" s="54" t="s">
        <v>343</v>
      </c>
      <c r="E195" s="81">
        <f>(88.38)*10.764</f>
        <v>951.32231999999988</v>
      </c>
      <c r="F195" s="81">
        <f>(5.23)*10.764</f>
        <v>56.295720000000003</v>
      </c>
      <c r="G195" s="31">
        <v>0</v>
      </c>
      <c r="H195" s="5">
        <f>E195+F195+(IF(G195&lt;101,G195,IF(G195&lt;201,G195/2,IF(G195&lt;=301,G195/3,G195/4))))</f>
        <v>1007.6180399999998</v>
      </c>
      <c r="I195" s="1"/>
      <c r="J195" s="1">
        <f>3.43*1.52</f>
        <v>5.2136000000000005</v>
      </c>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123">
        <f>A195+1</f>
        <v>2</v>
      </c>
      <c r="B196" s="124"/>
      <c r="C196" s="54" t="s">
        <v>87</v>
      </c>
      <c r="D196" s="54" t="s">
        <v>344</v>
      </c>
      <c r="E196" s="81">
        <f>(69.21)*10.764</f>
        <v>744.97643999999991</v>
      </c>
      <c r="F196" s="81">
        <v>0</v>
      </c>
      <c r="G196" s="81">
        <v>0</v>
      </c>
      <c r="H196" s="31">
        <f t="shared" ref="H196:H197" si="0">E196+F196+(IF(G196&lt;101,G196,IF(G196&lt;201,G196/2,IF(G196&lt;=301,G196/3,G196/4))))</f>
        <v>744.97643999999991</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x14ac:dyDescent="0.25">
      <c r="A197" s="123">
        <f t="shared" ref="A197" si="1">A196+1</f>
        <v>3</v>
      </c>
      <c r="B197" s="124"/>
      <c r="C197" s="54" t="s">
        <v>87</v>
      </c>
      <c r="D197" s="54" t="s">
        <v>343</v>
      </c>
      <c r="E197" s="81">
        <f>(79.23)*10.764</f>
        <v>852.83172000000002</v>
      </c>
      <c r="F197" s="81">
        <v>0</v>
      </c>
      <c r="G197" s="81">
        <v>0</v>
      </c>
      <c r="H197" s="31">
        <f t="shared" si="0"/>
        <v>852.83172000000002</v>
      </c>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159" t="s">
        <v>342</v>
      </c>
      <c r="B198" s="160"/>
      <c r="C198" s="160"/>
      <c r="D198" s="160"/>
      <c r="E198" s="160"/>
      <c r="F198" s="160"/>
      <c r="G198" s="160"/>
      <c r="H198" s="161"/>
      <c r="I198" s="1">
        <v>8</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125">
        <v>1</v>
      </c>
      <c r="B199" s="125"/>
      <c r="C199" s="54" t="s">
        <v>87</v>
      </c>
      <c r="D199" s="54" t="s">
        <v>343</v>
      </c>
      <c r="E199" s="81">
        <f>(88.38)*10.764</f>
        <v>951.32231999999988</v>
      </c>
      <c r="F199" s="81">
        <f>(5.23)*10.764</f>
        <v>56.295720000000003</v>
      </c>
      <c r="G199" s="81">
        <v>0</v>
      </c>
      <c r="H199" s="81">
        <f>E199+F199+(IF(G199&lt;101,G199,IF(G199&lt;201,G199/2,IF(G199&lt;=301,G199/3,G199/4))))</f>
        <v>1007.6180399999998</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23">
        <f>A199+1</f>
        <v>2</v>
      </c>
      <c r="B200" s="124"/>
      <c r="C200" s="54" t="s">
        <v>87</v>
      </c>
      <c r="D200" s="54" t="s">
        <v>344</v>
      </c>
      <c r="E200" s="81">
        <f>(69.21)*10.764</f>
        <v>744.97643999999991</v>
      </c>
      <c r="F200" s="81">
        <v>0</v>
      </c>
      <c r="G200" s="81">
        <v>0</v>
      </c>
      <c r="H200" s="81">
        <f t="shared" ref="H200:H201" si="2">E200+F200+(IF(G200&lt;101,G200,IF(G200&lt;201,G200/2,IF(G200&lt;=301,G200/3,G200/4))))</f>
        <v>744.97643999999991</v>
      </c>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x14ac:dyDescent="0.25">
      <c r="A201" s="123">
        <f t="shared" ref="A201" si="3">A200+1</f>
        <v>3</v>
      </c>
      <c r="B201" s="124"/>
      <c r="C201" s="54" t="s">
        <v>87</v>
      </c>
      <c r="D201" s="54" t="s">
        <v>343</v>
      </c>
      <c r="E201" s="81">
        <f>(79.23)*10.764</f>
        <v>852.83172000000002</v>
      </c>
      <c r="F201" s="81">
        <v>0</v>
      </c>
      <c r="G201" s="81">
        <v>0</v>
      </c>
      <c r="H201" s="81">
        <f t="shared" si="2"/>
        <v>852.83172000000002</v>
      </c>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173" t="s">
        <v>330</v>
      </c>
      <c r="B202" s="174"/>
      <c r="C202" s="174"/>
      <c r="D202" s="174"/>
      <c r="E202" s="174"/>
      <c r="F202" s="174"/>
      <c r="G202" s="174"/>
      <c r="H202" s="17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x14ac:dyDescent="0.25">
      <c r="A203" s="159" t="s">
        <v>354</v>
      </c>
      <c r="B203" s="160"/>
      <c r="C203" s="160"/>
      <c r="D203" s="160"/>
      <c r="E203" s="160"/>
      <c r="F203" s="160"/>
      <c r="G203" s="160"/>
      <c r="H203" s="161"/>
      <c r="I203" s="1">
        <v>9</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125">
        <v>1</v>
      </c>
      <c r="B204" s="125"/>
      <c r="C204" s="54" t="s">
        <v>87</v>
      </c>
      <c r="D204" s="54" t="s">
        <v>343</v>
      </c>
      <c r="E204" s="81">
        <f>(79.3)*10.764</f>
        <v>853.58519999999987</v>
      </c>
      <c r="F204" s="81">
        <v>0</v>
      </c>
      <c r="G204" s="81">
        <v>0</v>
      </c>
      <c r="H204" s="81">
        <f>E204+F204+(IF(G204&lt;101,G204,IF(G204&lt;201,G204/2,IF(G204&lt;=301,G204/3,G204/4))))</f>
        <v>853.58519999999987</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23">
        <f>A204+1</f>
        <v>2</v>
      </c>
      <c r="B205" s="124"/>
      <c r="C205" s="54" t="s">
        <v>87</v>
      </c>
      <c r="D205" s="54" t="s">
        <v>344</v>
      </c>
      <c r="E205" s="81">
        <f>(69.21)*10.764</f>
        <v>744.97643999999991</v>
      </c>
      <c r="F205" s="81">
        <v>0</v>
      </c>
      <c r="G205" s="81">
        <v>0</v>
      </c>
      <c r="H205" s="81">
        <f t="shared" ref="H205:H206" si="4">E205+F205+(IF(G205&lt;101,G205,IF(G205&lt;201,G205/2,IF(G205&lt;=301,G205/3,G205/4))))</f>
        <v>744.97643999999991</v>
      </c>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23">
        <f t="shared" ref="A206" si="5">A205+1</f>
        <v>3</v>
      </c>
      <c r="B206" s="124"/>
      <c r="C206" s="54" t="s">
        <v>87</v>
      </c>
      <c r="D206" s="54" t="s">
        <v>343</v>
      </c>
      <c r="E206" s="81">
        <f>(88.38)*10.764</f>
        <v>951.32231999999988</v>
      </c>
      <c r="F206" s="81">
        <f>(5.23)*10.764</f>
        <v>56.295720000000003</v>
      </c>
      <c r="G206" s="81">
        <v>0</v>
      </c>
      <c r="H206" s="81">
        <f t="shared" si="4"/>
        <v>1007.6180399999998</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159" t="s">
        <v>342</v>
      </c>
      <c r="B207" s="160"/>
      <c r="C207" s="160"/>
      <c r="D207" s="160"/>
      <c r="E207" s="160"/>
      <c r="F207" s="160"/>
      <c r="G207" s="160"/>
      <c r="H207" s="161"/>
      <c r="I207" s="1">
        <v>8</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x14ac:dyDescent="0.25">
      <c r="A208" s="125">
        <v>1</v>
      </c>
      <c r="B208" s="125"/>
      <c r="C208" s="54" t="s">
        <v>87</v>
      </c>
      <c r="D208" s="54" t="s">
        <v>343</v>
      </c>
      <c r="E208" s="81">
        <f>(79.3)*10.764</f>
        <v>853.58519999999987</v>
      </c>
      <c r="F208" s="81">
        <v>0</v>
      </c>
      <c r="G208" s="81">
        <v>0</v>
      </c>
      <c r="H208" s="81">
        <f>E208+F208+(IF(G208&lt;101,G208,IF(G208&lt;201,G208/2,IF(G208&lt;=301,G208/3,G208/4))))</f>
        <v>853.58519999999987</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x14ac:dyDescent="0.25">
      <c r="A209" s="123">
        <f>A208+1</f>
        <v>2</v>
      </c>
      <c r="B209" s="124"/>
      <c r="C209" s="54" t="s">
        <v>87</v>
      </c>
      <c r="D209" s="54" t="s">
        <v>344</v>
      </c>
      <c r="E209" s="81">
        <f>(69.21)*10.764</f>
        <v>744.97643999999991</v>
      </c>
      <c r="F209" s="81">
        <v>0</v>
      </c>
      <c r="G209" s="81">
        <v>0</v>
      </c>
      <c r="H209" s="81">
        <f t="shared" ref="H209:H210" si="6">E209+F209+(IF(G209&lt;101,G209,IF(G209&lt;201,G209/2,IF(G209&lt;=301,G209/3,G209/4))))</f>
        <v>744.97643999999991</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x14ac:dyDescent="0.25">
      <c r="A210" s="123">
        <f t="shared" ref="A210" si="7">A209+1</f>
        <v>3</v>
      </c>
      <c r="B210" s="124"/>
      <c r="C210" s="54" t="s">
        <v>87</v>
      </c>
      <c r="D210" s="54" t="s">
        <v>343</v>
      </c>
      <c r="E210" s="81">
        <f>(88.38)*10.764</f>
        <v>951.32231999999988</v>
      </c>
      <c r="F210" s="81">
        <f>(5.23)*10.764</f>
        <v>56.295720000000003</v>
      </c>
      <c r="G210" s="81">
        <v>0</v>
      </c>
      <c r="H210" s="81">
        <f t="shared" si="6"/>
        <v>1007.6180399999998</v>
      </c>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73" t="s">
        <v>331</v>
      </c>
      <c r="B211" s="174"/>
      <c r="C211" s="174"/>
      <c r="D211" s="174"/>
      <c r="E211" s="174"/>
      <c r="F211" s="174"/>
      <c r="G211" s="174"/>
      <c r="H211" s="17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59" t="s">
        <v>353</v>
      </c>
      <c r="B212" s="160"/>
      <c r="C212" s="160"/>
      <c r="D212" s="160"/>
      <c r="E212" s="160"/>
      <c r="F212" s="160"/>
      <c r="G212" s="160"/>
      <c r="H212" s="161"/>
      <c r="I212" s="1">
        <v>8</v>
      </c>
      <c r="J212" s="81">
        <v>10.763999999999999</v>
      </c>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25">
        <v>1</v>
      </c>
      <c r="B213" s="125"/>
      <c r="C213" s="54" t="s">
        <v>87</v>
      </c>
      <c r="D213" s="54" t="s">
        <v>344</v>
      </c>
      <c r="E213" s="81">
        <f>(60.59)*10.764</f>
        <v>652.19075999999995</v>
      </c>
      <c r="F213" s="81">
        <v>0</v>
      </c>
      <c r="G213" s="81">
        <v>0</v>
      </c>
      <c r="H213" s="81">
        <f>E213+F213+(IF(G213&lt;101,G213,IF(G213&lt;201,G213/2,IF(G213&lt;=301,G213/3,G213/4))))</f>
        <v>652.19075999999995</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23">
        <f>A213+1</f>
        <v>2</v>
      </c>
      <c r="B214" s="124"/>
      <c r="C214" s="54" t="s">
        <v>87</v>
      </c>
      <c r="D214" s="54" t="s">
        <v>344</v>
      </c>
      <c r="E214" s="81">
        <f>(66.3)*10.764</f>
        <v>713.65319999999997</v>
      </c>
      <c r="F214" s="81">
        <v>0</v>
      </c>
      <c r="G214" s="81">
        <v>0</v>
      </c>
      <c r="H214" s="81">
        <f t="shared" ref="H214:H215" si="8">E214+F214+(IF(G214&lt;101,G214,IF(G214&lt;201,G214/2,IF(G214&lt;=301,G214/3,G214/4))))</f>
        <v>713.65319999999997</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x14ac:dyDescent="0.25">
      <c r="A215" s="123">
        <f t="shared" ref="A215:A216" si="9">A214+1</f>
        <v>3</v>
      </c>
      <c r="B215" s="124"/>
      <c r="C215" s="54" t="s">
        <v>87</v>
      </c>
      <c r="D215" s="54" t="s">
        <v>344</v>
      </c>
      <c r="E215" s="81">
        <f>(60.63)*10.764</f>
        <v>652.62131999999997</v>
      </c>
      <c r="F215" s="81">
        <v>0</v>
      </c>
      <c r="G215" s="81">
        <v>0</v>
      </c>
      <c r="H215" s="81">
        <f t="shared" si="8"/>
        <v>652.62131999999997</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123">
        <f t="shared" si="9"/>
        <v>4</v>
      </c>
      <c r="B216" s="124"/>
      <c r="C216" s="54" t="s">
        <v>87</v>
      </c>
      <c r="D216" s="54" t="s">
        <v>344</v>
      </c>
      <c r="E216" s="81">
        <f>(60.59)*10.764</f>
        <v>652.19075999999995</v>
      </c>
      <c r="F216" s="81">
        <v>0</v>
      </c>
      <c r="G216" s="81">
        <v>0</v>
      </c>
      <c r="H216" s="81">
        <f t="shared" ref="H216" si="10">E216+F216+(IF(G216&lt;101,G216,IF(G216&lt;201,G216/2,IF(G216&lt;=301,G216/3,G216/4))))</f>
        <v>652.19075999999995</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x14ac:dyDescent="0.25">
      <c r="A217" s="159" t="s">
        <v>346</v>
      </c>
      <c r="B217" s="160"/>
      <c r="C217" s="160"/>
      <c r="D217" s="160"/>
      <c r="E217" s="160"/>
      <c r="F217" s="160"/>
      <c r="G217" s="160"/>
      <c r="H217" s="161"/>
      <c r="I217" s="1">
        <v>7</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x14ac:dyDescent="0.25">
      <c r="A218" s="125">
        <v>1</v>
      </c>
      <c r="B218" s="125"/>
      <c r="C218" s="54" t="s">
        <v>87</v>
      </c>
      <c r="D218" s="54" t="s">
        <v>344</v>
      </c>
      <c r="E218" s="81">
        <f>(60.59)*10.764</f>
        <v>652.19075999999995</v>
      </c>
      <c r="F218" s="81">
        <v>0</v>
      </c>
      <c r="G218" s="81">
        <v>0</v>
      </c>
      <c r="H218" s="81">
        <f>E218+F218+(IF(G218&lt;101,G218,IF(G218&lt;201,G218/2,IF(G218&lt;=301,G218/3,G218/4))))</f>
        <v>652.19075999999995</v>
      </c>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x14ac:dyDescent="0.25">
      <c r="A219" s="123">
        <f>A218+1</f>
        <v>2</v>
      </c>
      <c r="B219" s="124"/>
      <c r="C219" s="54" t="s">
        <v>87</v>
      </c>
      <c r="D219" s="54" t="s">
        <v>344</v>
      </c>
      <c r="E219" s="81">
        <f>(66.3)*10.764</f>
        <v>713.65319999999997</v>
      </c>
      <c r="F219" s="81">
        <v>0</v>
      </c>
      <c r="G219" s="81">
        <v>0</v>
      </c>
      <c r="H219" s="81">
        <f t="shared" ref="H219:H220" si="11">E219+F219+(IF(G219&lt;101,G219,IF(G219&lt;201,G219/2,IF(G219&lt;=301,G219/3,G219/4))))</f>
        <v>713.65319999999997</v>
      </c>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123">
        <f t="shared" ref="A220:A221" si="12">A219+1</f>
        <v>3</v>
      </c>
      <c r="B220" s="124"/>
      <c r="C220" s="54" t="s">
        <v>87</v>
      </c>
      <c r="D220" s="54" t="s">
        <v>344</v>
      </c>
      <c r="E220" s="81">
        <f>(60.63)*10.764</f>
        <v>652.62131999999997</v>
      </c>
      <c r="F220" s="81">
        <v>0</v>
      </c>
      <c r="G220" s="81">
        <v>0</v>
      </c>
      <c r="H220" s="81">
        <f t="shared" si="11"/>
        <v>652.62131999999997</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123">
        <f t="shared" si="12"/>
        <v>4</v>
      </c>
      <c r="B221" s="124"/>
      <c r="C221" s="54" t="s">
        <v>87</v>
      </c>
      <c r="D221" s="54" t="s">
        <v>344</v>
      </c>
      <c r="E221" s="81">
        <f>(60.59)*10.764</f>
        <v>652.19075999999995</v>
      </c>
      <c r="F221" s="81">
        <v>0</v>
      </c>
      <c r="G221" s="81">
        <v>0</v>
      </c>
      <c r="H221" s="81">
        <f t="shared" ref="H221" si="13">E221+F221+(IF(G221&lt;101,G221,IF(G221&lt;201,G221/2,IF(G221&lt;=301,G221/3,G221/4))))</f>
        <v>652.19075999999995</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x14ac:dyDescent="0.25">
      <c r="A222" s="159" t="s">
        <v>347</v>
      </c>
      <c r="B222" s="160"/>
      <c r="C222" s="160"/>
      <c r="D222" s="160"/>
      <c r="E222" s="160"/>
      <c r="F222" s="160"/>
      <c r="G222" s="160"/>
      <c r="H222" s="161"/>
      <c r="I222" s="1">
        <v>1</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x14ac:dyDescent="0.25">
      <c r="A223" s="125">
        <v>1</v>
      </c>
      <c r="B223" s="125"/>
      <c r="C223" s="54" t="s">
        <v>87</v>
      </c>
      <c r="D223" s="54" t="s">
        <v>344</v>
      </c>
      <c r="E223" s="81">
        <f>(60.59)*10.764</f>
        <v>652.19075999999995</v>
      </c>
      <c r="F223" s="81">
        <f>(4.54)*10.764</f>
        <v>48.868559999999995</v>
      </c>
      <c r="G223" s="81">
        <v>0</v>
      </c>
      <c r="H223" s="81">
        <f>E223+F223+(IF(G223&lt;101,G223,IF(G223&lt;201,G223/2,IF(G223&lt;=301,G223/3,G223/4))))</f>
        <v>701.05931999999996</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x14ac:dyDescent="0.25">
      <c r="A224" s="123">
        <f>A223+1</f>
        <v>2</v>
      </c>
      <c r="B224" s="124"/>
      <c r="C224" s="54" t="s">
        <v>87</v>
      </c>
      <c r="D224" s="54" t="s">
        <v>344</v>
      </c>
      <c r="E224" s="81">
        <f>(66.3)*10.764</f>
        <v>713.65319999999997</v>
      </c>
      <c r="F224" s="81">
        <f>(4.42)*10.764</f>
        <v>47.576879999999996</v>
      </c>
      <c r="G224" s="81">
        <v>0</v>
      </c>
      <c r="H224" s="81">
        <f t="shared" ref="H224:H226" si="14">E224+F224+(IF(G224&lt;101,G224,IF(G224&lt;201,G224/2,IF(G224&lt;=301,G224/3,G224/4))))</f>
        <v>761.23007999999993</v>
      </c>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123">
        <f t="shared" ref="A225:A226" si="15">A224+1</f>
        <v>3</v>
      </c>
      <c r="B225" s="124"/>
      <c r="C225" s="54" t="s">
        <v>87</v>
      </c>
      <c r="D225" s="54" t="s">
        <v>344</v>
      </c>
      <c r="E225" s="81">
        <f>(60.63)*10.764</f>
        <v>652.62131999999997</v>
      </c>
      <c r="F225" s="81">
        <v>0</v>
      </c>
      <c r="G225" s="81">
        <v>0</v>
      </c>
      <c r="H225" s="81">
        <f t="shared" si="14"/>
        <v>652.62131999999997</v>
      </c>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123">
        <f t="shared" si="15"/>
        <v>4</v>
      </c>
      <c r="B226" s="124"/>
      <c r="C226" s="54" t="s">
        <v>87</v>
      </c>
      <c r="D226" s="54" t="s">
        <v>344</v>
      </c>
      <c r="E226" s="81">
        <f>(60.59)*10.764</f>
        <v>652.19075999999995</v>
      </c>
      <c r="F226" s="81">
        <v>0</v>
      </c>
      <c r="G226" s="81">
        <v>0</v>
      </c>
      <c r="H226" s="81">
        <f t="shared" si="14"/>
        <v>652.19075999999995</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159" t="s">
        <v>348</v>
      </c>
      <c r="B227" s="160"/>
      <c r="C227" s="160"/>
      <c r="D227" s="160"/>
      <c r="E227" s="160"/>
      <c r="F227" s="160"/>
      <c r="G227" s="160"/>
      <c r="H227" s="161"/>
      <c r="I227" s="1">
        <v>1</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125">
        <v>1</v>
      </c>
      <c r="B228" s="125"/>
      <c r="C228" s="54" t="s">
        <v>87</v>
      </c>
      <c r="D228" s="54" t="s">
        <v>344</v>
      </c>
      <c r="E228" s="81">
        <f>(60.59)*10.764</f>
        <v>652.19075999999995</v>
      </c>
      <c r="F228" s="81">
        <f>(4.54)*10.764</f>
        <v>48.868559999999995</v>
      </c>
      <c r="G228" s="81">
        <v>0</v>
      </c>
      <c r="H228" s="81">
        <f>E228+F228+(IF(G228&lt;101,G228,IF(G228&lt;201,G228/2,IF(G228&lt;=301,G228/3,G228/4))))</f>
        <v>701.05931999999996</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x14ac:dyDescent="0.25">
      <c r="A229" s="123">
        <f>A228+1</f>
        <v>2</v>
      </c>
      <c r="B229" s="124"/>
      <c r="C229" s="54" t="s">
        <v>87</v>
      </c>
      <c r="D229" s="54" t="s">
        <v>344</v>
      </c>
      <c r="E229" s="81">
        <f>(66.3)*10.764</f>
        <v>713.65319999999997</v>
      </c>
      <c r="F229" s="81">
        <f>(4.42)*10.764</f>
        <v>47.576879999999996</v>
      </c>
      <c r="G229" s="81">
        <v>0</v>
      </c>
      <c r="H229" s="81">
        <f t="shared" ref="H229:H231" si="16">E229+F229+(IF(G229&lt;101,G229,IF(G229&lt;201,G229/2,IF(G229&lt;=301,G229/3,G229/4))))</f>
        <v>761.23007999999993</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x14ac:dyDescent="0.25">
      <c r="A230" s="123">
        <f t="shared" ref="A230:A231" si="17">A229+1</f>
        <v>3</v>
      </c>
      <c r="B230" s="124"/>
      <c r="C230" s="54" t="s">
        <v>87</v>
      </c>
      <c r="D230" s="54" t="s">
        <v>344</v>
      </c>
      <c r="E230" s="81">
        <f>(60.63)*10.764</f>
        <v>652.62131999999997</v>
      </c>
      <c r="F230" s="81">
        <v>0</v>
      </c>
      <c r="G230" s="81">
        <v>0</v>
      </c>
      <c r="H230" s="81">
        <f t="shared" si="16"/>
        <v>652.62131999999997</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x14ac:dyDescent="0.25">
      <c r="A231" s="123">
        <f t="shared" si="17"/>
        <v>4</v>
      </c>
      <c r="B231" s="124"/>
      <c r="C231" s="54" t="s">
        <v>87</v>
      </c>
      <c r="D231" s="54" t="s">
        <v>344</v>
      </c>
      <c r="E231" s="81">
        <f>(60.59)*10.764</f>
        <v>652.19075999999995</v>
      </c>
      <c r="F231" s="81">
        <v>0</v>
      </c>
      <c r="G231" s="81">
        <v>0</v>
      </c>
      <c r="H231" s="81">
        <f t="shared" si="16"/>
        <v>652.19075999999995</v>
      </c>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x14ac:dyDescent="0.25">
      <c r="A232" s="173" t="s">
        <v>332</v>
      </c>
      <c r="B232" s="174"/>
      <c r="C232" s="174"/>
      <c r="D232" s="174"/>
      <c r="E232" s="174"/>
      <c r="F232" s="174"/>
      <c r="G232" s="174"/>
      <c r="H232" s="17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x14ac:dyDescent="0.25">
      <c r="A233" s="159" t="s">
        <v>349</v>
      </c>
      <c r="B233" s="160"/>
      <c r="C233" s="160"/>
      <c r="D233" s="160"/>
      <c r="E233" s="160"/>
      <c r="F233" s="160"/>
      <c r="G233" s="160"/>
      <c r="H233" s="161"/>
      <c r="I233" s="1">
        <f>2+6+7</f>
        <v>15</v>
      </c>
      <c r="J233" s="85">
        <v>10.763999999999999</v>
      </c>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x14ac:dyDescent="0.25">
      <c r="A234" s="125">
        <v>1</v>
      </c>
      <c r="B234" s="125"/>
      <c r="C234" s="54" t="s">
        <v>87</v>
      </c>
      <c r="D234" s="54" t="s">
        <v>344</v>
      </c>
      <c r="E234" s="85">
        <f>(52.95)*10.764</f>
        <v>569.9538</v>
      </c>
      <c r="F234" s="85">
        <v>0</v>
      </c>
      <c r="G234" s="85">
        <v>0</v>
      </c>
      <c r="H234" s="85">
        <f>E234+F234+(IF(G234&lt;101,G234,IF(G234&lt;201,G234/2,IF(G234&lt;=301,G234/3,G234/4))))</f>
        <v>569.9538</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x14ac:dyDescent="0.25">
      <c r="A235" s="123">
        <f>A234+1</f>
        <v>2</v>
      </c>
      <c r="B235" s="124"/>
      <c r="C235" s="54" t="s">
        <v>87</v>
      </c>
      <c r="D235" s="54" t="s">
        <v>344</v>
      </c>
      <c r="E235" s="85">
        <f>(57.58)*10.764</f>
        <v>619.79111999999998</v>
      </c>
      <c r="F235" s="85">
        <v>0</v>
      </c>
      <c r="G235" s="85">
        <v>0</v>
      </c>
      <c r="H235" s="85">
        <f t="shared" ref="H235:H237" si="18">E235+F235+(IF(G235&lt;101,G235,IF(G235&lt;201,G235/2,IF(G235&lt;=301,G235/3,G235/4))))</f>
        <v>619.79111999999998</v>
      </c>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x14ac:dyDescent="0.25">
      <c r="A236" s="123">
        <f t="shared" ref="A236:A237" si="19">A235+1</f>
        <v>3</v>
      </c>
      <c r="B236" s="124"/>
      <c r="C236" s="54" t="s">
        <v>87</v>
      </c>
      <c r="D236" s="54" t="s">
        <v>344</v>
      </c>
      <c r="E236" s="85">
        <f>(57.63)*10.764</f>
        <v>620.32931999999994</v>
      </c>
      <c r="F236" s="85">
        <v>0</v>
      </c>
      <c r="G236" s="85">
        <v>0</v>
      </c>
      <c r="H236" s="85">
        <f t="shared" si="18"/>
        <v>620.32931999999994</v>
      </c>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x14ac:dyDescent="0.25">
      <c r="A237" s="123">
        <f t="shared" si="19"/>
        <v>4</v>
      </c>
      <c r="B237" s="124"/>
      <c r="C237" s="54" t="s">
        <v>87</v>
      </c>
      <c r="D237" s="54" t="s">
        <v>344</v>
      </c>
      <c r="E237" s="85">
        <f>(52.95)*10.764</f>
        <v>569.9538</v>
      </c>
      <c r="F237" s="85">
        <v>0</v>
      </c>
      <c r="G237" s="85">
        <v>0</v>
      </c>
      <c r="H237" s="85">
        <f t="shared" si="18"/>
        <v>569.9538</v>
      </c>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x14ac:dyDescent="0.25">
      <c r="A238" s="159" t="s">
        <v>351</v>
      </c>
      <c r="B238" s="160"/>
      <c r="C238" s="160"/>
      <c r="D238" s="160"/>
      <c r="E238" s="160"/>
      <c r="F238" s="160"/>
      <c r="G238" s="160"/>
      <c r="H238" s="161"/>
      <c r="I238" s="1">
        <v>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x14ac:dyDescent="0.25">
      <c r="A239" s="125">
        <v>1</v>
      </c>
      <c r="B239" s="125"/>
      <c r="C239" s="54" t="s">
        <v>87</v>
      </c>
      <c r="D239" s="54" t="s">
        <v>344</v>
      </c>
      <c r="E239" s="85">
        <f>(52.95)*10.764</f>
        <v>569.9538</v>
      </c>
      <c r="F239" s="85">
        <v>0</v>
      </c>
      <c r="G239" s="85">
        <v>0</v>
      </c>
      <c r="H239" s="85">
        <f>E239+F239+(IF(G239&lt;101,G239,IF(G239&lt;201,G239/2,IF(G239&lt;=301,G239/3,G239/4))))</f>
        <v>569.9538</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x14ac:dyDescent="0.25">
      <c r="A240" s="123">
        <f>A239+1</f>
        <v>2</v>
      </c>
      <c r="B240" s="124"/>
      <c r="C240" s="54" t="s">
        <v>87</v>
      </c>
      <c r="D240" s="54" t="s">
        <v>344</v>
      </c>
      <c r="E240" s="85">
        <f>(57.58)*10.764</f>
        <v>619.79111999999998</v>
      </c>
      <c r="F240" s="85">
        <v>0</v>
      </c>
      <c r="G240" s="85">
        <v>0</v>
      </c>
      <c r="H240" s="85">
        <f t="shared" ref="H240:H242" si="20">E240+F240+(IF(G240&lt;101,G240,IF(G240&lt;201,G240/2,IF(G240&lt;=301,G240/3,G240/4))))</f>
        <v>619.79111999999998</v>
      </c>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123">
        <f t="shared" ref="A241:A242" si="21">A240+1</f>
        <v>3</v>
      </c>
      <c r="B241" s="124"/>
      <c r="C241" s="54" t="s">
        <v>95</v>
      </c>
      <c r="D241" s="176" t="s">
        <v>352</v>
      </c>
      <c r="E241" s="177"/>
      <c r="F241" s="177"/>
      <c r="G241" s="177"/>
      <c r="H241" s="178"/>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x14ac:dyDescent="0.25">
      <c r="A242" s="123">
        <f t="shared" si="21"/>
        <v>4</v>
      </c>
      <c r="B242" s="124"/>
      <c r="C242" s="54" t="s">
        <v>87</v>
      </c>
      <c r="D242" s="54" t="s">
        <v>344</v>
      </c>
      <c r="E242" s="85">
        <f>(52.95)*10.764</f>
        <v>569.9538</v>
      </c>
      <c r="F242" s="85">
        <v>0</v>
      </c>
      <c r="G242" s="85">
        <v>0</v>
      </c>
      <c r="H242" s="85">
        <f t="shared" si="20"/>
        <v>569.9538</v>
      </c>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x14ac:dyDescent="0.25">
      <c r="A243" s="173" t="s">
        <v>333</v>
      </c>
      <c r="B243" s="174"/>
      <c r="C243" s="174"/>
      <c r="D243" s="174"/>
      <c r="E243" s="174"/>
      <c r="F243" s="174"/>
      <c r="G243" s="174"/>
      <c r="H243" s="17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x14ac:dyDescent="0.25">
      <c r="A244" s="159" t="s">
        <v>349</v>
      </c>
      <c r="B244" s="160"/>
      <c r="C244" s="160"/>
      <c r="D244" s="160"/>
      <c r="E244" s="160"/>
      <c r="F244" s="160"/>
      <c r="G244" s="160"/>
      <c r="H244" s="161"/>
      <c r="I244" s="1">
        <v>15</v>
      </c>
      <c r="J244" s="85">
        <v>10.763999999999999</v>
      </c>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x14ac:dyDescent="0.25">
      <c r="A245" s="125">
        <v>1</v>
      </c>
      <c r="B245" s="125"/>
      <c r="C245" s="54" t="s">
        <v>87</v>
      </c>
      <c r="D245" s="54" t="s">
        <v>344</v>
      </c>
      <c r="E245" s="85">
        <f>(57.39)*10.764</f>
        <v>617.74595999999997</v>
      </c>
      <c r="F245" s="85">
        <v>0</v>
      </c>
      <c r="G245" s="85">
        <v>0</v>
      </c>
      <c r="H245" s="85">
        <f>E245+F245+(IF(G245&lt;101,G245,IF(G245&lt;201,G245/2,IF(G245&lt;=301,G245/3,G245/4))))</f>
        <v>617.74595999999997</v>
      </c>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123">
        <f>A245+1</f>
        <v>2</v>
      </c>
      <c r="B246" s="124"/>
      <c r="C246" s="54" t="s">
        <v>87</v>
      </c>
      <c r="D246" s="54" t="s">
        <v>344</v>
      </c>
      <c r="E246" s="85">
        <f>(57.64)*10.764</f>
        <v>620.43696</v>
      </c>
      <c r="F246" s="85">
        <v>0</v>
      </c>
      <c r="G246" s="85">
        <v>0</v>
      </c>
      <c r="H246" s="85">
        <f t="shared" ref="H246:H248" si="22">E246+F246+(IF(G246&lt;101,G246,IF(G246&lt;201,G246/2,IF(G246&lt;=301,G246/3,G246/4))))</f>
        <v>620.43696</v>
      </c>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x14ac:dyDescent="0.25">
      <c r="A247" s="123">
        <f t="shared" ref="A247:A248" si="23">A246+1</f>
        <v>3</v>
      </c>
      <c r="B247" s="124"/>
      <c r="C247" s="54" t="s">
        <v>87</v>
      </c>
      <c r="D247" s="54" t="s">
        <v>344</v>
      </c>
      <c r="E247" s="85">
        <f>(61.33)*10.764</f>
        <v>660.15611999999999</v>
      </c>
      <c r="F247" s="85">
        <v>0</v>
      </c>
      <c r="G247" s="85">
        <v>0</v>
      </c>
      <c r="H247" s="85">
        <f t="shared" si="22"/>
        <v>660.15611999999999</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x14ac:dyDescent="0.25">
      <c r="A248" s="123">
        <f t="shared" si="23"/>
        <v>4</v>
      </c>
      <c r="B248" s="124"/>
      <c r="C248" s="54" t="s">
        <v>87</v>
      </c>
      <c r="D248" s="54" t="s">
        <v>344</v>
      </c>
      <c r="E248" s="85">
        <f>(52.98)*10.764</f>
        <v>570.27671999999995</v>
      </c>
      <c r="F248" s="85">
        <v>0</v>
      </c>
      <c r="G248" s="85">
        <v>0</v>
      </c>
      <c r="H248" s="85">
        <f t="shared" si="22"/>
        <v>570.27671999999995</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x14ac:dyDescent="0.25">
      <c r="A249" s="159" t="s">
        <v>351</v>
      </c>
      <c r="B249" s="160"/>
      <c r="C249" s="160"/>
      <c r="D249" s="160"/>
      <c r="E249" s="160"/>
      <c r="F249" s="160"/>
      <c r="G249" s="160"/>
      <c r="H249" s="161"/>
      <c r="I249" s="1">
        <v>2</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x14ac:dyDescent="0.25">
      <c r="A250" s="125">
        <v>1</v>
      </c>
      <c r="B250" s="125"/>
      <c r="C250" s="54" t="s">
        <v>87</v>
      </c>
      <c r="D250" s="54" t="s">
        <v>344</v>
      </c>
      <c r="E250" s="85">
        <f>(57.39)*10.764</f>
        <v>617.74595999999997</v>
      </c>
      <c r="F250" s="85">
        <v>0</v>
      </c>
      <c r="G250" s="85">
        <v>0</v>
      </c>
      <c r="H250" s="85">
        <f>E250+F250+(IF(G250&lt;101,G250,IF(G250&lt;201,G250/2,IF(G250&lt;=301,G250/3,G250/4))))</f>
        <v>617.74595999999997</v>
      </c>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x14ac:dyDescent="0.25">
      <c r="A251" s="123">
        <f>A250+1</f>
        <v>2</v>
      </c>
      <c r="B251" s="124"/>
      <c r="C251" s="54" t="s">
        <v>87</v>
      </c>
      <c r="D251" s="54" t="s">
        <v>344</v>
      </c>
      <c r="E251" s="85">
        <f>(57.64)*10.764</f>
        <v>620.43696</v>
      </c>
      <c r="F251" s="85">
        <v>0</v>
      </c>
      <c r="G251" s="85">
        <v>0</v>
      </c>
      <c r="H251" s="85">
        <f t="shared" ref="H251" si="24">E251+F251+(IF(G251&lt;101,G251,IF(G251&lt;201,G251/2,IF(G251&lt;=301,G251/3,G251/4))))</f>
        <v>620.43696</v>
      </c>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x14ac:dyDescent="0.25">
      <c r="A252" s="123">
        <f t="shared" ref="A252:A253" si="25">A251+1</f>
        <v>3</v>
      </c>
      <c r="B252" s="124"/>
      <c r="C252" s="54" t="s">
        <v>95</v>
      </c>
      <c r="D252" s="176" t="s">
        <v>352</v>
      </c>
      <c r="E252" s="177"/>
      <c r="F252" s="177"/>
      <c r="G252" s="177"/>
      <c r="H252" s="178"/>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x14ac:dyDescent="0.25">
      <c r="A253" s="123">
        <f t="shared" si="25"/>
        <v>4</v>
      </c>
      <c r="B253" s="124"/>
      <c r="C253" s="54" t="s">
        <v>87</v>
      </c>
      <c r="D253" s="54" t="s">
        <v>344</v>
      </c>
      <c r="E253" s="85">
        <f>(52.98)*10.764</f>
        <v>570.27671999999995</v>
      </c>
      <c r="F253" s="85">
        <v>0</v>
      </c>
      <c r="G253" s="85">
        <v>0</v>
      </c>
      <c r="H253" s="85">
        <f t="shared" ref="H253" si="26">E253+F253+(IF(G253&lt;101,G253,IF(G253&lt;201,G253/2,IF(G253&lt;=301,G253/3,G253/4))))</f>
        <v>570.27671999999995</v>
      </c>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x14ac:dyDescent="0.25">
      <c r="A254" s="173" t="s">
        <v>334</v>
      </c>
      <c r="B254" s="174"/>
      <c r="C254" s="174"/>
      <c r="D254" s="174"/>
      <c r="E254" s="174"/>
      <c r="F254" s="174"/>
      <c r="G254" s="174"/>
      <c r="H254" s="17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159" t="s">
        <v>349</v>
      </c>
      <c r="B255" s="160"/>
      <c r="C255" s="160"/>
      <c r="D255" s="160"/>
      <c r="E255" s="160"/>
      <c r="F255" s="160"/>
      <c r="G255" s="160"/>
      <c r="H255" s="161"/>
      <c r="I255" s="1">
        <v>15</v>
      </c>
      <c r="J255" s="85">
        <v>10.763999999999999</v>
      </c>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x14ac:dyDescent="0.25">
      <c r="A256" s="125">
        <v>1</v>
      </c>
      <c r="B256" s="125"/>
      <c r="C256" s="54" t="s">
        <v>87</v>
      </c>
      <c r="D256" s="54" t="s">
        <v>343</v>
      </c>
      <c r="E256" s="85">
        <f>(78.93)*10.764</f>
        <v>849.60252000000003</v>
      </c>
      <c r="F256" s="85">
        <v>0</v>
      </c>
      <c r="G256" s="85">
        <v>0</v>
      </c>
      <c r="H256" s="85">
        <f>E256+F256+(IF(G256&lt;101,G256,IF(G256&lt;201,G256/2,IF(G256&lt;=301,G256/3,G256/4))))</f>
        <v>849.60252000000003</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123">
        <f>A256+1</f>
        <v>2</v>
      </c>
      <c r="B257" s="124"/>
      <c r="C257" s="54" t="s">
        <v>87</v>
      </c>
      <c r="D257" s="54" t="s">
        <v>344</v>
      </c>
      <c r="E257" s="85">
        <f>(65.95)*10.764</f>
        <v>709.88580000000002</v>
      </c>
      <c r="F257" s="85">
        <v>0</v>
      </c>
      <c r="G257" s="85">
        <v>0</v>
      </c>
      <c r="H257" s="85">
        <f t="shared" ref="H257:H258" si="27">E257+F257+(IF(G257&lt;101,G257,IF(G257&lt;201,G257/2,IF(G257&lt;=301,G257/3,G257/4))))</f>
        <v>709.88580000000002</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x14ac:dyDescent="0.25">
      <c r="A258" s="123">
        <f t="shared" ref="A258" si="28">A257+1</f>
        <v>3</v>
      </c>
      <c r="B258" s="124"/>
      <c r="C258" s="54" t="s">
        <v>87</v>
      </c>
      <c r="D258" s="54" t="s">
        <v>344</v>
      </c>
      <c r="E258" s="85">
        <f>(65.97)*10.764</f>
        <v>710.10107999999991</v>
      </c>
      <c r="F258" s="85">
        <v>0</v>
      </c>
      <c r="G258" s="85">
        <v>0</v>
      </c>
      <c r="H258" s="85">
        <f t="shared" si="27"/>
        <v>710.10107999999991</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x14ac:dyDescent="0.25">
      <c r="A259" s="159" t="s">
        <v>350</v>
      </c>
      <c r="B259" s="160"/>
      <c r="C259" s="160"/>
      <c r="D259" s="160"/>
      <c r="E259" s="160"/>
      <c r="F259" s="160"/>
      <c r="G259" s="160"/>
      <c r="H259" s="161"/>
      <c r="I259" s="1">
        <v>1</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x14ac:dyDescent="0.25">
      <c r="A260" s="125">
        <v>1</v>
      </c>
      <c r="B260" s="125"/>
      <c r="C260" s="54" t="s">
        <v>87</v>
      </c>
      <c r="D260" s="54" t="s">
        <v>343</v>
      </c>
      <c r="E260" s="85">
        <f>(78.93)*10.764</f>
        <v>849.60252000000003</v>
      </c>
      <c r="F260" s="85">
        <v>0</v>
      </c>
      <c r="G260" s="85">
        <v>0</v>
      </c>
      <c r="H260" s="85">
        <f>E260+F260+(IF(G260&lt;101,G260,IF(G260&lt;201,G260/2,IF(G260&lt;=301,G260/3,G260/4))))</f>
        <v>849.60252000000003</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x14ac:dyDescent="0.25">
      <c r="A261" s="123">
        <f>A260+1</f>
        <v>2</v>
      </c>
      <c r="B261" s="124"/>
      <c r="C261" s="54" t="s">
        <v>87</v>
      </c>
      <c r="D261" s="54" t="s">
        <v>344</v>
      </c>
      <c r="E261" s="85">
        <f>(70.78)*10.764</f>
        <v>761.87591999999995</v>
      </c>
      <c r="F261" s="85">
        <v>0</v>
      </c>
      <c r="G261" s="85">
        <v>0</v>
      </c>
      <c r="H261" s="85">
        <f t="shared" ref="H261" si="29">E261+F261+(IF(G261&lt;101,G261,IF(G261&lt;201,G261/2,IF(G261&lt;=301,G261/3,G261/4))))</f>
        <v>761.87591999999995</v>
      </c>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x14ac:dyDescent="0.25">
      <c r="A262" s="123">
        <f t="shared" ref="A262" si="30">A261+1</f>
        <v>3</v>
      </c>
      <c r="B262" s="124"/>
      <c r="C262" s="54" t="s">
        <v>95</v>
      </c>
      <c r="D262" s="176" t="s">
        <v>352</v>
      </c>
      <c r="E262" s="177"/>
      <c r="F262" s="177"/>
      <c r="G262" s="177"/>
      <c r="H262" s="178"/>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159" t="s">
        <v>355</v>
      </c>
      <c r="B263" s="160"/>
      <c r="C263" s="160"/>
      <c r="D263" s="160"/>
      <c r="E263" s="160"/>
      <c r="F263" s="160"/>
      <c r="G263" s="160"/>
      <c r="H263" s="161"/>
      <c r="I263" s="1">
        <v>1</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x14ac:dyDescent="0.25">
      <c r="A264" s="125">
        <v>1</v>
      </c>
      <c r="B264" s="125"/>
      <c r="C264" s="54" t="s">
        <v>87</v>
      </c>
      <c r="D264" s="54" t="s">
        <v>343</v>
      </c>
      <c r="E264" s="85">
        <f>(78.93)*10.764</f>
        <v>849.60252000000003</v>
      </c>
      <c r="F264" s="85">
        <v>0</v>
      </c>
      <c r="G264" s="85">
        <v>0</v>
      </c>
      <c r="H264" s="85">
        <f>E264+F264+(IF(G264&lt;101,G264,IF(G264&lt;201,G264/2,IF(G264&lt;=301,G264/3,G264/4))))</f>
        <v>849.60252000000003</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x14ac:dyDescent="0.25">
      <c r="A265" s="123">
        <f>A264+1</f>
        <v>2</v>
      </c>
      <c r="B265" s="124"/>
      <c r="C265" s="54" t="s">
        <v>87</v>
      </c>
      <c r="D265" s="54" t="s">
        <v>344</v>
      </c>
      <c r="E265" s="85">
        <f>(65.95)*10.764</f>
        <v>709.88580000000002</v>
      </c>
      <c r="F265" s="85">
        <v>0</v>
      </c>
      <c r="G265" s="85">
        <v>0</v>
      </c>
      <c r="H265" s="85">
        <f t="shared" ref="H265" si="31">E265+F265+(IF(G265&lt;101,G265,IF(G265&lt;201,G265/2,IF(G265&lt;=301,G265/3,G265/4))))</f>
        <v>709.88580000000002</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123">
        <f t="shared" ref="A266" si="32">A265+1</f>
        <v>3</v>
      </c>
      <c r="B266" s="124"/>
      <c r="C266" s="54" t="s">
        <v>95</v>
      </c>
      <c r="D266" s="176" t="s">
        <v>352</v>
      </c>
      <c r="E266" s="177"/>
      <c r="F266" s="177"/>
      <c r="G266" s="177"/>
      <c r="H266" s="178"/>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ht="20.25" x14ac:dyDescent="0.25">
      <c r="A267" s="112" t="s">
        <v>68</v>
      </c>
      <c r="B267" s="112"/>
      <c r="C267" s="112"/>
      <c r="D267" s="112"/>
      <c r="E267" s="112"/>
      <c r="F267" s="112"/>
      <c r="G267" s="112"/>
      <c r="H267" s="112"/>
    </row>
    <row r="268" spans="1:150 16226:16383" ht="20.25" x14ac:dyDescent="0.25">
      <c r="A268" s="37" t="s">
        <v>235</v>
      </c>
      <c r="B268" s="141" t="s">
        <v>236</v>
      </c>
      <c r="C268" s="142"/>
      <c r="D268" s="142"/>
      <c r="E268" s="142"/>
      <c r="F268" s="142"/>
      <c r="G268" s="142"/>
      <c r="H268" s="143"/>
    </row>
    <row r="269" spans="1:150 16226:16383" ht="20.25" x14ac:dyDescent="0.25">
      <c r="A269" s="37" t="s">
        <v>235</v>
      </c>
      <c r="B269" s="141" t="s">
        <v>237</v>
      </c>
      <c r="C269" s="142"/>
      <c r="D269" s="142"/>
      <c r="E269" s="142"/>
      <c r="F269" s="142"/>
      <c r="G269" s="142"/>
      <c r="H269" s="143"/>
    </row>
    <row r="270" spans="1:150 16226:16383" ht="20.25" x14ac:dyDescent="0.25">
      <c r="A270" s="37" t="s">
        <v>235</v>
      </c>
      <c r="B270" s="141" t="s">
        <v>356</v>
      </c>
      <c r="C270" s="142"/>
      <c r="D270" s="142"/>
      <c r="E270" s="142"/>
      <c r="F270" s="142"/>
      <c r="G270" s="142"/>
      <c r="H270" s="143"/>
    </row>
    <row r="271" spans="1:150 16226:16383" ht="20.25" x14ac:dyDescent="0.25">
      <c r="A271" s="37" t="s">
        <v>235</v>
      </c>
      <c r="B271" s="141" t="s">
        <v>238</v>
      </c>
      <c r="C271" s="142"/>
      <c r="D271" s="142"/>
      <c r="E271" s="142"/>
      <c r="F271" s="142"/>
      <c r="G271" s="142"/>
      <c r="H271" s="143"/>
    </row>
    <row r="272" spans="1:150 16226:16383" ht="20.25" x14ac:dyDescent="0.25">
      <c r="A272" s="37" t="s">
        <v>235</v>
      </c>
      <c r="B272" s="141" t="s">
        <v>239</v>
      </c>
      <c r="C272" s="142"/>
      <c r="D272" s="142"/>
      <c r="E272" s="142"/>
      <c r="F272" s="142"/>
      <c r="G272" s="142"/>
      <c r="H272" s="143"/>
    </row>
    <row r="273" spans="1:8" ht="46.5" hidden="1" customHeight="1" x14ac:dyDescent="0.25">
      <c r="A273" s="37" t="s">
        <v>235</v>
      </c>
      <c r="B273" s="158" t="s">
        <v>240</v>
      </c>
      <c r="C273" s="142"/>
      <c r="D273" s="142"/>
      <c r="E273" s="142"/>
      <c r="F273" s="142"/>
      <c r="G273" s="142"/>
      <c r="H273" s="143"/>
    </row>
    <row r="274" spans="1:8" ht="24.75" hidden="1" customHeight="1" x14ac:dyDescent="0.25">
      <c r="A274" s="37" t="s">
        <v>235</v>
      </c>
      <c r="B274" s="158" t="s">
        <v>241</v>
      </c>
      <c r="C274" s="142"/>
      <c r="D274" s="142"/>
      <c r="E274" s="142"/>
      <c r="F274" s="142"/>
      <c r="G274" s="142"/>
      <c r="H274" s="143"/>
    </row>
    <row r="275" spans="1:8" ht="46.5" hidden="1" customHeight="1" x14ac:dyDescent="0.25">
      <c r="A275" s="2" t="s">
        <v>235</v>
      </c>
      <c r="B275" s="158" t="s">
        <v>240</v>
      </c>
      <c r="C275" s="142"/>
      <c r="D275" s="142"/>
      <c r="E275" s="142"/>
      <c r="F275" s="142"/>
      <c r="G275" s="142"/>
      <c r="H275" s="143"/>
    </row>
    <row r="276" spans="1:8" ht="20.25" x14ac:dyDescent="0.25">
      <c r="A276" s="86" t="s">
        <v>235</v>
      </c>
      <c r="B276" s="141" t="s">
        <v>368</v>
      </c>
      <c r="C276" s="142"/>
      <c r="D276" s="142"/>
      <c r="E276" s="142"/>
      <c r="F276" s="142"/>
      <c r="G276" s="142"/>
      <c r="H276" s="143"/>
    </row>
    <row r="277" spans="1:8" ht="20.25" hidden="1" x14ac:dyDescent="0.25">
      <c r="A277" s="88" t="s">
        <v>235</v>
      </c>
      <c r="B277" s="141" t="s">
        <v>369</v>
      </c>
      <c r="C277" s="142"/>
      <c r="D277" s="142"/>
      <c r="E277" s="142"/>
      <c r="F277" s="142"/>
      <c r="G277" s="142"/>
      <c r="H277" s="143"/>
    </row>
    <row r="278" spans="1:8" ht="24.75" customHeight="1" x14ac:dyDescent="0.25">
      <c r="A278" s="88" t="s">
        <v>235</v>
      </c>
      <c r="B278" s="141" t="s">
        <v>376</v>
      </c>
      <c r="C278" s="142"/>
      <c r="D278" s="142"/>
      <c r="E278" s="142"/>
      <c r="F278" s="142"/>
      <c r="G278" s="142"/>
      <c r="H278" s="143"/>
    </row>
    <row r="279" spans="1:8" ht="20.25" x14ac:dyDescent="0.25">
      <c r="A279" s="140" t="s">
        <v>74</v>
      </c>
      <c r="B279" s="140"/>
      <c r="C279" s="140"/>
      <c r="D279" s="140"/>
      <c r="E279" s="140"/>
      <c r="F279" s="140"/>
      <c r="G279" s="140"/>
      <c r="H279" s="140"/>
    </row>
    <row r="280" spans="1:8" ht="20.25" x14ac:dyDescent="0.25">
      <c r="A280" s="95" t="s">
        <v>69</v>
      </c>
      <c r="B280" s="95"/>
      <c r="C280" s="95"/>
      <c r="D280" s="141" t="str">
        <f>C3</f>
        <v>Arkade Nest</v>
      </c>
      <c r="E280" s="142"/>
      <c r="F280" s="142"/>
      <c r="G280" s="142"/>
      <c r="H280" s="143"/>
    </row>
    <row r="281" spans="1:8" ht="40.5" customHeight="1" x14ac:dyDescent="0.25">
      <c r="A281" s="95" t="s">
        <v>105</v>
      </c>
      <c r="B281" s="95"/>
      <c r="C281" s="95"/>
      <c r="D281" s="141" t="str">
        <f>C10</f>
        <v>Arkade Nest, CTS No.704, near Mangla Tower, K.Kamarajar Road, Asha Nagar,
Nahur, Mulund West, Kurla, Mumbai - 400080.</v>
      </c>
      <c r="E281" s="142"/>
      <c r="F281" s="142"/>
      <c r="G281" s="142"/>
      <c r="H281" s="143"/>
    </row>
    <row r="282" spans="1:8" ht="20.25" customHeight="1" x14ac:dyDescent="0.25">
      <c r="A282" s="153" t="s">
        <v>111</v>
      </c>
      <c r="B282" s="153"/>
      <c r="C282" s="153"/>
      <c r="D282" s="141" t="str">
        <f>G3</f>
        <v>04/07/2025 at 12:46PM</v>
      </c>
      <c r="E282" s="142"/>
      <c r="F282" s="142"/>
      <c r="G282" s="142"/>
      <c r="H282" s="143"/>
    </row>
    <row r="283" spans="1:8" ht="20.25" x14ac:dyDescent="0.25">
      <c r="A283" s="9"/>
      <c r="B283" s="10"/>
      <c r="C283" s="10"/>
      <c r="D283" s="10"/>
      <c r="E283" s="10"/>
      <c r="F283" s="10"/>
      <c r="G283" s="10"/>
      <c r="H283" s="6"/>
    </row>
    <row r="284" spans="1:8" ht="20.25" x14ac:dyDescent="0.25">
      <c r="A284" s="11"/>
      <c r="B284" s="12"/>
      <c r="C284" s="12"/>
      <c r="D284" s="12"/>
      <c r="E284" s="12"/>
      <c r="F284" s="12"/>
      <c r="G284" s="12"/>
      <c r="H284" s="7"/>
    </row>
    <row r="285" spans="1:8" ht="20.25" x14ac:dyDescent="0.25">
      <c r="A285" s="11"/>
      <c r="B285" s="12"/>
      <c r="C285" s="12"/>
      <c r="D285" s="12"/>
      <c r="E285" s="12"/>
      <c r="F285" s="12"/>
      <c r="G285" s="12"/>
      <c r="H285" s="7"/>
    </row>
    <row r="286" spans="1:8" ht="20.25" x14ac:dyDescent="0.25">
      <c r="A286" s="11"/>
      <c r="B286" s="12"/>
      <c r="C286" s="12"/>
      <c r="D286" s="12"/>
      <c r="E286" s="12"/>
      <c r="F286" s="12"/>
      <c r="G286" s="12"/>
      <c r="H286" s="7"/>
    </row>
    <row r="287" spans="1:8" ht="20.25" x14ac:dyDescent="0.25">
      <c r="A287" s="11"/>
      <c r="B287" s="12"/>
      <c r="C287" s="12"/>
      <c r="D287" s="12"/>
      <c r="E287" s="12"/>
      <c r="F287" s="12"/>
      <c r="G287" s="12"/>
      <c r="H287" s="7"/>
    </row>
    <row r="288" spans="1:8" ht="20.25" x14ac:dyDescent="0.25">
      <c r="A288" s="11"/>
      <c r="B288" s="12"/>
      <c r="C288" s="12"/>
      <c r="D288" s="12"/>
      <c r="E288" s="12"/>
      <c r="F288" s="12"/>
      <c r="G288" s="12"/>
      <c r="H288" s="7"/>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s="12"/>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3"/>
      <c r="B326" s="14"/>
      <c r="C326" s="14"/>
      <c r="D326" s="14"/>
      <c r="E326" s="14"/>
      <c r="F326" s="14"/>
      <c r="G326" s="14"/>
      <c r="H326" s="8"/>
    </row>
    <row r="327" spans="1:8" ht="20.25" x14ac:dyDescent="0.25">
      <c r="A327" s="112" t="s">
        <v>159</v>
      </c>
      <c r="B327" s="112"/>
      <c r="C327" s="112"/>
      <c r="D327" s="112"/>
      <c r="E327" s="112"/>
      <c r="F327" s="112"/>
      <c r="G327" s="112"/>
      <c r="H327" s="112"/>
    </row>
    <row r="328" spans="1:8" ht="20.25" x14ac:dyDescent="0.25">
      <c r="A328" s="9"/>
      <c r="B328" s="10"/>
      <c r="C328" s="10"/>
      <c r="D328" s="10"/>
      <c r="E328" s="10"/>
      <c r="F328" s="10"/>
      <c r="G328" s="10"/>
      <c r="H328" s="6"/>
    </row>
    <row r="329" spans="1:8" ht="20.25" x14ac:dyDescent="0.25">
      <c r="A329" s="11"/>
      <c r="B329" s="55"/>
      <c r="C329" s="55"/>
      <c r="D329" s="55"/>
      <c r="E329" s="55"/>
      <c r="F329" s="55"/>
      <c r="G329" s="55"/>
      <c r="H329" s="7"/>
    </row>
    <row r="330" spans="1:8" ht="20.25" x14ac:dyDescent="0.25">
      <c r="A330" s="11"/>
      <c r="B330" s="55"/>
      <c r="C330" s="55"/>
      <c r="D330" s="55"/>
      <c r="E330" s="55"/>
      <c r="F330" s="55"/>
      <c r="G330" s="55"/>
      <c r="H330" s="7"/>
    </row>
    <row r="331" spans="1:8" ht="20.25" x14ac:dyDescent="0.25">
      <c r="A331" s="11"/>
      <c r="B331" s="55"/>
      <c r="C331" s="55"/>
      <c r="D331" s="55"/>
      <c r="E331" s="55"/>
      <c r="F331" s="55"/>
      <c r="G331" s="55"/>
      <c r="H331" s="7"/>
    </row>
    <row r="332" spans="1:8" ht="20.25" x14ac:dyDescent="0.25">
      <c r="A332" s="11"/>
      <c r="B332" s="55"/>
      <c r="C332" s="55"/>
      <c r="D332" s="55"/>
      <c r="E332" s="55"/>
      <c r="F332" s="55"/>
      <c r="G332" s="55"/>
      <c r="H332" s="7"/>
    </row>
    <row r="333" spans="1:8" ht="20.25" x14ac:dyDescent="0.25">
      <c r="A333" s="11"/>
      <c r="B333" s="55"/>
      <c r="C333" s="55"/>
      <c r="D333" s="55"/>
      <c r="E333" s="55"/>
      <c r="F333" s="55"/>
      <c r="G333" s="55"/>
      <c r="H333" s="7"/>
    </row>
    <row r="334" spans="1:8" ht="20.25" x14ac:dyDescent="0.25">
      <c r="A334" s="11"/>
      <c r="B334" s="55"/>
      <c r="C334" s="55"/>
      <c r="D334" s="55"/>
      <c r="E334" s="55"/>
      <c r="F334" s="55"/>
      <c r="G334" s="55"/>
      <c r="H334" s="7"/>
    </row>
    <row r="335" spans="1:8" ht="20.25" x14ac:dyDescent="0.25">
      <c r="A335" s="11"/>
      <c r="B335" s="55"/>
      <c r="C335" s="55"/>
      <c r="D335" s="55"/>
      <c r="E335" s="55"/>
      <c r="F335" s="55"/>
      <c r="G335" s="55"/>
      <c r="H335" s="7"/>
    </row>
    <row r="336" spans="1:8" ht="20.25" x14ac:dyDescent="0.25">
      <c r="A336" s="11"/>
      <c r="B336" s="55"/>
      <c r="C336" s="55"/>
      <c r="D336" s="55"/>
      <c r="E336" s="55"/>
      <c r="F336" s="55"/>
      <c r="G336" s="55"/>
      <c r="H336" s="7"/>
    </row>
    <row r="337" spans="1:8" ht="20.25" x14ac:dyDescent="0.25">
      <c r="A337" s="11"/>
      <c r="B337" s="55"/>
      <c r="C337" s="55"/>
      <c r="D337" s="55"/>
      <c r="E337" s="55"/>
      <c r="F337" s="55"/>
      <c r="G337" s="55"/>
      <c r="H337" s="7"/>
    </row>
    <row r="338" spans="1:8" ht="20.25" x14ac:dyDescent="0.25">
      <c r="A338" s="11"/>
      <c r="B338" s="55"/>
      <c r="C338" s="55"/>
      <c r="D338" s="55"/>
      <c r="E338" s="55"/>
      <c r="F338" s="55"/>
      <c r="G338" s="55"/>
      <c r="H338" s="7"/>
    </row>
    <row r="339" spans="1:8" ht="20.25" x14ac:dyDescent="0.25">
      <c r="A339" s="11"/>
      <c r="B339" s="55"/>
      <c r="C339" s="55"/>
      <c r="D339" s="55"/>
      <c r="E339" s="55"/>
      <c r="F339" s="55"/>
      <c r="G339" s="55"/>
      <c r="H339" s="7"/>
    </row>
    <row r="340" spans="1:8" ht="20.25" x14ac:dyDescent="0.25">
      <c r="A340" s="11"/>
      <c r="B340" s="55"/>
      <c r="C340" s="55"/>
      <c r="D340" s="55"/>
      <c r="E340" s="55"/>
      <c r="F340" s="55"/>
      <c r="G340" s="55"/>
      <c r="H340" s="7"/>
    </row>
    <row r="341" spans="1:8" ht="20.25" x14ac:dyDescent="0.25">
      <c r="A341" s="11"/>
      <c r="B341" s="55"/>
      <c r="C341" s="55"/>
      <c r="D341" s="55"/>
      <c r="E341" s="55"/>
      <c r="F341" s="55"/>
      <c r="G341" s="55"/>
      <c r="H341" s="7"/>
    </row>
    <row r="342" spans="1:8" ht="20.25" x14ac:dyDescent="0.25">
      <c r="A342" s="11"/>
      <c r="B342" s="55"/>
      <c r="C342" s="55"/>
      <c r="D342" s="55"/>
      <c r="E342" s="55"/>
      <c r="F342" s="55"/>
      <c r="G342" s="55"/>
      <c r="H342" s="7"/>
    </row>
    <row r="343" spans="1:8" ht="20.25" x14ac:dyDescent="0.25">
      <c r="A343" s="11"/>
      <c r="B343" s="55"/>
      <c r="C343" s="55"/>
      <c r="D343" s="55"/>
      <c r="E343" s="55"/>
      <c r="F343" s="55"/>
      <c r="G343" s="55"/>
      <c r="H343" s="7"/>
    </row>
    <row r="344" spans="1:8" ht="20.25" x14ac:dyDescent="0.25">
      <c r="A344" s="11"/>
      <c r="B344" s="55"/>
      <c r="C344" s="55"/>
      <c r="D344" s="55"/>
      <c r="E344" s="55"/>
      <c r="F344" s="55"/>
      <c r="G344" s="55"/>
      <c r="H344" s="7"/>
    </row>
    <row r="345" spans="1:8" ht="20.25" x14ac:dyDescent="0.25">
      <c r="A345" s="11"/>
      <c r="B345" s="55"/>
      <c r="C345" s="55"/>
      <c r="D345" s="55"/>
      <c r="E345" s="55"/>
      <c r="F345" s="55"/>
      <c r="G345" s="55"/>
      <c r="H345" s="7"/>
    </row>
    <row r="346" spans="1:8" ht="20.25" x14ac:dyDescent="0.25">
      <c r="A346" s="11"/>
      <c r="B346" s="55"/>
      <c r="C346" s="55"/>
      <c r="D346" s="55"/>
      <c r="E346" s="55"/>
      <c r="F346" s="55"/>
      <c r="G346" s="55"/>
      <c r="H346" s="7"/>
    </row>
    <row r="347" spans="1:8" ht="20.25" x14ac:dyDescent="0.25">
      <c r="A347" s="11"/>
      <c r="B347" s="55"/>
      <c r="C347" s="55"/>
      <c r="D347" s="55"/>
      <c r="E347" s="55"/>
      <c r="F347" s="55"/>
      <c r="G347" s="55"/>
      <c r="H347" s="7"/>
    </row>
    <row r="348" spans="1:8" ht="20.25" x14ac:dyDescent="0.25">
      <c r="A348" s="11"/>
      <c r="B348" s="55"/>
      <c r="C348" s="55"/>
      <c r="D348" s="55"/>
      <c r="E348" s="55"/>
      <c r="F348" s="55"/>
      <c r="G348" s="55"/>
      <c r="H348" s="7"/>
    </row>
    <row r="349" spans="1:8" ht="20.25" x14ac:dyDescent="0.25">
      <c r="A349" s="11"/>
      <c r="B349" s="55"/>
      <c r="C349" s="55"/>
      <c r="D349" s="55"/>
      <c r="E349" s="55"/>
      <c r="F349" s="55"/>
      <c r="G349" s="55"/>
      <c r="H349" s="7"/>
    </row>
    <row r="350" spans="1:8" ht="20.25" x14ac:dyDescent="0.25">
      <c r="A350" s="11"/>
      <c r="B350" s="55"/>
      <c r="C350" s="55"/>
      <c r="D350" s="55"/>
      <c r="E350" s="55"/>
      <c r="F350" s="55"/>
      <c r="G350" s="55"/>
      <c r="H350" s="7"/>
    </row>
    <row r="351" spans="1:8" ht="20.25" x14ac:dyDescent="0.25">
      <c r="A351" s="11"/>
      <c r="B351" s="55"/>
      <c r="C351" s="55"/>
      <c r="D351" s="55"/>
      <c r="E351" s="55"/>
      <c r="F351" s="55"/>
      <c r="G351" s="55"/>
      <c r="H351" s="7"/>
    </row>
    <row r="352" spans="1:8" ht="20.25" x14ac:dyDescent="0.25">
      <c r="A352" s="11"/>
      <c r="B352" s="55"/>
      <c r="C352" s="55"/>
      <c r="D352" s="55"/>
      <c r="E352" s="55"/>
      <c r="F352" s="55"/>
      <c r="G352" s="55"/>
      <c r="H352" s="7"/>
    </row>
    <row r="353" spans="1:8" ht="20.25" x14ac:dyDescent="0.25">
      <c r="A353" s="11"/>
      <c r="B353" s="55"/>
      <c r="C353" s="55"/>
      <c r="D353" s="55"/>
      <c r="E353" s="55"/>
      <c r="F353" s="55"/>
      <c r="G353" s="55"/>
      <c r="H353" s="7"/>
    </row>
    <row r="354" spans="1:8" ht="20.25" x14ac:dyDescent="0.25">
      <c r="A354" s="11"/>
      <c r="B354" s="55"/>
      <c r="C354" s="55"/>
      <c r="D354" s="55"/>
      <c r="E354" s="55"/>
      <c r="F354" s="55"/>
      <c r="G354" s="55"/>
      <c r="H354" s="7"/>
    </row>
    <row r="355" spans="1:8" ht="20.25" x14ac:dyDescent="0.25">
      <c r="A355" s="11"/>
      <c r="B355" s="55"/>
      <c r="C355" s="55"/>
      <c r="D355" s="55"/>
      <c r="E355" s="55"/>
      <c r="F355" s="55"/>
      <c r="G355" s="55"/>
      <c r="H355" s="7"/>
    </row>
    <row r="356" spans="1:8" ht="20.25" x14ac:dyDescent="0.25">
      <c r="A356" s="11"/>
      <c r="B356" s="55"/>
      <c r="C356" s="55"/>
      <c r="D356" s="55"/>
      <c r="E356" s="55"/>
      <c r="F356" s="55"/>
      <c r="G356" s="55"/>
      <c r="H356" s="7"/>
    </row>
    <row r="357" spans="1:8" ht="20.25" x14ac:dyDescent="0.25">
      <c r="A357" s="11"/>
      <c r="B357" s="55"/>
      <c r="C357" s="55"/>
      <c r="D357" s="55"/>
      <c r="E357" s="55"/>
      <c r="F357" s="55"/>
      <c r="G357" s="55"/>
      <c r="H357" s="7"/>
    </row>
    <row r="358" spans="1:8" ht="20.25" x14ac:dyDescent="0.25">
      <c r="A358" s="11"/>
      <c r="B358" s="55"/>
      <c r="C358" s="55"/>
      <c r="D358" s="55"/>
      <c r="E358" s="55"/>
      <c r="F358" s="55"/>
      <c r="G358" s="55"/>
      <c r="H358" s="7"/>
    </row>
    <row r="359" spans="1:8" ht="20.25" x14ac:dyDescent="0.25">
      <c r="A359" s="11"/>
      <c r="B359" s="55"/>
      <c r="C359" s="55"/>
      <c r="D359" s="55"/>
      <c r="E359" s="55"/>
      <c r="F359" s="55"/>
      <c r="G359" s="55"/>
      <c r="H359" s="7"/>
    </row>
    <row r="360" spans="1:8" ht="20.25" x14ac:dyDescent="0.25">
      <c r="A360" s="11"/>
      <c r="B360" s="55"/>
      <c r="C360" s="55"/>
      <c r="D360" s="55"/>
      <c r="E360" s="55"/>
      <c r="F360" s="55"/>
      <c r="G360" s="55"/>
      <c r="H360" s="7"/>
    </row>
    <row r="361" spans="1:8" ht="20.25" x14ac:dyDescent="0.25">
      <c r="A361" s="11"/>
      <c r="B361" s="55"/>
      <c r="C361" s="55"/>
      <c r="D361" s="55"/>
      <c r="E361" s="55"/>
      <c r="F361" s="55"/>
      <c r="G361" s="55"/>
      <c r="H361" s="7"/>
    </row>
    <row r="362" spans="1:8" ht="20.25" x14ac:dyDescent="0.25">
      <c r="A362" s="11"/>
      <c r="B362" s="55"/>
      <c r="C362" s="55"/>
      <c r="D362" s="55"/>
      <c r="E362" s="55"/>
      <c r="F362" s="55"/>
      <c r="G362" s="55"/>
      <c r="H362" s="7"/>
    </row>
    <row r="363" spans="1:8" ht="20.25" x14ac:dyDescent="0.25">
      <c r="A363" s="11"/>
      <c r="B363" s="55"/>
      <c r="C363" s="55"/>
      <c r="D363" s="55"/>
      <c r="E363" s="55"/>
      <c r="F363" s="55"/>
      <c r="G363" s="55"/>
      <c r="H363" s="7"/>
    </row>
    <row r="364" spans="1:8" ht="20.25" x14ac:dyDescent="0.25">
      <c r="A364" s="11"/>
      <c r="B364" s="55"/>
      <c r="C364" s="55"/>
      <c r="D364" s="55"/>
      <c r="E364" s="55"/>
      <c r="F364" s="55"/>
      <c r="G364" s="55"/>
      <c r="H364" s="7"/>
    </row>
    <row r="365" spans="1:8" ht="20.25" x14ac:dyDescent="0.25">
      <c r="A365" s="11"/>
      <c r="B365" s="55"/>
      <c r="C365" s="55"/>
      <c r="D365" s="55"/>
      <c r="E365" s="55"/>
      <c r="F365" s="55"/>
      <c r="G365" s="55"/>
      <c r="H365" s="7"/>
    </row>
    <row r="366" spans="1:8" ht="20.25" x14ac:dyDescent="0.25">
      <c r="A366" s="11"/>
      <c r="B366" s="55"/>
      <c r="C366" s="55"/>
      <c r="D366" s="55"/>
      <c r="E366" s="55"/>
      <c r="F366" s="55"/>
      <c r="G366" s="55"/>
      <c r="H366" s="7"/>
    </row>
    <row r="367" spans="1:8" ht="20.25" x14ac:dyDescent="0.25">
      <c r="A367" s="11"/>
      <c r="B367" s="55"/>
      <c r="C367" s="55"/>
      <c r="D367" s="55"/>
      <c r="E367" s="55"/>
      <c r="F367" s="55"/>
      <c r="G367" s="55"/>
      <c r="H367" s="7"/>
    </row>
    <row r="368" spans="1:8" ht="20.25" x14ac:dyDescent="0.25">
      <c r="A368" s="11"/>
      <c r="B368" s="55"/>
      <c r="C368" s="55"/>
      <c r="D368" s="55"/>
      <c r="E368" s="55"/>
      <c r="F368" s="55"/>
      <c r="G368" s="55"/>
      <c r="H368" s="7"/>
    </row>
    <row r="369" spans="1:8" ht="20.25" x14ac:dyDescent="0.25">
      <c r="A369" s="11"/>
      <c r="B369" s="55"/>
      <c r="C369" s="55"/>
      <c r="D369" s="55"/>
      <c r="E369" s="55"/>
      <c r="F369" s="55"/>
      <c r="G369" s="55"/>
      <c r="H369" s="7"/>
    </row>
    <row r="370" spans="1:8" ht="20.25" x14ac:dyDescent="0.25">
      <c r="A370" s="11"/>
      <c r="B370" s="55"/>
      <c r="C370" s="55"/>
      <c r="D370" s="55"/>
      <c r="E370" s="55"/>
      <c r="F370" s="55"/>
      <c r="G370" s="55"/>
      <c r="H370" s="7"/>
    </row>
    <row r="371" spans="1:8" ht="20.25" x14ac:dyDescent="0.25">
      <c r="A371" s="11"/>
      <c r="B371" s="55"/>
      <c r="C371" s="55"/>
      <c r="D371" s="55"/>
      <c r="E371" s="55"/>
      <c r="F371" s="55"/>
      <c r="G371" s="55"/>
      <c r="H371" s="7"/>
    </row>
    <row r="372" spans="1:8" ht="20.25" x14ac:dyDescent="0.25">
      <c r="A372" s="11"/>
      <c r="B372" s="55"/>
      <c r="C372" s="55"/>
      <c r="D372" s="55"/>
      <c r="E372" s="55"/>
      <c r="F372" s="55"/>
      <c r="G372" s="55"/>
      <c r="H372" s="7"/>
    </row>
    <row r="373" spans="1:8" ht="20.25" x14ac:dyDescent="0.25">
      <c r="A373" s="11"/>
      <c r="B373" s="55"/>
      <c r="C373" s="55"/>
      <c r="D373" s="55"/>
      <c r="E373" s="55"/>
      <c r="F373" s="55"/>
      <c r="G373" s="55"/>
      <c r="H373" s="7"/>
    </row>
    <row r="374" spans="1:8" ht="20.25" x14ac:dyDescent="0.25">
      <c r="A374" s="11"/>
      <c r="B374" s="55"/>
      <c r="C374" s="55"/>
      <c r="D374" s="55"/>
      <c r="E374" s="55"/>
      <c r="F374" s="55"/>
      <c r="G374" s="55"/>
      <c r="H374" s="7"/>
    </row>
    <row r="375" spans="1:8" ht="20.25" x14ac:dyDescent="0.25">
      <c r="A375" s="11"/>
      <c r="B375" s="55"/>
      <c r="C375" s="55"/>
      <c r="D375" s="55"/>
      <c r="E375" s="55"/>
      <c r="F375" s="55"/>
      <c r="G375" s="55"/>
      <c r="H375" s="7"/>
    </row>
    <row r="376" spans="1:8" ht="20.25" x14ac:dyDescent="0.25">
      <c r="A376" s="13"/>
      <c r="B376" s="14"/>
      <c r="C376" s="14"/>
      <c r="D376" s="14"/>
      <c r="E376" s="14"/>
      <c r="F376" s="14"/>
      <c r="G376" s="14"/>
      <c r="H376" s="8"/>
    </row>
    <row r="377" spans="1:8" ht="20.25" x14ac:dyDescent="0.25">
      <c r="A377" s="103" t="s">
        <v>75</v>
      </c>
      <c r="B377" s="104"/>
      <c r="C377" s="104"/>
      <c r="D377" s="104"/>
      <c r="E377" s="104"/>
      <c r="F377" s="104"/>
      <c r="G377" s="104"/>
      <c r="H377" s="105"/>
    </row>
    <row r="378" spans="1:8" ht="20.25" x14ac:dyDescent="0.25">
      <c r="A378" s="9"/>
      <c r="B378" s="10"/>
      <c r="C378" s="10"/>
      <c r="D378" s="10"/>
      <c r="E378" s="10"/>
      <c r="F378" s="10"/>
      <c r="G378" s="10"/>
      <c r="H378" s="6"/>
    </row>
    <row r="379" spans="1:8" ht="20.25" x14ac:dyDescent="0.25">
      <c r="A379" s="11"/>
      <c r="B379" s="12"/>
      <c r="C379" s="12"/>
      <c r="D379" s="12"/>
      <c r="E379" s="12"/>
      <c r="F379" s="12"/>
      <c r="G379" s="12"/>
      <c r="H379" s="7"/>
    </row>
    <row r="380" spans="1:8" ht="20.25" x14ac:dyDescent="0.25">
      <c r="A380" s="11"/>
      <c r="B380" s="12"/>
      <c r="C380" s="12"/>
      <c r="D380" s="12"/>
      <c r="E380" s="12"/>
      <c r="F380" s="12"/>
      <c r="G380" s="12"/>
      <c r="H380" s="7"/>
    </row>
    <row r="381" spans="1:8" ht="20.25" x14ac:dyDescent="0.25">
      <c r="A381" s="11"/>
      <c r="B381" s="12"/>
      <c r="C381" s="12"/>
      <c r="D381" s="12"/>
      <c r="E381" s="12"/>
      <c r="F381" s="12"/>
      <c r="G381" s="12"/>
      <c r="H381" s="7"/>
    </row>
    <row r="382" spans="1:8" ht="20.25" x14ac:dyDescent="0.25">
      <c r="A382" s="11"/>
      <c r="B382" s="12"/>
      <c r="C382" s="12"/>
      <c r="D382" s="12"/>
      <c r="E382" s="12"/>
      <c r="F382" s="12"/>
      <c r="G382" s="12"/>
      <c r="H382" s="7"/>
    </row>
    <row r="383" spans="1:8" ht="20.25" x14ac:dyDescent="0.25">
      <c r="A383" s="11"/>
      <c r="B383" s="12"/>
      <c r="C383" s="12"/>
      <c r="D383" s="12"/>
      <c r="E383" s="12"/>
      <c r="F383" s="12"/>
      <c r="G383" s="12"/>
      <c r="H383" s="7"/>
    </row>
    <row r="384" spans="1:8" ht="20.25" x14ac:dyDescent="0.25">
      <c r="A384" s="11"/>
      <c r="B384" s="12"/>
      <c r="C384" s="12"/>
      <c r="D384" s="12"/>
      <c r="E384" s="12"/>
      <c r="F384" s="12"/>
      <c r="G384" s="12"/>
      <c r="H384" s="7"/>
    </row>
    <row r="385" spans="1:8" ht="20.25" x14ac:dyDescent="0.25">
      <c r="A385" s="11"/>
      <c r="B385" s="12"/>
      <c r="C385" s="12"/>
      <c r="D385" s="12"/>
      <c r="E385" s="12"/>
      <c r="F385" s="12"/>
      <c r="G385" s="12"/>
      <c r="H385" s="7"/>
    </row>
    <row r="386" spans="1:8" ht="20.25" x14ac:dyDescent="0.25">
      <c r="A386" s="11"/>
      <c r="B386" s="12"/>
      <c r="C386" s="12"/>
      <c r="D386" s="12"/>
      <c r="E386" s="12"/>
      <c r="F386" s="12"/>
      <c r="G386" s="12"/>
      <c r="H386" s="7"/>
    </row>
    <row r="387" spans="1:8" ht="20.25" x14ac:dyDescent="0.25">
      <c r="A387" s="11"/>
      <c r="B387" s="12"/>
      <c r="C387" s="12"/>
      <c r="D387" s="12"/>
      <c r="E387" s="12"/>
      <c r="F387" s="12"/>
      <c r="G387" s="12"/>
      <c r="H387" s="7"/>
    </row>
    <row r="388" spans="1:8" ht="20.25" x14ac:dyDescent="0.25">
      <c r="A388" s="11"/>
      <c r="B388" s="12"/>
      <c r="C388" s="12"/>
      <c r="D388" s="12"/>
      <c r="E388" s="12"/>
      <c r="F388" s="12"/>
      <c r="G388" s="12"/>
      <c r="H388" s="7"/>
    </row>
    <row r="389" spans="1:8" ht="20.25" x14ac:dyDescent="0.25">
      <c r="A389" s="11"/>
      <c r="B389" s="12"/>
      <c r="C389" s="12"/>
      <c r="D389" s="12"/>
      <c r="E389" s="12"/>
      <c r="F389" s="12"/>
      <c r="G389" s="12"/>
      <c r="H389" s="7"/>
    </row>
    <row r="390" spans="1:8" ht="20.25" x14ac:dyDescent="0.25">
      <c r="A390" s="11"/>
      <c r="B390" s="12"/>
      <c r="C390" s="12"/>
      <c r="D390" s="12"/>
      <c r="E390" s="12"/>
      <c r="F390" s="12"/>
      <c r="G390" s="12"/>
      <c r="H390" s="7"/>
    </row>
    <row r="391" spans="1:8" ht="20.25" x14ac:dyDescent="0.25">
      <c r="A391" s="11"/>
      <c r="B391" s="12"/>
      <c r="C391" s="12"/>
      <c r="D391" s="12"/>
      <c r="E391" s="12"/>
      <c r="F391" s="12"/>
      <c r="G391" s="12"/>
      <c r="H391" s="7"/>
    </row>
    <row r="392" spans="1:8" ht="20.25" x14ac:dyDescent="0.25">
      <c r="A392" s="11"/>
      <c r="B392" s="12"/>
      <c r="C392" s="12"/>
      <c r="D392" s="12"/>
      <c r="E392" s="12"/>
      <c r="F392" s="12"/>
      <c r="G392" s="12"/>
      <c r="H392" s="7"/>
    </row>
    <row r="393" spans="1:8" ht="20.25" x14ac:dyDescent="0.25">
      <c r="A393" s="11"/>
      <c r="B393" s="12"/>
      <c r="C393" s="12"/>
      <c r="D393" s="12"/>
      <c r="E393" s="12"/>
      <c r="F393" s="12"/>
      <c r="G393" s="12"/>
      <c r="H393" s="7"/>
    </row>
    <row r="394" spans="1:8" ht="20.25" x14ac:dyDescent="0.25">
      <c r="A394" s="11"/>
      <c r="B394" s="12"/>
      <c r="C394" s="12"/>
      <c r="D394" s="12"/>
      <c r="E394" s="12"/>
      <c r="F394" s="12"/>
      <c r="G394" s="12"/>
      <c r="H394" s="7"/>
    </row>
    <row r="395" spans="1:8" ht="20.25" x14ac:dyDescent="0.25">
      <c r="A395" s="11"/>
      <c r="B395" s="12"/>
      <c r="C395" s="12"/>
      <c r="D395" s="12"/>
      <c r="E395" s="12"/>
      <c r="F395" s="12"/>
      <c r="G395" s="12"/>
      <c r="H395" s="7"/>
    </row>
    <row r="396" spans="1:8" ht="20.25" x14ac:dyDescent="0.25">
      <c r="A396" s="11"/>
      <c r="B396" s="12"/>
      <c r="C396" s="12"/>
      <c r="D396" s="12"/>
      <c r="E396" s="12"/>
      <c r="F396" s="12"/>
      <c r="G396" s="12"/>
      <c r="H396" s="7"/>
    </row>
    <row r="397" spans="1:8" ht="20.25" x14ac:dyDescent="0.25">
      <c r="A397" s="11"/>
      <c r="B397" s="12"/>
      <c r="C397" s="12"/>
      <c r="D397" s="12"/>
      <c r="E397" s="12"/>
      <c r="F397" s="12"/>
      <c r="G397" s="12"/>
      <c r="H397" s="7"/>
    </row>
    <row r="398" spans="1:8" ht="20.25" x14ac:dyDescent="0.25">
      <c r="A398" s="11"/>
      <c r="B398" s="12"/>
      <c r="C398" s="12"/>
      <c r="D398" s="12"/>
      <c r="E398" s="12"/>
      <c r="F398" s="12"/>
      <c r="G398" s="12"/>
      <c r="H398" s="7"/>
    </row>
    <row r="399" spans="1:8" ht="20.25" x14ac:dyDescent="0.25">
      <c r="A399" s="11"/>
      <c r="B399" s="12"/>
      <c r="C399" s="12"/>
      <c r="D399" s="12"/>
      <c r="E399" s="12"/>
      <c r="F399" s="12"/>
      <c r="G399" s="12"/>
      <c r="H399" s="7"/>
    </row>
    <row r="400" spans="1:8" ht="20.25" x14ac:dyDescent="0.25">
      <c r="A400" s="11"/>
      <c r="B400" s="12"/>
      <c r="C400" s="12"/>
      <c r="D400" s="12"/>
      <c r="E400" s="12"/>
      <c r="F400" s="12"/>
      <c r="G400" s="12"/>
      <c r="H400" s="7"/>
    </row>
    <row r="401" spans="1:8" ht="20.25" x14ac:dyDescent="0.25">
      <c r="A401" s="11"/>
      <c r="B401" s="12"/>
      <c r="C401" s="12"/>
      <c r="D401" s="12"/>
      <c r="E401" s="12"/>
      <c r="F401" s="12"/>
      <c r="G401" s="12"/>
      <c r="H401" s="7"/>
    </row>
    <row r="402" spans="1:8" ht="20.25" x14ac:dyDescent="0.25">
      <c r="A402" s="11"/>
      <c r="B402" s="12"/>
      <c r="C402" s="12"/>
      <c r="D402" s="12"/>
      <c r="E402" s="12"/>
      <c r="F402" s="12"/>
      <c r="G402" s="12"/>
      <c r="H402" s="7"/>
    </row>
    <row r="403" spans="1:8" ht="20.25" x14ac:dyDescent="0.25">
      <c r="A403" s="11"/>
      <c r="B403" s="12"/>
      <c r="C403" s="12"/>
      <c r="D403" s="12"/>
      <c r="E403" s="12"/>
      <c r="F403" s="12"/>
      <c r="G403" s="12"/>
      <c r="H403" s="7"/>
    </row>
    <row r="404" spans="1:8" ht="20.25" x14ac:dyDescent="0.25">
      <c r="A404" s="11"/>
      <c r="B404" s="12"/>
      <c r="C404" s="12"/>
      <c r="D404" s="12"/>
      <c r="E404" s="12"/>
      <c r="F404" s="12"/>
      <c r="G404" s="12"/>
      <c r="H404" s="7"/>
    </row>
    <row r="405" spans="1:8" ht="20.25" x14ac:dyDescent="0.25">
      <c r="A405" s="11"/>
      <c r="B405" s="12"/>
      <c r="C405" s="12"/>
      <c r="D405" s="12"/>
      <c r="E405" s="12"/>
      <c r="F405" s="12"/>
      <c r="G405" s="12"/>
      <c r="H405" s="7"/>
    </row>
    <row r="406" spans="1:8" ht="20.25" x14ac:dyDescent="0.25">
      <c r="A406" s="11"/>
      <c r="B406" s="12"/>
      <c r="C406" s="12"/>
      <c r="D406" s="12"/>
      <c r="E406" s="12"/>
      <c r="F406" s="12"/>
      <c r="G406" s="12"/>
      <c r="H406" s="7"/>
    </row>
    <row r="407" spans="1:8" ht="20.25" x14ac:dyDescent="0.25">
      <c r="A407" s="11"/>
      <c r="B407" s="12"/>
      <c r="C407" s="12"/>
      <c r="D407" s="12"/>
      <c r="E407" s="12"/>
      <c r="F407" s="12"/>
      <c r="G407" s="12"/>
      <c r="H407" s="7"/>
    </row>
    <row r="408" spans="1:8" ht="20.25" x14ac:dyDescent="0.25">
      <c r="A408" s="112" t="s">
        <v>24</v>
      </c>
      <c r="B408" s="112"/>
      <c r="C408" s="112"/>
      <c r="D408" s="112"/>
      <c r="E408" s="112"/>
      <c r="F408" s="112"/>
      <c r="G408" s="112"/>
      <c r="H408" s="112"/>
    </row>
    <row r="409" spans="1:8" ht="20.25" x14ac:dyDescent="0.25">
      <c r="A409" s="144" t="s">
        <v>76</v>
      </c>
      <c r="B409" s="145"/>
      <c r="C409" s="145"/>
      <c r="D409" s="145"/>
      <c r="E409" s="145"/>
      <c r="F409" s="145"/>
      <c r="G409" s="145"/>
      <c r="H409" s="146"/>
    </row>
    <row r="410" spans="1:8" ht="20.25" x14ac:dyDescent="0.25">
      <c r="A410" s="147" t="s">
        <v>77</v>
      </c>
      <c r="B410" s="148"/>
      <c r="C410" s="148"/>
      <c r="D410" s="148"/>
      <c r="E410" s="148"/>
      <c r="F410" s="148"/>
      <c r="G410" s="148"/>
      <c r="H410" s="149"/>
    </row>
    <row r="411" spans="1:8" ht="45" customHeight="1" x14ac:dyDescent="0.25">
      <c r="A411" s="147" t="s">
        <v>78</v>
      </c>
      <c r="B411" s="148"/>
      <c r="C411" s="148"/>
      <c r="D411" s="148"/>
      <c r="E411" s="148"/>
      <c r="F411" s="148"/>
      <c r="G411" s="148"/>
      <c r="H411" s="149"/>
    </row>
    <row r="412" spans="1:8" ht="42.75" customHeight="1" x14ac:dyDescent="0.25">
      <c r="A412" s="147" t="s">
        <v>79</v>
      </c>
      <c r="B412" s="148"/>
      <c r="C412" s="148"/>
      <c r="D412" s="148"/>
      <c r="E412" s="148"/>
      <c r="F412" s="148"/>
      <c r="G412" s="148"/>
      <c r="H412" s="149"/>
    </row>
    <row r="413" spans="1:8" ht="20.25" x14ac:dyDescent="0.25">
      <c r="A413" s="147" t="s">
        <v>80</v>
      </c>
      <c r="B413" s="148"/>
      <c r="C413" s="148"/>
      <c r="D413" s="148"/>
      <c r="E413" s="148"/>
      <c r="F413" s="148"/>
      <c r="G413" s="148"/>
      <c r="H413" s="149"/>
    </row>
    <row r="414" spans="1:8" ht="20.25" x14ac:dyDescent="0.25">
      <c r="A414" s="147" t="s">
        <v>81</v>
      </c>
      <c r="B414" s="148"/>
      <c r="C414" s="148"/>
      <c r="D414" s="148"/>
      <c r="E414" s="148"/>
      <c r="F414" s="148"/>
      <c r="G414" s="148"/>
      <c r="H414" s="149"/>
    </row>
    <row r="415" spans="1:8" ht="45" customHeight="1" x14ac:dyDescent="0.25">
      <c r="A415" s="147" t="s">
        <v>82</v>
      </c>
      <c r="B415" s="148"/>
      <c r="C415" s="148"/>
      <c r="D415" s="148"/>
      <c r="E415" s="148"/>
      <c r="F415" s="148"/>
      <c r="G415" s="148"/>
      <c r="H415" s="149"/>
    </row>
    <row r="416" spans="1:8" ht="45" customHeight="1" x14ac:dyDescent="0.25">
      <c r="A416" s="147" t="s">
        <v>83</v>
      </c>
      <c r="B416" s="148"/>
      <c r="C416" s="148"/>
      <c r="D416" s="148"/>
      <c r="E416" s="148"/>
      <c r="F416" s="148"/>
      <c r="G416" s="148"/>
      <c r="H416" s="149"/>
    </row>
    <row r="417" spans="1:8" ht="20.25" x14ac:dyDescent="0.25">
      <c r="A417" s="150" t="s">
        <v>84</v>
      </c>
      <c r="B417" s="151"/>
      <c r="C417" s="151"/>
      <c r="D417" s="151"/>
      <c r="E417" s="151"/>
      <c r="F417" s="151"/>
      <c r="G417" s="151"/>
      <c r="H417" s="152"/>
    </row>
    <row r="418" spans="1:8" ht="57" customHeight="1" x14ac:dyDescent="0.25">
      <c r="A418" s="154" t="s">
        <v>30</v>
      </c>
      <c r="B418" s="155"/>
      <c r="C418" s="156" t="s">
        <v>357</v>
      </c>
      <c r="D418" s="157"/>
      <c r="E418" s="154" t="s">
        <v>9</v>
      </c>
      <c r="F418" s="155"/>
      <c r="G418" s="139"/>
      <c r="H418" s="139"/>
    </row>
  </sheetData>
  <mergeCells count="490">
    <mergeCell ref="B277:H277"/>
    <mergeCell ref="B278:H278"/>
    <mergeCell ref="G183:H183"/>
    <mergeCell ref="B276:H276"/>
    <mergeCell ref="A263:H263"/>
    <mergeCell ref="A264:B264"/>
    <mergeCell ref="A265:B265"/>
    <mergeCell ref="A266:B266"/>
    <mergeCell ref="D266:H266"/>
    <mergeCell ref="A259:H259"/>
    <mergeCell ref="A260:B260"/>
    <mergeCell ref="A261:B261"/>
    <mergeCell ref="A262:B262"/>
    <mergeCell ref="D262:H262"/>
    <mergeCell ref="A244:H244"/>
    <mergeCell ref="A248:B248"/>
    <mergeCell ref="A233:H233"/>
    <mergeCell ref="A234:B234"/>
    <mergeCell ref="A235:B235"/>
    <mergeCell ref="A236:B236"/>
    <mergeCell ref="A237:B237"/>
    <mergeCell ref="A238:H238"/>
    <mergeCell ref="A239:B239"/>
    <mergeCell ref="A240:B240"/>
    <mergeCell ref="A242:B242"/>
    <mergeCell ref="A243:H243"/>
    <mergeCell ref="A245:B245"/>
    <mergeCell ref="A246:B246"/>
    <mergeCell ref="A247:B247"/>
    <mergeCell ref="D241:H241"/>
    <mergeCell ref="A64:B65"/>
    <mergeCell ref="C65:H65"/>
    <mergeCell ref="A180:B180"/>
    <mergeCell ref="C180:D180"/>
    <mergeCell ref="E180:F180"/>
    <mergeCell ref="G180:H180"/>
    <mergeCell ref="A181:B181"/>
    <mergeCell ref="C181:D181"/>
    <mergeCell ref="E181:F181"/>
    <mergeCell ref="G181:H181"/>
    <mergeCell ref="A146:H146"/>
    <mergeCell ref="A147:C148"/>
    <mergeCell ref="E147:F147"/>
    <mergeCell ref="E148:F148"/>
    <mergeCell ref="A149:B149"/>
    <mergeCell ref="E149:F149"/>
    <mergeCell ref="A150:B150"/>
    <mergeCell ref="E150:F161"/>
    <mergeCell ref="A257:B257"/>
    <mergeCell ref="A258:B258"/>
    <mergeCell ref="A249:H249"/>
    <mergeCell ref="A250:B250"/>
    <mergeCell ref="A251:B251"/>
    <mergeCell ref="A252:B252"/>
    <mergeCell ref="D252:H252"/>
    <mergeCell ref="A253:B253"/>
    <mergeCell ref="A254:H254"/>
    <mergeCell ref="A255:H255"/>
    <mergeCell ref="A256:B256"/>
    <mergeCell ref="A241:B241"/>
    <mergeCell ref="A224:B224"/>
    <mergeCell ref="A225:B225"/>
    <mergeCell ref="A226:B226"/>
    <mergeCell ref="A227:H227"/>
    <mergeCell ref="A228:B228"/>
    <mergeCell ref="A229:B229"/>
    <mergeCell ref="A230:B230"/>
    <mergeCell ref="A231:B231"/>
    <mergeCell ref="A232:H232"/>
    <mergeCell ref="A215:B215"/>
    <mergeCell ref="A217:H217"/>
    <mergeCell ref="A218:B218"/>
    <mergeCell ref="A219:B219"/>
    <mergeCell ref="A220:B220"/>
    <mergeCell ref="A216:B216"/>
    <mergeCell ref="A221:B221"/>
    <mergeCell ref="A222:H222"/>
    <mergeCell ref="A223:B223"/>
    <mergeCell ref="C165:D165"/>
    <mergeCell ref="C166:D166"/>
    <mergeCell ref="A212:H212"/>
    <mergeCell ref="A213:B213"/>
    <mergeCell ref="A203:H203"/>
    <mergeCell ref="A204:B204"/>
    <mergeCell ref="A205:B205"/>
    <mergeCell ref="A206:B206"/>
    <mergeCell ref="A214:B214"/>
    <mergeCell ref="A207:H207"/>
    <mergeCell ref="A208:B208"/>
    <mergeCell ref="A209:B209"/>
    <mergeCell ref="A210:B210"/>
    <mergeCell ref="A202:H202"/>
    <mergeCell ref="A211:H211"/>
    <mergeCell ref="A182:B182"/>
    <mergeCell ref="C182:D182"/>
    <mergeCell ref="E182:F182"/>
    <mergeCell ref="G182:H182"/>
    <mergeCell ref="A183:B183"/>
    <mergeCell ref="C183:D183"/>
    <mergeCell ref="E183:F183"/>
    <mergeCell ref="A165:B165"/>
    <mergeCell ref="A114:H114"/>
    <mergeCell ref="A115:C116"/>
    <mergeCell ref="E115:F115"/>
    <mergeCell ref="E116:F116"/>
    <mergeCell ref="A117:B117"/>
    <mergeCell ref="E117:F117"/>
    <mergeCell ref="A118:B118"/>
    <mergeCell ref="E118:F129"/>
    <mergeCell ref="G118:H129"/>
    <mergeCell ref="A119:B119"/>
    <mergeCell ref="A120:B120"/>
    <mergeCell ref="A121:B121"/>
    <mergeCell ref="A122:B122"/>
    <mergeCell ref="A123:B123"/>
    <mergeCell ref="A124:B124"/>
    <mergeCell ref="A125:B125"/>
    <mergeCell ref="C164:D164"/>
    <mergeCell ref="A126:B126"/>
    <mergeCell ref="A139:B139"/>
    <mergeCell ref="A140:B140"/>
    <mergeCell ref="A141:B141"/>
    <mergeCell ref="A142:B142"/>
    <mergeCell ref="A143:B143"/>
    <mergeCell ref="A127:B127"/>
    <mergeCell ref="A128:B128"/>
    <mergeCell ref="A129:B129"/>
    <mergeCell ref="A130:H130"/>
    <mergeCell ref="A131:C132"/>
    <mergeCell ref="E131:F131"/>
    <mergeCell ref="E132:F132"/>
    <mergeCell ref="A133:B133"/>
    <mergeCell ref="E133:F133"/>
    <mergeCell ref="A134:B134"/>
    <mergeCell ref="E134:F145"/>
    <mergeCell ref="G134:H145"/>
    <mergeCell ref="A135:B135"/>
    <mergeCell ref="A136:B136"/>
    <mergeCell ref="A156:B156"/>
    <mergeCell ref="A157:B157"/>
    <mergeCell ref="A158:B158"/>
    <mergeCell ref="A159:B159"/>
    <mergeCell ref="A144:B144"/>
    <mergeCell ref="A145:B145"/>
    <mergeCell ref="G150:H161"/>
    <mergeCell ref="A151:B151"/>
    <mergeCell ref="A152:B152"/>
    <mergeCell ref="A153:B153"/>
    <mergeCell ref="A154:B154"/>
    <mergeCell ref="A155:B155"/>
    <mergeCell ref="A160:B160"/>
    <mergeCell ref="A161:B161"/>
    <mergeCell ref="A137:B137"/>
    <mergeCell ref="A138:B138"/>
    <mergeCell ref="G48:H48"/>
    <mergeCell ref="A49:B49"/>
    <mergeCell ref="D49:F49"/>
    <mergeCell ref="G49:H49"/>
    <mergeCell ref="A53:B53"/>
    <mergeCell ref="A55:B55"/>
    <mergeCell ref="A60:B60"/>
    <mergeCell ref="A61:B61"/>
    <mergeCell ref="A54:B54"/>
    <mergeCell ref="C53:H53"/>
    <mergeCell ref="C54:F54"/>
    <mergeCell ref="C55:F55"/>
    <mergeCell ref="C59:F59"/>
    <mergeCell ref="C58:F58"/>
    <mergeCell ref="A58:B59"/>
    <mergeCell ref="A50:B50"/>
    <mergeCell ref="D50:F50"/>
    <mergeCell ref="G50:H50"/>
    <mergeCell ref="A51:B51"/>
    <mergeCell ref="D51:F51"/>
    <mergeCell ref="A43:B43"/>
    <mergeCell ref="A38:B38"/>
    <mergeCell ref="A42:B42"/>
    <mergeCell ref="C42:E42"/>
    <mergeCell ref="F42:H42"/>
    <mergeCell ref="C43:H43"/>
    <mergeCell ref="G51:H51"/>
    <mergeCell ref="J38:K38"/>
    <mergeCell ref="M38:N38"/>
    <mergeCell ref="C38:E38"/>
    <mergeCell ref="F38:H38"/>
    <mergeCell ref="C39:E39"/>
    <mergeCell ref="F39:H39"/>
    <mergeCell ref="F40:H40"/>
    <mergeCell ref="C40:E40"/>
    <mergeCell ref="E35:F35"/>
    <mergeCell ref="E36:F36"/>
    <mergeCell ref="A34:B34"/>
    <mergeCell ref="A35:B35"/>
    <mergeCell ref="A36:B36"/>
    <mergeCell ref="C34:D34"/>
    <mergeCell ref="C35:D35"/>
    <mergeCell ref="C36:D36"/>
    <mergeCell ref="A41:B41"/>
    <mergeCell ref="C41:E41"/>
    <mergeCell ref="F41:H41"/>
    <mergeCell ref="A39:B39"/>
    <mergeCell ref="A40:B40"/>
    <mergeCell ref="G22:H22"/>
    <mergeCell ref="G34:H34"/>
    <mergeCell ref="A24:B24"/>
    <mergeCell ref="C24:H24"/>
    <mergeCell ref="C26:D26"/>
    <mergeCell ref="C32:H32"/>
    <mergeCell ref="A28:B28"/>
    <mergeCell ref="A29:B29"/>
    <mergeCell ref="A30:B30"/>
    <mergeCell ref="A26:B26"/>
    <mergeCell ref="A27:B27"/>
    <mergeCell ref="E26:F26"/>
    <mergeCell ref="E27:F27"/>
    <mergeCell ref="A31:B31"/>
    <mergeCell ref="A32:B32"/>
    <mergeCell ref="E34:F34"/>
    <mergeCell ref="E28:F28"/>
    <mergeCell ref="E29:F29"/>
    <mergeCell ref="E30:F30"/>
    <mergeCell ref="E31:F31"/>
    <mergeCell ref="C28:D28"/>
    <mergeCell ref="C29:D29"/>
    <mergeCell ref="C30:D30"/>
    <mergeCell ref="C31:D31"/>
    <mergeCell ref="C23:H23"/>
    <mergeCell ref="G14:H14"/>
    <mergeCell ref="G16:H16"/>
    <mergeCell ref="G17:H17"/>
    <mergeCell ref="G15:H15"/>
    <mergeCell ref="G18:H18"/>
    <mergeCell ref="G19:H19"/>
    <mergeCell ref="A14:B14"/>
    <mergeCell ref="A15:B15"/>
    <mergeCell ref="A16:B16"/>
    <mergeCell ref="A17:B17"/>
    <mergeCell ref="A18:B18"/>
    <mergeCell ref="A19:B19"/>
    <mergeCell ref="E20:F20"/>
    <mergeCell ref="E21:F21"/>
    <mergeCell ref="E22:F22"/>
    <mergeCell ref="C14:D14"/>
    <mergeCell ref="C15:D15"/>
    <mergeCell ref="C16:D16"/>
    <mergeCell ref="C17:D17"/>
    <mergeCell ref="C20:D20"/>
    <mergeCell ref="A23:B23"/>
    <mergeCell ref="E14:F14"/>
    <mergeCell ref="E15:F15"/>
    <mergeCell ref="E16:F16"/>
    <mergeCell ref="E17:F17"/>
    <mergeCell ref="E18:F18"/>
    <mergeCell ref="E19:F19"/>
    <mergeCell ref="C18:D18"/>
    <mergeCell ref="C19:D19"/>
    <mergeCell ref="A20:B20"/>
    <mergeCell ref="A21:B21"/>
    <mergeCell ref="A22:B22"/>
    <mergeCell ref="C21:D21"/>
    <mergeCell ref="C22:D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D45:F45"/>
    <mergeCell ref="D47:F47"/>
    <mergeCell ref="A48:B48"/>
    <mergeCell ref="D48:F48"/>
    <mergeCell ref="C60:F60"/>
    <mergeCell ref="C61:F61"/>
    <mergeCell ref="C62:F62"/>
    <mergeCell ref="C64:F64"/>
    <mergeCell ref="C63:F63"/>
    <mergeCell ref="A62:B63"/>
    <mergeCell ref="E184:F184"/>
    <mergeCell ref="A187:H187"/>
    <mergeCell ref="A188:H188"/>
    <mergeCell ref="A189:H189"/>
    <mergeCell ref="A190:H190"/>
    <mergeCell ref="A191:H191"/>
    <mergeCell ref="G46:H46"/>
    <mergeCell ref="G31:H31"/>
    <mergeCell ref="G36:H36"/>
    <mergeCell ref="G35:H35"/>
    <mergeCell ref="A176:H176"/>
    <mergeCell ref="A163:H163"/>
    <mergeCell ref="A66:H66"/>
    <mergeCell ref="A69:B69"/>
    <mergeCell ref="A70:B70"/>
    <mergeCell ref="E69:F69"/>
    <mergeCell ref="E67:F67"/>
    <mergeCell ref="E68:F68"/>
    <mergeCell ref="A67:C68"/>
    <mergeCell ref="A76:B76"/>
    <mergeCell ref="E99:F99"/>
    <mergeCell ref="A98:H98"/>
    <mergeCell ref="A99:C100"/>
    <mergeCell ref="E164:F164"/>
    <mergeCell ref="A192:H192"/>
    <mergeCell ref="A198:H198"/>
    <mergeCell ref="A71:B71"/>
    <mergeCell ref="E86:F97"/>
    <mergeCell ref="G86:H97"/>
    <mergeCell ref="A87:B87"/>
    <mergeCell ref="A88:B88"/>
    <mergeCell ref="A89:B89"/>
    <mergeCell ref="A90:B90"/>
    <mergeCell ref="A91:B91"/>
    <mergeCell ref="A92:B92"/>
    <mergeCell ref="A93:B93"/>
    <mergeCell ref="A94:B94"/>
    <mergeCell ref="A95:B95"/>
    <mergeCell ref="A96:B96"/>
    <mergeCell ref="A97:B97"/>
    <mergeCell ref="A101:B101"/>
    <mergeCell ref="E101:F101"/>
    <mergeCell ref="A193:H193"/>
    <mergeCell ref="E70:F81"/>
    <mergeCell ref="G165:H165"/>
    <mergeCell ref="A194:H194"/>
    <mergeCell ref="A184:B184"/>
    <mergeCell ref="G184:H184"/>
    <mergeCell ref="B275:H275"/>
    <mergeCell ref="B269:H269"/>
    <mergeCell ref="B268:H268"/>
    <mergeCell ref="B272:H272"/>
    <mergeCell ref="B271:H271"/>
    <mergeCell ref="B270:H270"/>
    <mergeCell ref="B273:H273"/>
    <mergeCell ref="B274:H274"/>
    <mergeCell ref="A267:H267"/>
    <mergeCell ref="G418:H418"/>
    <mergeCell ref="A279:H279"/>
    <mergeCell ref="D281:H281"/>
    <mergeCell ref="A409:H409"/>
    <mergeCell ref="A415:H415"/>
    <mergeCell ref="A416:H416"/>
    <mergeCell ref="A417:H417"/>
    <mergeCell ref="A410:H410"/>
    <mergeCell ref="A411:H411"/>
    <mergeCell ref="A412:H412"/>
    <mergeCell ref="A413:H413"/>
    <mergeCell ref="A281:C281"/>
    <mergeCell ref="A408:H408"/>
    <mergeCell ref="A414:H414"/>
    <mergeCell ref="A377:H377"/>
    <mergeCell ref="D280:H280"/>
    <mergeCell ref="A282:C282"/>
    <mergeCell ref="D282:H282"/>
    <mergeCell ref="A327:H327"/>
    <mergeCell ref="E418:F418"/>
    <mergeCell ref="A418:B418"/>
    <mergeCell ref="C418:D418"/>
    <mergeCell ref="A1:H1"/>
    <mergeCell ref="A280:C280"/>
    <mergeCell ref="G27:H27"/>
    <mergeCell ref="G28:H28"/>
    <mergeCell ref="A37:H37"/>
    <mergeCell ref="A44:H44"/>
    <mergeCell ref="A52:H52"/>
    <mergeCell ref="A171:H171"/>
    <mergeCell ref="G169:H169"/>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G168:H168"/>
    <mergeCell ref="A200:B200"/>
    <mergeCell ref="A201:B201"/>
    <mergeCell ref="A195:B195"/>
    <mergeCell ref="C178:D178"/>
    <mergeCell ref="C184:D184"/>
    <mergeCell ref="G170:H170"/>
    <mergeCell ref="A196:B196"/>
    <mergeCell ref="A197:B197"/>
    <mergeCell ref="A185:H185"/>
    <mergeCell ref="E172:F172"/>
    <mergeCell ref="E173:F173"/>
    <mergeCell ref="E174:F174"/>
    <mergeCell ref="E175:F175"/>
    <mergeCell ref="A172:B172"/>
    <mergeCell ref="A173:B173"/>
    <mergeCell ref="A174:B174"/>
    <mergeCell ref="C172:D172"/>
    <mergeCell ref="A175:B175"/>
    <mergeCell ref="C173:D173"/>
    <mergeCell ref="G172:H172"/>
    <mergeCell ref="G173:H173"/>
    <mergeCell ref="G174:H174"/>
    <mergeCell ref="A199:B199"/>
    <mergeCell ref="E178:F178"/>
    <mergeCell ref="E165:F165"/>
    <mergeCell ref="A74:B74"/>
    <mergeCell ref="A77:B77"/>
    <mergeCell ref="E84:F84"/>
    <mergeCell ref="A85:B85"/>
    <mergeCell ref="E85:F85"/>
    <mergeCell ref="A86:B86"/>
    <mergeCell ref="A162:F162"/>
    <mergeCell ref="A82:H82"/>
    <mergeCell ref="A83:C84"/>
    <mergeCell ref="E83:F83"/>
    <mergeCell ref="G162:H162"/>
    <mergeCell ref="G70:H81"/>
    <mergeCell ref="E100:F100"/>
    <mergeCell ref="G164:H164"/>
    <mergeCell ref="A164:B164"/>
    <mergeCell ref="A102:B102"/>
    <mergeCell ref="E102:F113"/>
    <mergeCell ref="G102:H113"/>
    <mergeCell ref="A103:B103"/>
    <mergeCell ref="A104:B104"/>
    <mergeCell ref="A105:B105"/>
    <mergeCell ref="A106:B106"/>
    <mergeCell ref="A78:B78"/>
    <mergeCell ref="G175:H175"/>
    <mergeCell ref="C175:D175"/>
    <mergeCell ref="G177:H177"/>
    <mergeCell ref="A178:B178"/>
    <mergeCell ref="G178:H178"/>
    <mergeCell ref="A179:B179"/>
    <mergeCell ref="G179:H179"/>
    <mergeCell ref="G166:H166"/>
    <mergeCell ref="A167:H167"/>
    <mergeCell ref="A177:B177"/>
    <mergeCell ref="E177:F177"/>
    <mergeCell ref="C177:D177"/>
    <mergeCell ref="E179:F179"/>
    <mergeCell ref="C179:D179"/>
    <mergeCell ref="A166:B166"/>
    <mergeCell ref="E166:F166"/>
    <mergeCell ref="A168:F168"/>
    <mergeCell ref="A169:F169"/>
    <mergeCell ref="A170:F170"/>
    <mergeCell ref="C174:D174"/>
    <mergeCell ref="K3:L3"/>
    <mergeCell ref="A107:B107"/>
    <mergeCell ref="A108:B108"/>
    <mergeCell ref="A109:B109"/>
    <mergeCell ref="A110:B110"/>
    <mergeCell ref="A111:B111"/>
    <mergeCell ref="A112:B112"/>
    <mergeCell ref="A113:B113"/>
    <mergeCell ref="A56:B57"/>
    <mergeCell ref="C56:F56"/>
    <mergeCell ref="C57:F57"/>
    <mergeCell ref="E3:F3"/>
    <mergeCell ref="E4:F4"/>
    <mergeCell ref="C27:D27"/>
    <mergeCell ref="A79:B79"/>
    <mergeCell ref="A80:B80"/>
    <mergeCell ref="A81:B81"/>
    <mergeCell ref="A72:B72"/>
    <mergeCell ref="A73:B73"/>
    <mergeCell ref="A75:B75"/>
    <mergeCell ref="A45:B45"/>
    <mergeCell ref="A46:B46"/>
    <mergeCell ref="A47:B47"/>
    <mergeCell ref="D46:F46"/>
  </mergeCells>
  <dataValidations count="6">
    <dataValidation type="list" allowBlank="1" showInputMessage="1" showErrorMessage="1" sqref="G26:H26" xr:uid="{00000000-0002-0000-0000-000001000000}">
      <formula1>"Middle,Upper"</formula1>
    </dataValidation>
    <dataValidation type="list" allowBlank="1" showInputMessage="1" showErrorMessage="1" sqref="C166" xr:uid="{00000000-0002-0000-0000-000002000000}">
      <formula1>"300000,350000,400000,500000,600000,700000,800000,900000,1000000,1200000,1400000,1500000,1600000"</formula1>
    </dataValidation>
    <dataValidation type="list" allowBlank="1" showInputMessage="1" showErrorMessage="1" sqref="F186"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3:H53 G35:H35" xr:uid="{00000000-0002-0000-0000-000005000000}">
      <formula1>"Yes,No"</formula1>
    </dataValidation>
    <dataValidation type="list" allowBlank="1" showInputMessage="1" showErrorMessage="1" sqref="C186"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8" manualBreakCount="8">
    <brk id="51" max="16383" man="1"/>
    <brk id="65" max="7" man="1"/>
    <brk id="113" max="16383" man="1"/>
    <brk id="145" max="16383" man="1"/>
    <brk id="184" max="16383" man="1"/>
    <brk id="278" max="8" man="1"/>
    <brk id="326" max="16383" man="1"/>
    <brk id="37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2" t="s">
        <v>67</v>
      </c>
      <c r="B3" s="112"/>
      <c r="C3" s="112"/>
      <c r="D3" s="112"/>
      <c r="E3" s="112"/>
      <c r="F3" s="112"/>
      <c r="G3" s="112"/>
      <c r="H3" s="112"/>
      <c r="I3" s="112"/>
    </row>
    <row r="4" spans="1:11" s="1" customFormat="1" ht="20.25" customHeight="1" x14ac:dyDescent="0.3">
      <c r="A4" s="188">
        <v>1</v>
      </c>
      <c r="B4" s="188"/>
      <c r="C4" s="188"/>
      <c r="D4" s="189" t="s">
        <v>4</v>
      </c>
      <c r="E4" s="29" t="s">
        <v>116</v>
      </c>
      <c r="F4" s="108" t="s">
        <v>103</v>
      </c>
      <c r="G4" s="108"/>
      <c r="H4" s="29" t="s">
        <v>117</v>
      </c>
      <c r="I4" s="29" t="s">
        <v>118</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88"/>
      <c r="B5" s="188"/>
      <c r="C5" s="188"/>
      <c r="D5" s="189"/>
      <c r="E5" s="29">
        <v>3</v>
      </c>
      <c r="F5" s="108">
        <v>1</v>
      </c>
      <c r="G5" s="108"/>
      <c r="H5" s="29">
        <v>0</v>
      </c>
      <c r="I5" s="29">
        <f ca="1">--TRIM(RIGHT(SUBSTITUTE(LEFT(A4,_xlfn.AGGREGATE(16,6,FIND({0,1,2,3,4,5,6,7,8,9},A4,ROW(INDIRECT("1:"&amp;LEN(A4)))),1))," ",REPT(" ",LEN(A4))),LEN(A4)))</f>
        <v>1</v>
      </c>
      <c r="J5" s="16" t="s">
        <v>122</v>
      </c>
      <c r="K5" s="17"/>
    </row>
    <row r="6" spans="1:11" s="1" customFormat="1" ht="20.25" customHeight="1" x14ac:dyDescent="0.3">
      <c r="A6" s="109" t="s">
        <v>120</v>
      </c>
      <c r="B6" s="109"/>
      <c r="C6" s="109" t="s">
        <v>130</v>
      </c>
      <c r="D6" s="109"/>
      <c r="E6" s="30" t="s">
        <v>131</v>
      </c>
      <c r="F6" s="109" t="s">
        <v>121</v>
      </c>
      <c r="G6" s="109"/>
      <c r="H6" s="26" t="s">
        <v>119</v>
      </c>
      <c r="I6" s="26"/>
      <c r="J6" s="19" t="s">
        <v>132</v>
      </c>
      <c r="K6" s="18">
        <f ca="1">I5*25%</f>
        <v>0.25</v>
      </c>
    </row>
    <row r="7" spans="1:11" s="1" customFormat="1" ht="20.25" customHeight="1" x14ac:dyDescent="0.3">
      <c r="A7" s="94" t="s">
        <v>133</v>
      </c>
      <c r="B7" s="94"/>
      <c r="C7" s="108">
        <f ca="1">K8</f>
        <v>1</v>
      </c>
      <c r="D7" s="108"/>
      <c r="E7" s="28">
        <f ca="1">((100/I5)*C7)/100</f>
        <v>1</v>
      </c>
      <c r="F7" s="94">
        <f ca="1">(((C7/I5*5)+(C8/I5*20)+(25/(F5+H5+I5)*C9)+(5/(I5)*C10)+(2.5/(I5)*C11)+(2.5/(I5)*C12)+(5/I5*C13)+(10/I5*C14)+(2.5/I5*C15)+(2.5/I5*C16)+(10/I5*C17)+(10/I5*C18))/100)</f>
        <v>0.25</v>
      </c>
      <c r="G7" s="94"/>
      <c r="H7" s="94" t="str">
        <f ca="1">J4</f>
        <v>Excavation work Completed. Plinth work completed</v>
      </c>
      <c r="I7" s="94"/>
      <c r="J7" s="19" t="s">
        <v>123</v>
      </c>
      <c r="K7" s="22">
        <f ca="1">I5*50%</f>
        <v>0.5</v>
      </c>
    </row>
    <row r="8" spans="1:11" s="1" customFormat="1" ht="20.25" x14ac:dyDescent="0.3">
      <c r="A8" s="94" t="s">
        <v>104</v>
      </c>
      <c r="B8" s="94"/>
      <c r="C8" s="187">
        <f ca="1">K16</f>
        <v>1</v>
      </c>
      <c r="D8" s="108"/>
      <c r="E8" s="28">
        <f ca="1">((100/I5)*C8)/100</f>
        <v>1</v>
      </c>
      <c r="F8" s="94"/>
      <c r="G8" s="94"/>
      <c r="H8" s="94"/>
      <c r="I8" s="94"/>
      <c r="J8" s="19" t="s">
        <v>124</v>
      </c>
      <c r="K8" s="22">
        <f ca="1">I5</f>
        <v>1</v>
      </c>
    </row>
    <row r="9" spans="1:11" s="1" customFormat="1" ht="21" customHeight="1" x14ac:dyDescent="0.35">
      <c r="A9" s="94" t="s">
        <v>134</v>
      </c>
      <c r="B9" s="94"/>
      <c r="C9" s="108">
        <v>0</v>
      </c>
      <c r="D9" s="108"/>
      <c r="E9" s="28">
        <f ca="1">((100/(F5+H5+I5))*C9)/100</f>
        <v>0</v>
      </c>
      <c r="F9" s="94"/>
      <c r="G9" s="94"/>
      <c r="H9" s="94"/>
      <c r="I9" s="94"/>
      <c r="J9" s="19" t="s">
        <v>125</v>
      </c>
      <c r="K9" s="23">
        <f ca="1">(IF(E5&gt;1,(I5/(E5+2)),I5*0.2))</f>
        <v>0.2</v>
      </c>
    </row>
    <row r="10" spans="1:11" s="1" customFormat="1" ht="21" customHeight="1" x14ac:dyDescent="0.35">
      <c r="A10" s="94" t="s">
        <v>135</v>
      </c>
      <c r="B10" s="94"/>
      <c r="C10" s="108">
        <v>0</v>
      </c>
      <c r="D10" s="108"/>
      <c r="E10" s="28">
        <f ca="1">((100/I5)*C10)/100</f>
        <v>0</v>
      </c>
      <c r="F10" s="94"/>
      <c r="G10" s="94"/>
      <c r="H10" s="94"/>
      <c r="I10" s="94"/>
      <c r="J10" s="19" t="s">
        <v>126</v>
      </c>
      <c r="K10" s="23">
        <f ca="1">(IF(E5&gt;1,(I5/(E5+2)+K9),I5*0.2+K9))</f>
        <v>0.4</v>
      </c>
    </row>
    <row r="11" spans="1:11" s="1" customFormat="1" ht="21" customHeight="1" x14ac:dyDescent="0.35">
      <c r="A11" s="92" t="s">
        <v>136</v>
      </c>
      <c r="B11" s="93"/>
      <c r="C11" s="108">
        <v>0</v>
      </c>
      <c r="D11" s="108"/>
      <c r="E11" s="28">
        <f ca="1">((100/I5)*C11)/100</f>
        <v>0</v>
      </c>
      <c r="F11" s="94"/>
      <c r="G11" s="94"/>
      <c r="H11" s="94"/>
      <c r="I11" s="94"/>
      <c r="J11" s="19" t="s">
        <v>137</v>
      </c>
      <c r="K11" s="23">
        <f ca="1">(IF(E5&gt;1,(I5/(E5+2)+K10),0))</f>
        <v>0.60000000000000009</v>
      </c>
    </row>
    <row r="12" spans="1:11" s="1" customFormat="1" ht="21" customHeight="1" x14ac:dyDescent="0.35">
      <c r="A12" s="92" t="s">
        <v>167</v>
      </c>
      <c r="B12" s="93"/>
      <c r="C12" s="108">
        <v>0</v>
      </c>
      <c r="D12" s="108"/>
      <c r="E12" s="28">
        <f ca="1">((100/I5)*C12)/100</f>
        <v>0</v>
      </c>
      <c r="F12" s="94"/>
      <c r="G12" s="94"/>
      <c r="H12" s="94"/>
      <c r="I12" s="94"/>
      <c r="J12" s="19" t="s">
        <v>138</v>
      </c>
      <c r="K12" s="23">
        <f ca="1">(IF(E5&gt;2,(I5/(E5+2)+K11),0))</f>
        <v>0.8</v>
      </c>
    </row>
    <row r="13" spans="1:11" s="1" customFormat="1" ht="57.75" customHeight="1" x14ac:dyDescent="0.35">
      <c r="A13" s="92" t="s">
        <v>164</v>
      </c>
      <c r="B13" s="93"/>
      <c r="C13" s="108">
        <v>0</v>
      </c>
      <c r="D13" s="108"/>
      <c r="E13" s="28">
        <f ca="1">((100/(I5))*C13)/100</f>
        <v>0</v>
      </c>
      <c r="F13" s="94"/>
      <c r="G13" s="94"/>
      <c r="H13" s="94"/>
      <c r="I13" s="94"/>
      <c r="J13" s="19" t="s">
        <v>140</v>
      </c>
      <c r="K13" s="24">
        <f>(IF(E5&gt;3,(I5/(E5+2)+K12),0))</f>
        <v>0</v>
      </c>
    </row>
    <row r="14" spans="1:11" s="1" customFormat="1" ht="21" x14ac:dyDescent="0.35">
      <c r="A14" s="94" t="s">
        <v>139</v>
      </c>
      <c r="B14" s="94"/>
      <c r="C14" s="108">
        <v>0</v>
      </c>
      <c r="D14" s="108"/>
      <c r="E14" s="28">
        <f ca="1">((100/(I5))*C14)/100</f>
        <v>0</v>
      </c>
      <c r="F14" s="94"/>
      <c r="G14" s="94"/>
      <c r="H14" s="94"/>
      <c r="I14" s="94"/>
      <c r="J14" s="19" t="s">
        <v>141</v>
      </c>
      <c r="K14" s="23">
        <f>(IF(E5&gt;4,(I5/(E5+2)+K13),0))</f>
        <v>0</v>
      </c>
    </row>
    <row r="15" spans="1:11" s="1" customFormat="1" ht="21" customHeight="1" x14ac:dyDescent="0.35">
      <c r="A15" s="94" t="s">
        <v>166</v>
      </c>
      <c r="B15" s="94"/>
      <c r="C15" s="108">
        <v>0</v>
      </c>
      <c r="D15" s="108"/>
      <c r="E15" s="28">
        <f ca="1">((100/I5)*C15)/100</f>
        <v>0</v>
      </c>
      <c r="F15" s="94"/>
      <c r="G15" s="94"/>
      <c r="H15" s="94"/>
      <c r="I15" s="94"/>
      <c r="J15" s="19" t="s">
        <v>127</v>
      </c>
      <c r="K15" s="23">
        <f>(IF(E5=1,(I5/(E5+3)+K10),IF(E5=0,(I5*0.3+K10),IF(E5&gt;1,0))))</f>
        <v>0</v>
      </c>
    </row>
    <row r="16" spans="1:11" s="1" customFormat="1" ht="21.75" thickBot="1" x14ac:dyDescent="0.4">
      <c r="A16" s="94" t="s">
        <v>165</v>
      </c>
      <c r="B16" s="94"/>
      <c r="C16" s="108">
        <v>0</v>
      </c>
      <c r="D16" s="108"/>
      <c r="E16" s="28">
        <f ca="1">((100/I5)*C16)/100</f>
        <v>0</v>
      </c>
      <c r="F16" s="94"/>
      <c r="G16" s="94"/>
      <c r="H16" s="94"/>
      <c r="I16" s="94"/>
      <c r="J16" s="21" t="s">
        <v>128</v>
      </c>
      <c r="K16" s="25">
        <f ca="1">(IF(E5&gt;1.5,(I5/(E5+2)+K10+MAX(0,K11-K10)+MAX(0,K12-K11)+MAX(0,K13-K12)+MAX(0,K14-K13)+MAX(0,K15-K14)),IF(E5=1,(I5/(E5+3)+K15),IF(E5=0,I5*0.3+K15))))</f>
        <v>1</v>
      </c>
    </row>
    <row r="17" spans="1:9" s="1" customFormat="1" ht="20.25" x14ac:dyDescent="0.25">
      <c r="A17" s="94" t="s">
        <v>142</v>
      </c>
      <c r="B17" s="94"/>
      <c r="C17" s="108">
        <v>0</v>
      </c>
      <c r="D17" s="108"/>
      <c r="E17" s="28">
        <f ca="1">((100/(I5))*C17)/100</f>
        <v>0</v>
      </c>
      <c r="F17" s="94"/>
      <c r="G17" s="94"/>
      <c r="H17" s="94"/>
      <c r="I17" s="94"/>
    </row>
    <row r="18" spans="1:9" s="1" customFormat="1" ht="20.25" x14ac:dyDescent="0.25">
      <c r="A18" s="94" t="s">
        <v>143</v>
      </c>
      <c r="B18" s="94"/>
      <c r="C18" s="108">
        <v>0</v>
      </c>
      <c r="D18" s="108"/>
      <c r="E18" s="28">
        <f ca="1">((100/(I5))*C18)/100</f>
        <v>0</v>
      </c>
      <c r="F18" s="94"/>
      <c r="G18" s="94"/>
      <c r="H18" s="94"/>
      <c r="I18" s="94"/>
    </row>
    <row r="23" spans="1:9" x14ac:dyDescent="0.25">
      <c r="B23" s="186" t="s">
        <v>168</v>
      </c>
      <c r="C23" s="186"/>
      <c r="D23" s="186"/>
      <c r="E23" s="186"/>
      <c r="F23" s="186"/>
      <c r="G23" s="186"/>
    </row>
    <row r="24" spans="1:9" ht="14.45" customHeight="1" x14ac:dyDescent="0.25">
      <c r="B24" s="181" t="s">
        <v>169</v>
      </c>
      <c r="C24" s="181" t="s">
        <v>170</v>
      </c>
      <c r="D24" s="184" t="s">
        <v>171</v>
      </c>
      <c r="E24" s="185" t="s">
        <v>172</v>
      </c>
      <c r="F24" s="182" t="s">
        <v>173</v>
      </c>
      <c r="G24" s="181" t="s">
        <v>174</v>
      </c>
    </row>
    <row r="25" spans="1:9" x14ac:dyDescent="0.25">
      <c r="B25" s="181"/>
      <c r="C25" s="181"/>
      <c r="D25" s="184"/>
      <c r="E25" s="185"/>
      <c r="F25" s="182"/>
      <c r="G25" s="181"/>
    </row>
    <row r="26" spans="1:9" x14ac:dyDescent="0.25">
      <c r="B26" s="38" t="s">
        <v>175</v>
      </c>
      <c r="C26" s="39">
        <v>10</v>
      </c>
      <c r="D26" s="39">
        <v>1</v>
      </c>
      <c r="E26" s="40"/>
      <c r="F26" s="41">
        <f>((E26/D26)*0.05)*100</f>
        <v>0</v>
      </c>
      <c r="G26" s="41">
        <f t="shared" ref="G26:G37" si="0">((E26/D26)*(C26/100))*100</f>
        <v>0</v>
      </c>
    </row>
    <row r="27" spans="1:9" x14ac:dyDescent="0.25">
      <c r="B27" s="38" t="s">
        <v>176</v>
      </c>
      <c r="C27" s="40">
        <v>10</v>
      </c>
      <c r="D27" s="40">
        <v>1</v>
      </c>
      <c r="E27" s="40"/>
      <c r="F27" s="41">
        <f>((E27/D27)*0.05)*100</f>
        <v>0</v>
      </c>
      <c r="G27" s="41">
        <f t="shared" si="0"/>
        <v>0</v>
      </c>
    </row>
    <row r="28" spans="1:9" x14ac:dyDescent="0.25">
      <c r="B28" s="38" t="s">
        <v>177</v>
      </c>
      <c r="C28" s="40">
        <v>15</v>
      </c>
      <c r="D28" s="40">
        <v>1</v>
      </c>
      <c r="E28" s="40"/>
      <c r="F28" s="41">
        <f>((E28/D28)*0.15)*100</f>
        <v>0</v>
      </c>
      <c r="G28" s="41">
        <f t="shared" si="0"/>
        <v>0</v>
      </c>
    </row>
    <row r="29" spans="1:9" x14ac:dyDescent="0.25">
      <c r="B29" s="42" t="s">
        <v>178</v>
      </c>
      <c r="C29" s="40">
        <v>25</v>
      </c>
      <c r="D29" s="40">
        <v>40</v>
      </c>
      <c r="E29" s="40"/>
      <c r="F29" s="41">
        <f>((E29/D29)*0.25)*100</f>
        <v>0</v>
      </c>
      <c r="G29" s="41">
        <f t="shared" si="0"/>
        <v>0</v>
      </c>
    </row>
    <row r="30" spans="1:9" x14ac:dyDescent="0.25">
      <c r="B30" s="42" t="s">
        <v>179</v>
      </c>
      <c r="C30" s="40">
        <v>5</v>
      </c>
      <c r="D30" s="40">
        <v>39</v>
      </c>
      <c r="E30" s="40"/>
      <c r="F30" s="41">
        <f>((E30/D30)*0.05)*100</f>
        <v>0</v>
      </c>
      <c r="G30" s="41">
        <f t="shared" si="0"/>
        <v>0</v>
      </c>
    </row>
    <row r="31" spans="1:9" ht="30" x14ac:dyDescent="0.25">
      <c r="B31" s="42" t="s">
        <v>180</v>
      </c>
      <c r="C31" s="40">
        <v>2.5</v>
      </c>
      <c r="D31" s="40">
        <v>39</v>
      </c>
      <c r="E31" s="40"/>
      <c r="F31" s="41">
        <f>((E31/D31)*0.025)*100</f>
        <v>0</v>
      </c>
      <c r="G31" s="41">
        <f t="shared" si="0"/>
        <v>0</v>
      </c>
    </row>
    <row r="32" spans="1:9" ht="30" x14ac:dyDescent="0.25">
      <c r="B32" s="42" t="s">
        <v>181</v>
      </c>
      <c r="C32" s="40">
        <v>2.5</v>
      </c>
      <c r="D32" s="40">
        <v>39</v>
      </c>
      <c r="E32" s="40"/>
      <c r="F32" s="41">
        <f>((E32/D32)*0.025)*100</f>
        <v>0</v>
      </c>
      <c r="G32" s="41">
        <f t="shared" si="0"/>
        <v>0</v>
      </c>
    </row>
    <row r="33" spans="1:7" ht="45" x14ac:dyDescent="0.25">
      <c r="B33" s="43" t="s">
        <v>182</v>
      </c>
      <c r="C33" s="40">
        <v>5</v>
      </c>
      <c r="D33" s="40">
        <v>39</v>
      </c>
      <c r="E33" s="40"/>
      <c r="F33" s="41">
        <f>((E33/D33)*0.05)*100</f>
        <v>0</v>
      </c>
      <c r="G33" s="41">
        <f t="shared" si="0"/>
        <v>0</v>
      </c>
    </row>
    <row r="34" spans="1:7" ht="30" x14ac:dyDescent="0.25">
      <c r="B34" s="43" t="s">
        <v>183</v>
      </c>
      <c r="C34" s="40">
        <v>5</v>
      </c>
      <c r="D34" s="40">
        <v>39</v>
      </c>
      <c r="E34" s="40"/>
      <c r="F34" s="41">
        <f>((E34/D34)*0.1)*100</f>
        <v>0</v>
      </c>
      <c r="G34" s="41">
        <f t="shared" si="0"/>
        <v>0</v>
      </c>
    </row>
    <row r="35" spans="1:7" ht="30" x14ac:dyDescent="0.25">
      <c r="B35" s="43" t="s">
        <v>184</v>
      </c>
      <c r="C35" s="40">
        <v>5</v>
      </c>
      <c r="D35" s="40">
        <v>39</v>
      </c>
      <c r="E35" s="40"/>
      <c r="F35" s="41">
        <f>((E35/D35)*0.05)*100</f>
        <v>0</v>
      </c>
      <c r="G35" s="41">
        <f t="shared" si="0"/>
        <v>0</v>
      </c>
    </row>
    <row r="36" spans="1:7" ht="60" x14ac:dyDescent="0.25">
      <c r="B36" s="43" t="s">
        <v>185</v>
      </c>
      <c r="C36" s="40">
        <v>10</v>
      </c>
      <c r="D36" s="40">
        <v>39</v>
      </c>
      <c r="E36" s="40"/>
      <c r="F36" s="41">
        <f>((E36/D36)*0.1)*100</f>
        <v>0</v>
      </c>
      <c r="G36" s="41">
        <f t="shared" si="0"/>
        <v>0</v>
      </c>
    </row>
    <row r="37" spans="1:7" ht="45" x14ac:dyDescent="0.25">
      <c r="B37" s="43" t="s">
        <v>186</v>
      </c>
      <c r="C37" s="40">
        <v>5</v>
      </c>
      <c r="D37" s="40">
        <v>39</v>
      </c>
      <c r="E37" s="40"/>
      <c r="F37" s="41">
        <f>((E37/D37)*0.1)*100</f>
        <v>0</v>
      </c>
      <c r="G37" s="41">
        <f t="shared" si="0"/>
        <v>0</v>
      </c>
    </row>
    <row r="38" spans="1:7" ht="15.75" x14ac:dyDescent="0.25">
      <c r="B38" s="44" t="s">
        <v>187</v>
      </c>
      <c r="C38" s="45">
        <f>SUM(C26:C37)</f>
        <v>100</v>
      </c>
      <c r="D38" s="44"/>
      <c r="E38" s="44"/>
      <c r="F38" s="45">
        <f>SUM(F26:F37)</f>
        <v>0</v>
      </c>
      <c r="G38" s="45">
        <f>SUM(G26:G37)</f>
        <v>0</v>
      </c>
    </row>
    <row r="39" spans="1:7" x14ac:dyDescent="0.25">
      <c r="B39" s="182" t="s">
        <v>188</v>
      </c>
      <c r="C39" s="182"/>
      <c r="D39" s="182"/>
      <c r="E39" s="182"/>
      <c r="F39" s="182"/>
      <c r="G39" s="182"/>
    </row>
    <row r="40" spans="1:7" x14ac:dyDescent="0.25">
      <c r="B40" s="183" t="s">
        <v>189</v>
      </c>
      <c r="C40" s="183"/>
      <c r="D40" s="183"/>
      <c r="E40" s="183" t="s">
        <v>190</v>
      </c>
      <c r="F40" s="183"/>
      <c r="G40" s="183"/>
    </row>
    <row r="41" spans="1:7" x14ac:dyDescent="0.25">
      <c r="B41" s="179" t="s">
        <v>191</v>
      </c>
      <c r="C41" s="179"/>
      <c r="D41" s="179"/>
      <c r="E41" s="179" t="s">
        <v>192</v>
      </c>
      <c r="F41" s="179"/>
      <c r="G41" s="179"/>
    </row>
    <row r="42" spans="1:7" x14ac:dyDescent="0.25">
      <c r="B42" s="179" t="s">
        <v>193</v>
      </c>
      <c r="C42" s="179"/>
      <c r="D42" s="179"/>
      <c r="E42" s="179" t="s">
        <v>194</v>
      </c>
      <c r="F42" s="179"/>
      <c r="G42" s="179"/>
    </row>
    <row r="43" spans="1:7" x14ac:dyDescent="0.25">
      <c r="B43" s="180" t="s">
        <v>195</v>
      </c>
      <c r="C43" s="180"/>
      <c r="D43" s="180"/>
      <c r="E43" s="180" t="s">
        <v>196</v>
      </c>
      <c r="F43" s="180"/>
      <c r="G43" s="180"/>
    </row>
    <row r="45" spans="1:7" ht="15.75" thickBot="1" x14ac:dyDescent="0.3"/>
    <row r="46" spans="1:7" ht="17.25" thickTop="1" thickBot="1" x14ac:dyDescent="0.3">
      <c r="A46" s="46" t="s">
        <v>197</v>
      </c>
      <c r="B46" s="46" t="s">
        <v>169</v>
      </c>
      <c r="C46" s="47" t="s">
        <v>198</v>
      </c>
      <c r="D46" s="47" t="s">
        <v>199</v>
      </c>
      <c r="E46" s="47" t="s">
        <v>200</v>
      </c>
    </row>
    <row r="47" spans="1:7" ht="31.5" thickTop="1" thickBot="1" x14ac:dyDescent="0.3">
      <c r="A47" s="48">
        <v>1</v>
      </c>
      <c r="B47" s="49" t="s">
        <v>201</v>
      </c>
      <c r="C47" s="50">
        <v>0</v>
      </c>
      <c r="D47" s="51">
        <v>0.1</v>
      </c>
      <c r="E47" s="50">
        <v>0.1</v>
      </c>
    </row>
    <row r="48" spans="1:7" ht="31.5" thickTop="1" thickBot="1" x14ac:dyDescent="0.3">
      <c r="A48" s="48">
        <v>2</v>
      </c>
      <c r="B48" s="49" t="s">
        <v>202</v>
      </c>
      <c r="C48" s="50" t="s">
        <v>203</v>
      </c>
      <c r="D48" s="51" t="s">
        <v>204</v>
      </c>
      <c r="E48" s="50">
        <v>0.3</v>
      </c>
    </row>
    <row r="49" spans="1:5" ht="61.5" thickTop="1" thickBot="1" x14ac:dyDescent="0.3">
      <c r="A49" s="48">
        <v>3</v>
      </c>
      <c r="B49" s="49" t="s">
        <v>205</v>
      </c>
      <c r="C49" s="50" t="s">
        <v>206</v>
      </c>
      <c r="D49" s="51" t="s">
        <v>207</v>
      </c>
      <c r="E49" s="50">
        <v>0.45</v>
      </c>
    </row>
    <row r="50" spans="1:5" ht="76.5" thickTop="1" thickBot="1" x14ac:dyDescent="0.3">
      <c r="A50" s="48">
        <v>4</v>
      </c>
      <c r="B50" s="49" t="s">
        <v>208</v>
      </c>
      <c r="C50" s="50" t="s">
        <v>209</v>
      </c>
      <c r="D50" s="51" t="s">
        <v>210</v>
      </c>
      <c r="E50" s="50">
        <v>0.7</v>
      </c>
    </row>
    <row r="51" spans="1:5" ht="76.5" thickTop="1" thickBot="1" x14ac:dyDescent="0.3">
      <c r="A51" s="48">
        <v>5</v>
      </c>
      <c r="B51" s="49" t="s">
        <v>211</v>
      </c>
      <c r="C51" s="50" t="s">
        <v>212</v>
      </c>
      <c r="D51" s="51" t="s">
        <v>213</v>
      </c>
      <c r="E51" s="50">
        <v>0.75</v>
      </c>
    </row>
    <row r="52" spans="1:5" ht="76.5" thickTop="1" thickBot="1" x14ac:dyDescent="0.3">
      <c r="A52" s="48">
        <v>6</v>
      </c>
      <c r="B52" s="49" t="s">
        <v>214</v>
      </c>
      <c r="C52" s="50" t="s">
        <v>215</v>
      </c>
      <c r="D52" s="51" t="s">
        <v>216</v>
      </c>
      <c r="E52" s="50">
        <v>0.8</v>
      </c>
    </row>
    <row r="53" spans="1:5" ht="121.5" thickTop="1" thickBot="1" x14ac:dyDescent="0.3">
      <c r="A53" s="48">
        <v>7</v>
      </c>
      <c r="B53" s="49" t="s">
        <v>217</v>
      </c>
      <c r="C53" s="50" t="s">
        <v>218</v>
      </c>
      <c r="D53" s="51" t="s">
        <v>219</v>
      </c>
      <c r="E53" s="50">
        <v>0.85</v>
      </c>
    </row>
    <row r="54" spans="1:5" ht="211.5" thickTop="1" thickBot="1" x14ac:dyDescent="0.3">
      <c r="A54" s="48">
        <v>8</v>
      </c>
      <c r="B54" s="49" t="s">
        <v>220</v>
      </c>
      <c r="C54" s="50" t="s">
        <v>221</v>
      </c>
      <c r="D54" s="51" t="s">
        <v>222</v>
      </c>
      <c r="E54" s="50">
        <v>0.95</v>
      </c>
    </row>
    <row r="55" spans="1:5" ht="91.5" thickTop="1" thickBot="1" x14ac:dyDescent="0.3">
      <c r="A55" s="48">
        <v>9</v>
      </c>
      <c r="B55" s="49" t="s">
        <v>223</v>
      </c>
      <c r="C55" s="50" t="s">
        <v>224</v>
      </c>
      <c r="D55" s="51" t="s">
        <v>225</v>
      </c>
      <c r="E55" s="50">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0">
        <v>1</v>
      </c>
      <c r="C2" s="58" t="s">
        <v>247</v>
      </c>
    </row>
    <row r="3" spans="2:3" x14ac:dyDescent="0.25">
      <c r="B3" s="40">
        <v>2</v>
      </c>
      <c r="C3" s="59" t="s">
        <v>248</v>
      </c>
    </row>
    <row r="4" spans="2:3" x14ac:dyDescent="0.25">
      <c r="B4" s="40">
        <v>3</v>
      </c>
      <c r="C4" s="60" t="s">
        <v>249</v>
      </c>
    </row>
    <row r="5" spans="2:3" x14ac:dyDescent="0.25">
      <c r="B5" s="40">
        <v>4</v>
      </c>
      <c r="C5" s="59" t="s">
        <v>250</v>
      </c>
    </row>
    <row r="6" spans="2:3" x14ac:dyDescent="0.25">
      <c r="B6" s="40">
        <v>5</v>
      </c>
      <c r="C6" s="60" t="s">
        <v>251</v>
      </c>
    </row>
    <row r="7" spans="2:3" ht="30" x14ac:dyDescent="0.25">
      <c r="B7" s="40">
        <v>6</v>
      </c>
      <c r="C7" s="59" t="s">
        <v>252</v>
      </c>
    </row>
    <row r="8" spans="2:3" ht="75" x14ac:dyDescent="0.25">
      <c r="B8" s="40">
        <v>7</v>
      </c>
      <c r="C8" s="59" t="s">
        <v>253</v>
      </c>
    </row>
    <row r="9" spans="2:3" x14ac:dyDescent="0.25">
      <c r="B9" s="40">
        <v>8</v>
      </c>
      <c r="C9" s="60" t="s">
        <v>254</v>
      </c>
    </row>
    <row r="10" spans="2:3" x14ac:dyDescent="0.25">
      <c r="B10" s="40">
        <v>9</v>
      </c>
      <c r="C10" s="60" t="s">
        <v>255</v>
      </c>
    </row>
    <row r="11" spans="2:3" x14ac:dyDescent="0.25">
      <c r="B11" s="40">
        <v>10</v>
      </c>
      <c r="C11" s="60" t="s">
        <v>256</v>
      </c>
    </row>
    <row r="12" spans="2:3" x14ac:dyDescent="0.25">
      <c r="B12" s="40">
        <v>11</v>
      </c>
      <c r="C12" s="60" t="s">
        <v>257</v>
      </c>
    </row>
    <row r="13" spans="2:3" x14ac:dyDescent="0.25">
      <c r="B13" s="40">
        <v>12</v>
      </c>
      <c r="C13" s="60" t="s">
        <v>258</v>
      </c>
    </row>
    <row r="14" spans="2:3" x14ac:dyDescent="0.25">
      <c r="B14" s="40">
        <v>13</v>
      </c>
      <c r="C14" s="60" t="s">
        <v>259</v>
      </c>
    </row>
    <row r="15" spans="2:3" x14ac:dyDescent="0.25">
      <c r="B15" s="40">
        <v>14</v>
      </c>
      <c r="C15" s="60" t="s">
        <v>249</v>
      </c>
    </row>
    <row r="16" spans="2:3" x14ac:dyDescent="0.25">
      <c r="B16" s="40">
        <v>15</v>
      </c>
      <c r="C16" s="60" t="s">
        <v>240</v>
      </c>
    </row>
    <row r="17" spans="2:3" x14ac:dyDescent="0.25">
      <c r="B17" s="61">
        <v>16</v>
      </c>
      <c r="C17" s="62" t="s">
        <v>260</v>
      </c>
    </row>
    <row r="18" spans="2:3" x14ac:dyDescent="0.25">
      <c r="B18" s="63">
        <v>17</v>
      </c>
      <c r="C18" s="62" t="s">
        <v>261</v>
      </c>
    </row>
    <row r="19" spans="2:3" x14ac:dyDescent="0.25">
      <c r="B19" s="64">
        <v>18</v>
      </c>
      <c r="C19" s="40" t="s">
        <v>262</v>
      </c>
    </row>
    <row r="20" spans="2:3" x14ac:dyDescent="0.25">
      <c r="B20" s="63">
        <v>19</v>
      </c>
      <c r="C20" s="40" t="s">
        <v>263</v>
      </c>
    </row>
    <row r="21" spans="2:3" x14ac:dyDescent="0.25">
      <c r="B21" s="65">
        <v>20</v>
      </c>
      <c r="C21" s="40" t="s">
        <v>264</v>
      </c>
    </row>
    <row r="22" spans="2:3" x14ac:dyDescent="0.25">
      <c r="B22" s="63">
        <v>21</v>
      </c>
      <c r="C22" s="40" t="s">
        <v>262</v>
      </c>
    </row>
    <row r="23" spans="2:3" s="67" customFormat="1" ht="30" x14ac:dyDescent="0.25">
      <c r="B23" s="66">
        <v>22</v>
      </c>
      <c r="C23" s="58" t="s">
        <v>265</v>
      </c>
    </row>
    <row r="24" spans="2:3" s="67" customFormat="1" ht="30" x14ac:dyDescent="0.25">
      <c r="B24" s="68">
        <v>23</v>
      </c>
      <c r="C24" s="58" t="s">
        <v>266</v>
      </c>
    </row>
    <row r="25" spans="2:3" x14ac:dyDescent="0.25">
      <c r="B25" s="65">
        <v>24</v>
      </c>
      <c r="C25" s="40" t="s">
        <v>267</v>
      </c>
    </row>
    <row r="26" spans="2:3" x14ac:dyDescent="0.25">
      <c r="B26" s="63">
        <v>25</v>
      </c>
      <c r="C26" s="40" t="s">
        <v>268</v>
      </c>
    </row>
    <row r="27" spans="2:3" x14ac:dyDescent="0.25">
      <c r="B27" s="68">
        <v>26</v>
      </c>
      <c r="C27" s="65" t="s">
        <v>269</v>
      </c>
    </row>
    <row r="28" spans="2:3" x14ac:dyDescent="0.25">
      <c r="B28" s="69">
        <v>27</v>
      </c>
      <c r="C28" s="40" t="s">
        <v>270</v>
      </c>
    </row>
    <row r="29" spans="2:3" ht="60" x14ac:dyDescent="0.25">
      <c r="B29" s="70">
        <v>28</v>
      </c>
      <c r="C29" s="59" t="s">
        <v>271</v>
      </c>
    </row>
    <row r="30" spans="2:3" x14ac:dyDescent="0.25">
      <c r="B30" s="68">
        <v>29</v>
      </c>
      <c r="C30" s="40" t="s">
        <v>272</v>
      </c>
    </row>
    <row r="31" spans="2:3" ht="30" x14ac:dyDescent="0.25">
      <c r="B31" s="71">
        <v>30</v>
      </c>
      <c r="C31" s="59" t="s">
        <v>300</v>
      </c>
    </row>
    <row r="32" spans="2:3" x14ac:dyDescent="0.25">
      <c r="B32" s="68">
        <v>31</v>
      </c>
      <c r="C32" s="40" t="s">
        <v>301</v>
      </c>
    </row>
    <row r="33" spans="2:3" x14ac:dyDescent="0.25">
      <c r="B33" s="68">
        <v>32</v>
      </c>
      <c r="C33" s="40" t="s">
        <v>302</v>
      </c>
    </row>
    <row r="34" spans="2:3" ht="30" x14ac:dyDescent="0.25">
      <c r="B34" s="71">
        <v>33</v>
      </c>
      <c r="C34" s="62" t="s">
        <v>303</v>
      </c>
    </row>
    <row r="35" spans="2:3" x14ac:dyDescent="0.25">
      <c r="B35" s="68">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72"/>
    <col min="2" max="2" width="12.28515625" style="72" customWidth="1"/>
    <col min="3" max="16384" width="9.140625" style="72"/>
  </cols>
  <sheetData>
    <row r="2" spans="1:12" x14ac:dyDescent="0.25">
      <c r="B2" s="73" t="s">
        <v>273</v>
      </c>
      <c r="C2" s="190"/>
      <c r="D2" s="190"/>
    </row>
    <row r="3" spans="1:12" x14ac:dyDescent="0.25">
      <c r="D3" s="74"/>
      <c r="E3" s="74"/>
      <c r="F3" s="74"/>
      <c r="G3" s="74"/>
      <c r="H3" s="74"/>
      <c r="I3" s="74"/>
    </row>
    <row r="4" spans="1:12" x14ac:dyDescent="0.25">
      <c r="A4" s="73" t="s">
        <v>274</v>
      </c>
      <c r="B4" s="57" t="s">
        <v>275</v>
      </c>
      <c r="C4" s="191" t="s">
        <v>276</v>
      </c>
      <c r="D4" s="191"/>
      <c r="E4" s="191"/>
      <c r="F4" s="57"/>
      <c r="G4" s="192" t="s">
        <v>277</v>
      </c>
      <c r="H4" s="192"/>
      <c r="I4" s="192"/>
      <c r="J4" s="193" t="s">
        <v>278</v>
      </c>
      <c r="K4" s="193"/>
      <c r="L4" s="193"/>
    </row>
    <row r="5" spans="1:12" x14ac:dyDescent="0.25">
      <c r="A5" s="73"/>
      <c r="B5" s="57"/>
      <c r="C5" s="57" t="s">
        <v>279</v>
      </c>
      <c r="D5" s="57" t="s">
        <v>280</v>
      </c>
      <c r="E5" s="57" t="s">
        <v>281</v>
      </c>
      <c r="F5" s="57"/>
      <c r="G5" s="57" t="s">
        <v>279</v>
      </c>
      <c r="H5" s="57" t="s">
        <v>280</v>
      </c>
      <c r="I5" s="57" t="s">
        <v>281</v>
      </c>
      <c r="J5" s="57" t="s">
        <v>279</v>
      </c>
      <c r="K5" s="57" t="s">
        <v>280</v>
      </c>
      <c r="L5" s="57" t="s">
        <v>281</v>
      </c>
    </row>
    <row r="6" spans="1:12" x14ac:dyDescent="0.25">
      <c r="B6" s="56" t="s">
        <v>282</v>
      </c>
      <c r="C6" s="56"/>
      <c r="D6" s="56"/>
      <c r="E6" s="56">
        <f>C6*D6</f>
        <v>0</v>
      </c>
      <c r="F6" s="56" t="s">
        <v>283</v>
      </c>
      <c r="G6" s="56"/>
      <c r="H6" s="56"/>
      <c r="I6" s="56">
        <f>G6*H6</f>
        <v>0</v>
      </c>
      <c r="J6" s="56"/>
      <c r="K6" s="56"/>
      <c r="L6" s="56">
        <f>J6*K6</f>
        <v>0</v>
      </c>
    </row>
    <row r="7" spans="1:12" x14ac:dyDescent="0.25">
      <c r="B7" s="56"/>
      <c r="C7" s="56"/>
      <c r="D7" s="56"/>
      <c r="E7" s="56">
        <f t="shared" ref="E7:E41" si="0">C7*D7</f>
        <v>0</v>
      </c>
      <c r="F7" s="56" t="s">
        <v>283</v>
      </c>
      <c r="G7" s="56"/>
      <c r="H7" s="56"/>
      <c r="I7" s="56">
        <f t="shared" ref="I7:I35" si="1">G7*H7</f>
        <v>0</v>
      </c>
      <c r="J7" s="56"/>
      <c r="K7" s="56"/>
      <c r="L7" s="56">
        <f t="shared" ref="L7:L35" si="2">J7*K7</f>
        <v>0</v>
      </c>
    </row>
    <row r="8" spans="1:12" x14ac:dyDescent="0.25">
      <c r="B8" s="56"/>
      <c r="C8" s="56"/>
      <c r="D8" s="56"/>
      <c r="E8" s="56">
        <f t="shared" si="0"/>
        <v>0</v>
      </c>
      <c r="F8" s="56"/>
      <c r="G8" s="56"/>
      <c r="H8" s="56"/>
      <c r="I8" s="56">
        <f t="shared" si="1"/>
        <v>0</v>
      </c>
      <c r="J8" s="56"/>
      <c r="K8" s="56"/>
      <c r="L8" s="56">
        <f t="shared" si="2"/>
        <v>0</v>
      </c>
    </row>
    <row r="9" spans="1:12" x14ac:dyDescent="0.25">
      <c r="B9" s="56"/>
      <c r="C9" s="56"/>
      <c r="D9" s="56"/>
      <c r="E9" s="56">
        <f t="shared" si="0"/>
        <v>0</v>
      </c>
      <c r="F9" s="56" t="s">
        <v>284</v>
      </c>
      <c r="G9" s="56"/>
      <c r="H9" s="56"/>
      <c r="I9" s="56">
        <f t="shared" si="1"/>
        <v>0</v>
      </c>
      <c r="J9" s="56"/>
      <c r="K9" s="56"/>
      <c r="L9" s="56">
        <f t="shared" si="2"/>
        <v>0</v>
      </c>
    </row>
    <row r="10" spans="1:12" x14ac:dyDescent="0.25">
      <c r="B10" s="56" t="s">
        <v>285</v>
      </c>
      <c r="C10" s="56"/>
      <c r="D10" s="56"/>
      <c r="E10" s="56">
        <f t="shared" si="0"/>
        <v>0</v>
      </c>
      <c r="F10" s="56" t="s">
        <v>284</v>
      </c>
      <c r="G10" s="56"/>
      <c r="H10" s="56"/>
      <c r="I10" s="56">
        <f t="shared" si="1"/>
        <v>0</v>
      </c>
      <c r="J10" s="56"/>
      <c r="K10" s="56"/>
      <c r="L10" s="56">
        <f t="shared" si="2"/>
        <v>0</v>
      </c>
    </row>
    <row r="11" spans="1:12" x14ac:dyDescent="0.25">
      <c r="B11" s="56"/>
      <c r="C11" s="56"/>
      <c r="D11" s="56"/>
      <c r="E11" s="56">
        <f t="shared" si="0"/>
        <v>0</v>
      </c>
      <c r="F11" s="56" t="s">
        <v>286</v>
      </c>
      <c r="G11" s="56"/>
      <c r="H11" s="56"/>
      <c r="I11" s="56">
        <f t="shared" si="1"/>
        <v>0</v>
      </c>
      <c r="J11" s="56"/>
      <c r="K11" s="56"/>
      <c r="L11" s="56">
        <f t="shared" si="2"/>
        <v>0</v>
      </c>
    </row>
    <row r="12" spans="1:12" x14ac:dyDescent="0.25">
      <c r="B12" s="56"/>
      <c r="C12" s="56"/>
      <c r="D12" s="56"/>
      <c r="E12" s="56">
        <f t="shared" si="0"/>
        <v>0</v>
      </c>
      <c r="F12" s="56"/>
      <c r="G12" s="56"/>
      <c r="H12" s="56"/>
      <c r="I12" s="56">
        <f t="shared" si="1"/>
        <v>0</v>
      </c>
      <c r="J12" s="56"/>
      <c r="K12" s="56"/>
      <c r="L12" s="56">
        <f t="shared" si="2"/>
        <v>0</v>
      </c>
    </row>
    <row r="13" spans="1:12" x14ac:dyDescent="0.25">
      <c r="B13" s="56"/>
      <c r="C13" s="56"/>
      <c r="D13" s="56"/>
      <c r="E13" s="56">
        <f t="shared" si="0"/>
        <v>0</v>
      </c>
      <c r="F13" s="56"/>
      <c r="G13" s="56"/>
      <c r="H13" s="56"/>
      <c r="I13" s="56">
        <f t="shared" si="1"/>
        <v>0</v>
      </c>
      <c r="J13" s="56"/>
      <c r="K13" s="56"/>
      <c r="L13" s="56">
        <f t="shared" si="2"/>
        <v>0</v>
      </c>
    </row>
    <row r="14" spans="1:12" x14ac:dyDescent="0.25">
      <c r="B14" s="56" t="s">
        <v>287</v>
      </c>
      <c r="C14" s="56"/>
      <c r="D14" s="56"/>
      <c r="E14" s="56">
        <f t="shared" si="0"/>
        <v>0</v>
      </c>
      <c r="F14" s="56" t="s">
        <v>284</v>
      </c>
      <c r="G14" s="56"/>
      <c r="H14" s="56"/>
      <c r="I14" s="56">
        <f t="shared" si="1"/>
        <v>0</v>
      </c>
      <c r="J14" s="56"/>
      <c r="K14" s="56"/>
      <c r="L14" s="56">
        <f t="shared" si="2"/>
        <v>0</v>
      </c>
    </row>
    <row r="15" spans="1:12" x14ac:dyDescent="0.25">
      <c r="B15" s="56"/>
      <c r="C15" s="56"/>
      <c r="D15" s="56"/>
      <c r="E15" s="56">
        <f t="shared" si="0"/>
        <v>0</v>
      </c>
      <c r="F15" s="56" t="s">
        <v>286</v>
      </c>
      <c r="G15" s="56"/>
      <c r="H15" s="56"/>
      <c r="I15" s="56">
        <f t="shared" si="1"/>
        <v>0</v>
      </c>
      <c r="J15" s="56"/>
      <c r="K15" s="56"/>
      <c r="L15" s="56">
        <f t="shared" si="2"/>
        <v>0</v>
      </c>
    </row>
    <row r="16" spans="1:12" x14ac:dyDescent="0.25">
      <c r="B16" s="56"/>
      <c r="C16" s="56"/>
      <c r="D16" s="56"/>
      <c r="E16" s="56">
        <f t="shared" si="0"/>
        <v>0</v>
      </c>
      <c r="F16" s="56"/>
      <c r="G16" s="56"/>
      <c r="H16" s="56"/>
      <c r="I16" s="56">
        <f t="shared" si="1"/>
        <v>0</v>
      </c>
      <c r="J16" s="56"/>
      <c r="K16" s="56"/>
      <c r="L16" s="56">
        <f t="shared" si="2"/>
        <v>0</v>
      </c>
    </row>
    <row r="17" spans="2:12" x14ac:dyDescent="0.25">
      <c r="B17" s="56"/>
      <c r="C17" s="56"/>
      <c r="D17" s="56"/>
      <c r="E17" s="56">
        <f t="shared" si="0"/>
        <v>0</v>
      </c>
      <c r="F17" s="56"/>
      <c r="G17" s="56"/>
      <c r="H17" s="56"/>
      <c r="I17" s="56">
        <f t="shared" si="1"/>
        <v>0</v>
      </c>
      <c r="J17" s="56"/>
      <c r="K17" s="56"/>
      <c r="L17" s="56">
        <f t="shared" si="2"/>
        <v>0</v>
      </c>
    </row>
    <row r="18" spans="2:12" x14ac:dyDescent="0.25">
      <c r="B18" s="56" t="s">
        <v>288</v>
      </c>
      <c r="C18" s="56"/>
      <c r="D18" s="56"/>
      <c r="E18" s="56">
        <f t="shared" si="0"/>
        <v>0</v>
      </c>
      <c r="F18" s="56" t="s">
        <v>284</v>
      </c>
      <c r="G18" s="56"/>
      <c r="H18" s="56"/>
      <c r="I18" s="56">
        <f t="shared" si="1"/>
        <v>0</v>
      </c>
      <c r="J18" s="56"/>
      <c r="K18" s="56"/>
      <c r="L18" s="56">
        <f t="shared" si="2"/>
        <v>0</v>
      </c>
    </row>
    <row r="19" spans="2:12" x14ac:dyDescent="0.25">
      <c r="B19" s="56"/>
      <c r="C19" s="56"/>
      <c r="D19" s="56"/>
      <c r="E19" s="56">
        <f t="shared" si="0"/>
        <v>0</v>
      </c>
      <c r="F19" s="56" t="s">
        <v>286</v>
      </c>
      <c r="G19" s="56"/>
      <c r="H19" s="56"/>
      <c r="I19" s="56">
        <f t="shared" si="1"/>
        <v>0</v>
      </c>
      <c r="J19" s="56"/>
      <c r="K19" s="56"/>
      <c r="L19" s="56">
        <f t="shared" si="2"/>
        <v>0</v>
      </c>
    </row>
    <row r="20" spans="2:12" x14ac:dyDescent="0.25">
      <c r="B20" s="56"/>
      <c r="C20" s="56"/>
      <c r="D20" s="56"/>
      <c r="E20" s="56">
        <f t="shared" si="0"/>
        <v>0</v>
      </c>
      <c r="F20" s="56"/>
      <c r="G20" s="56"/>
      <c r="H20" s="56"/>
      <c r="I20" s="56">
        <f t="shared" si="1"/>
        <v>0</v>
      </c>
      <c r="J20" s="56"/>
      <c r="K20" s="56"/>
      <c r="L20" s="56">
        <f t="shared" si="2"/>
        <v>0</v>
      </c>
    </row>
    <row r="21" spans="2:12" x14ac:dyDescent="0.25">
      <c r="B21" s="56" t="s">
        <v>289</v>
      </c>
      <c r="C21" s="56"/>
      <c r="D21" s="56"/>
      <c r="E21" s="56">
        <f t="shared" si="0"/>
        <v>0</v>
      </c>
      <c r="F21" s="56" t="s">
        <v>284</v>
      </c>
      <c r="G21" s="56"/>
      <c r="H21" s="56"/>
      <c r="I21" s="56">
        <f t="shared" si="1"/>
        <v>0</v>
      </c>
      <c r="J21" s="56"/>
      <c r="K21" s="56"/>
      <c r="L21" s="56">
        <f t="shared" si="2"/>
        <v>0</v>
      </c>
    </row>
    <row r="22" spans="2:12" x14ac:dyDescent="0.25">
      <c r="B22" s="56"/>
      <c r="C22" s="56"/>
      <c r="D22" s="56"/>
      <c r="E22" s="56">
        <f t="shared" si="0"/>
        <v>0</v>
      </c>
      <c r="F22" s="56" t="s">
        <v>286</v>
      </c>
      <c r="G22" s="56"/>
      <c r="H22" s="56"/>
      <c r="I22" s="56">
        <f t="shared" si="1"/>
        <v>0</v>
      </c>
      <c r="J22" s="56"/>
      <c r="K22" s="56"/>
      <c r="L22" s="56">
        <f t="shared" si="2"/>
        <v>0</v>
      </c>
    </row>
    <row r="23" spans="2:12" x14ac:dyDescent="0.25">
      <c r="B23" s="56"/>
      <c r="C23" s="56"/>
      <c r="D23" s="56"/>
      <c r="E23" s="56">
        <f t="shared" si="0"/>
        <v>0</v>
      </c>
      <c r="F23" s="56"/>
      <c r="G23" s="56"/>
      <c r="H23" s="56"/>
      <c r="I23" s="56">
        <f t="shared" si="1"/>
        <v>0</v>
      </c>
      <c r="J23" s="56"/>
      <c r="K23" s="56"/>
      <c r="L23" s="56">
        <f t="shared" si="2"/>
        <v>0</v>
      </c>
    </row>
    <row r="24" spans="2:12" x14ac:dyDescent="0.25">
      <c r="B24" s="56" t="s">
        <v>290</v>
      </c>
      <c r="C24" s="56"/>
      <c r="D24" s="56"/>
      <c r="E24" s="56">
        <f t="shared" si="0"/>
        <v>0</v>
      </c>
      <c r="F24" s="56" t="s">
        <v>291</v>
      </c>
      <c r="G24" s="56"/>
      <c r="H24" s="56"/>
      <c r="I24" s="56">
        <f t="shared" si="1"/>
        <v>0</v>
      </c>
      <c r="J24" s="56"/>
      <c r="K24" s="56"/>
      <c r="L24" s="56">
        <f t="shared" si="2"/>
        <v>0</v>
      </c>
    </row>
    <row r="25" spans="2:12" x14ac:dyDescent="0.25">
      <c r="B25" s="56"/>
      <c r="C25" s="56"/>
      <c r="D25" s="56"/>
      <c r="E25" s="56">
        <f t="shared" si="0"/>
        <v>0</v>
      </c>
      <c r="F25" s="56" t="s">
        <v>291</v>
      </c>
      <c r="G25" s="56"/>
      <c r="H25" s="56"/>
      <c r="I25" s="56">
        <f t="shared" si="1"/>
        <v>0</v>
      </c>
      <c r="J25" s="56"/>
      <c r="K25" s="56"/>
      <c r="L25" s="56">
        <f t="shared" si="2"/>
        <v>0</v>
      </c>
    </row>
    <row r="26" spans="2:12" x14ac:dyDescent="0.25">
      <c r="B26" s="56"/>
      <c r="C26" s="56"/>
      <c r="D26" s="56"/>
      <c r="E26" s="56">
        <f t="shared" si="0"/>
        <v>0</v>
      </c>
      <c r="F26" s="56" t="s">
        <v>291</v>
      </c>
      <c r="G26" s="56"/>
      <c r="H26" s="56"/>
      <c r="I26" s="56">
        <f t="shared" si="1"/>
        <v>0</v>
      </c>
      <c r="J26" s="56"/>
      <c r="K26" s="56"/>
      <c r="L26" s="56">
        <f t="shared" si="2"/>
        <v>0</v>
      </c>
    </row>
    <row r="27" spans="2:12" x14ac:dyDescent="0.25">
      <c r="B27" s="56"/>
      <c r="C27" s="56"/>
      <c r="D27" s="56"/>
      <c r="E27" s="56">
        <f t="shared" si="0"/>
        <v>0</v>
      </c>
      <c r="F27" s="56" t="s">
        <v>291</v>
      </c>
      <c r="G27" s="56"/>
      <c r="H27" s="56"/>
      <c r="I27" s="56">
        <f t="shared" si="1"/>
        <v>0</v>
      </c>
      <c r="J27" s="56"/>
      <c r="K27" s="56"/>
      <c r="L27" s="56">
        <f t="shared" si="2"/>
        <v>0</v>
      </c>
    </row>
    <row r="28" spans="2:12" x14ac:dyDescent="0.25">
      <c r="B28" s="56" t="s">
        <v>292</v>
      </c>
      <c r="C28" s="56"/>
      <c r="D28" s="56"/>
      <c r="E28" s="56">
        <f t="shared" si="0"/>
        <v>0</v>
      </c>
      <c r="F28" s="56" t="s">
        <v>291</v>
      </c>
      <c r="G28" s="56"/>
      <c r="H28" s="56"/>
      <c r="I28" s="56">
        <f t="shared" si="1"/>
        <v>0</v>
      </c>
      <c r="J28" s="56"/>
      <c r="K28" s="56"/>
      <c r="L28" s="56">
        <f t="shared" si="2"/>
        <v>0</v>
      </c>
    </row>
    <row r="29" spans="2:12" x14ac:dyDescent="0.25">
      <c r="B29" s="56" t="s">
        <v>293</v>
      </c>
      <c r="C29" s="56"/>
      <c r="D29" s="56"/>
      <c r="E29" s="56">
        <f t="shared" si="0"/>
        <v>0</v>
      </c>
      <c r="F29" s="56" t="s">
        <v>291</v>
      </c>
      <c r="G29" s="56"/>
      <c r="H29" s="56"/>
      <c r="I29" s="56">
        <f t="shared" si="1"/>
        <v>0</v>
      </c>
      <c r="J29" s="56"/>
      <c r="K29" s="56"/>
      <c r="L29" s="56">
        <f t="shared" si="2"/>
        <v>0</v>
      </c>
    </row>
    <row r="30" spans="2:12" x14ac:dyDescent="0.25">
      <c r="B30" s="56" t="s">
        <v>294</v>
      </c>
      <c r="C30" s="56"/>
      <c r="D30" s="56"/>
      <c r="E30" s="56">
        <f t="shared" si="0"/>
        <v>0</v>
      </c>
      <c r="F30" s="56"/>
      <c r="G30" s="56"/>
      <c r="H30" s="56"/>
      <c r="I30" s="56">
        <f t="shared" si="1"/>
        <v>0</v>
      </c>
      <c r="J30" s="56"/>
      <c r="K30" s="56"/>
      <c r="L30" s="56">
        <f t="shared" si="2"/>
        <v>0</v>
      </c>
    </row>
    <row r="31" spans="2:12" x14ac:dyDescent="0.25">
      <c r="B31" s="56"/>
      <c r="C31" s="56"/>
      <c r="D31" s="56"/>
      <c r="E31" s="56">
        <f t="shared" si="0"/>
        <v>0</v>
      </c>
      <c r="F31" s="56"/>
      <c r="G31" s="56"/>
      <c r="H31" s="56"/>
      <c r="I31" s="56">
        <f t="shared" si="1"/>
        <v>0</v>
      </c>
      <c r="J31" s="56"/>
      <c r="K31" s="56"/>
      <c r="L31" s="56">
        <f t="shared" si="2"/>
        <v>0</v>
      </c>
    </row>
    <row r="32" spans="2:12" x14ac:dyDescent="0.25">
      <c r="B32" s="56"/>
      <c r="C32" s="56"/>
      <c r="D32" s="56"/>
      <c r="E32" s="56">
        <f t="shared" si="0"/>
        <v>0</v>
      </c>
      <c r="F32" s="56"/>
      <c r="G32" s="56"/>
      <c r="H32" s="56"/>
      <c r="I32" s="56">
        <f t="shared" si="1"/>
        <v>0</v>
      </c>
      <c r="J32" s="56"/>
      <c r="K32" s="56"/>
      <c r="L32" s="56">
        <f t="shared" si="2"/>
        <v>0</v>
      </c>
    </row>
    <row r="33" spans="2:12" x14ac:dyDescent="0.25">
      <c r="B33" s="56" t="s">
        <v>295</v>
      </c>
      <c r="C33" s="56"/>
      <c r="D33" s="56"/>
      <c r="E33" s="56">
        <f t="shared" si="0"/>
        <v>0</v>
      </c>
      <c r="F33" s="56"/>
      <c r="G33" s="56"/>
      <c r="H33" s="56"/>
      <c r="I33" s="56">
        <f t="shared" si="1"/>
        <v>0</v>
      </c>
      <c r="J33" s="56"/>
      <c r="K33" s="56"/>
      <c r="L33" s="56">
        <f t="shared" si="2"/>
        <v>0</v>
      </c>
    </row>
    <row r="34" spans="2:12" x14ac:dyDescent="0.25">
      <c r="B34" s="56" t="s">
        <v>296</v>
      </c>
      <c r="C34" s="56"/>
      <c r="D34" s="56"/>
      <c r="E34" s="56">
        <f t="shared" si="0"/>
        <v>0</v>
      </c>
      <c r="F34" s="56"/>
      <c r="G34" s="56"/>
      <c r="H34" s="56"/>
      <c r="I34" s="56">
        <f t="shared" si="1"/>
        <v>0</v>
      </c>
      <c r="J34" s="56"/>
      <c r="K34" s="56"/>
      <c r="L34" s="56">
        <f t="shared" si="2"/>
        <v>0</v>
      </c>
    </row>
    <row r="35" spans="2:12" x14ac:dyDescent="0.25">
      <c r="B35" s="56" t="s">
        <v>297</v>
      </c>
      <c r="C35" s="56"/>
      <c r="D35" s="56"/>
      <c r="E35" s="56">
        <f t="shared" si="0"/>
        <v>0</v>
      </c>
      <c r="F35" s="56"/>
      <c r="G35" s="56"/>
      <c r="H35" s="56"/>
      <c r="I35" s="56">
        <f t="shared" si="1"/>
        <v>0</v>
      </c>
      <c r="J35" s="56"/>
      <c r="K35" s="56"/>
      <c r="L35" s="56">
        <f t="shared" si="2"/>
        <v>0</v>
      </c>
    </row>
    <row r="36" spans="2:12" x14ac:dyDescent="0.25">
      <c r="B36" s="56" t="s">
        <v>298</v>
      </c>
      <c r="C36" s="56"/>
      <c r="D36" s="56"/>
      <c r="E36" s="56">
        <f t="shared" si="0"/>
        <v>0</v>
      </c>
      <c r="F36" s="56"/>
      <c r="G36" s="56"/>
      <c r="H36" s="56"/>
      <c r="I36" s="56">
        <f>G36*H36</f>
        <v>0</v>
      </c>
      <c r="J36" s="56"/>
      <c r="K36" s="56"/>
      <c r="L36" s="56">
        <f>J36*K36</f>
        <v>0</v>
      </c>
    </row>
    <row r="37" spans="2:12" x14ac:dyDescent="0.25">
      <c r="B37" s="56"/>
      <c r="C37" s="56"/>
      <c r="D37" s="56"/>
      <c r="E37" s="56">
        <f t="shared" si="0"/>
        <v>0</v>
      </c>
      <c r="F37" s="56"/>
      <c r="G37" s="56"/>
      <c r="H37" s="56"/>
      <c r="I37" s="56">
        <f t="shared" ref="I37:I38" si="3">G37*H37</f>
        <v>0</v>
      </c>
      <c r="J37" s="56"/>
      <c r="K37" s="56"/>
      <c r="L37" s="56">
        <f t="shared" ref="L37:L38" si="4">J37*K37</f>
        <v>0</v>
      </c>
    </row>
    <row r="38" spans="2:12" x14ac:dyDescent="0.25">
      <c r="B38" s="56" t="s">
        <v>299</v>
      </c>
      <c r="C38" s="56"/>
      <c r="D38" s="56"/>
      <c r="E38" s="56">
        <f t="shared" si="0"/>
        <v>0</v>
      </c>
      <c r="F38" s="56"/>
      <c r="G38" s="56"/>
      <c r="H38" s="56"/>
      <c r="I38" s="56">
        <f t="shared" si="3"/>
        <v>0</v>
      </c>
      <c r="J38" s="56"/>
      <c r="K38" s="56"/>
      <c r="L38" s="56">
        <f t="shared" si="4"/>
        <v>0</v>
      </c>
    </row>
    <row r="39" spans="2:12" x14ac:dyDescent="0.25">
      <c r="B39" s="56"/>
      <c r="C39" s="56"/>
      <c r="D39" s="56"/>
      <c r="E39" s="56">
        <f t="shared" si="0"/>
        <v>0</v>
      </c>
      <c r="F39" s="56"/>
      <c r="G39" s="56"/>
      <c r="H39" s="56"/>
      <c r="I39" s="56">
        <f>G39*H39</f>
        <v>0</v>
      </c>
      <c r="J39" s="56"/>
      <c r="K39" s="56"/>
      <c r="L39" s="56">
        <f>J39*K39</f>
        <v>0</v>
      </c>
    </row>
    <row r="40" spans="2:12" x14ac:dyDescent="0.25">
      <c r="B40" s="56"/>
      <c r="C40" s="56"/>
      <c r="D40" s="56"/>
      <c r="E40" s="56">
        <f t="shared" si="0"/>
        <v>0</v>
      </c>
      <c r="F40" s="56"/>
      <c r="G40" s="56"/>
      <c r="H40" s="56"/>
      <c r="I40" s="56">
        <f>G40*H40</f>
        <v>0</v>
      </c>
      <c r="J40" s="56"/>
      <c r="K40" s="56"/>
      <c r="L40" s="56">
        <f>J40*K40</f>
        <v>0</v>
      </c>
    </row>
    <row r="41" spans="2:12" x14ac:dyDescent="0.25">
      <c r="B41" s="56"/>
      <c r="C41" s="56"/>
      <c r="D41" s="56"/>
      <c r="E41" s="56">
        <f t="shared" si="0"/>
        <v>0</v>
      </c>
      <c r="F41" s="56"/>
      <c r="G41" s="56"/>
      <c r="H41" s="56"/>
      <c r="I41" s="56">
        <f>G41*H41</f>
        <v>0</v>
      </c>
      <c r="J41" s="56"/>
      <c r="K41" s="56"/>
      <c r="L41" s="56">
        <f>J41*K41</f>
        <v>0</v>
      </c>
    </row>
    <row r="42" spans="2:12" x14ac:dyDescent="0.25">
      <c r="B42" s="56" t="s">
        <v>153</v>
      </c>
      <c r="C42" s="56"/>
      <c r="D42" s="56">
        <f>E42*10.764</f>
        <v>0</v>
      </c>
      <c r="E42" s="75">
        <f>SUM(E6:E41)</f>
        <v>0</v>
      </c>
      <c r="F42" s="56"/>
      <c r="G42" s="56"/>
      <c r="H42" s="56">
        <f>I42*10.764</f>
        <v>0</v>
      </c>
      <c r="I42" s="76">
        <f>SUM(I6:I41)</f>
        <v>0</v>
      </c>
      <c r="J42" s="56"/>
      <c r="K42" s="56">
        <f>L42*10.764</f>
        <v>0</v>
      </c>
      <c r="L42" s="77">
        <f>SUM(L6:L41)</f>
        <v>0</v>
      </c>
    </row>
    <row r="44" spans="2:12" x14ac:dyDescent="0.25">
      <c r="D44" s="72">
        <f>D42+H42</f>
        <v>0</v>
      </c>
      <c r="E44" s="7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2025-07-04T10:04:06Z</cp:lastPrinted>
  <dcterms:created xsi:type="dcterms:W3CDTF">2010-11-23T11:42:48Z</dcterms:created>
  <dcterms:modified xsi:type="dcterms:W3CDTF">2025-07-04T10:06:43Z</dcterms:modified>
</cp:coreProperties>
</file>