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Z:\APF\25-26\July 2025\Godrej\NEW\Gaurav\Shreeji Milestone\Shreeji Milestone\"/>
    </mc:Choice>
  </mc:AlternateContent>
  <bookViews>
    <workbookView xWindow="-120" yWindow="-120" windowWidth="20730" windowHeight="11160"/>
  </bookViews>
  <sheets>
    <sheet name="Report" sheetId="3" r:id="rId1"/>
    <sheet name="Sheet1" sheetId="7" r:id="rId2"/>
    <sheet name="Construction table" sheetId="4" r:id="rId3"/>
    <sheet name="Remarks" sheetId="5" r:id="rId4"/>
    <sheet name="Area Calculation" sheetId="6" r:id="rId5"/>
  </sheets>
  <definedNames>
    <definedName name="_xlnm.Print_Area" localSheetId="0">Report!$A$1:$H$458</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96" i="3" l="1"/>
  <c r="L199" i="3"/>
  <c r="I204" i="3"/>
  <c r="F267" i="3"/>
  <c r="E267" i="3"/>
  <c r="F266" i="3"/>
  <c r="E266" i="3"/>
  <c r="F265" i="3"/>
  <c r="E265" i="3"/>
  <c r="F264" i="3"/>
  <c r="E264" i="3"/>
  <c r="F263" i="3"/>
  <c r="E263" i="3"/>
  <c r="F259" i="3"/>
  <c r="E259" i="3"/>
  <c r="F258" i="3"/>
  <c r="E258" i="3"/>
  <c r="F257" i="3"/>
  <c r="E257" i="3"/>
  <c r="F255" i="3"/>
  <c r="F254" i="3"/>
  <c r="F253" i="3"/>
  <c r="E252" i="3"/>
  <c r="F250" i="3"/>
  <c r="F249" i="3"/>
  <c r="F248" i="3"/>
  <c r="F237" i="3"/>
  <c r="F242" i="3"/>
  <c r="E242" i="3"/>
  <c r="F233" i="3"/>
  <c r="F228" i="3"/>
  <c r="F194" i="3"/>
  <c r="E194" i="3"/>
  <c r="F193" i="3"/>
  <c r="E193" i="3"/>
  <c r="F192" i="3"/>
  <c r="E192" i="3"/>
  <c r="F191" i="3"/>
  <c r="E191" i="3"/>
  <c r="F190" i="3"/>
  <c r="E190" i="3"/>
  <c r="F189" i="3"/>
  <c r="E189" i="3"/>
  <c r="F188" i="3"/>
  <c r="E188" i="3"/>
  <c r="F182" i="3"/>
  <c r="F181" i="3"/>
  <c r="F180" i="3"/>
  <c r="F179" i="3"/>
  <c r="F184" i="3"/>
  <c r="E184" i="3"/>
  <c r="F183" i="3"/>
  <c r="E183" i="3"/>
  <c r="E182" i="3"/>
  <c r="E181" i="3"/>
  <c r="E180" i="3"/>
  <c r="E179" i="3"/>
  <c r="F178" i="3"/>
  <c r="E178" i="3"/>
  <c r="F177" i="3"/>
  <c r="E177" i="3"/>
  <c r="F176" i="3"/>
  <c r="E176" i="3"/>
  <c r="I174" i="3"/>
  <c r="F174" i="3"/>
  <c r="F173" i="3"/>
  <c r="G172" i="3"/>
  <c r="F172" i="3"/>
  <c r="F171" i="3"/>
  <c r="F170" i="3"/>
  <c r="F169" i="3"/>
  <c r="F168" i="3"/>
  <c r="J166" i="3"/>
  <c r="L75" i="3"/>
  <c r="M75" i="3" s="1"/>
  <c r="C19" i="3"/>
  <c r="D322" i="3" l="1"/>
  <c r="D320" i="3"/>
  <c r="I21" i="3" l="1"/>
  <c r="I225" i="3"/>
  <c r="I197" i="3"/>
  <c r="I175" i="3"/>
  <c r="F262" i="3"/>
  <c r="E262" i="3"/>
  <c r="F260" i="3"/>
  <c r="E260" i="3"/>
  <c r="I260" i="3"/>
  <c r="H266" i="3"/>
  <c r="H263" i="3"/>
  <c r="H257" i="3"/>
  <c r="A258" i="3"/>
  <c r="A259" i="3" s="1"/>
  <c r="A260" i="3" s="1"/>
  <c r="A262" i="3" s="1"/>
  <c r="A263" i="3" s="1"/>
  <c r="A264" i="3" s="1"/>
  <c r="A265" i="3" s="1"/>
  <c r="A266" i="3" s="1"/>
  <c r="A267" i="3" s="1"/>
  <c r="E255" i="3"/>
  <c r="E254" i="3"/>
  <c r="E253" i="3"/>
  <c r="H253" i="3" s="1"/>
  <c r="F252" i="3"/>
  <c r="F251" i="3"/>
  <c r="E251" i="3"/>
  <c r="E250" i="3"/>
  <c r="E249" i="3"/>
  <c r="E248" i="3"/>
  <c r="F247" i="3"/>
  <c r="E247" i="3"/>
  <c r="F246" i="3"/>
  <c r="E246" i="3"/>
  <c r="H255" i="3"/>
  <c r="A247" i="3"/>
  <c r="A248" i="3" s="1"/>
  <c r="A249" i="3" s="1"/>
  <c r="A250" i="3" s="1"/>
  <c r="A251" i="3" s="1"/>
  <c r="A252" i="3" s="1"/>
  <c r="A253" i="3" s="1"/>
  <c r="A254" i="3" s="1"/>
  <c r="A255" i="3" s="1"/>
  <c r="E237" i="3"/>
  <c r="F241" i="3"/>
  <c r="E241" i="3"/>
  <c r="F240" i="3"/>
  <c r="E240" i="3"/>
  <c r="F239" i="3"/>
  <c r="E239" i="3"/>
  <c r="F236" i="3"/>
  <c r="E236" i="3"/>
  <c r="F235" i="3"/>
  <c r="E235" i="3"/>
  <c r="A236" i="3"/>
  <c r="A237" i="3" s="1"/>
  <c r="A238" i="3" s="1"/>
  <c r="A239" i="3" s="1"/>
  <c r="A240" i="3" s="1"/>
  <c r="A241" i="3" s="1"/>
  <c r="A242" i="3" s="1"/>
  <c r="E233" i="3"/>
  <c r="F232" i="3"/>
  <c r="E232" i="3"/>
  <c r="F231" i="3"/>
  <c r="E231" i="3"/>
  <c r="F230" i="3"/>
  <c r="E230" i="3"/>
  <c r="F229" i="3"/>
  <c r="E229" i="3"/>
  <c r="E228" i="3"/>
  <c r="F227" i="3"/>
  <c r="E227" i="3"/>
  <c r="F226" i="3"/>
  <c r="E226" i="3"/>
  <c r="A227" i="3"/>
  <c r="A228" i="3" s="1"/>
  <c r="A229" i="3" s="1"/>
  <c r="A230" i="3" s="1"/>
  <c r="A231" i="3" s="1"/>
  <c r="A232" i="3" s="1"/>
  <c r="A233" i="3" s="1"/>
  <c r="I201" i="3"/>
  <c r="I198" i="3"/>
  <c r="F222" i="3"/>
  <c r="E222" i="3"/>
  <c r="F221" i="3"/>
  <c r="E221" i="3"/>
  <c r="F220" i="3"/>
  <c r="E220" i="3"/>
  <c r="F219" i="3"/>
  <c r="E219" i="3"/>
  <c r="F218" i="3"/>
  <c r="E218" i="3"/>
  <c r="F217" i="3"/>
  <c r="E217" i="3"/>
  <c r="F216" i="3"/>
  <c r="E216" i="3"/>
  <c r="F215" i="3"/>
  <c r="E215" i="3"/>
  <c r="F213" i="3"/>
  <c r="E213" i="3"/>
  <c r="F212" i="3"/>
  <c r="E212" i="3"/>
  <c r="F211" i="3"/>
  <c r="E211" i="3"/>
  <c r="A212" i="3"/>
  <c r="A213" i="3" s="1"/>
  <c r="A214" i="3" s="1"/>
  <c r="A215" i="3" s="1"/>
  <c r="A216" i="3" s="1"/>
  <c r="A217" i="3" s="1"/>
  <c r="A218" i="3" s="1"/>
  <c r="A219" i="3" s="1"/>
  <c r="A220" i="3" s="1"/>
  <c r="A221" i="3" s="1"/>
  <c r="A222" i="3" s="1"/>
  <c r="F209" i="3"/>
  <c r="E209" i="3"/>
  <c r="F208" i="3"/>
  <c r="E208" i="3"/>
  <c r="F207" i="3"/>
  <c r="E207" i="3"/>
  <c r="F206" i="3"/>
  <c r="E206" i="3"/>
  <c r="F205" i="3"/>
  <c r="E205" i="3"/>
  <c r="F204" i="3"/>
  <c r="E204" i="3"/>
  <c r="F203" i="3"/>
  <c r="E203" i="3"/>
  <c r="F202" i="3"/>
  <c r="E202" i="3"/>
  <c r="F201" i="3"/>
  <c r="E201" i="3"/>
  <c r="F200" i="3"/>
  <c r="E200" i="3"/>
  <c r="F199" i="3"/>
  <c r="E199" i="3"/>
  <c r="F198" i="3"/>
  <c r="E198" i="3"/>
  <c r="A199" i="3"/>
  <c r="A200" i="3" s="1"/>
  <c r="A201" i="3" s="1"/>
  <c r="A202" i="3" s="1"/>
  <c r="A203" i="3" s="1"/>
  <c r="A204" i="3" s="1"/>
  <c r="A205" i="3" s="1"/>
  <c r="A206" i="3" s="1"/>
  <c r="A207" i="3" s="1"/>
  <c r="A208" i="3" s="1"/>
  <c r="A209" i="3" s="1"/>
  <c r="F187" i="3"/>
  <c r="E187" i="3"/>
  <c r="A187" i="3"/>
  <c r="A188" i="3" s="1"/>
  <c r="A189" i="3" s="1"/>
  <c r="A190" i="3" s="1"/>
  <c r="A191" i="3" s="1"/>
  <c r="A192" i="3" s="1"/>
  <c r="A193" i="3" s="1"/>
  <c r="A194" i="3" s="1"/>
  <c r="A177" i="3"/>
  <c r="A178" i="3" s="1"/>
  <c r="A179" i="3" s="1"/>
  <c r="A180" i="3" s="1"/>
  <c r="A181" i="3" s="1"/>
  <c r="A182" i="3" s="1"/>
  <c r="A183" i="3" s="1"/>
  <c r="A184" i="3" s="1"/>
  <c r="G171" i="3"/>
  <c r="G170" i="3"/>
  <c r="G169" i="3"/>
  <c r="E174" i="3"/>
  <c r="E173" i="3"/>
  <c r="E172" i="3"/>
  <c r="E171" i="3"/>
  <c r="E170" i="3"/>
  <c r="E169" i="3"/>
  <c r="E168" i="3"/>
  <c r="F167" i="3"/>
  <c r="E167" i="3"/>
  <c r="F166" i="3"/>
  <c r="E166" i="3"/>
  <c r="I166" i="3"/>
  <c r="A167" i="3"/>
  <c r="A168" i="3" s="1"/>
  <c r="A169" i="3" s="1"/>
  <c r="A170" i="3" s="1"/>
  <c r="A171" i="3" s="1"/>
  <c r="A172" i="3" s="1"/>
  <c r="A173" i="3" s="1"/>
  <c r="A174" i="3" s="1"/>
  <c r="E164" i="3"/>
  <c r="H164" i="3" s="1"/>
  <c r="E163" i="3"/>
  <c r="H163" i="3" s="1"/>
  <c r="E162" i="3"/>
  <c r="H162" i="3" s="1"/>
  <c r="E161" i="3"/>
  <c r="H161" i="3" s="1"/>
  <c r="E160" i="3"/>
  <c r="H160" i="3" s="1"/>
  <c r="E159" i="3"/>
  <c r="H159" i="3" s="1"/>
  <c r="E158" i="3"/>
  <c r="H158" i="3" s="1"/>
  <c r="E157" i="3"/>
  <c r="H157" i="3" s="1"/>
  <c r="E156" i="3"/>
  <c r="H156" i="3" s="1"/>
  <c r="E155" i="3"/>
  <c r="H155" i="3" s="1"/>
  <c r="E154" i="3"/>
  <c r="H154" i="3" s="1"/>
  <c r="E153" i="3"/>
  <c r="H153" i="3" s="1"/>
  <c r="E152" i="3"/>
  <c r="H152" i="3" s="1"/>
  <c r="E151" i="3"/>
  <c r="H151" i="3" s="1"/>
  <c r="E150" i="3"/>
  <c r="H150" i="3" s="1"/>
  <c r="I164" i="3"/>
  <c r="I153" i="3"/>
  <c r="I150" i="3"/>
  <c r="A151" i="3"/>
  <c r="A152" i="3" s="1"/>
  <c r="A153" i="3" s="1"/>
  <c r="A154" i="3" s="1"/>
  <c r="A155" i="3" s="1"/>
  <c r="A156" i="3" s="1"/>
  <c r="A157" i="3" s="1"/>
  <c r="A158" i="3" s="1"/>
  <c r="A159" i="3" s="1"/>
  <c r="A160" i="3" s="1"/>
  <c r="A161" i="3" s="1"/>
  <c r="A162" i="3" s="1"/>
  <c r="A163" i="3" s="1"/>
  <c r="A164" i="3" s="1"/>
  <c r="H283" i="3"/>
  <c r="H282" i="3"/>
  <c r="H281" i="3"/>
  <c r="H280" i="3"/>
  <c r="H279" i="3"/>
  <c r="H278" i="3"/>
  <c r="H277" i="3"/>
  <c r="G132" i="3"/>
  <c r="G131" i="3"/>
  <c r="A110" i="3"/>
  <c r="A94" i="3"/>
  <c r="H53" i="3"/>
  <c r="H54" i="3" s="1"/>
  <c r="C53" i="3"/>
  <c r="C17" i="3"/>
  <c r="H269" i="3"/>
  <c r="H111" i="3"/>
  <c r="E140" i="3" l="1"/>
  <c r="E141" i="3"/>
  <c r="E143" i="3"/>
  <c r="H262" i="3"/>
  <c r="H267" i="3"/>
  <c r="H249" i="3"/>
  <c r="H265" i="3"/>
  <c r="E142" i="3"/>
  <c r="H220" i="3"/>
  <c r="G136" i="3"/>
  <c r="G137" i="3" s="1"/>
  <c r="H254" i="3"/>
  <c r="H227" i="3"/>
  <c r="H231" i="3"/>
  <c r="H259" i="3"/>
  <c r="H264" i="3"/>
  <c r="H260" i="3"/>
  <c r="E136" i="3"/>
  <c r="E137" i="3" s="1"/>
  <c r="H228" i="3"/>
  <c r="H236" i="3"/>
  <c r="H203" i="3"/>
  <c r="K203" i="3" s="1"/>
  <c r="H246" i="3"/>
  <c r="H248" i="3"/>
  <c r="H250" i="3"/>
  <c r="H252" i="3"/>
  <c r="H247" i="3"/>
  <c r="H251" i="3"/>
  <c r="H258" i="3"/>
  <c r="H240" i="3"/>
  <c r="H242" i="3"/>
  <c r="H213" i="3"/>
  <c r="H241" i="3"/>
  <c r="H237" i="3"/>
  <c r="H235" i="3"/>
  <c r="H239" i="3"/>
  <c r="H217" i="3"/>
  <c r="H221" i="3"/>
  <c r="H226" i="3"/>
  <c r="H230" i="3"/>
  <c r="H232" i="3"/>
  <c r="H229" i="3"/>
  <c r="H233" i="3"/>
  <c r="H199" i="3"/>
  <c r="K199" i="3" s="1"/>
  <c r="H201" i="3"/>
  <c r="K201" i="3" s="1"/>
  <c r="H211" i="3"/>
  <c r="H216" i="3"/>
  <c r="H222" i="3"/>
  <c r="H205" i="3"/>
  <c r="K205" i="3" s="1"/>
  <c r="H207" i="3"/>
  <c r="H209" i="3"/>
  <c r="K209" i="3" s="1"/>
  <c r="H218" i="3"/>
  <c r="H166" i="3"/>
  <c r="H172" i="3"/>
  <c r="H183" i="3"/>
  <c r="H179" i="3"/>
  <c r="H198" i="3"/>
  <c r="K198" i="3" s="1"/>
  <c r="H200" i="3"/>
  <c r="H202" i="3"/>
  <c r="H204" i="3"/>
  <c r="K204" i="3" s="1"/>
  <c r="H206" i="3"/>
  <c r="H208" i="3"/>
  <c r="K208" i="3" s="1"/>
  <c r="H212" i="3"/>
  <c r="H215" i="3"/>
  <c r="H219" i="3"/>
  <c r="H188" i="3"/>
  <c r="H190" i="3"/>
  <c r="H192" i="3"/>
  <c r="H194" i="3"/>
  <c r="H176" i="3"/>
  <c r="H180" i="3"/>
  <c r="H182" i="3"/>
  <c r="H184" i="3"/>
  <c r="H189" i="3"/>
  <c r="H191" i="3"/>
  <c r="H193" i="3"/>
  <c r="H187" i="3"/>
  <c r="H167" i="3"/>
  <c r="H171" i="3"/>
  <c r="H178" i="3"/>
  <c r="H181" i="3"/>
  <c r="H170" i="3"/>
  <c r="H168" i="3"/>
  <c r="H174" i="3"/>
  <c r="H177" i="3"/>
  <c r="H169" i="3"/>
  <c r="H173" i="3"/>
  <c r="D124" i="3"/>
  <c r="J113" i="3"/>
  <c r="J112" i="3"/>
  <c r="D116" i="3"/>
  <c r="D114" i="3"/>
  <c r="D113" i="3"/>
  <c r="D123" i="3"/>
  <c r="D121" i="3"/>
  <c r="D119" i="3"/>
  <c r="D117" i="3"/>
  <c r="D115" i="3"/>
  <c r="J114" i="3"/>
  <c r="E113" i="3"/>
  <c r="I110" i="3" s="1"/>
  <c r="G113" i="3" s="1"/>
  <c r="D122" i="3"/>
  <c r="D120" i="3"/>
  <c r="D118" i="3"/>
  <c r="D111" i="3"/>
  <c r="L41" i="6"/>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E42" i="6" s="1"/>
  <c r="E144" i="3" l="1"/>
  <c r="I202" i="3"/>
  <c r="K202" i="3"/>
  <c r="L200" i="3"/>
  <c r="I200" i="3"/>
  <c r="K200" i="3"/>
  <c r="K207" i="3"/>
  <c r="I207" i="3"/>
  <c r="K206" i="3"/>
  <c r="I206" i="3"/>
  <c r="E145" i="3"/>
  <c r="G141" i="3"/>
  <c r="G140" i="3"/>
  <c r="G142" i="3"/>
  <c r="G143" i="3"/>
  <c r="J119" i="3"/>
  <c r="J117" i="3"/>
  <c r="J115" i="3"/>
  <c r="J116" i="3" s="1"/>
  <c r="J121" i="3" s="1"/>
  <c r="J122" i="3" s="1"/>
  <c r="J120" i="3"/>
  <c r="J118" i="3"/>
  <c r="I42" i="6"/>
  <c r="H42" i="6" s="1"/>
  <c r="L42" i="6"/>
  <c r="K42" i="6" s="1"/>
  <c r="E44" i="6"/>
  <c r="D42" i="6"/>
  <c r="G144" i="3" l="1"/>
  <c r="G145" i="3" s="1"/>
  <c r="D44" i="6"/>
  <c r="C26" i="3"/>
  <c r="C18" i="3"/>
  <c r="H310" i="3"/>
  <c r="H309" i="3"/>
  <c r="H308" i="3"/>
  <c r="H307" i="3"/>
  <c r="H306" i="3"/>
  <c r="H305" i="3"/>
  <c r="H304" i="3"/>
  <c r="H303" i="3"/>
  <c r="H301" i="3"/>
  <c r="H300" i="3"/>
  <c r="H299" i="3"/>
  <c r="H298" i="3"/>
  <c r="H297" i="3"/>
  <c r="H296" i="3"/>
  <c r="H295" i="3"/>
  <c r="H294" i="3"/>
  <c r="H292" i="3"/>
  <c r="H291" i="3"/>
  <c r="H290" i="3"/>
  <c r="H289" i="3"/>
  <c r="H288" i="3"/>
  <c r="H287" i="3"/>
  <c r="H286" i="3"/>
  <c r="H285" i="3"/>
  <c r="H270" i="3"/>
  <c r="H271" i="3"/>
  <c r="H272" i="3"/>
  <c r="H273" i="3"/>
  <c r="H274" i="3"/>
  <c r="H275" i="3"/>
  <c r="H276" i="3"/>
  <c r="D95" i="3" l="1"/>
  <c r="J104" i="3" s="1"/>
  <c r="A78" i="3"/>
  <c r="D79" i="3" s="1"/>
  <c r="A62" i="3"/>
  <c r="D63" i="3" s="1"/>
  <c r="H79" i="3"/>
  <c r="J103" i="3" l="1"/>
  <c r="C38" i="4"/>
  <c r="G37" i="4"/>
  <c r="F37" i="4"/>
  <c r="G36" i="4"/>
  <c r="F36" i="4"/>
  <c r="G35" i="4"/>
  <c r="F35" i="4"/>
  <c r="G34" i="4"/>
  <c r="F34" i="4"/>
  <c r="G33" i="4"/>
  <c r="F33" i="4"/>
  <c r="G32" i="4"/>
  <c r="F32" i="4"/>
  <c r="G31" i="4"/>
  <c r="F31" i="4"/>
  <c r="G30" i="4"/>
  <c r="F30" i="4"/>
  <c r="G29" i="4"/>
  <c r="F29" i="4"/>
  <c r="G28" i="4"/>
  <c r="F28" i="4"/>
  <c r="G27" i="4"/>
  <c r="F27" i="4"/>
  <c r="G26" i="4"/>
  <c r="F26" i="4"/>
  <c r="K15" i="4"/>
  <c r="K14" i="4"/>
  <c r="K13" i="4"/>
  <c r="I5" i="4"/>
  <c r="F38" i="4" l="1"/>
  <c r="G38" i="4"/>
  <c r="E18" i="4"/>
  <c r="E15" i="4"/>
  <c r="E17" i="4"/>
  <c r="E11" i="4"/>
  <c r="K6" i="4"/>
  <c r="E9" i="4"/>
  <c r="K8" i="4"/>
  <c r="C7" i="4" s="1"/>
  <c r="E14" i="4"/>
  <c r="E12" i="4"/>
  <c r="E16" i="4"/>
  <c r="E10" i="4"/>
  <c r="K9" i="4"/>
  <c r="K10" i="4" s="1"/>
  <c r="K11" i="4" s="1"/>
  <c r="E13" i="4"/>
  <c r="K7" i="4"/>
  <c r="J88" i="3"/>
  <c r="J87" i="3"/>
  <c r="K12" i="4" l="1"/>
  <c r="K16" i="4" s="1"/>
  <c r="C8" i="4" s="1"/>
  <c r="E8" i="4" s="1"/>
  <c r="E7" i="4"/>
  <c r="A270" i="3"/>
  <c r="A271" i="3" s="1"/>
  <c r="A272" i="3" s="1"/>
  <c r="A273" i="3" s="1"/>
  <c r="A274" i="3" s="1"/>
  <c r="A275" i="3" s="1"/>
  <c r="A276" i="3" s="1"/>
  <c r="A277" i="3" s="1"/>
  <c r="A278" i="3" s="1"/>
  <c r="A279" i="3" s="1"/>
  <c r="A280" i="3" s="1"/>
  <c r="A281" i="3" s="1"/>
  <c r="A282" i="3" s="1"/>
  <c r="A283" i="3" s="1"/>
  <c r="F7" i="4" l="1"/>
  <c r="J4" i="4" s="1"/>
  <c r="H7" i="4" s="1"/>
  <c r="G4" i="3" l="1"/>
  <c r="D321" i="3" l="1"/>
  <c r="G133" i="3"/>
  <c r="J72" i="3"/>
  <c r="J71" i="3"/>
  <c r="H63" i="3"/>
  <c r="J67" i="3" l="1"/>
  <c r="D72" i="3"/>
  <c r="D69" i="3"/>
  <c r="D67" i="3"/>
  <c r="J65" i="3"/>
  <c r="D76" i="3"/>
  <c r="D74" i="3"/>
  <c r="D71" i="3"/>
  <c r="D68" i="3"/>
  <c r="J66" i="3"/>
  <c r="J64" i="3"/>
  <c r="D75" i="3"/>
  <c r="D73" i="3"/>
  <c r="D70" i="3"/>
  <c r="D92" i="3" l="1"/>
  <c r="D84" i="3"/>
  <c r="D87" i="3"/>
  <c r="J81" i="3"/>
  <c r="D91" i="3"/>
  <c r="D85" i="3"/>
  <c r="J80" i="3"/>
  <c r="D90" i="3"/>
  <c r="J83" i="3"/>
  <c r="J84" i="3" s="1"/>
  <c r="D89" i="3"/>
  <c r="D83" i="3"/>
  <c r="J82" i="3"/>
  <c r="C81" i="3" s="1"/>
  <c r="D88" i="3"/>
  <c r="D86" i="3"/>
  <c r="J68" i="3"/>
  <c r="J73" i="3" s="1"/>
  <c r="C65" i="3"/>
  <c r="D81" i="3" l="1"/>
  <c r="J85" i="3"/>
  <c r="J89" i="3"/>
  <c r="J86" i="3"/>
  <c r="D65" i="3"/>
  <c r="J69" i="3"/>
  <c r="H95" i="3"/>
  <c r="J90" i="3" l="1"/>
  <c r="C82" i="3" s="1"/>
  <c r="D108" i="3"/>
  <c r="D107" i="3"/>
  <c r="D101" i="3"/>
  <c r="J98" i="3"/>
  <c r="C97" i="3" s="1"/>
  <c r="D103" i="3"/>
  <c r="D102" i="3"/>
  <c r="J96" i="3"/>
  <c r="D106" i="3"/>
  <c r="D100" i="3"/>
  <c r="J99" i="3"/>
  <c r="D105" i="3"/>
  <c r="D99" i="3"/>
  <c r="J97" i="3"/>
  <c r="D104" i="3"/>
  <c r="J70" i="3"/>
  <c r="J100" i="3" l="1"/>
  <c r="J101" i="3" s="1"/>
  <c r="J102" i="3" s="1"/>
  <c r="D82" i="3"/>
  <c r="E81" i="3"/>
  <c r="I78" i="3" s="1"/>
  <c r="G81" i="3" s="1"/>
  <c r="D97" i="3"/>
  <c r="J74" i="3"/>
  <c r="V303" i="3"/>
  <c r="U294" i="3"/>
  <c r="V294" i="3"/>
  <c r="U303" i="3"/>
  <c r="V285" i="3"/>
  <c r="U285" i="3"/>
  <c r="J105" i="3" l="1"/>
  <c r="J106" i="3" s="1"/>
  <c r="C66" i="3"/>
  <c r="E65" i="3" s="1"/>
  <c r="T303" i="3"/>
  <c r="U304" i="3"/>
  <c r="V304" i="3"/>
  <c r="V305" i="3" s="1"/>
  <c r="V306" i="3" s="1"/>
  <c r="V307" i="3" s="1"/>
  <c r="V308" i="3" s="1"/>
  <c r="V309" i="3" s="1"/>
  <c r="V310" i="3" s="1"/>
  <c r="T294" i="3"/>
  <c r="U295" i="3"/>
  <c r="V295" i="3"/>
  <c r="V296" i="3" s="1"/>
  <c r="V297" i="3" s="1"/>
  <c r="V298" i="3" s="1"/>
  <c r="V299" i="3" s="1"/>
  <c r="V300" i="3" s="1"/>
  <c r="V301" i="3" s="1"/>
  <c r="V286" i="3"/>
  <c r="V287" i="3" s="1"/>
  <c r="V288" i="3" s="1"/>
  <c r="V289" i="3" s="1"/>
  <c r="V290" i="3" s="1"/>
  <c r="V291" i="3" s="1"/>
  <c r="V292" i="3" s="1"/>
  <c r="U286" i="3"/>
  <c r="T285" i="3"/>
  <c r="C98" i="3" l="1"/>
  <c r="D98" i="3" s="1"/>
  <c r="D66" i="3"/>
  <c r="I62" i="3"/>
  <c r="G65" i="3" s="1"/>
  <c r="A303" i="3"/>
  <c r="A294" i="3"/>
  <c r="A285" i="3"/>
  <c r="T304" i="3"/>
  <c r="A304" i="3" s="1"/>
  <c r="U305" i="3"/>
  <c r="T305" i="3" s="1"/>
  <c r="T295" i="3"/>
  <c r="A295" i="3" s="1"/>
  <c r="U296" i="3"/>
  <c r="T296" i="3" s="1"/>
  <c r="U287" i="3"/>
  <c r="T286" i="3"/>
  <c r="A286" i="3" s="1"/>
  <c r="E97" i="3" l="1"/>
  <c r="G125" i="3" s="1"/>
  <c r="A305" i="3"/>
  <c r="A296" i="3"/>
  <c r="U306" i="3"/>
  <c r="T306" i="3" s="1"/>
  <c r="U297" i="3"/>
  <c r="T297" i="3" s="1"/>
  <c r="U288" i="3"/>
  <c r="T287" i="3"/>
  <c r="A287" i="3" s="1"/>
  <c r="I94" i="3" l="1"/>
  <c r="G97" i="3" s="1"/>
  <c r="A306" i="3"/>
  <c r="A297" i="3"/>
  <c r="U307" i="3"/>
  <c r="T307" i="3" s="1"/>
  <c r="U298" i="3"/>
  <c r="T298" i="3" s="1"/>
  <c r="U289" i="3"/>
  <c r="T288" i="3"/>
  <c r="A288" i="3" s="1"/>
  <c r="A307" i="3" l="1"/>
  <c r="A298" i="3"/>
  <c r="U308" i="3"/>
  <c r="T308" i="3" s="1"/>
  <c r="U299" i="3"/>
  <c r="T299" i="3" s="1"/>
  <c r="U290" i="3"/>
  <c r="T289" i="3"/>
  <c r="A289" i="3" s="1"/>
  <c r="A308" i="3" l="1"/>
  <c r="A299" i="3"/>
  <c r="U309" i="3"/>
  <c r="T309" i="3" s="1"/>
  <c r="U300" i="3"/>
  <c r="T300" i="3" s="1"/>
  <c r="U291" i="3"/>
  <c r="T290" i="3"/>
  <c r="A290" i="3" s="1"/>
  <c r="A309" i="3" l="1"/>
  <c r="A300" i="3"/>
  <c r="U310" i="3"/>
  <c r="T310" i="3" s="1"/>
  <c r="U301" i="3"/>
  <c r="T301" i="3" s="1"/>
  <c r="U292" i="3"/>
  <c r="T291" i="3"/>
  <c r="A291" i="3" s="1"/>
  <c r="A310" i="3" l="1"/>
  <c r="A301" i="3"/>
  <c r="T292" i="3"/>
  <c r="A292" i="3" s="1"/>
</calcChain>
</file>

<file path=xl/comments1.xml><?xml version="1.0" encoding="utf-8"?>
<comments xmlns="http://schemas.openxmlformats.org/spreadsheetml/2006/main">
  <authors>
    <author>SACHIN</author>
  </authors>
  <commentList>
    <comment ref="C9" authorId="0" shapeId="0">
      <text>
        <r>
          <rPr>
            <b/>
            <sz val="18"/>
            <color indexed="81"/>
            <rFont val="Tahoma"/>
            <family val="2"/>
          </rPr>
          <t>SACHIN:</t>
        </r>
        <r>
          <rPr>
            <sz val="18"/>
            <color indexed="81"/>
            <rFont val="Tahoma"/>
            <family val="2"/>
          </rPr>
          <t xml:space="preserve">
As per initiation Mail</t>
        </r>
      </text>
    </comment>
    <comment ref="C10" authorId="0" shapeId="0">
      <text>
        <r>
          <rPr>
            <b/>
            <sz val="9"/>
            <color indexed="81"/>
            <rFont val="Tahoma"/>
            <family val="2"/>
          </rPr>
          <t>SACHIN:</t>
        </r>
        <r>
          <rPr>
            <sz val="9"/>
            <color indexed="81"/>
            <rFont val="Tahoma"/>
            <family val="2"/>
          </rPr>
          <t xml:space="preserve">
As per plans</t>
        </r>
      </text>
    </comment>
    <comment ref="C11" authorId="0" shapeId="0">
      <text>
        <r>
          <rPr>
            <b/>
            <sz val="9"/>
            <color indexed="81"/>
            <rFont val="Tahoma"/>
            <family val="2"/>
          </rPr>
          <t>SACHIN:</t>
        </r>
        <r>
          <rPr>
            <sz val="9"/>
            <color indexed="81"/>
            <rFont val="Tahoma"/>
            <family val="2"/>
          </rPr>
          <t xml:space="preserve">
As per maps</t>
        </r>
      </text>
    </comment>
    <comment ref="C17" authorId="0" shapeId="0">
      <text>
        <r>
          <rPr>
            <b/>
            <sz val="12"/>
            <color indexed="81"/>
            <rFont val="Tahoma"/>
            <family val="2"/>
          </rPr>
          <t>Maybe same as RERA Registration Validity or different</t>
        </r>
      </text>
    </comment>
    <comment ref="G17" authorId="0" shapeId="0">
      <text>
        <r>
          <rPr>
            <b/>
            <sz val="18"/>
            <color indexed="81"/>
            <rFont val="Tahoma"/>
            <family val="2"/>
          </rPr>
          <t>From Rera</t>
        </r>
      </text>
    </comment>
    <comment ref="G20" authorId="0" shapeId="0">
      <text>
        <r>
          <rPr>
            <b/>
            <sz val="16"/>
            <color indexed="81"/>
            <rFont val="Tahoma"/>
            <family val="2"/>
          </rPr>
          <t>From RERA</t>
        </r>
      </text>
    </comment>
    <comment ref="G21" authorId="0" shapeId="0">
      <text>
        <r>
          <rPr>
            <b/>
            <sz val="16"/>
            <color indexed="81"/>
            <rFont val="Tahoma"/>
            <family val="2"/>
          </rPr>
          <t>From RERA</t>
        </r>
      </text>
    </comment>
    <comment ref="G27" authorId="0" shapeId="0">
      <text>
        <r>
          <rPr>
            <b/>
            <sz val="12"/>
            <color indexed="81"/>
            <rFont val="Tahoma"/>
            <family val="2"/>
          </rPr>
          <t>SACHIN:</t>
        </r>
        <r>
          <rPr>
            <sz val="12"/>
            <color indexed="81"/>
            <rFont val="Tahoma"/>
            <family val="2"/>
          </rPr>
          <t xml:space="preserve">
Road size should be in metre</t>
        </r>
      </text>
    </comment>
    <comment ref="G131" authorId="0" shapeId="0">
      <text>
        <r>
          <rPr>
            <b/>
            <sz val="16"/>
            <color indexed="81"/>
            <rFont val="Tahoma"/>
            <family val="2"/>
          </rPr>
          <t>Ready Recknor</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<sst xmlns="http://schemas.openxmlformats.org/spreadsheetml/2006/main" count="843" uniqueCount="375">
  <si>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</si>
  <si>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</si>
  <si>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</si>
  <si>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</si>
  <si>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</si>
  <si>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</si>
  <si>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</si>
  <si>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</si>
  <si>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</si>
  <si>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</si>
  <si>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</si>
  <si>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</si>
  <si>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</si>
  <si>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</si>
  <si>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</si>
  <si>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</si>
  <si>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</si>
  <si>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</si>
  <si>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</si>
  <si>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</si>
  <si>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</si>
  <si>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</si>
  <si>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</si>
  <si>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</si>
  <si>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</si>
  <si>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</si>
  <si>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</si>
  <si>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</si>
  <si>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</si>
  <si>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</si>
  <si>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</si>
  <si>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</si>
  <si>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</si>
  <si>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</si>
  <si>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</si>
  <si>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</si>
  <si>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</si>
  <si>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</si>
  <si>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</si>
  <si>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</si>
  <si>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</si>
  <si>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</si>
  <si>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</si>
  <si>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</si>
  <si>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</si>
  <si>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</si>
  <si>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</si>
  <si>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</si>
  <si>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</si>
  <si>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</si>
  <si>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</si>
  <si>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</si>
  <si>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</si>
  <si>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</si>
  <si>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</si>
  <si>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</si>
  <si>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</si>
  <si>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</si>
  <si>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</si>
  <si>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</si>
  <si>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</si>
  <si>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</si>
  <si>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</si>
  <si>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</si>
  <si>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</si>
  <si>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</si>
  <si>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</si>
  <si>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</si>
  <si>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</si>
  <si>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</si>
  <si>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</si>
  <si>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</si>
  <si>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</si>
  <si>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</si>
  <si>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</si>
  <si>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</si>
  <si>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</si>
  <si>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</si>
  <si>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</si>
  <si>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</si>
  <si>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</si>
  <si>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</si>
  <si>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</si>
  <si>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</si>
  <si>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</si>
  <si>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</si>
  <si>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</si>
  <si>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</si>
  <si>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Description</t>
  </si>
  <si>
    <t>Gross Carpet area</t>
  </si>
  <si>
    <t>Attached Terrace area</t>
  </si>
  <si>
    <t>Permissible Built up Area (In Sq.Mt)</t>
  </si>
  <si>
    <t>Proposed Built up Area (In Sq.Mt)</t>
  </si>
  <si>
    <t>Plot Area (In Sq.Mt)</t>
  </si>
  <si>
    <t>-</t>
  </si>
  <si>
    <t>Yes</t>
  </si>
  <si>
    <t xml:space="preserve">Bitumen </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</si>
  <si>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</si>
  <si>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</si>
  <si>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</si>
  <si>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</si>
  <si>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</si>
  <si>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</si>
  <si>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</si>
  <si>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</si>
  <si>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</si>
  <si>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</si>
  <si>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</si>
  <si>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</si>
  <si>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</si>
  <si>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</si>
  <si>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</si>
  <si>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</si>
  <si>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</si>
  <si>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</si>
  <si>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</si>
  <si>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</si>
  <si>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</si>
  <si>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</si>
  <si>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</si>
  <si>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</si>
  <si>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</si>
  <si>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</si>
  <si>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</si>
  <si>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</si>
  <si>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</si>
  <si>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</si>
  <si>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</si>
  <si>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</si>
  <si>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2nd, 3rd, 4th, 6th, 8th, 7th, 9th Floor</t>
  </si>
  <si>
    <t>2nd to 5th Floor</t>
  </si>
  <si>
    <t>2nd &amp; 5th Floor</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</si>
  <si>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</si>
  <si>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</si>
  <si>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</si>
  <si>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</si>
  <si>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</si>
  <si>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</si>
  <si>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</si>
  <si>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</si>
  <si>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</si>
  <si>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</si>
  <si>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</si>
  <si>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</si>
  <si>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</si>
  <si>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</si>
  <si>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</si>
  <si>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</si>
  <si>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</si>
  <si>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</si>
  <si>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</si>
  <si>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No. of Unit</t>
  </si>
  <si>
    <t>Building &amp; Wing</t>
  </si>
  <si>
    <t>Sale / Rehab</t>
  </si>
  <si>
    <t>Total</t>
  </si>
  <si>
    <t>Rate of Flat Per Sq. Ft. 
(on Carpet area)</t>
  </si>
  <si>
    <t>Floor Rise Per Sq. Ft.
(on Carpet area)</t>
  </si>
  <si>
    <t>Date &amp; Time of Site Visit</t>
  </si>
  <si>
    <t>On Carpet area</t>
  </si>
  <si>
    <t>Location Link</t>
  </si>
  <si>
    <t xml:space="preserve">Layout </t>
  </si>
  <si>
    <t>Latitude, Longitude</t>
  </si>
  <si>
    <t>Landmark</t>
  </si>
  <si>
    <t>Middle</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</si>
  <si>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</si>
  <si>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</si>
  <si>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</si>
  <si>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</si>
  <si>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</si>
  <si>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</si>
  <si>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</si>
  <si>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</si>
  <si>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</si>
  <si>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</si>
  <si>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</si>
  <si>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</si>
  <si>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</si>
  <si>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</si>
  <si>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</si>
  <si>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</si>
  <si>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</si>
  <si>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</si>
  <si>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</si>
  <si>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</si>
  <si>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</si>
  <si>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</si>
  <si>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</si>
  <si>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</si>
  <si>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</si>
  <si>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</si>
  <si>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</si>
  <si>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</si>
  <si>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</si>
  <si>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</si>
  <si>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</si>
  <si>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</si>
  <si>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</si>
  <si>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</si>
  <si>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</si>
  <si>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</si>
  <si>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</si>
  <si>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</si>
  <si>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</si>
  <si>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</si>
  <si>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</si>
  <si>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</si>
  <si>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</si>
  <si>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</si>
  <si>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</si>
  <si>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</si>
  <si>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</si>
  <si>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</si>
  <si>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</si>
  <si>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</si>
  <si>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</si>
  <si>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</si>
  <si>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</si>
  <si>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</si>
  <si>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</si>
  <si>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</si>
  <si>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</si>
  <si>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</si>
  <si>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</si>
  <si>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</si>
  <si>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</si>
  <si>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</si>
  <si>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</si>
  <si>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</si>
  <si>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</si>
  <si>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</si>
  <si>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</si>
  <si>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</si>
  <si>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Unit Details, Nomenclature and Area Details (Flats)</t>
  </si>
  <si>
    <t>Flat No.
(Approved
Plan)</t>
  </si>
  <si>
    <t>Flat No.
(Sale Plan)</t>
  </si>
  <si>
    <t>Sale /         Rehab /           PAP</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</si>
  <si>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</si>
  <si>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</si>
  <si>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</si>
  <si>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</si>
  <si>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</si>
  <si>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Remark for NOCs</t>
  </si>
  <si>
    <t>Net Plot Area (In Sq.Mt)</t>
  </si>
  <si>
    <t xml:space="preserve">CC Details
Valid Up to: </t>
  </si>
  <si>
    <t>Grand Total</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</si>
  <si>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</si>
  <si>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</si>
  <si>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</si>
  <si>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</si>
  <si>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</si>
  <si>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</si>
  <si>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</si>
  <si>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</si>
  <si>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</si>
  <si>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</si>
  <si>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</si>
  <si>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</si>
  <si>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</si>
  <si>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</si>
  <si>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</si>
  <si>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</si>
  <si>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</si>
  <si>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</si>
  <si>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</si>
  <si>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</si>
  <si>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</si>
  <si>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</si>
  <si>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</si>
  <si>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</si>
  <si>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</si>
  <si>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</si>
  <si>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</si>
  <si>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</si>
  <si>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</si>
  <si>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</si>
  <si>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</si>
  <si>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</si>
  <si>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</si>
  <si>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</si>
  <si>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</si>
  <si>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</si>
  <si>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</si>
  <si>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</si>
  <si>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</si>
  <si>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</si>
  <si>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</si>
  <si>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</si>
  <si>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</si>
  <si>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</si>
  <si>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</si>
  <si>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</si>
  <si>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</si>
  <si>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</si>
  <si>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</si>
  <si>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</si>
  <si>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</si>
  <si>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</si>
  <si>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</si>
  <si>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</si>
  <si>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</si>
  <si>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</si>
  <si>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</si>
  <si>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Shreeji Milestone</t>
  </si>
  <si>
    <t>05/07/2025 at 02:56PM</t>
  </si>
  <si>
    <t>Miss Rupali</t>
  </si>
  <si>
    <t>Deep Laxmi Associates</t>
  </si>
  <si>
    <t>Shop No. 22, Shreeji Center, Ghorpade Chowk, Badlapur, Ambernath, Thane - 421503</t>
  </si>
  <si>
    <t>Shreeji Milestone, Survey No. 48, Plot No. 0 1 At Badlapur (M Cl), Ambarnath, Thane, 421503</t>
  </si>
  <si>
    <t>Approved Layout &amp; Floor Plans, CC, RERA certificate, OC, EC, Fire NOC</t>
  </si>
  <si>
    <t>Kulgaon Badlapur Nagar Parishad</t>
  </si>
  <si>
    <t>P51700050320</t>
  </si>
  <si>
    <t>Precious Harmony</t>
  </si>
  <si>
    <t>Shreeji Milestone, Survey No.48, Plot No. 1, near Precious Harmony, Sidh
Swayambhu Shiv Mandir Rd, Katrap, Belavli, Badlapur, Ambernath, Thane - 421503.</t>
  </si>
  <si>
    <t>https://maps.app.goo.gl/9LKQ7V9w4Hon4Ew87</t>
  </si>
  <si>
    <t>About 1KM from Gurukul International School</t>
  </si>
  <si>
    <t>About 0.22KM from Shree Samarth Multispeciality Hospital</t>
  </si>
  <si>
    <t>1. Approx. 0.22KM from Reliance SMART Point.
2. Approx. 4.1KM from 
DMart.</t>
  </si>
  <si>
    <t>2.2 KM from Badlapur Bus Stand</t>
  </si>
  <si>
    <t>1.3KM from Chikhloli Railway Station
1.7KM from Badlapur Railway Station</t>
  </si>
  <si>
    <t>Satyam Shivam CHS Limited</t>
  </si>
  <si>
    <t>Sidh Swayambhu Shiv Mandir Road</t>
  </si>
  <si>
    <t xml:space="preserve">Open Plot </t>
  </si>
  <si>
    <t>15.00M W DP Road</t>
  </si>
  <si>
    <t>ADJ S No. 51</t>
  </si>
  <si>
    <t>ADJ S No. 45 / ADJ S No. 46</t>
  </si>
  <si>
    <t>ADJ S No. 41</t>
  </si>
  <si>
    <t>Ambar Arcade CHSL</t>
  </si>
  <si>
    <t>Building A</t>
  </si>
  <si>
    <t>Building B</t>
  </si>
  <si>
    <t>Building C</t>
  </si>
  <si>
    <t>Building D</t>
  </si>
  <si>
    <t>G + 1st to 14th Floor</t>
  </si>
  <si>
    <t>St + 1st to 14th Floor</t>
  </si>
  <si>
    <t>St + 1st to 12th Floor</t>
  </si>
  <si>
    <t>St + 1st to 13th Floor</t>
  </si>
  <si>
    <t>KBNP/NRV/BD 151-119</t>
  </si>
  <si>
    <t>KBNP/BP/151/2023-2024/Unique No.119</t>
  </si>
  <si>
    <t>Building A = G + 1st to 14th Floor
Building B = St + 1st to 14th Floor
Building C = St + 1st to 12th Floor
Building D = St + 1st to 13th Floor</t>
  </si>
  <si>
    <t>MFS/51/2022/679
Building A = G + 1st to 14th Floor (Height = 44.10m)
Building B &amp; D = St + 1st to 14th Floor (Height = 43.8m)
Building C = St + 1st to 13th Floor (Height = 40.95m)</t>
  </si>
  <si>
    <t>KBMC/TPD/2025-26/1076
Building B = Stilt + 1st to 14th Floor</t>
  </si>
  <si>
    <t xml:space="preserve">Building C </t>
  </si>
  <si>
    <t>Ground Floor For Commercial, Entrance Lobby, Driver Room &amp; Parking</t>
  </si>
  <si>
    <t>Shop</t>
  </si>
  <si>
    <t>1st Floor For Residential</t>
  </si>
  <si>
    <t>1BHK</t>
  </si>
  <si>
    <t>3BHK</t>
  </si>
  <si>
    <t>2BHK</t>
  </si>
  <si>
    <t>2nd to 7th, 9th to 12th &amp; 14th Floor</t>
  </si>
  <si>
    <t>As per Sale plan door is shown but no access is given to terrace in approved plan</t>
  </si>
  <si>
    <t>8th &amp; 13th Floor (Part Refuge Area)</t>
  </si>
  <si>
    <t>Refuge Area</t>
  </si>
  <si>
    <t>Ground Floor For Entrance Lobby &amp; Parking</t>
  </si>
  <si>
    <t>1st to 7th, 9th to 12th &amp; 14th Floor For Residential</t>
  </si>
  <si>
    <t>1st to 7th, 9th to 12th Floor For Residential</t>
  </si>
  <si>
    <t>8th Floor (Part Refuge Area)</t>
  </si>
  <si>
    <t>15m</t>
  </si>
  <si>
    <t>Mr.Sudhir Bhosale</t>
  </si>
  <si>
    <t>OC given but Finishing work is pending</t>
  </si>
  <si>
    <t>Proposed Residential Building on Land Bearing S No.48, Plot No.1, of Village Belavali, Tal. Ambernath, Dist. Thane</t>
  </si>
  <si>
    <t>Kotak Mahindra Bank Limited
IFSC Code- KKBK0001349</t>
  </si>
  <si>
    <t>19.174490,73.226814</t>
  </si>
  <si>
    <t xml:space="preserve">SIA/MH/MIS/286955/2022
Survey No. 48, Plot No. 1
Proposed BUA = 38298.86 Sq, Mt
Building A = G + 1st to 14th Floor
Building B = St + 1st to 14th Floor
Building C = St + 1st to 13th Floor
Building D = St + 1st to 14th Floor
</t>
  </si>
  <si>
    <t>Fire NOC Details
Valid upto</t>
  </si>
  <si>
    <t>OC Details
Valid upto</t>
  </si>
  <si>
    <t>Unit Details, Nomenclature and Area Details (Shop)</t>
  </si>
  <si>
    <t>Details of Commercial &amp; Residential in Building</t>
  </si>
  <si>
    <t>Encl Balcony+ AP + COR Area</t>
  </si>
  <si>
    <t xml:space="preserve">We considered Gross carpet area = Net carpet + Enclose balcony + AP + COR Area.
</t>
  </si>
  <si>
    <t>Flats = 515 
Shop = 15</t>
  </si>
  <si>
    <t>Vitrified tiles flooring, Granite Kitchen Platform, Decorative Entrance, Branded Lift, Club House, Power Backup, Gymnasium, Jogging Track etc.</t>
  </si>
  <si>
    <t>site</t>
  </si>
  <si>
    <t>AHFL Badlapur</t>
  </si>
  <si>
    <t>6500 to 7500</t>
  </si>
  <si>
    <t>Building A &amp; C = Construction work is in process at the time of Visit (labour found)
Building B = approved OC received but Lobby &amp; some finishing work is pending.
Building D = Work not yet Started.</t>
  </si>
  <si>
    <t>As per RERA Site 
Flats = 560 &amp; Shop =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</si>
</sst>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28"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b/>
      <sz val="16"/>
      <color rgb="FFFF0000"/>
      <name val="Times New Roman"/>
      <family val="1"/>
    </font>
    <font>
      <b/>
      <sz val="11"/>
      <color rgb="FF000000"/>
      <name val="Calibri"/>
      <family val="2"/>
    </font>
    <font>
      <b/>
      <sz val="9"/>
      <color indexed="81"/>
      <name val="Tahoma"/>
      <family val="2"/>
    </font>
    <font>
      <sz val="9"/>
      <color indexed="81"/>
      <name val="Tahoma"/>
      <family val="2"/>
    </font>
    <font>
      <u/>
      <sz val="11"/>
      <color theme="10"/>
      <name val="Calibri"/>
      <family val="2"/>
    </font>
    <font>
      <sz val="8"/>
      <name val="Calibri"/>
      <family val="2"/>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3">
    <xf numFmtId="0" fontId="0" fillId="0" borderId="0"/>
    <xf numFmtId="0" fontId="1" fillId="0" borderId="0"/>
    <xf numFmtId="0" fontId="26" fillId="0" borderId="0" applyNumberFormat="0" applyFill="0" applyBorder="0" applyAlignment="0" applyProtection="0"/>
  </cellStyleXfs>
  <cellXfs count="229">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9"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top" wrapText="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4" borderId="1" xfId="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2" fillId="0" borderId="1" xfId="1" applyNumberFormat="1" applyFont="1" applyBorder="1" applyAlignment="1">
      <alignment horizontal="center" vertical="top" wrapText="1"/>
    </xf>
    <xf numFmtId="1" fontId="5" fillId="0" borderId="1" xfId="1" applyNumberFormat="1" applyFont="1" applyBorder="1" applyAlignment="1">
      <alignment horizontal="center" vertical="top" wrapText="1"/>
    </xf>
    <xf numFmtId="0" fontId="4" fillId="2" borderId="1" xfId="0" applyFont="1" applyFill="1" applyBorder="1" applyAlignment="1">
      <alignment horizontal="center" vertical="top"/>
    </xf>
    <xf numFmtId="0" fontId="4" fillId="0" borderId="1" xfId="0" applyFont="1" applyBorder="1" applyAlignment="1">
      <alignment vertical="top" wrapText="1"/>
    </xf>
    <xf numFmtId="0" fontId="2" fillId="0" borderId="1" xfId="0" applyFont="1" applyBorder="1" applyAlignment="1">
      <alignment horizontal="center"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1" fontId="5" fillId="0" borderId="1" xfId="1" applyNumberFormat="1" applyFont="1" applyBorder="1" applyAlignment="1">
      <alignment horizontal="center" vertical="center" wrapText="1"/>
    </xf>
    <xf numFmtId="0" fontId="6" fillId="4" borderId="1" xfId="1" applyNumberFormat="1" applyFont="1" applyFill="1" applyBorder="1" applyAlignment="1">
      <alignment horizontal="center" vertical="center" wrapText="1"/>
    </xf>
    <xf numFmtId="0" fontId="4" fillId="4" borderId="0" xfId="0" applyFont="1" applyFill="1" applyBorder="1" applyAlignment="1">
      <alignment vertical="top" wrapText="1"/>
    </xf>
    <xf numFmtId="0" fontId="0" fillId="0" borderId="1" xfId="0" applyBorder="1" applyAlignment="1">
      <alignment horizontal="center" vertical="center"/>
    </xf>
    <xf numFmtId="0" fontId="15"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 xfId="0" applyBorder="1" applyAlignment="1"/>
    <xf numFmtId="0" fontId="0" fillId="0" borderId="10" xfId="0" applyFill="1"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Fill="1" applyBorder="1"/>
    <xf numFmtId="0" fontId="0" fillId="0" borderId="1" xfId="0" applyFill="1" applyBorder="1"/>
    <xf numFmtId="0" fontId="0" fillId="0" borderId="1" xfId="0" applyFill="1"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Fill="1" applyBorder="1"/>
    <xf numFmtId="0" fontId="0" fillId="0" borderId="2" xfId="0" applyBorder="1" applyAlignment="1">
      <alignment vertical="top"/>
    </xf>
    <xf numFmtId="0" fontId="0" fillId="0" borderId="2" xfId="0" applyFill="1" applyBorder="1" applyAlignment="1">
      <alignment horizontal="lef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0" fontId="4" fillId="4" borderId="1" xfId="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4" fillId="4" borderId="1" xfId="0" applyFont="1" applyFill="1" applyBorder="1" applyAlignment="1">
      <alignment horizontal="left" vertical="top" wrapText="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2" fillId="0" borderId="1" xfId="0" applyFont="1" applyBorder="1" applyAlignment="1">
      <alignment horizontal="center" vertical="top" wrapText="1"/>
    </xf>
    <xf numFmtId="1" fontId="6" fillId="4" borderId="2" xfId="1" applyNumberFormat="1" applyFont="1" applyFill="1" applyBorder="1" applyAlignment="1">
      <alignment horizontal="center" vertical="center" wrapText="1"/>
    </xf>
    <xf numFmtId="0" fontId="4" fillId="4" borderId="1" xfId="0" applyFont="1" applyFill="1" applyBorder="1" applyAlignment="1">
      <alignment horizontal="center" vertical="top" wrapText="1"/>
    </xf>
    <xf numFmtId="1" fontId="4" fillId="4" borderId="1" xfId="1" applyNumberFormat="1" applyFont="1" applyFill="1" applyBorder="1" applyAlignment="1" applyProtection="1">
      <alignment horizontal="center" vertical="center" wrapText="1"/>
      <protection hidden="1"/>
    </xf>
    <xf numFmtId="14" fontId="4" fillId="4" borderId="1" xfId="0" applyNumberFormat="1" applyFont="1" applyFill="1" applyBorder="1" applyAlignment="1">
      <alignment horizontal="left" vertical="top" wrapText="1"/>
    </xf>
    <xf numFmtId="0" fontId="3" fillId="4" borderId="1" xfId="1" applyFont="1" applyFill="1" applyBorder="1" applyAlignment="1" applyProtection="1">
      <alignment horizontal="center" vertical="center" wrapText="1"/>
      <protection hidden="1"/>
    </xf>
    <xf numFmtId="1" fontId="8" fillId="0" borderId="1" xfId="1" applyNumberFormat="1" applyFont="1" applyBorder="1" applyAlignment="1">
      <alignment horizontal="center" vertical="top" wrapText="1"/>
    </xf>
    <xf numFmtId="2" fontId="3" fillId="0" borderId="0" xfId="0" applyNumberFormat="1" applyFont="1" applyAlignment="1">
      <alignment vertical="top"/>
    </xf>
    <xf numFmtId="164" fontId="3" fillId="0" borderId="0" xfId="0" applyNumberFormat="1" applyFont="1" applyAlignment="1">
      <alignment vertical="top"/>
    </xf>
    <xf numFmtId="1" fontId="3" fillId="0" borderId="0" xfId="0" applyNumberFormat="1" applyFont="1" applyAlignment="1">
      <alignment vertical="top"/>
    </xf>
    <xf numFmtId="0" fontId="22" fillId="0" borderId="0" xfId="0" applyFont="1" applyAlignment="1">
      <alignment vertical="top"/>
    </xf>
    <xf numFmtId="0" fontId="3" fillId="0" borderId="0" xfId="0" applyFont="1" applyAlignment="1">
      <alignment horizontal="left" vertical="top"/>
    </xf>
    <xf numFmtId="1" fontId="4" fillId="4" borderId="2" xfId="1" applyNumberFormat="1" applyFont="1" applyFill="1" applyBorder="1" applyAlignment="1">
      <alignment horizontal="center" vertical="center" wrapText="1"/>
    </xf>
    <xf numFmtId="1" fontId="8" fillId="0" borderId="0" xfId="0" applyNumberFormat="1" applyFont="1" applyAlignment="1">
      <alignment vertical="top"/>
    </xf>
    <xf numFmtId="0" fontId="8" fillId="0" borderId="0" xfId="0" applyFont="1" applyAlignment="1">
      <alignment vertical="top"/>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0" fontId="2" fillId="2" borderId="12" xfId="0" applyFont="1" applyFill="1" applyBorder="1" applyAlignment="1">
      <alignment horizontal="center" vertical="top" wrapText="1"/>
    </xf>
    <xf numFmtId="0" fontId="2" fillId="2" borderId="8" xfId="0" applyFont="1" applyFill="1" applyBorder="1" applyAlignment="1">
      <alignment horizontal="center" vertical="top" wrapText="1"/>
    </xf>
    <xf numFmtId="0" fontId="2" fillId="2" borderId="11" xfId="0" applyFont="1" applyFill="1" applyBorder="1" applyAlignment="1">
      <alignment horizontal="center"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1" fontId="5" fillId="4" borderId="7" xfId="1" applyNumberFormat="1" applyFont="1" applyFill="1" applyBorder="1" applyAlignment="1">
      <alignment horizontal="center" vertical="top" wrapText="1"/>
    </xf>
    <xf numFmtId="1" fontId="5" fillId="4" borderId="9" xfId="1" applyNumberFormat="1" applyFont="1" applyFill="1" applyBorder="1" applyAlignment="1">
      <alignment horizontal="center" vertical="top" wrapText="1"/>
    </xf>
    <xf numFmtId="0" fontId="2" fillId="2" borderId="1" xfId="0" applyFont="1" applyFill="1" applyBorder="1" applyAlignment="1">
      <alignment horizontal="center" vertical="top"/>
    </xf>
    <xf numFmtId="9" fontId="2" fillId="4" borderId="1" xfId="1" applyNumberFormat="1" applyFont="1" applyFill="1" applyBorder="1" applyAlignment="1" applyProtection="1">
      <alignment horizontal="left" vertical="top" wrapText="1"/>
      <protection hidden="1"/>
    </xf>
    <xf numFmtId="0" fontId="4" fillId="4" borderId="1" xfId="0" applyFont="1" applyFill="1" applyBorder="1" applyAlignment="1">
      <alignment horizontal="left" vertical="top" wrapText="1"/>
    </xf>
    <xf numFmtId="164" fontId="4" fillId="4" borderId="1" xfId="0" applyNumberFormat="1" applyFont="1" applyFill="1" applyBorder="1" applyAlignment="1">
      <alignment horizontal="left" vertical="top" wrapText="1"/>
    </xf>
    <xf numFmtId="0" fontId="3" fillId="4" borderId="1" xfId="0" applyFont="1" applyFill="1" applyBorder="1" applyAlignment="1">
      <alignment horizontal="left" vertical="top" wrapText="1"/>
    </xf>
    <xf numFmtId="0" fontId="26" fillId="4" borderId="1" xfId="2" applyFill="1" applyBorder="1" applyAlignment="1">
      <alignment horizontal="left" vertical="top" wrapText="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2" fillId="0" borderId="1" xfId="0" applyFont="1" applyBorder="1" applyAlignment="1">
      <alignment horizontal="center" vertical="top" wrapText="1"/>
    </xf>
    <xf numFmtId="0" fontId="4" fillId="0" borderId="1" xfId="0" applyFont="1" applyBorder="1" applyAlignment="1">
      <alignment horizontal="center" vertical="top" wrapText="1"/>
    </xf>
    <xf numFmtId="0" fontId="4" fillId="0" borderId="1" xfId="0" applyFont="1" applyBorder="1" applyAlignment="1">
      <alignment horizontal="left" vertical="top"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1" fontId="5" fillId="4" borderId="20" xfId="1" applyNumberFormat="1" applyFont="1" applyFill="1" applyBorder="1" applyAlignment="1">
      <alignment horizontal="center" vertical="top" wrapText="1"/>
    </xf>
    <xf numFmtId="1" fontId="5" fillId="4" borderId="21" xfId="1" applyNumberFormat="1" applyFont="1" applyFill="1" applyBorder="1" applyAlignment="1">
      <alignment horizontal="center" vertical="top" wrapText="1"/>
    </xf>
    <xf numFmtId="1" fontId="5" fillId="4" borderId="22" xfId="1" applyNumberFormat="1" applyFont="1" applyFill="1" applyBorder="1" applyAlignment="1">
      <alignment horizontal="center" vertical="top" wrapText="1"/>
    </xf>
    <xf numFmtId="1" fontId="5" fillId="4" borderId="23" xfId="1" applyNumberFormat="1" applyFont="1" applyFill="1" applyBorder="1" applyAlignment="1">
      <alignment horizontal="center"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9" xfId="0" applyFont="1" applyFill="1" applyBorder="1" applyAlignment="1">
      <alignment horizontal="center" vertical="top"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2" fontId="4" fillId="4" borderId="1" xfId="0" applyNumberFormat="1" applyFont="1" applyFill="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0" fontId="4" fillId="0" borderId="1" xfId="0" applyFont="1" applyBorder="1" applyAlignment="1">
      <alignment horizontal="center" vertical="center" wrapText="1"/>
    </xf>
    <xf numFmtId="0" fontId="2" fillId="2" borderId="1" xfId="0" applyFont="1" applyFill="1" applyBorder="1" applyAlignment="1">
      <alignment horizontal="center" vertical="top" wrapText="1"/>
    </xf>
    <xf numFmtId="0" fontId="4" fillId="4" borderId="1" xfId="0" applyFont="1" applyFill="1" applyBorder="1" applyAlignment="1">
      <alignment horizontal="center" vertical="center" wrapText="1"/>
    </xf>
    <xf numFmtId="0" fontId="2" fillId="2" borderId="1" xfId="0" applyFont="1" applyFill="1" applyBorder="1" applyAlignment="1">
      <alignment horizontal="left" vertical="top"/>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4" fillId="0" borderId="6" xfId="0" applyFont="1" applyBorder="1" applyAlignment="1">
      <alignment horizontal="left" vertical="top"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4" borderId="5" xfId="0" applyFont="1" applyFill="1" applyBorder="1" applyAlignment="1">
      <alignment horizontal="center" vertical="center" wrapText="1"/>
    </xf>
    <xf numFmtId="17" fontId="4" fillId="4" borderId="1"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0" fontId="4" fillId="4" borderId="1" xfId="0" applyFont="1" applyFill="1" applyBorder="1" applyAlignment="1">
      <alignment horizontal="left" vertical="top"/>
    </xf>
    <xf numFmtId="0" fontId="9" fillId="4" borderId="2" xfId="0" applyFont="1" applyFill="1" applyBorder="1" applyAlignment="1">
      <alignment horizontal="left" vertical="top" wrapText="1"/>
    </xf>
    <xf numFmtId="0" fontId="3" fillId="4" borderId="2" xfId="0" applyFont="1" applyFill="1" applyBorder="1" applyAlignment="1">
      <alignment horizontal="left" vertical="top" wrapText="1"/>
    </xf>
    <xf numFmtId="0" fontId="3" fillId="4" borderId="3" xfId="0" applyFont="1" applyFill="1" applyBorder="1" applyAlignment="1">
      <alignment horizontal="left" vertical="top" wrapText="1"/>
    </xf>
    <xf numFmtId="0" fontId="3" fillId="4" borderId="5" xfId="0" applyFont="1" applyFill="1" applyBorder="1" applyAlignment="1">
      <alignment horizontal="left"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2" fillId="4" borderId="1" xfId="0" applyFont="1" applyFill="1" applyBorder="1" applyAlignment="1">
      <alignment horizontal="left" vertical="top" wrapText="1"/>
    </xf>
    <xf numFmtId="0" fontId="4" fillId="4" borderId="1" xfId="0" applyFont="1" applyFill="1" applyBorder="1" applyAlignment="1">
      <alignment horizontal="center"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4" fillId="0" borderId="3" xfId="0" applyFont="1" applyBorder="1" applyAlignment="1">
      <alignment horizontal="left" vertical="top" wrapText="1"/>
    </xf>
    <xf numFmtId="1" fontId="5" fillId="2" borderId="12" xfId="1" applyNumberFormat="1" applyFont="1" applyFill="1" applyBorder="1" applyAlignment="1">
      <alignment horizontal="center" vertical="center" wrapText="1"/>
    </xf>
    <xf numFmtId="1" fontId="5" fillId="2" borderId="8" xfId="1" applyNumberFormat="1" applyFont="1" applyFill="1" applyBorder="1" applyAlignment="1">
      <alignment horizontal="center" vertical="center" wrapText="1"/>
    </xf>
    <xf numFmtId="1" fontId="5" fillId="2" borderId="13" xfId="1" applyNumberFormat="1" applyFont="1" applyFill="1" applyBorder="1" applyAlignment="1">
      <alignment horizontal="center" vertical="center" wrapText="1"/>
    </xf>
    <xf numFmtId="1" fontId="6" fillId="4" borderId="3" xfId="1" applyNumberFormat="1" applyFont="1" applyFill="1" applyBorder="1" applyAlignment="1">
      <alignment horizontal="center" vertical="center" wrapText="1"/>
    </xf>
    <xf numFmtId="0" fontId="6" fillId="4" borderId="2" xfId="1" applyNumberFormat="1" applyFont="1" applyFill="1" applyBorder="1" applyAlignment="1">
      <alignment horizontal="center" vertical="center" wrapText="1"/>
    </xf>
    <xf numFmtId="0" fontId="6" fillId="4" borderId="3" xfId="1" applyNumberFormat="1" applyFont="1" applyFill="1" applyBorder="1" applyAlignment="1">
      <alignment horizontal="center" vertical="center" wrapText="1"/>
    </xf>
    <xf numFmtId="0" fontId="6" fillId="4" borderId="5" xfId="1" applyNumberFormat="1" applyFont="1" applyFill="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15" fillId="5" borderId="1" xfId="0" applyFont="1" applyFill="1" applyBorder="1" applyAlignment="1">
      <alignment horizontal="left" vertical="center"/>
    </xf>
    <xf numFmtId="1" fontId="4" fillId="4" borderId="1" xfId="1" applyNumberFormat="1" applyFont="1" applyFill="1" applyBorder="1" applyAlignment="1" applyProtection="1">
      <alignment horizontal="center" vertical="center" wrapText="1"/>
      <protection hidden="1"/>
    </xf>
    <xf numFmtId="0" fontId="2" fillId="4" borderId="1" xfId="1" applyNumberFormat="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0" fillId="12" borderId="1" xfId="0" applyFill="1" applyBorder="1" applyAlignment="1">
      <alignment horizontal="center" vertical="center" wrapText="1"/>
    </xf>
    <xf numFmtId="0" fontId="15" fillId="13" borderId="1" xfId="0" applyFont="1" applyFill="1" applyBorder="1" applyAlignment="1">
      <alignment horizontal="center" vertical="center"/>
    </xf>
    <xf numFmtId="0" fontId="15" fillId="14" borderId="1" xfId="0" applyFont="1" applyFill="1" applyBorder="1" applyAlignment="1">
      <alignment horizontal="center" vertical="center"/>
    </xf>
    <xf numFmtId="0" fontId="15" fillId="3" borderId="1" xfId="0" applyFont="1" applyFill="1" applyBorder="1" applyAlignment="1">
      <alignment horizontal="center" vertical="center"/>
    </xf>
    <xf numFmtId="0" fontId="2" fillId="0" borderId="1" xfId="0" applyFont="1" applyBorder="1" applyAlignment="1">
      <alignment horizontal="left" vertical="top" wrapText="1"/>
    </xf>
    <xf numFmtId="0" fontId="2" fillId="11" borderId="1" xfId="0" applyFont="1" applyFill="1" applyBorder="1" applyAlignment="1">
      <alignment vertical="top" wrapText="1"/>
    </xf>
    <xf numFmtId="14" fontId="2" fillId="4" borderId="1" xfId="0" applyNumberFormat="1" applyFont="1" applyFill="1" applyBorder="1" applyAlignment="1">
      <alignment horizontal="left" vertical="top" wrapText="1"/>
    </xf>
  </cellXfs>
  <cellStyles count="3">
    <cellStyle name="Hyperlink" xfId="2" builtinId="8"/>
    <cellStyle name="Normal" xfId="0" builtinId="0"/>
    <cellStyle name="Normal 3" xfId="1"/>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jpeg"/><Relationship Id="rId21" Type="http://schemas.openxmlformats.org/officeDocument/2006/relationships/image" Target="../media/image21.jpe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jpe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jpe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jpeg"/><Relationship Id="rId32" Type="http://schemas.openxmlformats.org/officeDocument/2006/relationships/image" Target="../media/image32.png"/><Relationship Id="rId37" Type="http://schemas.openxmlformats.org/officeDocument/2006/relationships/image" Target="../media/image37.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jpe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png"/><Relationship Id="rId35" Type="http://schemas.openxmlformats.org/officeDocument/2006/relationships/image" Target="../media/image35.png"/><Relationship Id="rId8" Type="http://schemas.openxmlformats.org/officeDocument/2006/relationships/image" Target="../media/image8.png"/><Relationship Id="rId3"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8.png"/></Relationships>
</file>

<file path=xl/drawings/drawing1.xml><?xml version="1.0" encoding="utf-8"?>
<xdr:wsDr xmlns:xdr="http://schemas.openxmlformats.org/drawingml/2006/spreadsheetDrawing" xmlns:a="http://schemas.openxmlformats.org/drawingml/2006/main">
  <xdr:twoCellAnchor editAs="oneCell">
    <xdr:from>
      <xdr:col>8</xdr:col>
      <xdr:colOff>100852</xdr:colOff>
      <xdr:row>42</xdr:row>
      <xdr:rowOff>638736</xdr:rowOff>
    </xdr:from>
    <xdr:to>
      <xdr:col>11</xdr:col>
      <xdr:colOff>659635</xdr:colOff>
      <xdr:row>53</xdr:row>
      <xdr:rowOff>149462</xdr:rowOff>
    </xdr:to>
    <xdr:pic>
      <xdr:nvPicPr>
        <xdr:cNvPr id="2" name="Picture 1">
          <a:extLst>
            <a:ext uri="{FF2B5EF4-FFF2-40B4-BE49-F238E27FC236}">
              <a16:creationId xmlns:a16="http://schemas.microsoft.com/office/drawing/2014/main" id="{5443AE18-2F22-4ED9-AA67-649EEDEE6E1C}"/>
            </a:ext>
          </a:extLst>
        </xdr:cNvPr>
        <xdr:cNvPicPr>
          <a:picLocks noChangeAspect="1"/>
        </xdr:cNvPicPr>
      </xdr:nvPicPr>
      <xdr:blipFill>
        <a:blip xmlns:r="http://schemas.openxmlformats.org/officeDocument/2006/relationships" r:embed="rId1"/>
        <a:stretch>
          <a:fillRect/>
        </a:stretch>
      </xdr:blipFill>
      <xdr:spPr>
        <a:xfrm>
          <a:off x="9513793" y="20193001"/>
          <a:ext cx="4867954" cy="3029373"/>
        </a:xfrm>
        <a:prstGeom prst="rect">
          <a:avLst/>
        </a:prstGeom>
      </xdr:spPr>
    </xdr:pic>
    <xdr:clientData/>
  </xdr:twoCellAnchor>
  <xdr:twoCellAnchor editAs="oneCell">
    <xdr:from>
      <xdr:col>8</xdr:col>
      <xdr:colOff>112059</xdr:colOff>
      <xdr:row>53</xdr:row>
      <xdr:rowOff>246529</xdr:rowOff>
    </xdr:from>
    <xdr:to>
      <xdr:col>12</xdr:col>
      <xdr:colOff>147497</xdr:colOff>
      <xdr:row>55</xdr:row>
      <xdr:rowOff>542242</xdr:rowOff>
    </xdr:to>
    <xdr:pic>
      <xdr:nvPicPr>
        <xdr:cNvPr id="3" name="Picture 2">
          <a:extLst>
            <a:ext uri="{FF2B5EF4-FFF2-40B4-BE49-F238E27FC236}">
              <a16:creationId xmlns:a16="http://schemas.microsoft.com/office/drawing/2014/main" id="{28005DF5-A3AA-496E-8E4C-667CABE617DC}"/>
            </a:ext>
          </a:extLst>
        </xdr:cNvPr>
        <xdr:cNvPicPr>
          <a:picLocks noChangeAspect="1"/>
        </xdr:cNvPicPr>
      </xdr:nvPicPr>
      <xdr:blipFill>
        <a:blip xmlns:r="http://schemas.openxmlformats.org/officeDocument/2006/relationships" r:embed="rId2"/>
        <a:stretch>
          <a:fillRect/>
        </a:stretch>
      </xdr:blipFill>
      <xdr:spPr>
        <a:xfrm>
          <a:off x="9525000" y="23319441"/>
          <a:ext cx="5400000" cy="1662830"/>
        </a:xfrm>
        <a:prstGeom prst="rect">
          <a:avLst/>
        </a:prstGeom>
      </xdr:spPr>
    </xdr:pic>
    <xdr:clientData/>
  </xdr:twoCellAnchor>
  <xdr:twoCellAnchor editAs="oneCell">
    <xdr:from>
      <xdr:col>8</xdr:col>
      <xdr:colOff>134471</xdr:colOff>
      <xdr:row>55</xdr:row>
      <xdr:rowOff>649941</xdr:rowOff>
    </xdr:from>
    <xdr:to>
      <xdr:col>13</xdr:col>
      <xdr:colOff>51044</xdr:colOff>
      <xdr:row>55</xdr:row>
      <xdr:rowOff>1421574</xdr:rowOff>
    </xdr:to>
    <xdr:pic>
      <xdr:nvPicPr>
        <xdr:cNvPr id="4" name="Picture 3">
          <a:extLst>
            <a:ext uri="{FF2B5EF4-FFF2-40B4-BE49-F238E27FC236}">
              <a16:creationId xmlns:a16="http://schemas.microsoft.com/office/drawing/2014/main" id="{43A6BFA9-6C14-40B7-B61D-CA15A7E9FE2C}"/>
            </a:ext>
          </a:extLst>
        </xdr:cNvPr>
        <xdr:cNvPicPr>
          <a:picLocks noChangeAspect="1"/>
        </xdr:cNvPicPr>
      </xdr:nvPicPr>
      <xdr:blipFill>
        <a:blip xmlns:r="http://schemas.openxmlformats.org/officeDocument/2006/relationships" r:embed="rId3"/>
        <a:stretch>
          <a:fillRect/>
        </a:stretch>
      </xdr:blipFill>
      <xdr:spPr>
        <a:xfrm>
          <a:off x="9547412" y="25089970"/>
          <a:ext cx="5887272" cy="771633"/>
        </a:xfrm>
        <a:prstGeom prst="rect">
          <a:avLst/>
        </a:prstGeom>
      </xdr:spPr>
    </xdr:pic>
    <xdr:clientData/>
  </xdr:twoCellAnchor>
  <xdr:twoCellAnchor editAs="oneCell">
    <xdr:from>
      <xdr:col>11</xdr:col>
      <xdr:colOff>392205</xdr:colOff>
      <xdr:row>55</xdr:row>
      <xdr:rowOff>1299883</xdr:rowOff>
    </xdr:from>
    <xdr:to>
      <xdr:col>14</xdr:col>
      <xdr:colOff>413918</xdr:colOff>
      <xdr:row>62</xdr:row>
      <xdr:rowOff>150561</xdr:rowOff>
    </xdr:to>
    <xdr:pic>
      <xdr:nvPicPr>
        <xdr:cNvPr id="5" name="Picture 4">
          <a:extLst>
            <a:ext uri="{FF2B5EF4-FFF2-40B4-BE49-F238E27FC236}">
              <a16:creationId xmlns:a16="http://schemas.microsoft.com/office/drawing/2014/main" id="{095D884E-1241-4B86-BFD9-D969951C1615}"/>
            </a:ext>
          </a:extLst>
        </xdr:cNvPr>
        <xdr:cNvPicPr>
          <a:picLocks noChangeAspect="1"/>
        </xdr:cNvPicPr>
      </xdr:nvPicPr>
      <xdr:blipFill>
        <a:blip xmlns:r="http://schemas.openxmlformats.org/officeDocument/2006/relationships" r:embed="rId4"/>
        <a:stretch>
          <a:fillRect/>
        </a:stretch>
      </xdr:blipFill>
      <xdr:spPr>
        <a:xfrm>
          <a:off x="13458264" y="25739912"/>
          <a:ext cx="2286319" cy="3248478"/>
        </a:xfrm>
        <a:prstGeom prst="rect">
          <a:avLst/>
        </a:prstGeom>
      </xdr:spPr>
    </xdr:pic>
    <xdr:clientData/>
  </xdr:twoCellAnchor>
  <xdr:twoCellAnchor editAs="oneCell">
    <xdr:from>
      <xdr:col>8</xdr:col>
      <xdr:colOff>212911</xdr:colOff>
      <xdr:row>56</xdr:row>
      <xdr:rowOff>0</xdr:rowOff>
    </xdr:from>
    <xdr:to>
      <xdr:col>10</xdr:col>
      <xdr:colOff>795461</xdr:colOff>
      <xdr:row>58</xdr:row>
      <xdr:rowOff>314369</xdr:rowOff>
    </xdr:to>
    <xdr:pic>
      <xdr:nvPicPr>
        <xdr:cNvPr id="6" name="Picture 5">
          <a:extLst>
            <a:ext uri="{FF2B5EF4-FFF2-40B4-BE49-F238E27FC236}">
              <a16:creationId xmlns:a16="http://schemas.microsoft.com/office/drawing/2014/main" id="{F3465014-40E7-40C7-8F47-2EFA419ABBD6}"/>
            </a:ext>
          </a:extLst>
        </xdr:cNvPr>
        <xdr:cNvPicPr>
          <a:picLocks noChangeAspect="1"/>
        </xdr:cNvPicPr>
      </xdr:nvPicPr>
      <xdr:blipFill>
        <a:blip xmlns:r="http://schemas.openxmlformats.org/officeDocument/2006/relationships" r:embed="rId5"/>
        <a:stretch>
          <a:fillRect/>
        </a:stretch>
      </xdr:blipFill>
      <xdr:spPr>
        <a:xfrm>
          <a:off x="9625852" y="26053676"/>
          <a:ext cx="3629532" cy="314369"/>
        </a:xfrm>
        <a:prstGeom prst="rect">
          <a:avLst/>
        </a:prstGeom>
      </xdr:spPr>
    </xdr:pic>
    <xdr:clientData/>
  </xdr:twoCellAnchor>
  <xdr:twoCellAnchor editAs="oneCell">
    <xdr:from>
      <xdr:col>8</xdr:col>
      <xdr:colOff>666190</xdr:colOff>
      <xdr:row>60</xdr:row>
      <xdr:rowOff>171450</xdr:rowOff>
    </xdr:from>
    <xdr:to>
      <xdr:col>10</xdr:col>
      <xdr:colOff>858190</xdr:colOff>
      <xdr:row>69</xdr:row>
      <xdr:rowOff>174490</xdr:rowOff>
    </xdr:to>
    <xdr:pic>
      <xdr:nvPicPr>
        <xdr:cNvPr id="7" name="Picture 6">
          <a:extLst>
            <a:ext uri="{FF2B5EF4-FFF2-40B4-BE49-F238E27FC236}">
              <a16:creationId xmlns:a16="http://schemas.microsoft.com/office/drawing/2014/main" id="{B16479C6-E132-469D-B515-BB95973ED891}"/>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0038790" y="27641550"/>
          <a:ext cx="3249525" cy="2355715"/>
        </a:xfrm>
        <a:prstGeom prst="rect">
          <a:avLst/>
        </a:prstGeom>
      </xdr:spPr>
    </xdr:pic>
    <xdr:clientData/>
  </xdr:twoCellAnchor>
  <xdr:twoCellAnchor editAs="oneCell">
    <xdr:from>
      <xdr:col>8</xdr:col>
      <xdr:colOff>112059</xdr:colOff>
      <xdr:row>56</xdr:row>
      <xdr:rowOff>403410</xdr:rowOff>
    </xdr:from>
    <xdr:to>
      <xdr:col>10</xdr:col>
      <xdr:colOff>665077</xdr:colOff>
      <xdr:row>59</xdr:row>
      <xdr:rowOff>42595</xdr:rowOff>
    </xdr:to>
    <xdr:pic>
      <xdr:nvPicPr>
        <xdr:cNvPr id="8" name="Picture 7">
          <a:extLst>
            <a:ext uri="{FF2B5EF4-FFF2-40B4-BE49-F238E27FC236}">
              <a16:creationId xmlns:a16="http://schemas.microsoft.com/office/drawing/2014/main" id="{233B5EEC-19A5-4549-BE1F-DE2BA0BAEA4B}"/>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9525000" y="26457086"/>
          <a:ext cx="3600000" cy="1410731"/>
        </a:xfrm>
        <a:prstGeom prst="rect">
          <a:avLst/>
        </a:prstGeom>
      </xdr:spPr>
    </xdr:pic>
    <xdr:clientData/>
  </xdr:twoCellAnchor>
  <xdr:twoCellAnchor editAs="oneCell">
    <xdr:from>
      <xdr:col>8</xdr:col>
      <xdr:colOff>386603</xdr:colOff>
      <xdr:row>128</xdr:row>
      <xdr:rowOff>204108</xdr:rowOff>
    </xdr:from>
    <xdr:to>
      <xdr:col>17</xdr:col>
      <xdr:colOff>325668</xdr:colOff>
      <xdr:row>144</xdr:row>
      <xdr:rowOff>136070</xdr:rowOff>
    </xdr:to>
    <xdr:pic>
      <xdr:nvPicPr>
        <xdr:cNvPr id="9" name="Picture 8">
          <a:extLst>
            <a:ext uri="{FF2B5EF4-FFF2-40B4-BE49-F238E27FC236}">
              <a16:creationId xmlns:a16="http://schemas.microsoft.com/office/drawing/2014/main" id="{D4932A45-32B0-494E-9885-BED4E18A7E37}"/>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9748317" y="48659144"/>
          <a:ext cx="8407656" cy="4082141"/>
        </a:xfrm>
        <a:prstGeom prst="rect">
          <a:avLst/>
        </a:prstGeom>
      </xdr:spPr>
    </xdr:pic>
    <xdr:clientData/>
  </xdr:twoCellAnchor>
  <xdr:twoCellAnchor editAs="oneCell">
    <xdr:from>
      <xdr:col>9</xdr:col>
      <xdr:colOff>168089</xdr:colOff>
      <xdr:row>146</xdr:row>
      <xdr:rowOff>78443</xdr:rowOff>
    </xdr:from>
    <xdr:to>
      <xdr:col>16</xdr:col>
      <xdr:colOff>34420</xdr:colOff>
      <xdr:row>155</xdr:row>
      <xdr:rowOff>132234</xdr:rowOff>
    </xdr:to>
    <xdr:pic>
      <xdr:nvPicPr>
        <xdr:cNvPr id="10" name="Picture 9">
          <a:extLst>
            <a:ext uri="{FF2B5EF4-FFF2-40B4-BE49-F238E27FC236}">
              <a16:creationId xmlns:a16="http://schemas.microsoft.com/office/drawing/2014/main" id="{505DA923-39B8-4B02-98A7-928ECB303EE7}"/>
            </a:ext>
          </a:extLst>
        </xdr:cNvPr>
        <xdr:cNvPicPr>
          <a:picLocks noChangeAspect="1"/>
        </xdr:cNvPicPr>
      </xdr:nvPicPr>
      <xdr:blipFill>
        <a:blip xmlns:r="http://schemas.openxmlformats.org/officeDocument/2006/relationships" r:embed="rId9"/>
        <a:stretch>
          <a:fillRect/>
        </a:stretch>
      </xdr:blipFill>
      <xdr:spPr>
        <a:xfrm>
          <a:off x="11833413" y="53351208"/>
          <a:ext cx="5400000" cy="2956115"/>
        </a:xfrm>
        <a:prstGeom prst="rect">
          <a:avLst/>
        </a:prstGeom>
      </xdr:spPr>
    </xdr:pic>
    <xdr:clientData/>
  </xdr:twoCellAnchor>
  <xdr:twoCellAnchor editAs="oneCell">
    <xdr:from>
      <xdr:col>8</xdr:col>
      <xdr:colOff>1585632</xdr:colOff>
      <xdr:row>184</xdr:row>
      <xdr:rowOff>42023</xdr:rowOff>
    </xdr:from>
    <xdr:to>
      <xdr:col>17</xdr:col>
      <xdr:colOff>567843</xdr:colOff>
      <xdr:row>194</xdr:row>
      <xdr:rowOff>74882</xdr:rowOff>
    </xdr:to>
    <xdr:pic>
      <xdr:nvPicPr>
        <xdr:cNvPr id="11" name="Picture 10">
          <a:extLst>
            <a:ext uri="{FF2B5EF4-FFF2-40B4-BE49-F238E27FC236}">
              <a16:creationId xmlns:a16="http://schemas.microsoft.com/office/drawing/2014/main" id="{809A6139-F321-4CA5-9937-3B660E4F1918}"/>
            </a:ext>
          </a:extLst>
        </xdr:cNvPr>
        <xdr:cNvPicPr>
          <a:picLocks noChangeAspect="1"/>
        </xdr:cNvPicPr>
      </xdr:nvPicPr>
      <xdr:blipFill>
        <a:blip xmlns:r="http://schemas.openxmlformats.org/officeDocument/2006/relationships" r:embed="rId10"/>
        <a:stretch>
          <a:fillRect/>
        </a:stretch>
      </xdr:blipFill>
      <xdr:spPr>
        <a:xfrm>
          <a:off x="11006723" y="63617068"/>
          <a:ext cx="7381529" cy="2630588"/>
        </a:xfrm>
        <a:prstGeom prst="rect">
          <a:avLst/>
        </a:prstGeom>
      </xdr:spPr>
    </xdr:pic>
    <xdr:clientData/>
  </xdr:twoCellAnchor>
  <xdr:twoCellAnchor editAs="oneCell">
    <xdr:from>
      <xdr:col>12</xdr:col>
      <xdr:colOff>548432</xdr:colOff>
      <xdr:row>158</xdr:row>
      <xdr:rowOff>193480</xdr:rowOff>
    </xdr:from>
    <xdr:to>
      <xdr:col>17</xdr:col>
      <xdr:colOff>605297</xdr:colOff>
      <xdr:row>167</xdr:row>
      <xdr:rowOff>33062</xdr:rowOff>
    </xdr:to>
    <xdr:pic>
      <xdr:nvPicPr>
        <xdr:cNvPr id="12" name="Picture 11">
          <a:extLst>
            <a:ext uri="{FF2B5EF4-FFF2-40B4-BE49-F238E27FC236}">
              <a16:creationId xmlns:a16="http://schemas.microsoft.com/office/drawing/2014/main" id="{FAE509C6-51CC-498E-98EB-A5E8FFDE4176}"/>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5338159" y="57014435"/>
          <a:ext cx="3087547" cy="2177536"/>
        </a:xfrm>
        <a:prstGeom prst="rect">
          <a:avLst/>
        </a:prstGeom>
      </xdr:spPr>
    </xdr:pic>
    <xdr:clientData/>
  </xdr:twoCellAnchor>
  <xdr:twoCellAnchor editAs="oneCell">
    <xdr:from>
      <xdr:col>12</xdr:col>
      <xdr:colOff>159122</xdr:colOff>
      <xdr:row>168</xdr:row>
      <xdr:rowOff>176418</xdr:rowOff>
    </xdr:from>
    <xdr:to>
      <xdr:col>26</xdr:col>
      <xdr:colOff>563322</xdr:colOff>
      <xdr:row>186</xdr:row>
      <xdr:rowOff>166979</xdr:rowOff>
    </xdr:to>
    <xdr:pic>
      <xdr:nvPicPr>
        <xdr:cNvPr id="13" name="Picture 12">
          <a:extLst>
            <a:ext uri="{FF2B5EF4-FFF2-40B4-BE49-F238E27FC236}">
              <a16:creationId xmlns:a16="http://schemas.microsoft.com/office/drawing/2014/main" id="{2B391B36-6AAD-495E-AB29-812E4A81B8F7}"/>
            </a:ext>
          </a:extLst>
        </xdr:cNvPr>
        <xdr:cNvPicPr>
          <a:picLocks noChangeAspect="1"/>
        </xdr:cNvPicPr>
      </xdr:nvPicPr>
      <xdr:blipFill>
        <a:blip xmlns:r="http://schemas.openxmlformats.org/officeDocument/2006/relationships" r:embed="rId12"/>
        <a:stretch>
          <a:fillRect/>
        </a:stretch>
      </xdr:blipFill>
      <xdr:spPr>
        <a:xfrm>
          <a:off x="14948849" y="59595100"/>
          <a:ext cx="6985109" cy="4666470"/>
        </a:xfrm>
        <a:prstGeom prst="rect">
          <a:avLst/>
        </a:prstGeom>
      </xdr:spPr>
    </xdr:pic>
    <xdr:clientData/>
  </xdr:twoCellAnchor>
  <xdr:twoCellAnchor editAs="oneCell">
    <xdr:from>
      <xdr:col>15</xdr:col>
      <xdr:colOff>94741</xdr:colOff>
      <xdr:row>200</xdr:row>
      <xdr:rowOff>31579</xdr:rowOff>
    </xdr:from>
    <xdr:to>
      <xdr:col>30</xdr:col>
      <xdr:colOff>119920</xdr:colOff>
      <xdr:row>212</xdr:row>
      <xdr:rowOff>199318</xdr:rowOff>
    </xdr:to>
    <xdr:pic>
      <xdr:nvPicPr>
        <xdr:cNvPr id="14" name="Picture 13">
          <a:extLst>
            <a:ext uri="{FF2B5EF4-FFF2-40B4-BE49-F238E27FC236}">
              <a16:creationId xmlns:a16="http://schemas.microsoft.com/office/drawing/2014/main" id="{D0E3F0B1-3E22-4A0B-BE51-06004D808D72}"/>
            </a:ext>
          </a:extLst>
        </xdr:cNvPr>
        <xdr:cNvPicPr>
          <a:picLocks noChangeAspect="1"/>
        </xdr:cNvPicPr>
      </xdr:nvPicPr>
      <xdr:blipFill>
        <a:blip xmlns:r="http://schemas.openxmlformats.org/officeDocument/2006/relationships" r:embed="rId13"/>
        <a:stretch>
          <a:fillRect/>
        </a:stretch>
      </xdr:blipFill>
      <xdr:spPr>
        <a:xfrm>
          <a:off x="15594514" y="67762988"/>
          <a:ext cx="7212225" cy="3267694"/>
        </a:xfrm>
        <a:prstGeom prst="rect">
          <a:avLst/>
        </a:prstGeom>
      </xdr:spPr>
    </xdr:pic>
    <xdr:clientData/>
  </xdr:twoCellAnchor>
  <xdr:twoCellAnchor editAs="oneCell">
    <xdr:from>
      <xdr:col>10</xdr:col>
      <xdr:colOff>570482</xdr:colOff>
      <xdr:row>224</xdr:row>
      <xdr:rowOff>207818</xdr:rowOff>
    </xdr:from>
    <xdr:to>
      <xdr:col>29</xdr:col>
      <xdr:colOff>326076</xdr:colOff>
      <xdr:row>241</xdr:row>
      <xdr:rowOff>152594</xdr:rowOff>
    </xdr:to>
    <xdr:pic>
      <xdr:nvPicPr>
        <xdr:cNvPr id="16" name="Picture 15">
          <a:extLst>
            <a:ext uri="{FF2B5EF4-FFF2-40B4-BE49-F238E27FC236}">
              <a16:creationId xmlns:a16="http://schemas.microsoft.com/office/drawing/2014/main" id="{09F3EEDF-B86D-4209-8AD2-BDF7CE70D54B}"/>
            </a:ext>
          </a:extLst>
        </xdr:cNvPr>
        <xdr:cNvPicPr>
          <a:picLocks noChangeAspect="1"/>
        </xdr:cNvPicPr>
      </xdr:nvPicPr>
      <xdr:blipFill>
        <a:blip xmlns:r="http://schemas.openxmlformats.org/officeDocument/2006/relationships" r:embed="rId14"/>
        <a:stretch>
          <a:fillRect/>
        </a:stretch>
      </xdr:blipFill>
      <xdr:spPr>
        <a:xfrm>
          <a:off x="13039573" y="73723500"/>
          <a:ext cx="10475548" cy="4326275"/>
        </a:xfrm>
        <a:prstGeom prst="rect">
          <a:avLst/>
        </a:prstGeom>
      </xdr:spPr>
    </xdr:pic>
    <xdr:clientData/>
  </xdr:twoCellAnchor>
  <xdr:twoCellAnchor editAs="oneCell">
    <xdr:from>
      <xdr:col>8</xdr:col>
      <xdr:colOff>694765</xdr:colOff>
      <xdr:row>243</xdr:row>
      <xdr:rowOff>33617</xdr:rowOff>
    </xdr:from>
    <xdr:to>
      <xdr:col>16</xdr:col>
      <xdr:colOff>109733</xdr:colOff>
      <xdr:row>257</xdr:row>
      <xdr:rowOff>82081</xdr:rowOff>
    </xdr:to>
    <xdr:pic>
      <xdr:nvPicPr>
        <xdr:cNvPr id="17" name="Picture 16">
          <a:extLst>
            <a:ext uri="{FF2B5EF4-FFF2-40B4-BE49-F238E27FC236}">
              <a16:creationId xmlns:a16="http://schemas.microsoft.com/office/drawing/2014/main" id="{61CA1E34-7975-4158-ABF0-10299248E89C}"/>
            </a:ext>
          </a:extLst>
        </xdr:cNvPr>
        <xdr:cNvPicPr>
          <a:picLocks noChangeAspect="1"/>
        </xdr:cNvPicPr>
      </xdr:nvPicPr>
      <xdr:blipFill>
        <a:blip xmlns:r="http://schemas.openxmlformats.org/officeDocument/2006/relationships" r:embed="rId15"/>
        <a:stretch>
          <a:fillRect/>
        </a:stretch>
      </xdr:blipFill>
      <xdr:spPr>
        <a:xfrm>
          <a:off x="10107706" y="78822176"/>
          <a:ext cx="7200000" cy="3623141"/>
        </a:xfrm>
        <a:prstGeom prst="rect">
          <a:avLst/>
        </a:prstGeom>
      </xdr:spPr>
    </xdr:pic>
    <xdr:clientData/>
  </xdr:twoCellAnchor>
  <xdr:twoCellAnchor>
    <xdr:from>
      <xdr:col>0</xdr:col>
      <xdr:colOff>930088</xdr:colOff>
      <xdr:row>418</xdr:row>
      <xdr:rowOff>0</xdr:rowOff>
    </xdr:from>
    <xdr:to>
      <xdr:col>6</xdr:col>
      <xdr:colOff>1030941</xdr:colOff>
      <xdr:row>445</xdr:row>
      <xdr:rowOff>56029</xdr:rowOff>
    </xdr:to>
    <xdr:grpSp>
      <xdr:nvGrpSpPr>
        <xdr:cNvPr id="28" name="Group 27">
          <a:extLst>
            <a:ext uri="{FF2B5EF4-FFF2-40B4-BE49-F238E27FC236}">
              <a16:creationId xmlns:a16="http://schemas.microsoft.com/office/drawing/2014/main" id="{FBB96C93-12FE-4BE3-B99D-7FB1B7FE5C85}"/>
            </a:ext>
          </a:extLst>
        </xdr:cNvPr>
        <xdr:cNvGrpSpPr/>
      </xdr:nvGrpSpPr>
      <xdr:grpSpPr>
        <a:xfrm>
          <a:off x="930088" y="112575975"/>
          <a:ext cx="7130303" cy="6999754"/>
          <a:chOff x="990599" y="394447"/>
          <a:chExt cx="4876801" cy="5481807"/>
        </a:xfrm>
      </xdr:grpSpPr>
      <xdr:pic>
        <xdr:nvPicPr>
          <xdr:cNvPr id="29" name="Picture 28">
            <a:extLst>
              <a:ext uri="{FF2B5EF4-FFF2-40B4-BE49-F238E27FC236}">
                <a16:creationId xmlns:a16="http://schemas.microsoft.com/office/drawing/2014/main" id="{AD1C6149-4C47-4796-AE5E-90553601487C}"/>
              </a:ext>
            </a:extLst>
          </xdr:cNvPr>
          <xdr:cNvPicPr>
            <a:picLocks noChangeAspect="1"/>
          </xdr:cNvPicPr>
        </xdr:nvPicPr>
        <xdr:blipFill rotWithShape="1">
          <a:blip xmlns:r="http://schemas.openxmlformats.org/officeDocument/2006/relationships" r:embed="rId16" cstate="screen">
            <a:extLst>
              <a:ext uri="{28A0092B-C50C-407E-A947-70E740481C1C}">
                <a14:useLocalDpi xmlns:a14="http://schemas.microsoft.com/office/drawing/2010/main"/>
              </a:ext>
            </a:extLst>
          </a:blip>
          <a:srcRect/>
          <a:stretch/>
        </xdr:blipFill>
        <xdr:spPr>
          <a:xfrm>
            <a:off x="990599" y="394447"/>
            <a:ext cx="4876801" cy="3083860"/>
          </a:xfrm>
          <a:prstGeom prst="rect">
            <a:avLst/>
          </a:prstGeom>
          <a:ln>
            <a:solidFill>
              <a:schemeClr val="tx1"/>
            </a:solidFill>
          </a:ln>
        </xdr:spPr>
      </xdr:pic>
      <xdr:sp macro="" textlink="">
        <xdr:nvSpPr>
          <xdr:cNvPr id="30" name="Rectangle 29">
            <a:extLst>
              <a:ext uri="{FF2B5EF4-FFF2-40B4-BE49-F238E27FC236}">
                <a16:creationId xmlns:a16="http://schemas.microsoft.com/office/drawing/2014/main" id="{72526365-B897-4D21-B03D-103486ED0B26}"/>
              </a:ext>
            </a:extLst>
          </xdr:cNvPr>
          <xdr:cNvSpPr/>
        </xdr:nvSpPr>
        <xdr:spPr>
          <a:xfrm rot="19353489">
            <a:off x="2814330" y="1292049"/>
            <a:ext cx="1176513" cy="1739271"/>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1" name="TextBox 16">
            <a:extLst>
              <a:ext uri="{FF2B5EF4-FFF2-40B4-BE49-F238E27FC236}">
                <a16:creationId xmlns:a16="http://schemas.microsoft.com/office/drawing/2014/main" id="{D1C0F84C-C017-4291-A804-EA83A9B7ED0E}"/>
              </a:ext>
            </a:extLst>
          </xdr:cNvPr>
          <xdr:cNvSpPr txBox="1"/>
        </xdr:nvSpPr>
        <xdr:spPr>
          <a:xfrm>
            <a:off x="2501982" y="830887"/>
            <a:ext cx="1854034"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Shreeji Milestone</a:t>
            </a:r>
            <a:endParaRPr lang="en-IN" b="1">
              <a:solidFill>
                <a:srgbClr val="FFFF00"/>
              </a:solidFill>
            </a:endParaRPr>
          </a:p>
        </xdr:txBody>
      </xdr:sp>
      <xdr:sp macro="" textlink="">
        <xdr:nvSpPr>
          <xdr:cNvPr id="32" name="TextBox 17">
            <a:extLst>
              <a:ext uri="{FF2B5EF4-FFF2-40B4-BE49-F238E27FC236}">
                <a16:creationId xmlns:a16="http://schemas.microsoft.com/office/drawing/2014/main" id="{1E32F53E-C7D3-4C7F-B538-D4D187F5BD0D}"/>
              </a:ext>
            </a:extLst>
          </xdr:cNvPr>
          <xdr:cNvSpPr txBox="1"/>
        </xdr:nvSpPr>
        <xdr:spPr>
          <a:xfrm>
            <a:off x="2918460" y="1543440"/>
            <a:ext cx="324128"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A</a:t>
            </a:r>
            <a:endParaRPr lang="en-IN" b="1">
              <a:solidFill>
                <a:srgbClr val="FF0000"/>
              </a:solidFill>
            </a:endParaRPr>
          </a:p>
        </xdr:txBody>
      </xdr:sp>
      <xdr:sp macro="" textlink="">
        <xdr:nvSpPr>
          <xdr:cNvPr id="33" name="TextBox 19">
            <a:extLst>
              <a:ext uri="{FF2B5EF4-FFF2-40B4-BE49-F238E27FC236}">
                <a16:creationId xmlns:a16="http://schemas.microsoft.com/office/drawing/2014/main" id="{448C3000-F772-4E16-8FFA-1F2E9C2F021C}"/>
              </a:ext>
            </a:extLst>
          </xdr:cNvPr>
          <xdr:cNvSpPr txBox="1"/>
        </xdr:nvSpPr>
        <xdr:spPr>
          <a:xfrm>
            <a:off x="3596966" y="1728106"/>
            <a:ext cx="314510"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B</a:t>
            </a:r>
            <a:endParaRPr lang="en-IN" b="1">
              <a:solidFill>
                <a:srgbClr val="FF0000"/>
              </a:solidFill>
            </a:endParaRPr>
          </a:p>
        </xdr:txBody>
      </xdr:sp>
      <xdr:sp macro="" textlink="">
        <xdr:nvSpPr>
          <xdr:cNvPr id="34" name="TextBox 20">
            <a:extLst>
              <a:ext uri="{FF2B5EF4-FFF2-40B4-BE49-F238E27FC236}">
                <a16:creationId xmlns:a16="http://schemas.microsoft.com/office/drawing/2014/main" id="{03B236FE-4A69-4280-AC45-47875C89FF00}"/>
              </a:ext>
            </a:extLst>
          </xdr:cNvPr>
          <xdr:cNvSpPr txBox="1"/>
        </xdr:nvSpPr>
        <xdr:spPr>
          <a:xfrm>
            <a:off x="3428999" y="2625325"/>
            <a:ext cx="306494"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C</a:t>
            </a:r>
            <a:endParaRPr lang="en-IN" b="1">
              <a:solidFill>
                <a:srgbClr val="FF0000"/>
              </a:solidFill>
            </a:endParaRPr>
          </a:p>
        </xdr:txBody>
      </xdr:sp>
      <xdr:pic>
        <xdr:nvPicPr>
          <xdr:cNvPr id="35" name="Picture 34">
            <a:extLst>
              <a:ext uri="{FF2B5EF4-FFF2-40B4-BE49-F238E27FC236}">
                <a16:creationId xmlns:a16="http://schemas.microsoft.com/office/drawing/2014/main" id="{BA738DA2-47E8-42E3-A0BB-E4C489B4A640}"/>
              </a:ext>
            </a:extLst>
          </xdr:cNvPr>
          <xdr:cNvPicPr>
            <a:picLocks noChangeAspect="1"/>
          </xdr:cNvPicPr>
        </xdr:nvPicPr>
        <xdr:blipFill rotWithShape="1">
          <a:blip xmlns:r="http://schemas.openxmlformats.org/officeDocument/2006/relationships" r:embed="rId17" cstate="screen">
            <a:extLst>
              <a:ext uri="{28A0092B-C50C-407E-A947-70E740481C1C}">
                <a14:useLocalDpi xmlns:a14="http://schemas.microsoft.com/office/drawing/2010/main"/>
              </a:ext>
            </a:extLst>
          </a:blip>
          <a:srcRect/>
          <a:stretch/>
        </xdr:blipFill>
        <xdr:spPr>
          <a:xfrm>
            <a:off x="1771650" y="3780055"/>
            <a:ext cx="3209926" cy="2096199"/>
          </a:xfrm>
          <a:prstGeom prst="rect">
            <a:avLst/>
          </a:prstGeom>
          <a:ln>
            <a:solidFill>
              <a:schemeClr val="tx1"/>
            </a:solidFill>
          </a:ln>
        </xdr:spPr>
      </xdr:pic>
      <xdr:sp macro="" textlink="">
        <xdr:nvSpPr>
          <xdr:cNvPr id="55" name="TextBox 20">
            <a:extLst>
              <a:ext uri="{FF2B5EF4-FFF2-40B4-BE49-F238E27FC236}">
                <a16:creationId xmlns:a16="http://schemas.microsoft.com/office/drawing/2014/main" id="{03B236FE-4A69-4280-AC45-47875C89FF00}"/>
              </a:ext>
            </a:extLst>
          </xdr:cNvPr>
          <xdr:cNvSpPr txBox="1"/>
        </xdr:nvSpPr>
        <xdr:spPr>
          <a:xfrm>
            <a:off x="2879501" y="2134940"/>
            <a:ext cx="306494" cy="2900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D</a:t>
            </a:r>
            <a:endParaRPr lang="en-IN" b="1">
              <a:solidFill>
                <a:srgbClr val="FF0000"/>
              </a:solidFill>
            </a:endParaRPr>
          </a:p>
        </xdr:txBody>
      </xdr:sp>
    </xdr:grpSp>
    <xdr:clientData/>
  </xdr:twoCellAnchor>
  <xdr:twoCellAnchor editAs="oneCell">
    <xdr:from>
      <xdr:col>8</xdr:col>
      <xdr:colOff>358587</xdr:colOff>
      <xdr:row>8</xdr:row>
      <xdr:rowOff>246529</xdr:rowOff>
    </xdr:from>
    <xdr:to>
      <xdr:col>11</xdr:col>
      <xdr:colOff>543580</xdr:colOff>
      <xdr:row>10</xdr:row>
      <xdr:rowOff>100853</xdr:rowOff>
    </xdr:to>
    <xdr:pic>
      <xdr:nvPicPr>
        <xdr:cNvPr id="36" name="Picture 35">
          <a:extLst>
            <a:ext uri="{FF2B5EF4-FFF2-40B4-BE49-F238E27FC236}">
              <a16:creationId xmlns:a16="http://schemas.microsoft.com/office/drawing/2014/main" id="{86A61095-083B-4800-BE59-150C3E98B078}"/>
            </a:ext>
          </a:extLst>
        </xdr:cNvPr>
        <xdr:cNvPicPr>
          <a:picLocks noChangeAspect="1"/>
        </xdr:cNvPicPr>
      </xdr:nvPicPr>
      <xdr:blipFill>
        <a:blip xmlns:r="http://schemas.openxmlformats.org/officeDocument/2006/relationships" r:embed="rId18"/>
        <a:stretch>
          <a:fillRect/>
        </a:stretch>
      </xdr:blipFill>
      <xdr:spPr>
        <a:xfrm>
          <a:off x="9771528" y="3843617"/>
          <a:ext cx="4495182" cy="997324"/>
        </a:xfrm>
        <a:prstGeom prst="rect">
          <a:avLst/>
        </a:prstGeom>
      </xdr:spPr>
    </xdr:pic>
    <xdr:clientData/>
  </xdr:twoCellAnchor>
  <xdr:twoCellAnchor>
    <xdr:from>
      <xdr:col>0</xdr:col>
      <xdr:colOff>182496</xdr:colOff>
      <xdr:row>322</xdr:row>
      <xdr:rowOff>186352</xdr:rowOff>
    </xdr:from>
    <xdr:to>
      <xdr:col>7</xdr:col>
      <xdr:colOff>911678</xdr:colOff>
      <xdr:row>361</xdr:row>
      <xdr:rowOff>176891</xdr:rowOff>
    </xdr:to>
    <xdr:grpSp>
      <xdr:nvGrpSpPr>
        <xdr:cNvPr id="37" name="Group 36">
          <a:extLst>
            <a:ext uri="{FF2B5EF4-FFF2-40B4-BE49-F238E27FC236}">
              <a16:creationId xmlns:a16="http://schemas.microsoft.com/office/drawing/2014/main" id="{03905AFB-24C9-4AAA-9073-67AAB106D487}"/>
            </a:ext>
          </a:extLst>
        </xdr:cNvPr>
        <xdr:cNvGrpSpPr/>
      </xdr:nvGrpSpPr>
      <xdr:grpSpPr>
        <a:xfrm>
          <a:off x="182496" y="88073527"/>
          <a:ext cx="8930207" cy="10020364"/>
          <a:chOff x="-395288" y="152400"/>
          <a:chExt cx="7697455" cy="7778402"/>
        </a:xfrm>
      </xdr:grpSpPr>
      <xdr:grpSp>
        <xdr:nvGrpSpPr>
          <xdr:cNvPr id="38" name="Group 37">
            <a:extLst>
              <a:ext uri="{FF2B5EF4-FFF2-40B4-BE49-F238E27FC236}">
                <a16:creationId xmlns:a16="http://schemas.microsoft.com/office/drawing/2014/main" id="{1D9CFC9D-8A31-4008-A6F1-09300822862E}"/>
              </a:ext>
            </a:extLst>
          </xdr:cNvPr>
          <xdr:cNvGrpSpPr/>
        </xdr:nvGrpSpPr>
        <xdr:grpSpPr>
          <a:xfrm>
            <a:off x="-395288" y="152400"/>
            <a:ext cx="7697455" cy="7778402"/>
            <a:chOff x="-395288" y="152400"/>
            <a:chExt cx="7697455" cy="7778402"/>
          </a:xfrm>
        </xdr:grpSpPr>
        <xdr:pic>
          <xdr:nvPicPr>
            <xdr:cNvPr id="45" name="Picture 44">
              <a:extLst>
                <a:ext uri="{FF2B5EF4-FFF2-40B4-BE49-F238E27FC236}">
                  <a16:creationId xmlns:a16="http://schemas.microsoft.com/office/drawing/2014/main" id="{05F02D12-64C2-44F3-92F6-CFDF6353F05D}"/>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395288" y="152400"/>
              <a:ext cx="2436778" cy="3240000"/>
            </a:xfrm>
            <a:prstGeom prst="rect">
              <a:avLst/>
            </a:prstGeom>
            <a:ln>
              <a:solidFill>
                <a:schemeClr val="tx1"/>
              </a:solidFill>
            </a:ln>
          </xdr:spPr>
        </xdr:pic>
        <xdr:pic>
          <xdr:nvPicPr>
            <xdr:cNvPr id="46" name="Picture 45">
              <a:extLst>
                <a:ext uri="{FF2B5EF4-FFF2-40B4-BE49-F238E27FC236}">
                  <a16:creationId xmlns:a16="http://schemas.microsoft.com/office/drawing/2014/main" id="{7C23F6C9-DEE3-48AA-831F-42AA1933A31C}"/>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2252662" y="152400"/>
              <a:ext cx="2436778" cy="3240000"/>
            </a:xfrm>
            <a:prstGeom prst="rect">
              <a:avLst/>
            </a:prstGeom>
            <a:ln>
              <a:solidFill>
                <a:schemeClr val="tx1"/>
              </a:solidFill>
            </a:ln>
          </xdr:spPr>
        </xdr:pic>
        <xdr:pic>
          <xdr:nvPicPr>
            <xdr:cNvPr id="47" name="Picture 46">
              <a:extLst>
                <a:ext uri="{FF2B5EF4-FFF2-40B4-BE49-F238E27FC236}">
                  <a16:creationId xmlns:a16="http://schemas.microsoft.com/office/drawing/2014/main" id="{DD17278F-5D51-47DC-AED7-50B676FA7EB6}"/>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4865389" y="164871"/>
              <a:ext cx="2436778" cy="3240000"/>
            </a:xfrm>
            <a:prstGeom prst="rect">
              <a:avLst/>
            </a:prstGeom>
            <a:ln>
              <a:solidFill>
                <a:schemeClr val="tx1"/>
              </a:solidFill>
            </a:ln>
          </xdr:spPr>
        </xdr:pic>
        <xdr:pic>
          <xdr:nvPicPr>
            <xdr:cNvPr id="48" name="Picture 47">
              <a:extLst>
                <a:ext uri="{FF2B5EF4-FFF2-40B4-BE49-F238E27FC236}">
                  <a16:creationId xmlns:a16="http://schemas.microsoft.com/office/drawing/2014/main" id="{1FCD561A-0456-4A87-8D2F-2E58E5AB87E6}"/>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10841" y="3591601"/>
              <a:ext cx="1624519" cy="2160000"/>
            </a:xfrm>
            <a:prstGeom prst="rect">
              <a:avLst/>
            </a:prstGeom>
            <a:ln>
              <a:solidFill>
                <a:schemeClr val="tx1"/>
              </a:solidFill>
            </a:ln>
          </xdr:spPr>
        </xdr:pic>
        <xdr:pic>
          <xdr:nvPicPr>
            <xdr:cNvPr id="49" name="Picture 48">
              <a:extLst>
                <a:ext uri="{FF2B5EF4-FFF2-40B4-BE49-F238E27FC236}">
                  <a16:creationId xmlns:a16="http://schemas.microsoft.com/office/drawing/2014/main" id="{BE0C27F1-66A6-43DA-89ED-1CB69CE66C84}"/>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1789381" y="3591601"/>
              <a:ext cx="1624519" cy="2160000"/>
            </a:xfrm>
            <a:prstGeom prst="rect">
              <a:avLst/>
            </a:prstGeom>
            <a:ln>
              <a:solidFill>
                <a:schemeClr val="tx1"/>
              </a:solidFill>
            </a:ln>
          </xdr:spPr>
        </xdr:pic>
        <xdr:pic>
          <xdr:nvPicPr>
            <xdr:cNvPr id="50" name="Picture 49">
              <a:extLst>
                <a:ext uri="{FF2B5EF4-FFF2-40B4-BE49-F238E27FC236}">
                  <a16:creationId xmlns:a16="http://schemas.microsoft.com/office/drawing/2014/main" id="{3949325E-8C10-48DD-9AB3-5433735BFB76}"/>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3567921" y="3591601"/>
              <a:ext cx="1624519" cy="2160000"/>
            </a:xfrm>
            <a:prstGeom prst="rect">
              <a:avLst/>
            </a:prstGeom>
            <a:ln>
              <a:solidFill>
                <a:schemeClr val="tx1"/>
              </a:solidFill>
            </a:ln>
          </xdr:spPr>
        </xdr:pic>
        <xdr:pic>
          <xdr:nvPicPr>
            <xdr:cNvPr id="51" name="Picture 50">
              <a:extLst>
                <a:ext uri="{FF2B5EF4-FFF2-40B4-BE49-F238E27FC236}">
                  <a16:creationId xmlns:a16="http://schemas.microsoft.com/office/drawing/2014/main" id="{C67BCBD3-D889-411B-AC8E-185F165A0183}"/>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5374430" y="3591601"/>
              <a:ext cx="1624519" cy="2160000"/>
            </a:xfrm>
            <a:prstGeom prst="rect">
              <a:avLst/>
            </a:prstGeom>
            <a:ln>
              <a:solidFill>
                <a:schemeClr val="tx1"/>
              </a:solidFill>
            </a:ln>
          </xdr:spPr>
        </xdr:pic>
        <xdr:pic>
          <xdr:nvPicPr>
            <xdr:cNvPr id="52" name="Picture 51">
              <a:extLst>
                <a:ext uri="{FF2B5EF4-FFF2-40B4-BE49-F238E27FC236}">
                  <a16:creationId xmlns:a16="http://schemas.microsoft.com/office/drawing/2014/main" id="{3265B378-C0B6-4906-9138-D9FFABDA8CB0}"/>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2178612" y="5950802"/>
              <a:ext cx="1482938" cy="1980000"/>
            </a:xfrm>
            <a:prstGeom prst="rect">
              <a:avLst/>
            </a:prstGeom>
            <a:ln>
              <a:solidFill>
                <a:schemeClr val="tx1"/>
              </a:solidFill>
            </a:ln>
          </xdr:spPr>
        </xdr:pic>
        <xdr:pic>
          <xdr:nvPicPr>
            <xdr:cNvPr id="53" name="Picture 52">
              <a:extLst>
                <a:ext uri="{FF2B5EF4-FFF2-40B4-BE49-F238E27FC236}">
                  <a16:creationId xmlns:a16="http://schemas.microsoft.com/office/drawing/2014/main" id="{64BFFA0D-7139-40C3-939F-FC88F760BA04}"/>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547889" y="5950802"/>
              <a:ext cx="1489142" cy="1980000"/>
            </a:xfrm>
            <a:prstGeom prst="rect">
              <a:avLst/>
            </a:prstGeom>
            <a:ln>
              <a:solidFill>
                <a:schemeClr val="tx1"/>
              </a:solidFill>
            </a:ln>
          </xdr:spPr>
        </xdr:pic>
        <xdr:pic>
          <xdr:nvPicPr>
            <xdr:cNvPr id="54" name="Picture 53">
              <a:extLst>
                <a:ext uri="{FF2B5EF4-FFF2-40B4-BE49-F238E27FC236}">
                  <a16:creationId xmlns:a16="http://schemas.microsoft.com/office/drawing/2014/main" id="{CE72BCC2-658C-486F-A5D3-170D125367C1}"/>
                </a:ext>
              </a:extLst>
            </xdr:cNvPr>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3803131" y="5950802"/>
              <a:ext cx="2626605" cy="1980000"/>
            </a:xfrm>
            <a:prstGeom prst="rect">
              <a:avLst/>
            </a:prstGeom>
            <a:ln>
              <a:solidFill>
                <a:schemeClr val="tx1"/>
              </a:solidFill>
            </a:ln>
          </xdr:spPr>
        </xdr:pic>
      </xdr:grpSp>
      <xdr:sp macro="" textlink="">
        <xdr:nvSpPr>
          <xdr:cNvPr id="39" name="TextBox 49">
            <a:extLst>
              <a:ext uri="{FF2B5EF4-FFF2-40B4-BE49-F238E27FC236}">
                <a16:creationId xmlns:a16="http://schemas.microsoft.com/office/drawing/2014/main" id="{DD03F13E-501E-4902-8C07-8FBB08C4AEF4}"/>
              </a:ext>
            </a:extLst>
          </xdr:cNvPr>
          <xdr:cNvSpPr txBox="1"/>
        </xdr:nvSpPr>
        <xdr:spPr>
          <a:xfrm>
            <a:off x="355193" y="5382269"/>
            <a:ext cx="1154483"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Building A</a:t>
            </a:r>
            <a:endParaRPr lang="en-IN" b="1">
              <a:solidFill>
                <a:srgbClr val="FF0000"/>
              </a:solidFill>
            </a:endParaRPr>
          </a:p>
        </xdr:txBody>
      </xdr:sp>
      <xdr:sp macro="" textlink="">
        <xdr:nvSpPr>
          <xdr:cNvPr id="40" name="TextBox 50">
            <a:extLst>
              <a:ext uri="{FF2B5EF4-FFF2-40B4-BE49-F238E27FC236}">
                <a16:creationId xmlns:a16="http://schemas.microsoft.com/office/drawing/2014/main" id="{0CC064BB-A804-468E-A2BF-2D26063B354A}"/>
              </a:ext>
            </a:extLst>
          </xdr:cNvPr>
          <xdr:cNvSpPr txBox="1"/>
        </xdr:nvSpPr>
        <xdr:spPr>
          <a:xfrm>
            <a:off x="3225697" y="196392"/>
            <a:ext cx="1144865"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Building B</a:t>
            </a:r>
            <a:endParaRPr lang="en-IN" b="1">
              <a:solidFill>
                <a:srgbClr val="FF0000"/>
              </a:solidFill>
            </a:endParaRPr>
          </a:p>
        </xdr:txBody>
      </xdr:sp>
      <xdr:sp macro="" textlink="">
        <xdr:nvSpPr>
          <xdr:cNvPr id="41" name="TextBox 51">
            <a:extLst>
              <a:ext uri="{FF2B5EF4-FFF2-40B4-BE49-F238E27FC236}">
                <a16:creationId xmlns:a16="http://schemas.microsoft.com/office/drawing/2014/main" id="{9B626BC0-BC1E-467F-8891-7B8280BB5D02}"/>
              </a:ext>
            </a:extLst>
          </xdr:cNvPr>
          <xdr:cNvSpPr txBox="1"/>
        </xdr:nvSpPr>
        <xdr:spPr>
          <a:xfrm>
            <a:off x="-242888" y="507771"/>
            <a:ext cx="1154483"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Building A</a:t>
            </a:r>
            <a:endParaRPr lang="en-IN" b="1">
              <a:solidFill>
                <a:srgbClr val="FF0000"/>
              </a:solidFill>
            </a:endParaRPr>
          </a:p>
        </xdr:txBody>
      </xdr:sp>
      <xdr:sp macro="" textlink="">
        <xdr:nvSpPr>
          <xdr:cNvPr id="42" name="TextBox 52">
            <a:extLst>
              <a:ext uri="{FF2B5EF4-FFF2-40B4-BE49-F238E27FC236}">
                <a16:creationId xmlns:a16="http://schemas.microsoft.com/office/drawing/2014/main" id="{479121F5-98A3-4FCF-8B91-D6F2518C83EB}"/>
              </a:ext>
            </a:extLst>
          </xdr:cNvPr>
          <xdr:cNvSpPr txBox="1"/>
        </xdr:nvSpPr>
        <xdr:spPr>
          <a:xfrm>
            <a:off x="5703517" y="2469921"/>
            <a:ext cx="1136850"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Building C</a:t>
            </a:r>
            <a:endParaRPr lang="en-IN" b="1">
              <a:solidFill>
                <a:srgbClr val="FF0000"/>
              </a:solidFill>
            </a:endParaRPr>
          </a:p>
        </xdr:txBody>
      </xdr:sp>
      <xdr:sp macro="" textlink="">
        <xdr:nvSpPr>
          <xdr:cNvPr id="43" name="TextBox 53">
            <a:extLst>
              <a:ext uri="{FF2B5EF4-FFF2-40B4-BE49-F238E27FC236}">
                <a16:creationId xmlns:a16="http://schemas.microsoft.com/office/drawing/2014/main" id="{D7C7B108-7A22-4074-A83E-702FFACB535E}"/>
              </a:ext>
            </a:extLst>
          </xdr:cNvPr>
          <xdr:cNvSpPr txBox="1"/>
        </xdr:nvSpPr>
        <xdr:spPr>
          <a:xfrm>
            <a:off x="1944194" y="5197603"/>
            <a:ext cx="1144865"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Building B</a:t>
            </a:r>
            <a:endParaRPr lang="en-IN" b="1">
              <a:solidFill>
                <a:srgbClr val="FF0000"/>
              </a:solidFill>
            </a:endParaRPr>
          </a:p>
        </xdr:txBody>
      </xdr:sp>
      <xdr:sp macro="" textlink="">
        <xdr:nvSpPr>
          <xdr:cNvPr id="44" name="TextBox 54">
            <a:extLst>
              <a:ext uri="{FF2B5EF4-FFF2-40B4-BE49-F238E27FC236}">
                <a16:creationId xmlns:a16="http://schemas.microsoft.com/office/drawing/2014/main" id="{2DB14504-F68B-46D2-B814-212A259E235C}"/>
              </a:ext>
            </a:extLst>
          </xdr:cNvPr>
          <xdr:cNvSpPr txBox="1"/>
        </xdr:nvSpPr>
        <xdr:spPr>
          <a:xfrm>
            <a:off x="3807747" y="5207846"/>
            <a:ext cx="1144865"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Building B</a:t>
            </a:r>
            <a:endParaRPr lang="en-IN" b="1">
              <a:solidFill>
                <a:srgbClr val="FF0000"/>
              </a:solidFill>
            </a:endParaRPr>
          </a:p>
        </xdr:txBody>
      </xdr:sp>
    </xdr:grpSp>
    <xdr:clientData/>
  </xdr:twoCellAnchor>
  <xdr:twoCellAnchor>
    <xdr:from>
      <xdr:col>0</xdr:col>
      <xdr:colOff>942312</xdr:colOff>
      <xdr:row>368</xdr:row>
      <xdr:rowOff>5089</xdr:rowOff>
    </xdr:from>
    <xdr:to>
      <xdr:col>7</xdr:col>
      <xdr:colOff>415636</xdr:colOff>
      <xdr:row>415</xdr:row>
      <xdr:rowOff>47035</xdr:rowOff>
    </xdr:to>
    <xdr:grpSp>
      <xdr:nvGrpSpPr>
        <xdr:cNvPr id="27" name="Group 26"/>
        <xdr:cNvGrpSpPr/>
      </xdr:nvGrpSpPr>
      <xdr:grpSpPr>
        <a:xfrm>
          <a:off x="942312" y="99722314"/>
          <a:ext cx="7674349" cy="12129171"/>
          <a:chOff x="942312" y="100121501"/>
          <a:chExt cx="7716779" cy="12251491"/>
        </a:xfrm>
      </xdr:grpSpPr>
      <xdr:grpSp>
        <xdr:nvGrpSpPr>
          <xdr:cNvPr id="18" name="Group 17">
            <a:extLst>
              <a:ext uri="{FF2B5EF4-FFF2-40B4-BE49-F238E27FC236}">
                <a16:creationId xmlns:a16="http://schemas.microsoft.com/office/drawing/2014/main" id="{33E54A2D-00FC-4CBE-9112-4174B9DA4690}"/>
              </a:ext>
            </a:extLst>
          </xdr:cNvPr>
          <xdr:cNvGrpSpPr/>
        </xdr:nvGrpSpPr>
        <xdr:grpSpPr>
          <a:xfrm>
            <a:off x="942312" y="100121501"/>
            <a:ext cx="7716779" cy="12251491"/>
            <a:chOff x="1576129" y="406960"/>
            <a:chExt cx="3705742" cy="8422239"/>
          </a:xfrm>
        </xdr:grpSpPr>
        <xdr:pic>
          <xdr:nvPicPr>
            <xdr:cNvPr id="19" name="Picture 18">
              <a:extLst>
                <a:ext uri="{FF2B5EF4-FFF2-40B4-BE49-F238E27FC236}">
                  <a16:creationId xmlns:a16="http://schemas.microsoft.com/office/drawing/2014/main" id="{99E13824-7769-4D85-B0FC-48D25B632B7D}"/>
                </a:ext>
              </a:extLst>
            </xdr:cNvPr>
            <xdr:cNvPicPr>
              <a:picLocks noChangeAspect="1"/>
            </xdr:cNvPicPr>
          </xdr:nvPicPr>
          <xdr:blipFill>
            <a:blip xmlns:r="http://schemas.openxmlformats.org/officeDocument/2006/relationships" r:embed="rId29"/>
            <a:stretch>
              <a:fillRect/>
            </a:stretch>
          </xdr:blipFill>
          <xdr:spPr>
            <a:xfrm>
              <a:off x="1576129" y="406960"/>
              <a:ext cx="3705742" cy="5353797"/>
            </a:xfrm>
            <a:prstGeom prst="rect">
              <a:avLst/>
            </a:prstGeom>
            <a:ln>
              <a:solidFill>
                <a:schemeClr val="tx1"/>
              </a:solidFill>
            </a:ln>
          </xdr:spPr>
        </xdr:pic>
        <xdr:pic>
          <xdr:nvPicPr>
            <xdr:cNvPr id="20" name="Picture 19">
              <a:extLst>
                <a:ext uri="{FF2B5EF4-FFF2-40B4-BE49-F238E27FC236}">
                  <a16:creationId xmlns:a16="http://schemas.microsoft.com/office/drawing/2014/main" id="{CA217971-6D85-448C-83C7-A4473F781BBE}"/>
                </a:ext>
              </a:extLst>
            </xdr:cNvPr>
            <xdr:cNvPicPr>
              <a:picLocks noChangeAspect="1"/>
            </xdr:cNvPicPr>
          </xdr:nvPicPr>
          <xdr:blipFill>
            <a:blip xmlns:r="http://schemas.openxmlformats.org/officeDocument/2006/relationships" r:embed="rId30"/>
            <a:stretch>
              <a:fillRect/>
            </a:stretch>
          </xdr:blipFill>
          <xdr:spPr>
            <a:xfrm>
              <a:off x="2159029" y="5913796"/>
              <a:ext cx="2533750" cy="2915403"/>
            </a:xfrm>
            <a:prstGeom prst="rect">
              <a:avLst/>
            </a:prstGeom>
            <a:ln>
              <a:solidFill>
                <a:schemeClr val="tx1"/>
              </a:solidFill>
            </a:ln>
          </xdr:spPr>
        </xdr:pic>
        <xdr:sp macro="" textlink="">
          <xdr:nvSpPr>
            <xdr:cNvPr id="21" name="TextBox 7">
              <a:extLst>
                <a:ext uri="{FF2B5EF4-FFF2-40B4-BE49-F238E27FC236}">
                  <a16:creationId xmlns:a16="http://schemas.microsoft.com/office/drawing/2014/main" id="{FCB9EED6-ACF2-46BE-9332-46510A198EC6}"/>
                </a:ext>
              </a:extLst>
            </xdr:cNvPr>
            <xdr:cNvSpPr txBox="1"/>
          </xdr:nvSpPr>
          <xdr:spPr>
            <a:xfrm rot="21018035">
              <a:off x="2559373" y="1043969"/>
              <a:ext cx="1154483" cy="3647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b="1">
                  <a:solidFill>
                    <a:srgbClr val="FF0000"/>
                  </a:solidFill>
                </a:rPr>
                <a:t>Building A</a:t>
              </a:r>
              <a:endParaRPr lang="en-IN" sz="2800" b="1">
                <a:solidFill>
                  <a:srgbClr val="FF0000"/>
                </a:solidFill>
              </a:endParaRPr>
            </a:p>
          </xdr:txBody>
        </xdr:sp>
        <xdr:sp macro="" textlink="">
          <xdr:nvSpPr>
            <xdr:cNvPr id="25" name="Arrow: Right 24">
              <a:extLst>
                <a:ext uri="{FF2B5EF4-FFF2-40B4-BE49-F238E27FC236}">
                  <a16:creationId xmlns:a16="http://schemas.microsoft.com/office/drawing/2014/main" id="{61904BB5-E11D-41E8-B3E3-3CE1B83FDBE9}"/>
                </a:ext>
              </a:extLst>
            </xdr:cNvPr>
            <xdr:cNvSpPr/>
          </xdr:nvSpPr>
          <xdr:spPr>
            <a:xfrm rot="17417659">
              <a:off x="1846729" y="5074024"/>
              <a:ext cx="443874" cy="369332"/>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6" name="TextBox 11">
              <a:extLst>
                <a:ext uri="{FF2B5EF4-FFF2-40B4-BE49-F238E27FC236}">
                  <a16:creationId xmlns:a16="http://schemas.microsoft.com/office/drawing/2014/main" id="{DE68AC6E-80E9-4401-96FA-1AF9C73F6BA6}"/>
                </a:ext>
              </a:extLst>
            </xdr:cNvPr>
            <xdr:cNvSpPr txBox="1"/>
          </xdr:nvSpPr>
          <xdr:spPr>
            <a:xfrm>
              <a:off x="1780615" y="5412100"/>
              <a:ext cx="333746"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N</a:t>
              </a:r>
              <a:endParaRPr lang="en-IN" b="1"/>
            </a:p>
          </xdr:txBody>
        </xdr:sp>
        <xdr:sp macro="" textlink="">
          <xdr:nvSpPr>
            <xdr:cNvPr id="57" name="TextBox 7">
              <a:extLst>
                <a:ext uri="{FF2B5EF4-FFF2-40B4-BE49-F238E27FC236}">
                  <a16:creationId xmlns:a16="http://schemas.microsoft.com/office/drawing/2014/main" id="{FCB9EED6-ACF2-46BE-9332-46510A198EC6}"/>
                </a:ext>
              </a:extLst>
            </xdr:cNvPr>
            <xdr:cNvSpPr txBox="1"/>
          </xdr:nvSpPr>
          <xdr:spPr>
            <a:xfrm rot="3775965">
              <a:off x="3441324" y="2991897"/>
              <a:ext cx="1652673" cy="2548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b="1">
                  <a:solidFill>
                    <a:srgbClr val="FF0000"/>
                  </a:solidFill>
                </a:rPr>
                <a:t>Building B</a:t>
              </a:r>
              <a:endParaRPr lang="en-IN" sz="2800" b="1">
                <a:solidFill>
                  <a:srgbClr val="FF0000"/>
                </a:solidFill>
              </a:endParaRPr>
            </a:p>
          </xdr:txBody>
        </xdr:sp>
        <xdr:sp macro="" textlink="">
          <xdr:nvSpPr>
            <xdr:cNvPr id="59" name="TextBox 7">
              <a:extLst>
                <a:ext uri="{FF2B5EF4-FFF2-40B4-BE49-F238E27FC236}">
                  <a16:creationId xmlns:a16="http://schemas.microsoft.com/office/drawing/2014/main" id="{FCB9EED6-ACF2-46BE-9332-46510A198EC6}"/>
                </a:ext>
              </a:extLst>
            </xdr:cNvPr>
            <xdr:cNvSpPr txBox="1"/>
          </xdr:nvSpPr>
          <xdr:spPr>
            <a:xfrm rot="807842">
              <a:off x="3415974" y="5270355"/>
              <a:ext cx="1154483" cy="3647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b="1">
                  <a:solidFill>
                    <a:srgbClr val="FF0000"/>
                  </a:solidFill>
                </a:rPr>
                <a:t>Building C</a:t>
              </a:r>
              <a:endParaRPr lang="en-IN" sz="2800" b="1">
                <a:solidFill>
                  <a:srgbClr val="FF0000"/>
                </a:solidFill>
              </a:endParaRPr>
            </a:p>
          </xdr:txBody>
        </xdr:sp>
        <xdr:sp macro="" textlink="">
          <xdr:nvSpPr>
            <xdr:cNvPr id="61" name="TextBox 7">
              <a:extLst>
                <a:ext uri="{FF2B5EF4-FFF2-40B4-BE49-F238E27FC236}">
                  <a16:creationId xmlns:a16="http://schemas.microsoft.com/office/drawing/2014/main" id="{FCB9EED6-ACF2-46BE-9332-46510A198EC6}"/>
                </a:ext>
              </a:extLst>
            </xdr:cNvPr>
            <xdr:cNvSpPr txBox="1"/>
          </xdr:nvSpPr>
          <xdr:spPr>
            <a:xfrm rot="159448">
              <a:off x="2085332" y="4460793"/>
              <a:ext cx="1154483" cy="3647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b="1">
                  <a:solidFill>
                    <a:srgbClr val="FF0000"/>
                  </a:solidFill>
                </a:rPr>
                <a:t>Building D</a:t>
              </a:r>
              <a:endParaRPr lang="en-IN" sz="2800" b="1">
                <a:solidFill>
                  <a:srgbClr val="FF0000"/>
                </a:solidFill>
              </a:endParaRPr>
            </a:p>
          </xdr:txBody>
        </xdr:sp>
      </xdr:grpSp>
      <xdr:sp macro="" textlink="">
        <xdr:nvSpPr>
          <xdr:cNvPr id="15" name="Rectangle 14"/>
          <xdr:cNvSpPr/>
        </xdr:nvSpPr>
        <xdr:spPr>
          <a:xfrm rot="20783147">
            <a:off x="2303719" y="101689675"/>
            <a:ext cx="3184810" cy="980102"/>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56" name="Rectangle 55"/>
          <xdr:cNvSpPr/>
        </xdr:nvSpPr>
        <xdr:spPr>
          <a:xfrm rot="3746984">
            <a:off x="3957871" y="103760092"/>
            <a:ext cx="3184810" cy="1156498"/>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58" name="Rectangle 57"/>
          <xdr:cNvSpPr/>
        </xdr:nvSpPr>
        <xdr:spPr>
          <a:xfrm rot="1132298">
            <a:off x="4719871" y="106149999"/>
            <a:ext cx="3184810" cy="1156498"/>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60" name="Rectangle 59"/>
          <xdr:cNvSpPr/>
        </xdr:nvSpPr>
        <xdr:spPr>
          <a:xfrm rot="5400000">
            <a:off x="1497459" y="103899869"/>
            <a:ext cx="2912291" cy="1435699"/>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editAs="oneCell">
    <xdr:from>
      <xdr:col>15</xdr:col>
      <xdr:colOff>352841</xdr:colOff>
      <xdr:row>160</xdr:row>
      <xdr:rowOff>42314</xdr:rowOff>
    </xdr:from>
    <xdr:to>
      <xdr:col>28</xdr:col>
      <xdr:colOff>297515</xdr:colOff>
      <xdr:row>175</xdr:row>
      <xdr:rowOff>51021</xdr:rowOff>
    </xdr:to>
    <xdr:pic>
      <xdr:nvPicPr>
        <xdr:cNvPr id="62" name="Picture 61"/>
        <xdr:cNvPicPr>
          <a:picLocks noChangeAspect="1"/>
        </xdr:cNvPicPr>
      </xdr:nvPicPr>
      <xdr:blipFill>
        <a:blip xmlns:r="http://schemas.openxmlformats.org/officeDocument/2006/relationships" r:embed="rId31"/>
        <a:stretch>
          <a:fillRect/>
        </a:stretch>
      </xdr:blipFill>
      <xdr:spPr>
        <a:xfrm>
          <a:off x="16960977" y="57382814"/>
          <a:ext cx="5919447" cy="3905298"/>
        </a:xfrm>
        <a:prstGeom prst="rect">
          <a:avLst/>
        </a:prstGeom>
      </xdr:spPr>
    </xdr:pic>
    <xdr:clientData/>
  </xdr:twoCellAnchor>
  <xdr:twoCellAnchor editAs="oneCell">
    <xdr:from>
      <xdr:col>8</xdr:col>
      <xdr:colOff>1823357</xdr:colOff>
      <xdr:row>130</xdr:row>
      <xdr:rowOff>95250</xdr:rowOff>
    </xdr:from>
    <xdr:to>
      <xdr:col>14</xdr:col>
      <xdr:colOff>516948</xdr:colOff>
      <xdr:row>145</xdr:row>
      <xdr:rowOff>152953</xdr:rowOff>
    </xdr:to>
    <xdr:pic>
      <xdr:nvPicPr>
        <xdr:cNvPr id="63" name="Picture 62"/>
        <xdr:cNvPicPr>
          <a:picLocks noChangeAspect="1"/>
        </xdr:cNvPicPr>
      </xdr:nvPicPr>
      <xdr:blipFill>
        <a:blip xmlns:r="http://schemas.openxmlformats.org/officeDocument/2006/relationships" r:embed="rId32"/>
        <a:stretch>
          <a:fillRect/>
        </a:stretch>
      </xdr:blipFill>
      <xdr:spPr>
        <a:xfrm>
          <a:off x="11185071" y="49067357"/>
          <a:ext cx="5325218" cy="3962953"/>
        </a:xfrm>
        <a:prstGeom prst="rect">
          <a:avLst/>
        </a:prstGeom>
      </xdr:spPr>
    </xdr:pic>
    <xdr:clientData/>
  </xdr:twoCellAnchor>
  <xdr:twoCellAnchor editAs="oneCell">
    <xdr:from>
      <xdr:col>15</xdr:col>
      <xdr:colOff>323170</xdr:colOff>
      <xdr:row>189</xdr:row>
      <xdr:rowOff>185242</xdr:rowOff>
    </xdr:from>
    <xdr:to>
      <xdr:col>34</xdr:col>
      <xdr:colOff>149650</xdr:colOff>
      <xdr:row>208</xdr:row>
      <xdr:rowOff>203991</xdr:rowOff>
    </xdr:to>
    <xdr:pic>
      <xdr:nvPicPr>
        <xdr:cNvPr id="64" name="Picture 63"/>
        <xdr:cNvPicPr>
          <a:picLocks noChangeAspect="1"/>
        </xdr:cNvPicPr>
      </xdr:nvPicPr>
      <xdr:blipFill>
        <a:blip xmlns:r="http://schemas.openxmlformats.org/officeDocument/2006/relationships" r:embed="rId33"/>
        <a:stretch>
          <a:fillRect/>
        </a:stretch>
      </xdr:blipFill>
      <xdr:spPr>
        <a:xfrm>
          <a:off x="16931306" y="65059151"/>
          <a:ext cx="9438071" cy="4954432"/>
        </a:xfrm>
        <a:prstGeom prst="rect">
          <a:avLst/>
        </a:prstGeom>
      </xdr:spPr>
    </xdr:pic>
    <xdr:clientData/>
  </xdr:twoCellAnchor>
  <xdr:twoCellAnchor editAs="oneCell">
    <xdr:from>
      <xdr:col>11</xdr:col>
      <xdr:colOff>805293</xdr:colOff>
      <xdr:row>173</xdr:row>
      <xdr:rowOff>58138</xdr:rowOff>
    </xdr:from>
    <xdr:to>
      <xdr:col>29</xdr:col>
      <xdr:colOff>205342</xdr:colOff>
      <xdr:row>196</xdr:row>
      <xdr:rowOff>203781</xdr:rowOff>
    </xdr:to>
    <xdr:pic>
      <xdr:nvPicPr>
        <xdr:cNvPr id="67" name="Picture 66"/>
        <xdr:cNvPicPr>
          <a:picLocks noChangeAspect="1"/>
        </xdr:cNvPicPr>
      </xdr:nvPicPr>
      <xdr:blipFill>
        <a:blip xmlns:r="http://schemas.openxmlformats.org/officeDocument/2006/relationships" r:embed="rId34"/>
        <a:stretch>
          <a:fillRect/>
        </a:stretch>
      </xdr:blipFill>
      <xdr:spPr>
        <a:xfrm>
          <a:off x="14494079" y="61154209"/>
          <a:ext cx="8938656" cy="6091964"/>
        </a:xfrm>
        <a:prstGeom prst="rect">
          <a:avLst/>
        </a:prstGeom>
      </xdr:spPr>
    </xdr:pic>
    <xdr:clientData/>
  </xdr:twoCellAnchor>
  <xdr:twoCellAnchor editAs="oneCell">
    <xdr:from>
      <xdr:col>11</xdr:col>
      <xdr:colOff>640772</xdr:colOff>
      <xdr:row>148</xdr:row>
      <xdr:rowOff>34636</xdr:rowOff>
    </xdr:from>
    <xdr:to>
      <xdr:col>28</xdr:col>
      <xdr:colOff>145772</xdr:colOff>
      <xdr:row>165</xdr:row>
      <xdr:rowOff>153032</xdr:rowOff>
    </xdr:to>
    <xdr:pic>
      <xdr:nvPicPr>
        <xdr:cNvPr id="68" name="Picture 67"/>
        <xdr:cNvPicPr>
          <a:picLocks noChangeAspect="1"/>
        </xdr:cNvPicPr>
      </xdr:nvPicPr>
      <xdr:blipFill>
        <a:blip xmlns:r="http://schemas.openxmlformats.org/officeDocument/2006/relationships" r:embed="rId35"/>
        <a:stretch>
          <a:fillRect/>
        </a:stretch>
      </xdr:blipFill>
      <xdr:spPr>
        <a:xfrm>
          <a:off x="14374090" y="54257863"/>
          <a:ext cx="8354591" cy="4534533"/>
        </a:xfrm>
        <a:prstGeom prst="rect">
          <a:avLst/>
        </a:prstGeom>
      </xdr:spPr>
    </xdr:pic>
    <xdr:clientData/>
  </xdr:twoCellAnchor>
  <xdr:twoCellAnchor editAs="oneCell">
    <xdr:from>
      <xdr:col>14</xdr:col>
      <xdr:colOff>69272</xdr:colOff>
      <xdr:row>197</xdr:row>
      <xdr:rowOff>51953</xdr:rowOff>
    </xdr:from>
    <xdr:to>
      <xdr:col>26</xdr:col>
      <xdr:colOff>159223</xdr:colOff>
      <xdr:row>211</xdr:row>
      <xdr:rowOff>157247</xdr:rowOff>
    </xdr:to>
    <xdr:pic>
      <xdr:nvPicPr>
        <xdr:cNvPr id="69" name="Picture 68"/>
        <xdr:cNvPicPr>
          <a:picLocks noChangeAspect="1"/>
        </xdr:cNvPicPr>
      </xdr:nvPicPr>
      <xdr:blipFill>
        <a:blip xmlns:r="http://schemas.openxmlformats.org/officeDocument/2006/relationships" r:embed="rId36"/>
        <a:stretch>
          <a:fillRect/>
        </a:stretch>
      </xdr:blipFill>
      <xdr:spPr>
        <a:xfrm>
          <a:off x="16071272" y="67004044"/>
          <a:ext cx="5458587" cy="3724795"/>
        </a:xfrm>
        <a:prstGeom prst="rect">
          <a:avLst/>
        </a:prstGeom>
      </xdr:spPr>
    </xdr:pic>
    <xdr:clientData/>
  </xdr:twoCellAnchor>
  <xdr:twoCellAnchor editAs="oneCell">
    <xdr:from>
      <xdr:col>12</xdr:col>
      <xdr:colOff>68037</xdr:colOff>
      <xdr:row>204</xdr:row>
      <xdr:rowOff>72985</xdr:rowOff>
    </xdr:from>
    <xdr:to>
      <xdr:col>24</xdr:col>
      <xdr:colOff>342342</xdr:colOff>
      <xdr:row>218</xdr:row>
      <xdr:rowOff>130648</xdr:rowOff>
    </xdr:to>
    <xdr:pic>
      <xdr:nvPicPr>
        <xdr:cNvPr id="70" name="Picture 69"/>
        <xdr:cNvPicPr>
          <a:picLocks noChangeAspect="1"/>
        </xdr:cNvPicPr>
      </xdr:nvPicPr>
      <xdr:blipFill>
        <a:blip xmlns:r="http://schemas.openxmlformats.org/officeDocument/2006/relationships" r:embed="rId37"/>
        <a:stretch>
          <a:fillRect/>
        </a:stretch>
      </xdr:blipFill>
      <xdr:spPr>
        <a:xfrm>
          <a:off x="14804573" y="69183664"/>
          <a:ext cx="5785198" cy="366355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9LKQ7V9w4Hon4Ew87"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C458"/>
  <sheetViews>
    <sheetView tabSelected="1" view="pageBreakPreview" topLeftCell="D62" zoomScaleNormal="85" zoomScaleSheetLayoutView="100" zoomScalePageLayoutView="70" workbookViewId="0">
      <selection activeCell="L69" sqref="L69"/>
    </sheetView>
  </sheetViews>
  <sheetFormatPr defaultColWidth="9.140625" defaultRowHeight="17.100000000000001" customHeight="1" x14ac:dyDescent="0.25"/>
  <cols>
    <col min="1" max="7" width="17.5703125" style="1" customWidth="1"/>
    <col min="8" max="8" width="17.5703125" style="4" customWidth="1"/>
    <col min="9" max="9" width="33.85546875" style="1" customWidth="1"/>
    <col min="10" max="10" width="12" style="1" bestFit="1" customWidth="1"/>
    <col min="11" max="11" width="19" style="1" customWidth="1"/>
    <col min="12" max="12" width="15.7109375" style="1" bestFit="1" customWidth="1"/>
    <col min="13" max="19" width="9.140625" style="1"/>
    <col min="20" max="22" width="0" style="1" hidden="1" customWidth="1"/>
    <col min="23" max="25" width="9.140625" style="1"/>
    <col min="26" max="26" width="7.85546875" style="1" customWidth="1"/>
    <col min="27" max="16384" width="9.140625" style="1"/>
  </cols>
  <sheetData>
    <row r="1" spans="1:11" ht="20.25" x14ac:dyDescent="0.25">
      <c r="A1" s="156" t="s">
        <v>38</v>
      </c>
      <c r="B1" s="157"/>
      <c r="C1" s="157"/>
      <c r="D1" s="157"/>
      <c r="E1" s="157"/>
      <c r="F1" s="157"/>
      <c r="G1" s="157"/>
      <c r="H1" s="158"/>
    </row>
    <row r="2" spans="1:11" ht="42" customHeight="1" x14ac:dyDescent="0.25">
      <c r="A2" s="134" t="s">
        <v>10</v>
      </c>
      <c r="B2" s="134"/>
      <c r="C2" s="123" t="s">
        <v>86</v>
      </c>
      <c r="D2" s="123"/>
      <c r="E2" s="134" t="s">
        <v>12</v>
      </c>
      <c r="F2" s="134"/>
      <c r="G2" s="183">
        <v>45842</v>
      </c>
      <c r="H2" s="123"/>
      <c r="J2" s="197"/>
      <c r="K2" s="198"/>
    </row>
    <row r="3" spans="1:11" ht="20.25" x14ac:dyDescent="0.25">
      <c r="A3" s="134" t="s">
        <v>39</v>
      </c>
      <c r="B3" s="134"/>
      <c r="C3" s="199" t="s">
        <v>302</v>
      </c>
      <c r="D3" s="123"/>
      <c r="E3" s="134" t="s">
        <v>157</v>
      </c>
      <c r="F3" s="134"/>
      <c r="G3" s="123" t="s">
        <v>303</v>
      </c>
      <c r="H3" s="123"/>
    </row>
    <row r="4" spans="1:11" ht="43.5" customHeight="1" x14ac:dyDescent="0.25">
      <c r="A4" s="134" t="s">
        <v>36</v>
      </c>
      <c r="B4" s="134"/>
      <c r="C4" s="123" t="s">
        <v>147</v>
      </c>
      <c r="D4" s="123"/>
      <c r="E4" s="134" t="s">
        <v>33</v>
      </c>
      <c r="F4" s="134"/>
      <c r="G4" s="123" t="str">
        <f ca="1">TEXT(TODAY(),"DD/MM/YYYY")</f>
        <v>23/07/2025</v>
      </c>
      <c r="H4" s="123"/>
    </row>
    <row r="5" spans="1:11" ht="20.25" x14ac:dyDescent="0.25">
      <c r="A5" s="121" t="s">
        <v>40</v>
      </c>
      <c r="B5" s="121"/>
      <c r="C5" s="121"/>
      <c r="D5" s="121"/>
      <c r="E5" s="121"/>
      <c r="F5" s="121"/>
      <c r="G5" s="121"/>
      <c r="H5" s="121"/>
    </row>
    <row r="6" spans="1:11" ht="43.5" customHeight="1" x14ac:dyDescent="0.25">
      <c r="A6" s="134" t="s">
        <v>29</v>
      </c>
      <c r="B6" s="134"/>
      <c r="C6" s="123" t="s">
        <v>371</v>
      </c>
      <c r="D6" s="123"/>
      <c r="E6" s="134" t="s">
        <v>35</v>
      </c>
      <c r="F6" s="134"/>
      <c r="G6" s="123" t="s">
        <v>304</v>
      </c>
      <c r="H6" s="123"/>
    </row>
    <row r="7" spans="1:11" ht="23.25" customHeight="1" x14ac:dyDescent="0.25">
      <c r="A7" s="134" t="s">
        <v>42</v>
      </c>
      <c r="B7" s="134"/>
      <c r="C7" s="123" t="s">
        <v>305</v>
      </c>
      <c r="D7" s="123"/>
      <c r="E7" s="134" t="s">
        <v>43</v>
      </c>
      <c r="F7" s="134"/>
      <c r="G7" s="123" t="s">
        <v>305</v>
      </c>
      <c r="H7" s="123"/>
    </row>
    <row r="8" spans="1:11" ht="20.25" x14ac:dyDescent="0.25">
      <c r="A8" s="134" t="s">
        <v>44</v>
      </c>
      <c r="B8" s="134"/>
      <c r="C8" s="123" t="s">
        <v>306</v>
      </c>
      <c r="D8" s="123"/>
      <c r="E8" s="123"/>
      <c r="F8" s="123"/>
      <c r="G8" s="123"/>
      <c r="H8" s="123"/>
    </row>
    <row r="9" spans="1:11" ht="45" customHeight="1" x14ac:dyDescent="0.25">
      <c r="A9" s="161" t="s">
        <v>149</v>
      </c>
      <c r="B9" s="43" t="s">
        <v>41</v>
      </c>
      <c r="C9" s="123" t="s">
        <v>307</v>
      </c>
      <c r="D9" s="123"/>
      <c r="E9" s="123"/>
      <c r="F9" s="123"/>
      <c r="G9" s="123"/>
      <c r="H9" s="123"/>
    </row>
    <row r="10" spans="1:11" ht="45" customHeight="1" x14ac:dyDescent="0.25">
      <c r="A10" s="161"/>
      <c r="B10" s="43" t="s">
        <v>11</v>
      </c>
      <c r="C10" s="123" t="s">
        <v>358</v>
      </c>
      <c r="D10" s="123"/>
      <c r="E10" s="123"/>
      <c r="F10" s="123"/>
      <c r="G10" s="123"/>
      <c r="H10" s="123"/>
    </row>
    <row r="11" spans="1:11" ht="42" customHeight="1" x14ac:dyDescent="0.25">
      <c r="A11" s="161"/>
      <c r="B11" s="43" t="s">
        <v>5</v>
      </c>
      <c r="C11" s="123" t="s">
        <v>312</v>
      </c>
      <c r="D11" s="123"/>
      <c r="E11" s="123"/>
      <c r="F11" s="123"/>
      <c r="G11" s="123"/>
      <c r="H11" s="123"/>
    </row>
    <row r="12" spans="1:11" ht="40.5" customHeight="1" x14ac:dyDescent="0.25">
      <c r="A12" s="134" t="s">
        <v>34</v>
      </c>
      <c r="B12" s="134"/>
      <c r="C12" s="125" t="s">
        <v>308</v>
      </c>
      <c r="D12" s="125"/>
      <c r="E12" s="125"/>
      <c r="F12" s="125"/>
      <c r="G12" s="125"/>
      <c r="H12" s="125"/>
    </row>
    <row r="13" spans="1:11" ht="20.100000000000001" customHeight="1" x14ac:dyDescent="0.25">
      <c r="A13" s="121" t="s">
        <v>45</v>
      </c>
      <c r="B13" s="121"/>
      <c r="C13" s="121"/>
      <c r="D13" s="121"/>
      <c r="E13" s="121"/>
      <c r="F13" s="121"/>
      <c r="G13" s="121"/>
      <c r="H13" s="121"/>
    </row>
    <row r="14" spans="1:11" ht="41.25" customHeight="1" x14ac:dyDescent="0.25">
      <c r="A14" s="134" t="s">
        <v>27</v>
      </c>
      <c r="B14" s="134" t="s">
        <v>4</v>
      </c>
      <c r="C14" s="123" t="s">
        <v>87</v>
      </c>
      <c r="D14" s="123"/>
      <c r="E14" s="134" t="s">
        <v>46</v>
      </c>
      <c r="F14" s="134" t="s">
        <v>4</v>
      </c>
      <c r="G14" s="123" t="s">
        <v>309</v>
      </c>
      <c r="H14" s="123"/>
    </row>
    <row r="15" spans="1:11" ht="20.25" x14ac:dyDescent="0.25">
      <c r="A15" s="134" t="s">
        <v>47</v>
      </c>
      <c r="B15" s="134" t="s">
        <v>4</v>
      </c>
      <c r="C15" s="123" t="s">
        <v>310</v>
      </c>
      <c r="D15" s="123"/>
      <c r="E15" s="134" t="s">
        <v>48</v>
      </c>
      <c r="F15" s="134" t="s">
        <v>4</v>
      </c>
      <c r="G15" s="183">
        <v>47299</v>
      </c>
      <c r="H15" s="123"/>
    </row>
    <row r="16" spans="1:11" ht="41.25" customHeight="1" x14ac:dyDescent="0.25">
      <c r="A16" s="134" t="s">
        <v>49</v>
      </c>
      <c r="B16" s="134" t="s">
        <v>4</v>
      </c>
      <c r="C16" s="183">
        <v>45017</v>
      </c>
      <c r="D16" s="123"/>
      <c r="E16" s="134" t="s">
        <v>50</v>
      </c>
      <c r="F16" s="134" t="s">
        <v>4</v>
      </c>
      <c r="G16" s="182">
        <v>45017</v>
      </c>
      <c r="H16" s="123"/>
    </row>
    <row r="17" spans="1:9" ht="83.25" customHeight="1" x14ac:dyDescent="0.25">
      <c r="A17" s="134" t="s">
        <v>51</v>
      </c>
      <c r="B17" s="134" t="s">
        <v>4</v>
      </c>
      <c r="C17" s="183">
        <f>G15</f>
        <v>47299</v>
      </c>
      <c r="D17" s="123"/>
      <c r="E17" s="134" t="s">
        <v>52</v>
      </c>
      <c r="F17" s="134" t="s">
        <v>4</v>
      </c>
      <c r="G17" s="123" t="s">
        <v>359</v>
      </c>
      <c r="H17" s="123"/>
    </row>
    <row r="18" spans="1:9" ht="41.25" customHeight="1" x14ac:dyDescent="0.25">
      <c r="A18" s="134" t="s">
        <v>53</v>
      </c>
      <c r="B18" s="134" t="s">
        <v>4</v>
      </c>
      <c r="C18" s="123"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 + Commercial</v>
      </c>
      <c r="D18" s="123"/>
      <c r="E18" s="134" t="s">
        <v>93</v>
      </c>
      <c r="F18" s="134" t="s">
        <v>4</v>
      </c>
      <c r="G18" s="123">
        <v>9200</v>
      </c>
      <c r="H18" s="123"/>
    </row>
    <row r="19" spans="1:9" ht="41.25" customHeight="1" x14ac:dyDescent="0.25">
      <c r="A19" s="134" t="s">
        <v>54</v>
      </c>
      <c r="B19" s="134" t="s">
        <v>4</v>
      </c>
      <c r="C19" s="124">
        <f>9287.91/G19</f>
        <v>1.1000005921679863</v>
      </c>
      <c r="D19" s="124"/>
      <c r="E19" s="134" t="s">
        <v>242</v>
      </c>
      <c r="F19" s="134" t="s">
        <v>4</v>
      </c>
      <c r="G19" s="123">
        <v>8443.5499999999993</v>
      </c>
      <c r="H19" s="123"/>
    </row>
    <row r="20" spans="1:9" ht="41.25" customHeight="1" x14ac:dyDescent="0.25">
      <c r="A20" s="134" t="s">
        <v>91</v>
      </c>
      <c r="B20" s="134" t="s">
        <v>4</v>
      </c>
      <c r="C20" s="123">
        <v>32044.2</v>
      </c>
      <c r="D20" s="123"/>
      <c r="E20" s="134" t="s">
        <v>92</v>
      </c>
      <c r="F20" s="134" t="s">
        <v>4</v>
      </c>
      <c r="G20" s="123">
        <v>32043.27</v>
      </c>
      <c r="H20" s="123"/>
    </row>
    <row r="21" spans="1:9" ht="41.25" customHeight="1" x14ac:dyDescent="0.25">
      <c r="A21" s="134" t="s">
        <v>56</v>
      </c>
      <c r="B21" s="134" t="s">
        <v>4</v>
      </c>
      <c r="C21" s="123" t="s">
        <v>368</v>
      </c>
      <c r="D21" s="123"/>
      <c r="E21" s="134" t="s">
        <v>55</v>
      </c>
      <c r="F21" s="134" t="s">
        <v>4</v>
      </c>
      <c r="G21" s="123" t="s">
        <v>374</v>
      </c>
      <c r="H21" s="123"/>
      <c r="I21" s="1">
        <f>124+166+102+168</f>
        <v>560</v>
      </c>
    </row>
    <row r="22" spans="1:9" ht="20.25" x14ac:dyDescent="0.25">
      <c r="A22" s="134" t="s">
        <v>161</v>
      </c>
      <c r="B22" s="134" t="s">
        <v>4</v>
      </c>
      <c r="C22" s="123" t="s">
        <v>360</v>
      </c>
      <c r="D22" s="123"/>
      <c r="E22" s="134" t="s">
        <v>162</v>
      </c>
      <c r="F22" s="134" t="s">
        <v>4</v>
      </c>
      <c r="G22" s="123" t="s">
        <v>311</v>
      </c>
      <c r="H22" s="123"/>
    </row>
    <row r="23" spans="1:9" ht="27.75" customHeight="1" x14ac:dyDescent="0.25">
      <c r="A23" s="134" t="s">
        <v>159</v>
      </c>
      <c r="B23" s="134" t="s">
        <v>4</v>
      </c>
      <c r="C23" s="126" t="s">
        <v>313</v>
      </c>
      <c r="D23" s="123"/>
      <c r="E23" s="123"/>
      <c r="F23" s="123"/>
      <c r="G23" s="123"/>
      <c r="H23" s="123"/>
    </row>
    <row r="24" spans="1:9" ht="51.75" customHeight="1" x14ac:dyDescent="0.25">
      <c r="A24" s="134" t="s">
        <v>25</v>
      </c>
      <c r="B24" s="134" t="s">
        <v>4</v>
      </c>
      <c r="C24" s="125" t="s">
        <v>369</v>
      </c>
      <c r="D24" s="125"/>
      <c r="E24" s="125"/>
      <c r="F24" s="125"/>
      <c r="G24" s="125"/>
      <c r="H24" s="125"/>
    </row>
    <row r="25" spans="1:9" ht="24" customHeight="1" x14ac:dyDescent="0.25">
      <c r="A25" s="121" t="s">
        <v>20</v>
      </c>
      <c r="B25" s="121"/>
      <c r="C25" s="121"/>
      <c r="D25" s="121"/>
      <c r="E25" s="121"/>
      <c r="F25" s="121"/>
      <c r="G25" s="121"/>
      <c r="H25" s="121"/>
    </row>
    <row r="26" spans="1:9" ht="43.5" customHeight="1" x14ac:dyDescent="0.25">
      <c r="A26" s="134" t="s">
        <v>26</v>
      </c>
      <c r="B26" s="134" t="s">
        <v>4</v>
      </c>
      <c r="C26" s="123" t="str">
        <f>IF(AND(G26="Upper"),"Developed","Developing")</f>
        <v>Developing</v>
      </c>
      <c r="D26" s="123"/>
      <c r="E26" s="134" t="s">
        <v>13</v>
      </c>
      <c r="F26" s="134" t="s">
        <v>4</v>
      </c>
      <c r="G26" s="125" t="s">
        <v>163</v>
      </c>
      <c r="H26" s="125"/>
    </row>
    <row r="27" spans="1:9" ht="43.5" customHeight="1" x14ac:dyDescent="0.25">
      <c r="A27" s="134" t="s">
        <v>14</v>
      </c>
      <c r="B27" s="134" t="s">
        <v>4</v>
      </c>
      <c r="C27" s="125" t="s">
        <v>96</v>
      </c>
      <c r="D27" s="125"/>
      <c r="E27" s="134" t="s">
        <v>150</v>
      </c>
      <c r="F27" s="134" t="s">
        <v>4</v>
      </c>
      <c r="G27" s="125" t="s">
        <v>355</v>
      </c>
      <c r="H27" s="125"/>
    </row>
    <row r="28" spans="1:9" ht="43.5" customHeight="1" x14ac:dyDescent="0.25">
      <c r="A28" s="134" t="s">
        <v>23</v>
      </c>
      <c r="B28" s="134" t="s">
        <v>4</v>
      </c>
      <c r="C28" s="123" t="s">
        <v>95</v>
      </c>
      <c r="D28" s="123"/>
      <c r="E28" s="134" t="s">
        <v>16</v>
      </c>
      <c r="F28" s="134" t="s">
        <v>4</v>
      </c>
      <c r="G28" s="125" t="s">
        <v>317</v>
      </c>
      <c r="H28" s="125"/>
    </row>
    <row r="29" spans="1:9" ht="67.5" customHeight="1" x14ac:dyDescent="0.25">
      <c r="A29" s="134" t="s">
        <v>105</v>
      </c>
      <c r="B29" s="134" t="s">
        <v>4</v>
      </c>
      <c r="C29" s="125" t="s">
        <v>314</v>
      </c>
      <c r="D29" s="125"/>
      <c r="E29" s="134" t="s">
        <v>106</v>
      </c>
      <c r="F29" s="134" t="s">
        <v>4</v>
      </c>
      <c r="G29" s="125" t="s">
        <v>315</v>
      </c>
      <c r="H29" s="125"/>
    </row>
    <row r="30" spans="1:9" ht="84" customHeight="1" x14ac:dyDescent="0.25">
      <c r="A30" s="134" t="s">
        <v>17</v>
      </c>
      <c r="B30" s="134" t="s">
        <v>4</v>
      </c>
      <c r="C30" s="125" t="s">
        <v>316</v>
      </c>
      <c r="D30" s="125"/>
      <c r="E30" s="134" t="s">
        <v>15</v>
      </c>
      <c r="F30" s="134" t="s">
        <v>4</v>
      </c>
      <c r="G30" s="125" t="s">
        <v>318</v>
      </c>
      <c r="H30" s="125"/>
    </row>
    <row r="31" spans="1:9" ht="20.25" x14ac:dyDescent="0.25">
      <c r="A31" s="134" t="s">
        <v>111</v>
      </c>
      <c r="B31" s="134" t="s">
        <v>4</v>
      </c>
      <c r="C31" s="123" t="s">
        <v>112</v>
      </c>
      <c r="D31" s="123"/>
      <c r="E31" s="134" t="s">
        <v>113</v>
      </c>
      <c r="F31" s="134" t="s">
        <v>4</v>
      </c>
      <c r="G31" s="123" t="s">
        <v>112</v>
      </c>
      <c r="H31" s="123"/>
    </row>
    <row r="32" spans="1:9" ht="21.75" customHeight="1" x14ac:dyDescent="0.25">
      <c r="A32" s="134" t="s">
        <v>114</v>
      </c>
      <c r="B32" s="134" t="s">
        <v>4</v>
      </c>
      <c r="C32" s="123" t="s">
        <v>112</v>
      </c>
      <c r="D32" s="123"/>
      <c r="E32" s="123"/>
      <c r="F32" s="123"/>
      <c r="G32" s="123"/>
      <c r="H32" s="123"/>
    </row>
    <row r="33" spans="1:15" ht="20.25" x14ac:dyDescent="0.25">
      <c r="A33" s="162" t="s">
        <v>37</v>
      </c>
      <c r="B33" s="162"/>
      <c r="C33" s="162"/>
      <c r="D33" s="162"/>
      <c r="E33" s="162"/>
      <c r="F33" s="162"/>
      <c r="G33" s="162"/>
      <c r="H33" s="162"/>
    </row>
    <row r="34" spans="1:15" ht="43.5" customHeight="1" x14ac:dyDescent="0.25">
      <c r="A34" s="134" t="s">
        <v>18</v>
      </c>
      <c r="B34" s="134"/>
      <c r="C34" s="123" t="s">
        <v>97</v>
      </c>
      <c r="D34" s="123"/>
      <c r="E34" s="134" t="s">
        <v>19</v>
      </c>
      <c r="F34" s="134" t="s">
        <v>4</v>
      </c>
      <c r="G34" s="123" t="s">
        <v>98</v>
      </c>
      <c r="H34" s="123"/>
    </row>
    <row r="35" spans="1:15" ht="43.5" customHeight="1" x14ac:dyDescent="0.25">
      <c r="A35" s="134" t="s">
        <v>22</v>
      </c>
      <c r="B35" s="134"/>
      <c r="C35" s="123" t="s">
        <v>98</v>
      </c>
      <c r="D35" s="123"/>
      <c r="E35" s="134" t="s">
        <v>32</v>
      </c>
      <c r="F35" s="134" t="s">
        <v>4</v>
      </c>
      <c r="G35" s="125" t="s">
        <v>98</v>
      </c>
      <c r="H35" s="125"/>
    </row>
    <row r="36" spans="1:15" ht="20.25" x14ac:dyDescent="0.25">
      <c r="A36" s="134" t="s">
        <v>31</v>
      </c>
      <c r="B36" s="134"/>
      <c r="C36" s="123" t="s">
        <v>99</v>
      </c>
      <c r="D36" s="123"/>
      <c r="E36" s="134" t="s">
        <v>21</v>
      </c>
      <c r="F36" s="134" t="s">
        <v>4</v>
      </c>
      <c r="G36" s="123" t="s">
        <v>100</v>
      </c>
      <c r="H36" s="123"/>
    </row>
    <row r="37" spans="1:15" ht="20.25" x14ac:dyDescent="0.25">
      <c r="A37" s="121" t="s">
        <v>0</v>
      </c>
      <c r="B37" s="121"/>
      <c r="C37" s="121"/>
      <c r="D37" s="121"/>
      <c r="E37" s="121"/>
      <c r="F37" s="121"/>
      <c r="G37" s="121"/>
      <c r="H37" s="121"/>
    </row>
    <row r="38" spans="1:15" ht="20.25" x14ac:dyDescent="0.25">
      <c r="A38" s="132" t="s">
        <v>0</v>
      </c>
      <c r="B38" s="132"/>
      <c r="C38" s="132" t="s">
        <v>228</v>
      </c>
      <c r="D38" s="132"/>
      <c r="E38" s="132"/>
      <c r="F38" s="132" t="s">
        <v>7</v>
      </c>
      <c r="G38" s="132"/>
      <c r="H38" s="132"/>
      <c r="J38" s="201" t="s">
        <v>1</v>
      </c>
      <c r="K38" s="202"/>
      <c r="L38" s="44" t="s">
        <v>6</v>
      </c>
      <c r="M38" s="201" t="s">
        <v>2</v>
      </c>
      <c r="N38" s="202"/>
      <c r="O38" s="44" t="s">
        <v>3</v>
      </c>
    </row>
    <row r="39" spans="1:15" ht="20.25" x14ac:dyDescent="0.25">
      <c r="A39" s="161" t="s">
        <v>2</v>
      </c>
      <c r="B39" s="161"/>
      <c r="C39" s="200" t="s">
        <v>323</v>
      </c>
      <c r="D39" s="200"/>
      <c r="E39" s="200"/>
      <c r="F39" s="200" t="s">
        <v>326</v>
      </c>
      <c r="G39" s="200"/>
      <c r="H39" s="200"/>
    </row>
    <row r="40" spans="1:15" ht="20.25" x14ac:dyDescent="0.25">
      <c r="A40" s="161" t="s">
        <v>3</v>
      </c>
      <c r="B40" s="161"/>
      <c r="C40" s="200" t="s">
        <v>324</v>
      </c>
      <c r="D40" s="200"/>
      <c r="E40" s="200"/>
      <c r="F40" s="200" t="s">
        <v>319</v>
      </c>
      <c r="G40" s="200"/>
      <c r="H40" s="200"/>
    </row>
    <row r="41" spans="1:15" ht="20.25" x14ac:dyDescent="0.25">
      <c r="A41" s="161" t="s">
        <v>1</v>
      </c>
      <c r="B41" s="161"/>
      <c r="C41" s="200" t="s">
        <v>322</v>
      </c>
      <c r="D41" s="200"/>
      <c r="E41" s="200"/>
      <c r="F41" s="200" t="s">
        <v>320</v>
      </c>
      <c r="G41" s="200"/>
      <c r="H41" s="200"/>
    </row>
    <row r="42" spans="1:15" ht="20.25" x14ac:dyDescent="0.25">
      <c r="A42" s="161" t="s">
        <v>6</v>
      </c>
      <c r="B42" s="161"/>
      <c r="C42" s="200" t="s">
        <v>325</v>
      </c>
      <c r="D42" s="200"/>
      <c r="E42" s="200"/>
      <c r="F42" s="200" t="s">
        <v>321</v>
      </c>
      <c r="G42" s="200"/>
      <c r="H42" s="200"/>
    </row>
    <row r="43" spans="1:15" ht="51" customHeight="1" x14ac:dyDescent="0.25">
      <c r="A43" s="134" t="s">
        <v>229</v>
      </c>
      <c r="B43" s="134"/>
      <c r="C43" s="123" t="s">
        <v>95</v>
      </c>
      <c r="D43" s="123"/>
      <c r="E43" s="123"/>
      <c r="F43" s="123"/>
      <c r="G43" s="123"/>
      <c r="H43" s="123"/>
    </row>
    <row r="44" spans="1:15" ht="20.25" x14ac:dyDescent="0.25">
      <c r="A44" s="121" t="s">
        <v>57</v>
      </c>
      <c r="B44" s="121"/>
      <c r="C44" s="121"/>
      <c r="D44" s="121"/>
      <c r="E44" s="121"/>
      <c r="F44" s="121"/>
      <c r="G44" s="121"/>
      <c r="H44" s="121"/>
    </row>
    <row r="45" spans="1:15" ht="21" customHeight="1" x14ac:dyDescent="0.25">
      <c r="A45" s="132" t="s">
        <v>58</v>
      </c>
      <c r="B45" s="132"/>
      <c r="C45" s="95" t="s">
        <v>59</v>
      </c>
      <c r="D45" s="132" t="s">
        <v>148</v>
      </c>
      <c r="E45" s="132"/>
      <c r="F45" s="132"/>
      <c r="G45" s="132" t="s">
        <v>60</v>
      </c>
      <c r="H45" s="132"/>
    </row>
    <row r="46" spans="1:15" ht="20.25" x14ac:dyDescent="0.25">
      <c r="A46" s="133" t="s">
        <v>327</v>
      </c>
      <c r="B46" s="133"/>
      <c r="C46" s="97" t="s">
        <v>94</v>
      </c>
      <c r="D46" s="123" t="s">
        <v>331</v>
      </c>
      <c r="E46" s="123"/>
      <c r="F46" s="123"/>
      <c r="G46" s="123" t="s">
        <v>331</v>
      </c>
      <c r="H46" s="123"/>
    </row>
    <row r="47" spans="1:15" ht="20.25" x14ac:dyDescent="0.25">
      <c r="A47" s="133" t="s">
        <v>328</v>
      </c>
      <c r="B47" s="133"/>
      <c r="C47" s="97" t="s">
        <v>94</v>
      </c>
      <c r="D47" s="123" t="s">
        <v>332</v>
      </c>
      <c r="E47" s="123"/>
      <c r="F47" s="123"/>
      <c r="G47" s="123" t="s">
        <v>332</v>
      </c>
      <c r="H47" s="123"/>
    </row>
    <row r="48" spans="1:15" ht="20.25" customHeight="1" x14ac:dyDescent="0.25">
      <c r="A48" s="133" t="s">
        <v>340</v>
      </c>
      <c r="B48" s="133"/>
      <c r="C48" s="97" t="s">
        <v>94</v>
      </c>
      <c r="D48" s="123" t="s">
        <v>334</v>
      </c>
      <c r="E48" s="123"/>
      <c r="F48" s="123"/>
      <c r="G48" s="123" t="s">
        <v>333</v>
      </c>
      <c r="H48" s="123"/>
    </row>
    <row r="49" spans="1:10" ht="20.25" customHeight="1" x14ac:dyDescent="0.25">
      <c r="A49" s="133" t="s">
        <v>330</v>
      </c>
      <c r="B49" s="133"/>
      <c r="C49" s="97" t="s">
        <v>94</v>
      </c>
      <c r="D49" s="123" t="s">
        <v>332</v>
      </c>
      <c r="E49" s="123"/>
      <c r="F49" s="123"/>
      <c r="G49" s="123" t="s">
        <v>334</v>
      </c>
      <c r="H49" s="123"/>
    </row>
    <row r="50" spans="1:10" ht="20.25" x14ac:dyDescent="0.25">
      <c r="A50" s="121" t="s">
        <v>61</v>
      </c>
      <c r="B50" s="121"/>
      <c r="C50" s="121"/>
      <c r="D50" s="121"/>
      <c r="E50" s="121"/>
      <c r="F50" s="121"/>
      <c r="G50" s="121"/>
      <c r="H50" s="121"/>
    </row>
    <row r="51" spans="1:10" ht="42.75" customHeight="1" x14ac:dyDescent="0.25">
      <c r="A51" s="134" t="s">
        <v>62</v>
      </c>
      <c r="B51" s="134" t="s">
        <v>4</v>
      </c>
      <c r="C51" s="125" t="s">
        <v>95</v>
      </c>
      <c r="D51" s="125"/>
      <c r="E51" s="125"/>
      <c r="F51" s="125"/>
      <c r="G51" s="125"/>
      <c r="H51" s="125"/>
    </row>
    <row r="52" spans="1:10" ht="20.25" x14ac:dyDescent="0.25">
      <c r="A52" s="134" t="s">
        <v>63</v>
      </c>
      <c r="B52" s="134" t="s">
        <v>4</v>
      </c>
      <c r="C52" s="123" t="s">
        <v>335</v>
      </c>
      <c r="D52" s="123"/>
      <c r="E52" s="123"/>
      <c r="F52" s="123"/>
      <c r="G52" s="59" t="s">
        <v>230</v>
      </c>
      <c r="H52" s="99">
        <v>45316</v>
      </c>
    </row>
    <row r="53" spans="1:10" ht="20.25" x14ac:dyDescent="0.25">
      <c r="A53" s="134" t="s">
        <v>64</v>
      </c>
      <c r="B53" s="134" t="s">
        <v>4</v>
      </c>
      <c r="C53" s="123" t="str">
        <f>C52</f>
        <v>KBNP/NRV/BD 151-119</v>
      </c>
      <c r="D53" s="123"/>
      <c r="E53" s="123"/>
      <c r="F53" s="123"/>
      <c r="G53" s="59" t="s">
        <v>230</v>
      </c>
      <c r="H53" s="99">
        <f>H52</f>
        <v>45316</v>
      </c>
    </row>
    <row r="54" spans="1:10" ht="20.25" x14ac:dyDescent="0.25">
      <c r="A54" s="134" t="s">
        <v>243</v>
      </c>
      <c r="B54" s="134"/>
      <c r="C54" s="123" t="s">
        <v>336</v>
      </c>
      <c r="D54" s="123"/>
      <c r="E54" s="123"/>
      <c r="F54" s="123"/>
      <c r="G54" s="59" t="s">
        <v>230</v>
      </c>
      <c r="H54" s="99">
        <f>H53</f>
        <v>45316</v>
      </c>
    </row>
    <row r="55" spans="1:10" ht="87.75" customHeight="1" x14ac:dyDescent="0.25">
      <c r="A55" s="134"/>
      <c r="B55" s="134"/>
      <c r="C55" s="165" t="s">
        <v>337</v>
      </c>
      <c r="D55" s="166"/>
      <c r="E55" s="166"/>
      <c r="F55" s="166"/>
      <c r="G55" s="166"/>
      <c r="H55" s="167"/>
    </row>
    <row r="56" spans="1:10" ht="149.25" customHeight="1" x14ac:dyDescent="0.25">
      <c r="A56" s="134" t="s">
        <v>65</v>
      </c>
      <c r="B56" s="134" t="s">
        <v>4</v>
      </c>
      <c r="C56" s="123" t="s">
        <v>361</v>
      </c>
      <c r="D56" s="123"/>
      <c r="E56" s="123"/>
      <c r="F56" s="123"/>
      <c r="G56" s="59" t="s">
        <v>231</v>
      </c>
      <c r="H56" s="99">
        <v>44902</v>
      </c>
    </row>
    <row r="57" spans="1:10" ht="45" hidden="1" customHeight="1" x14ac:dyDescent="0.25">
      <c r="A57" s="134" t="s">
        <v>67</v>
      </c>
      <c r="B57" s="134" t="s">
        <v>4</v>
      </c>
      <c r="C57" s="123" t="s">
        <v>147</v>
      </c>
      <c r="D57" s="123"/>
      <c r="E57" s="123"/>
      <c r="F57" s="123"/>
      <c r="G57" s="59" t="s">
        <v>231</v>
      </c>
      <c r="H57" s="91" t="s">
        <v>147</v>
      </c>
    </row>
    <row r="58" spans="1:10" ht="46.5" hidden="1" customHeight="1" x14ac:dyDescent="0.25">
      <c r="A58" s="134" t="s">
        <v>66</v>
      </c>
      <c r="B58" s="134" t="s">
        <v>4</v>
      </c>
      <c r="C58" s="123"/>
      <c r="D58" s="123"/>
      <c r="E58" s="123"/>
      <c r="F58" s="123"/>
      <c r="G58" s="59" t="s">
        <v>231</v>
      </c>
      <c r="H58" s="91"/>
    </row>
    <row r="59" spans="1:10" ht="108" customHeight="1" x14ac:dyDescent="0.25">
      <c r="A59" s="134" t="s">
        <v>362</v>
      </c>
      <c r="B59" s="134" t="s">
        <v>4</v>
      </c>
      <c r="C59" s="123" t="s">
        <v>338</v>
      </c>
      <c r="D59" s="123"/>
      <c r="E59" s="123"/>
      <c r="F59" s="123"/>
      <c r="G59" s="59" t="s">
        <v>231</v>
      </c>
      <c r="H59" s="99">
        <v>44806</v>
      </c>
    </row>
    <row r="60" spans="1:10" ht="48" customHeight="1" x14ac:dyDescent="0.25">
      <c r="A60" s="226" t="s">
        <v>363</v>
      </c>
      <c r="B60" s="226" t="s">
        <v>4</v>
      </c>
      <c r="C60" s="199" t="s">
        <v>339</v>
      </c>
      <c r="D60" s="199"/>
      <c r="E60" s="199"/>
      <c r="F60" s="199"/>
      <c r="G60" s="227" t="s">
        <v>231</v>
      </c>
      <c r="H60" s="228">
        <v>45806</v>
      </c>
    </row>
    <row r="61" spans="1:10" ht="21" thickBot="1" x14ac:dyDescent="0.3">
      <c r="A61" s="121" t="s">
        <v>68</v>
      </c>
      <c r="B61" s="121"/>
      <c r="C61" s="121"/>
      <c r="D61" s="121"/>
      <c r="E61" s="121"/>
      <c r="F61" s="121"/>
      <c r="G61" s="121"/>
      <c r="H61" s="121"/>
    </row>
    <row r="62" spans="1:10" ht="20.25" customHeight="1" x14ac:dyDescent="0.3">
      <c r="A62" s="122" t="str">
        <f>CONCATENATE((IF(OR(A46="",A46="NA"),"",A46)),"= ",(IF(OR(D46="",D46="NA"),"",D46)),".")</f>
        <v>Building A= G + 1st to 14th Floor.</v>
      </c>
      <c r="B62" s="122"/>
      <c r="C62" s="122"/>
      <c r="D62" s="30" t="s">
        <v>115</v>
      </c>
      <c r="E62" s="130" t="s">
        <v>102</v>
      </c>
      <c r="F62" s="130"/>
      <c r="G62" s="30" t="s">
        <v>116</v>
      </c>
      <c r="H62" s="30" t="s">
        <v>117</v>
      </c>
      <c r="I62" s="16" t="str">
        <f ca="1">(IF(E65&gt;99%,"All work completed. Please provide OC.",IF(E65&gt;89.8%,"Plinth, RCC, Brick, Plaster, Flooring, Wooden, Plumbing, Electrification, etc., work Completed. Finishing work is in process.",IF(E65&lt;94%,(IF(C65=0,"Work not yet Started.",IF(D65=25%,"Piling work in process",IF(D65=50%,"Excavation work in process",IF(D65=100%,"Excavation work Completed. ","0")))&amp;(IF(C66=0%,"",IF(C66=J67,"Footing work is process",IF(C66=J68,"Footing work Completed",IF(C66=J69,"1st Basement Completed",IF(C66=J70,"1st &amp; 2nd Basement Completed",IF(C66=J71,"1st to 3rd Basement Completed",IF(C66=J72,"1st to 4th Basement Completed",IF(C66=J73,"Plinth work is process",IF(C66=J74,"Plinth work completed","0")))))))))))&amp;(IF(C67=(E63+G63+H63),", RCC Slab",IF(C67&gt;0,", RCC upto "&amp;C67&amp;" Slab",""))&amp;(IF(C68=H63,", Brickwork",IF(C68&gt;0,", Brickwork upto "&amp;C68&amp;" Floor",""))&amp;(IF(C69=H63,", Internal Plaster",IF(C69&gt;0,", Internal Plaster upto "&amp;C69&amp;" Floor",""))&amp;(IF(C70=H63,", External Plaster",IF(C70&gt;0,", External Plaster upto "&amp;C70&amp;" Floor",""))&amp;(IF(C71=H63,", External Plumbing, Elevation and Waterproofing",IF(C71&gt;0,", External Plumbing, Elevation and Waterproofing upto "&amp;C71&amp;" Floor",""))&amp;(IF(C72=H63,", Flooring &amp; Fitting",IF(C72&gt;0,", Flooring &amp; Fitting upto "&amp;C72&amp;" Floor",""))&amp;(IF(C73=H63,", Wooden Work",IF(C73&gt;0,", Wooden Work upto "&amp;C73&amp;" Floor",""))&amp;(IF(C74=H63,", Electrical &amp; Sanitary fittings",IF(C74&gt;0,", Electrical &amp; Sanitary fittings upto "&amp;C74&amp;" Floor",""))&amp;(IF(C75&gt;0,", Finishing upto "&amp;C75&amp;" Floor","")&amp;(IF(C67&gt;0.5," Completed",""))))))))))))))))</f>
        <v>Excavation work Completed. Plinth work completed, RCC Slab, Brickwork, Internal Plaster, External Plaster, External Plumbing, Elevation and Waterproofing upto 13 Floor, Flooring &amp; Fitting upto 2 Floor Completed</v>
      </c>
      <c r="J62" s="18"/>
    </row>
    <row r="63" spans="1:10" ht="20.25" x14ac:dyDescent="0.3">
      <c r="A63" s="122"/>
      <c r="B63" s="122"/>
      <c r="C63" s="122"/>
      <c r="D63" s="100">
        <f>IF(AND(ISNUMBER(SEARCH("1B",A62))),1,IF(AND(ISNUMBER(SEARCH("2B",A62))),2,IF(AND(ISNUMBER(SEARCH("3B",A62))),3,IF(AND(ISNUMBER(SEARCH("4B",A62))),4,IF(ISNUMBER(SEARCH("5B",A62)),5,0)))))</f>
        <v>0</v>
      </c>
      <c r="E63" s="130">
        <v>1</v>
      </c>
      <c r="F63" s="130"/>
      <c r="G63" s="100">
        <v>0</v>
      </c>
      <c r="H63" s="30">
        <f ca="1">--TRIM(RIGHT(SUBSTITUTE(LEFT(A62,_xlfn.AGGREGATE(16,6,FIND({0,1,2,3,4,5,6,7,8,9},A62,ROW(INDIRECT("1:"&amp;LEN(A62)))),1))," ",REPT(" ",LEN(A62))),LEN(A62)))</f>
        <v>14</v>
      </c>
      <c r="I63" s="17" t="s">
        <v>121</v>
      </c>
      <c r="J63" s="18"/>
    </row>
    <row r="64" spans="1:10" ht="20.25" customHeight="1" x14ac:dyDescent="0.3">
      <c r="A64" s="131" t="s">
        <v>119</v>
      </c>
      <c r="B64" s="131"/>
      <c r="C64" s="42" t="s">
        <v>132</v>
      </c>
      <c r="D64" s="28" t="s">
        <v>133</v>
      </c>
      <c r="E64" s="131" t="s">
        <v>120</v>
      </c>
      <c r="F64" s="131"/>
      <c r="G64" s="29" t="s">
        <v>118</v>
      </c>
      <c r="H64" s="29"/>
      <c r="I64" s="20" t="s">
        <v>134</v>
      </c>
      <c r="J64" s="19">
        <f ca="1">H63*25%</f>
        <v>3.5</v>
      </c>
    </row>
    <row r="65" spans="1:13" ht="20.25" customHeight="1" x14ac:dyDescent="0.3">
      <c r="A65" s="129" t="s">
        <v>135</v>
      </c>
      <c r="B65" s="129"/>
      <c r="C65" s="35">
        <f ca="1">J66</f>
        <v>14</v>
      </c>
      <c r="D65" s="5">
        <f ca="1">((100/H63)*C65)/100</f>
        <v>1</v>
      </c>
      <c r="E65" s="184">
        <f ca="1">(((C65/H63*10)+(C66/H63*15)+(25/(E63+G63+H63)*C67)+(5/(H63)*C68)+(2.5/(H63)*C69)+(2.5/(H63)*C70)+(5/H63*C71)+(10/H63*C72)+(2.5/H63*C73)+(2.5/H63*C74)+(10/H63*C75)+(10/H63*C76))/100)</f>
        <v>0.6607142857142857</v>
      </c>
      <c r="F65" s="185"/>
      <c r="G65" s="129" t="str">
        <f ca="1">I62</f>
        <v>Excavation work Completed. Plinth work completed, RCC Slab, Brickwork, Internal Plaster, External Plaster, External Plumbing, Elevation and Waterproofing upto 13 Floor, Flooring &amp; Fitting upto 2 Floor Completed</v>
      </c>
      <c r="H65" s="129"/>
      <c r="I65" s="20" t="s">
        <v>122</v>
      </c>
      <c r="J65" s="24">
        <f ca="1">H63*50%</f>
        <v>7</v>
      </c>
    </row>
    <row r="66" spans="1:13" ht="20.25" x14ac:dyDescent="0.3">
      <c r="A66" s="129" t="s">
        <v>103</v>
      </c>
      <c r="B66" s="129"/>
      <c r="C66" s="37">
        <f ca="1">J74</f>
        <v>14</v>
      </c>
      <c r="D66" s="5">
        <f ca="1">((100/H63)*C66)/100</f>
        <v>1</v>
      </c>
      <c r="E66" s="186"/>
      <c r="F66" s="187"/>
      <c r="G66" s="129"/>
      <c r="H66" s="129"/>
      <c r="I66" s="20" t="s">
        <v>123</v>
      </c>
      <c r="J66" s="24">
        <f ca="1">H63</f>
        <v>14</v>
      </c>
    </row>
    <row r="67" spans="1:13" ht="21" customHeight="1" x14ac:dyDescent="0.35">
      <c r="A67" s="129" t="s">
        <v>136</v>
      </c>
      <c r="B67" s="129"/>
      <c r="C67" s="35">
        <v>15</v>
      </c>
      <c r="D67" s="5">
        <f ca="1">((100/(E63+G63+H63))*C67)/100</f>
        <v>1</v>
      </c>
      <c r="E67" s="186"/>
      <c r="F67" s="187"/>
      <c r="G67" s="129"/>
      <c r="H67" s="129"/>
      <c r="I67" s="20" t="s">
        <v>124</v>
      </c>
      <c r="J67" s="25">
        <f ca="1">(IF(D63&gt;1,(H63/(D63+2)),H63*0.2))</f>
        <v>2.8000000000000003</v>
      </c>
    </row>
    <row r="68" spans="1:13" ht="21" customHeight="1" x14ac:dyDescent="0.35">
      <c r="A68" s="129" t="s">
        <v>137</v>
      </c>
      <c r="B68" s="129"/>
      <c r="C68" s="35">
        <v>14</v>
      </c>
      <c r="D68" s="5">
        <f ca="1">((100/H63)*C68)/100</f>
        <v>1</v>
      </c>
      <c r="E68" s="186"/>
      <c r="F68" s="187"/>
      <c r="G68" s="129"/>
      <c r="H68" s="129"/>
      <c r="I68" s="20" t="s">
        <v>125</v>
      </c>
      <c r="J68" s="25">
        <f ca="1">(IF(D63&gt;1,(H63/(D63+2)+J67),H63*0.2+J67))</f>
        <v>5.6000000000000005</v>
      </c>
    </row>
    <row r="69" spans="1:13" ht="21" customHeight="1" x14ac:dyDescent="0.35">
      <c r="A69" s="127" t="s">
        <v>138</v>
      </c>
      <c r="B69" s="128"/>
      <c r="C69" s="35">
        <v>14</v>
      </c>
      <c r="D69" s="5">
        <f ca="1">((100/H63)*C69)/100</f>
        <v>1</v>
      </c>
      <c r="E69" s="186"/>
      <c r="F69" s="187"/>
      <c r="G69" s="129"/>
      <c r="H69" s="129"/>
      <c r="I69" s="20" t="s">
        <v>139</v>
      </c>
      <c r="J69" s="25">
        <f>(IF(D63&gt;1,(H63/(D63+2)+J68),0))</f>
        <v>0</v>
      </c>
    </row>
    <row r="70" spans="1:13" ht="21" customHeight="1" x14ac:dyDescent="0.35">
      <c r="A70" s="127" t="s">
        <v>169</v>
      </c>
      <c r="B70" s="128"/>
      <c r="C70" s="35">
        <v>14</v>
      </c>
      <c r="D70" s="5">
        <f ca="1">((100/H63)*C70)/100</f>
        <v>1</v>
      </c>
      <c r="E70" s="186"/>
      <c r="F70" s="187"/>
      <c r="G70" s="129"/>
      <c r="H70" s="129"/>
      <c r="I70" s="20" t="s">
        <v>140</v>
      </c>
      <c r="J70" s="25">
        <f>(IF(D63&gt;2,(H63/(D63+2)+J69),0))</f>
        <v>0</v>
      </c>
    </row>
    <row r="71" spans="1:13" ht="60.75" customHeight="1" x14ac:dyDescent="0.35">
      <c r="A71" s="127" t="s">
        <v>166</v>
      </c>
      <c r="B71" s="128"/>
      <c r="C71" s="35">
        <v>13</v>
      </c>
      <c r="D71" s="5">
        <f ca="1">((100/(H63))*C71)/100</f>
        <v>0.9285714285714286</v>
      </c>
      <c r="E71" s="186"/>
      <c r="F71" s="187"/>
      <c r="G71" s="129"/>
      <c r="H71" s="129"/>
      <c r="I71" s="20" t="s">
        <v>142</v>
      </c>
      <c r="J71" s="26">
        <f>(IF(D63&gt;3,(H63/(D63+2)+J70),0))</f>
        <v>0</v>
      </c>
    </row>
    <row r="72" spans="1:13" ht="21" x14ac:dyDescent="0.35">
      <c r="A72" s="129" t="s">
        <v>141</v>
      </c>
      <c r="B72" s="129"/>
      <c r="C72" s="35">
        <v>2</v>
      </c>
      <c r="D72" s="5">
        <f ca="1">((100/(H63))*C72)/100</f>
        <v>0.14285714285714288</v>
      </c>
      <c r="E72" s="186"/>
      <c r="F72" s="187"/>
      <c r="G72" s="129"/>
      <c r="H72" s="129"/>
      <c r="I72" s="20" t="s">
        <v>143</v>
      </c>
      <c r="J72" s="25">
        <f>(IF(D63&gt;4,(H63/(D63+2)+J71),0))</f>
        <v>0</v>
      </c>
    </row>
    <row r="73" spans="1:13" ht="21" customHeight="1" x14ac:dyDescent="0.35">
      <c r="A73" s="129" t="s">
        <v>168</v>
      </c>
      <c r="B73" s="129"/>
      <c r="C73" s="35">
        <v>0</v>
      </c>
      <c r="D73" s="5">
        <f ca="1">((100/H63)*C73)/100</f>
        <v>0</v>
      </c>
      <c r="E73" s="186"/>
      <c r="F73" s="187"/>
      <c r="G73" s="129"/>
      <c r="H73" s="129"/>
      <c r="I73" s="20" t="s">
        <v>126</v>
      </c>
      <c r="J73" s="25">
        <f ca="1">(IF(D63=1,(H63/(D63+3)+J68),IF(D63=0,(H63*0.3+J68),IF(D63&gt;1,0))))</f>
        <v>9.8000000000000007</v>
      </c>
    </row>
    <row r="74" spans="1:13" ht="21.75" thickBot="1" x14ac:dyDescent="0.4">
      <c r="A74" s="129" t="s">
        <v>167</v>
      </c>
      <c r="B74" s="129"/>
      <c r="C74" s="35">
        <v>0</v>
      </c>
      <c r="D74" s="5">
        <f ca="1">((100/H63)*C74)/100</f>
        <v>0</v>
      </c>
      <c r="E74" s="186"/>
      <c r="F74" s="187"/>
      <c r="G74" s="129"/>
      <c r="H74" s="129"/>
      <c r="I74" s="22" t="s">
        <v>127</v>
      </c>
      <c r="J74" s="27">
        <f ca="1">(IF(D63&gt;1.5,(H63/(D63+2)+J68+MAX(0,J69-J68)+MAX(0,J70-J69)+MAX(0,J71-J70)+MAX(0,J72-J71)+MAX(0,J73-J72)),IF(D63=1,(H63/(D63+3)+J73),IF(D63=0,H63*0.3+J73))))</f>
        <v>14</v>
      </c>
    </row>
    <row r="75" spans="1:13" ht="20.25" x14ac:dyDescent="0.25">
      <c r="A75" s="129" t="s">
        <v>144</v>
      </c>
      <c r="B75" s="129"/>
      <c r="C75" s="35">
        <v>0</v>
      </c>
      <c r="D75" s="5">
        <f ca="1">((100/(H63))*C75)/100</f>
        <v>0</v>
      </c>
      <c r="E75" s="186"/>
      <c r="F75" s="187"/>
      <c r="G75" s="129"/>
      <c r="H75" s="129"/>
      <c r="L75" s="1">
        <f>66+89+21</f>
        <v>176</v>
      </c>
      <c r="M75" s="1">
        <f>L75/3</f>
        <v>58.666666666666664</v>
      </c>
    </row>
    <row r="76" spans="1:13" ht="20.25" x14ac:dyDescent="0.25">
      <c r="A76" s="129" t="s">
        <v>145</v>
      </c>
      <c r="B76" s="129"/>
      <c r="C76" s="35">
        <v>0</v>
      </c>
      <c r="D76" s="5">
        <f ca="1">((100/(H63))*C76)/100</f>
        <v>0</v>
      </c>
      <c r="E76" s="188"/>
      <c r="F76" s="189"/>
      <c r="G76" s="129"/>
      <c r="H76" s="129"/>
    </row>
    <row r="77" spans="1:13" ht="21" thickBot="1" x14ac:dyDescent="0.3">
      <c r="A77" s="121" t="s">
        <v>68</v>
      </c>
      <c r="B77" s="121"/>
      <c r="C77" s="121"/>
      <c r="D77" s="121"/>
      <c r="E77" s="121"/>
      <c r="F77" s="121"/>
      <c r="G77" s="121"/>
      <c r="H77" s="121"/>
    </row>
    <row r="78" spans="1:13" ht="20.25" customHeight="1" x14ac:dyDescent="0.3">
      <c r="A78" s="122" t="str">
        <f>CONCATENATE((IF(OR(A47="",A47="NA"),"",A47)),"= ",(IF(OR(D47="",D47="NA"),"",D47)),".")</f>
        <v>Building B= St + 1st to 14th Floor.</v>
      </c>
      <c r="B78" s="122"/>
      <c r="C78" s="122"/>
      <c r="D78" s="93" t="s">
        <v>115</v>
      </c>
      <c r="E78" s="130" t="s">
        <v>102</v>
      </c>
      <c r="F78" s="130"/>
      <c r="G78" s="93" t="s">
        <v>116</v>
      </c>
      <c r="H78" s="93" t="s">
        <v>117</v>
      </c>
      <c r="I78" s="16" t="str">
        <f ca="1">(IF(E81&gt;99%,"All work completed. Please provide OC.",IF(E81&gt;89.8%,"Plinth, RCC, Brick, Plaster, Flooring, Wooden, Plumbing, Electrification, etc., work Completed. Finishing work is in process.",IF(E81&lt;94%,(IF(C81=0,"Work not yet Started.",IF(D81=25%,"Piling work in process",IF(D81=50%,"Excavation work in process",IF(D81=100%,"Excavation work Completed. ","0")))&amp;(IF(C82=0%,"",IF(C82=J83,"Footing work is process",IF(C82=J84,"Footing work Completed",IF(C82=J85,"1st Basement Completed",IF(C82=J86,"1st &amp; 2nd Basement Completed",IF(C82=J87,"1st to 3rd Basement Completed",IF(C82=J88,"1st to 4th Basement Completed",IF(C82=J89,"Plinth work is process",IF(C82=J90,"Plinth work completed","0")))))))))))&amp;(IF(C83=(E79+G79+H79),", RCC Slab",IF(C83&gt;0,", RCC upto "&amp;C83&amp;" Slab",""))&amp;(IF(C84=H79,", Brickwork",IF(C84&gt;0,", Brickwork upto "&amp;C84&amp;" Floor",""))&amp;(IF(C85=H79,", Internal Plaster",IF(C85&gt;0,", Internal Plaster upto "&amp;C85&amp;" Floor",""))&amp;(IF(C86=H79,", External Plaster",IF(C86&gt;0,", External Plaster upto "&amp;C86&amp;" Floor",""))&amp;(IF(C87=H79,", External Plumbing, Elevation and Waterproofing",IF(C87&gt;0,", External Plumbing, Elevation and Waterproofing upto "&amp;C87&amp;" Floor",""))&amp;(IF(C88=H79,", Flooring &amp; Fitting",IF(C88&gt;0,", Flooring &amp; Fitting upto "&amp;C88&amp;" Floor",""))&amp;(IF(C89=H79,", Wooden Work",IF(C89&gt;0,", Wooden Work upto "&amp;C89&amp;" Floor",""))&amp;(IF(C90=H79,", Electrical &amp; Sanitary fittings",IF(C90&gt;0,", Electrical &amp; Sanitary fittings upto "&amp;C90&amp;" Floor",""))&amp;(IF(C91&gt;0,", Finishing upto "&amp;C91&amp;" Floor","")&amp;(IF(C83&gt;0.5," Completed",""))))))))))))))))</f>
        <v>Excavation work Completed. Plinth work completed, RCC Slab, Brickwork, Internal Plaster, External Plaster, External Plumbing, Elevation and Waterproofing, Flooring &amp; Fitting, Wooden Work, Electrical &amp; Sanitary fittings upto 13 Floor, Finishing upto 11 Floor Completed</v>
      </c>
      <c r="J78" s="18"/>
    </row>
    <row r="79" spans="1:13" ht="20.25" x14ac:dyDescent="0.3">
      <c r="A79" s="122"/>
      <c r="B79" s="122"/>
      <c r="C79" s="122"/>
      <c r="D79" s="93">
        <f>IF(AND(ISNUMBER(SEARCH("1B",A78))),1,IF(AND(ISNUMBER(SEARCH("2B",A78))),2,IF(AND(ISNUMBER(SEARCH("3B",A78))),3,IF(AND(ISNUMBER(SEARCH("4B",A78))),4,IF(ISNUMBER(SEARCH("5B",A78)),5,0)))))</f>
        <v>0</v>
      </c>
      <c r="E79" s="130">
        <v>1</v>
      </c>
      <c r="F79" s="130"/>
      <c r="G79" s="93">
        <v>0</v>
      </c>
      <c r="H79" s="93">
        <f ca="1">--TRIM(RIGHT(SUBSTITUTE(LEFT(A78,_xlfn.AGGREGATE(16,6,FIND({0,1,2,3,4,5,6,7,8,9},A78,ROW(INDIRECT("1:"&amp;LEN(A78)))),1))," ",REPT(" ",LEN(A78))),LEN(A78)))</f>
        <v>14</v>
      </c>
      <c r="I79" s="17" t="s">
        <v>121</v>
      </c>
      <c r="J79" s="18"/>
    </row>
    <row r="80" spans="1:13" ht="20.25" customHeight="1" x14ac:dyDescent="0.3">
      <c r="A80" s="131" t="s">
        <v>119</v>
      </c>
      <c r="B80" s="131"/>
      <c r="C80" s="94" t="s">
        <v>132</v>
      </c>
      <c r="D80" s="94" t="s">
        <v>133</v>
      </c>
      <c r="E80" s="131" t="s">
        <v>120</v>
      </c>
      <c r="F80" s="131"/>
      <c r="G80" s="29" t="s">
        <v>118</v>
      </c>
      <c r="H80" s="29"/>
      <c r="I80" s="20" t="s">
        <v>134</v>
      </c>
      <c r="J80" s="19">
        <f ca="1">H79*25%</f>
        <v>3.5</v>
      </c>
    </row>
    <row r="81" spans="1:10" ht="20.25" customHeight="1" x14ac:dyDescent="0.3">
      <c r="A81" s="129" t="s">
        <v>135</v>
      </c>
      <c r="B81" s="129"/>
      <c r="C81" s="93">
        <f ca="1">J82</f>
        <v>14</v>
      </c>
      <c r="D81" s="92">
        <f ca="1">((100/H79)*C81)/100</f>
        <v>1</v>
      </c>
      <c r="E81" s="184">
        <f ca="1">(((C81/H79*10)+(C82/H79*15)+(25/(E79+G79+H79)*C83)+(5/(H79)*C84)+(2.5/(H79)*C85)+(2.5/(H79)*C86)+(5/H79*C87)+(10/H79*C88)+(2.5/H79*C89)+(2.5/H79*C90)+(10/H79*C91)+(10/H79*C92))/100)</f>
        <v>0.87678571428571428</v>
      </c>
      <c r="F81" s="185"/>
      <c r="G81" s="129" t="str">
        <f ca="1">I78</f>
        <v>Excavation work Completed. Plinth work completed, RCC Slab, Brickwork, Internal Plaster, External Plaster, External Plumbing, Elevation and Waterproofing, Flooring &amp; Fitting, Wooden Work, Electrical &amp; Sanitary fittings upto 13 Floor, Finishing upto 11 Floor Completed</v>
      </c>
      <c r="H81" s="129"/>
      <c r="I81" s="20" t="s">
        <v>122</v>
      </c>
      <c r="J81" s="24">
        <f ca="1">H79*50%</f>
        <v>7</v>
      </c>
    </row>
    <row r="82" spans="1:10" ht="20.25" x14ac:dyDescent="0.3">
      <c r="A82" s="129" t="s">
        <v>103</v>
      </c>
      <c r="B82" s="129"/>
      <c r="C82" s="98">
        <f ca="1">J90</f>
        <v>14</v>
      </c>
      <c r="D82" s="92">
        <f ca="1">((100/H79)*C82)/100</f>
        <v>1</v>
      </c>
      <c r="E82" s="186"/>
      <c r="F82" s="187"/>
      <c r="G82" s="129"/>
      <c r="H82" s="129"/>
      <c r="I82" s="20" t="s">
        <v>123</v>
      </c>
      <c r="J82" s="24">
        <f ca="1">H79</f>
        <v>14</v>
      </c>
    </row>
    <row r="83" spans="1:10" ht="21" customHeight="1" x14ac:dyDescent="0.35">
      <c r="A83" s="129" t="s">
        <v>136</v>
      </c>
      <c r="B83" s="129"/>
      <c r="C83" s="93">
        <v>15</v>
      </c>
      <c r="D83" s="92">
        <f ca="1">((100/(E79+G79+H79))*C83)/100</f>
        <v>1</v>
      </c>
      <c r="E83" s="186"/>
      <c r="F83" s="187"/>
      <c r="G83" s="129"/>
      <c r="H83" s="129"/>
      <c r="I83" s="20" t="s">
        <v>124</v>
      </c>
      <c r="J83" s="25">
        <f ca="1">(IF(D79&gt;1,(H79/(D79+2)),H79*0.2))</f>
        <v>2.8000000000000003</v>
      </c>
    </row>
    <row r="84" spans="1:10" ht="21" customHeight="1" x14ac:dyDescent="0.35">
      <c r="A84" s="129" t="s">
        <v>137</v>
      </c>
      <c r="B84" s="129"/>
      <c r="C84" s="93">
        <v>14</v>
      </c>
      <c r="D84" s="92">
        <f ca="1">((100/H79)*C84)/100</f>
        <v>1</v>
      </c>
      <c r="E84" s="186"/>
      <c r="F84" s="187"/>
      <c r="G84" s="129"/>
      <c r="H84" s="129"/>
      <c r="I84" s="20" t="s">
        <v>125</v>
      </c>
      <c r="J84" s="25">
        <f ca="1">(IF(D79&gt;1,(H79/(D79+2)+J83),H79*0.2+J83))</f>
        <v>5.6000000000000005</v>
      </c>
    </row>
    <row r="85" spans="1:10" ht="21" customHeight="1" x14ac:dyDescent="0.35">
      <c r="A85" s="127" t="s">
        <v>138</v>
      </c>
      <c r="B85" s="128"/>
      <c r="C85" s="93">
        <v>14</v>
      </c>
      <c r="D85" s="92">
        <f ca="1">((100/H79)*C85)/100</f>
        <v>1</v>
      </c>
      <c r="E85" s="186"/>
      <c r="F85" s="187"/>
      <c r="G85" s="129"/>
      <c r="H85" s="129"/>
      <c r="I85" s="20" t="s">
        <v>139</v>
      </c>
      <c r="J85" s="25">
        <f>(IF(D79&gt;1,(H79/(D79+2)+J84),0))</f>
        <v>0</v>
      </c>
    </row>
    <row r="86" spans="1:10" ht="21" customHeight="1" x14ac:dyDescent="0.35">
      <c r="A86" s="127" t="s">
        <v>169</v>
      </c>
      <c r="B86" s="128"/>
      <c r="C86" s="93">
        <v>14</v>
      </c>
      <c r="D86" s="92">
        <f ca="1">((100/H79)*C86)/100</f>
        <v>1</v>
      </c>
      <c r="E86" s="186"/>
      <c r="F86" s="187"/>
      <c r="G86" s="129"/>
      <c r="H86" s="129"/>
      <c r="I86" s="20" t="s">
        <v>140</v>
      </c>
      <c r="J86" s="25">
        <f>(IF(D79&gt;2,(H79/(D79+2)+J85),0))</f>
        <v>0</v>
      </c>
    </row>
    <row r="87" spans="1:10" ht="57.75" customHeight="1" x14ac:dyDescent="0.35">
      <c r="A87" s="127" t="s">
        <v>166</v>
      </c>
      <c r="B87" s="128"/>
      <c r="C87" s="93">
        <v>14</v>
      </c>
      <c r="D87" s="92">
        <f ca="1">((100/(H79))*C87)/100</f>
        <v>1</v>
      </c>
      <c r="E87" s="186"/>
      <c r="F87" s="187"/>
      <c r="G87" s="129"/>
      <c r="H87" s="129"/>
      <c r="I87" s="20" t="s">
        <v>142</v>
      </c>
      <c r="J87" s="26">
        <f>(IF(D79&gt;3,(H79/(D79+2)+J86),0))</f>
        <v>0</v>
      </c>
    </row>
    <row r="88" spans="1:10" ht="21" x14ac:dyDescent="0.35">
      <c r="A88" s="129" t="s">
        <v>141</v>
      </c>
      <c r="B88" s="129"/>
      <c r="C88" s="93">
        <v>14</v>
      </c>
      <c r="D88" s="92">
        <f ca="1">((100/(H79))*C88)/100</f>
        <v>1</v>
      </c>
      <c r="E88" s="186"/>
      <c r="F88" s="187"/>
      <c r="G88" s="129"/>
      <c r="H88" s="129"/>
      <c r="I88" s="20" t="s">
        <v>143</v>
      </c>
      <c r="J88" s="25">
        <f>(IF(D79&gt;4,(H79/(D79+2)+J87),0))</f>
        <v>0</v>
      </c>
    </row>
    <row r="89" spans="1:10" ht="21" customHeight="1" x14ac:dyDescent="0.35">
      <c r="A89" s="129" t="s">
        <v>168</v>
      </c>
      <c r="B89" s="129"/>
      <c r="C89" s="93">
        <v>14</v>
      </c>
      <c r="D89" s="92">
        <f ca="1">((100/H79)*C89)/100</f>
        <v>1</v>
      </c>
      <c r="E89" s="186"/>
      <c r="F89" s="187"/>
      <c r="G89" s="129"/>
      <c r="H89" s="129"/>
      <c r="I89" s="20" t="s">
        <v>126</v>
      </c>
      <c r="J89" s="25">
        <f ca="1">(IF(D79=1,(H79/(D79+3)+J84),IF(D79=0,(H79*0.3+J84),IF(D79&gt;1,0))))</f>
        <v>9.8000000000000007</v>
      </c>
    </row>
    <row r="90" spans="1:10" ht="21.75" thickBot="1" x14ac:dyDescent="0.4">
      <c r="A90" s="129" t="s">
        <v>167</v>
      </c>
      <c r="B90" s="129"/>
      <c r="C90" s="93">
        <v>13</v>
      </c>
      <c r="D90" s="92">
        <f ca="1">((100/H79)*C90)/100</f>
        <v>0.9285714285714286</v>
      </c>
      <c r="E90" s="186"/>
      <c r="F90" s="187"/>
      <c r="G90" s="129"/>
      <c r="H90" s="129"/>
      <c r="I90" s="22" t="s">
        <v>127</v>
      </c>
      <c r="J90" s="27">
        <f ca="1">(IF(D79&gt;1.5,(H79/(D79+2)+J84+MAX(0,J85-J84)+MAX(0,J86-J85)+MAX(0,J87-J86)+MAX(0,J88-J87)+MAX(0,J89-J88)),IF(D79=1,(H79/(D79+3)+J89),IF(D79=0,H79*0.3+J89))))</f>
        <v>14</v>
      </c>
    </row>
    <row r="91" spans="1:10" ht="20.25" x14ac:dyDescent="0.25">
      <c r="A91" s="129" t="s">
        <v>144</v>
      </c>
      <c r="B91" s="129"/>
      <c r="C91" s="93">
        <v>11</v>
      </c>
      <c r="D91" s="92">
        <f ca="1">((100/(H79))*C91)/100</f>
        <v>0.7857142857142857</v>
      </c>
      <c r="E91" s="186"/>
      <c r="F91" s="187"/>
      <c r="G91" s="129"/>
      <c r="H91" s="129"/>
      <c r="I91" s="105" t="s">
        <v>357</v>
      </c>
    </row>
    <row r="92" spans="1:10" ht="20.25" x14ac:dyDescent="0.25">
      <c r="A92" s="129" t="s">
        <v>145</v>
      </c>
      <c r="B92" s="129"/>
      <c r="C92" s="93">
        <v>0</v>
      </c>
      <c r="D92" s="92">
        <f ca="1">((100/(H79))*C92)/100</f>
        <v>0</v>
      </c>
      <c r="E92" s="188"/>
      <c r="F92" s="189"/>
      <c r="G92" s="129"/>
      <c r="H92" s="129"/>
    </row>
    <row r="93" spans="1:10" ht="21" thickBot="1" x14ac:dyDescent="0.3">
      <c r="A93" s="121" t="s">
        <v>68</v>
      </c>
      <c r="B93" s="121"/>
      <c r="C93" s="121"/>
      <c r="D93" s="121"/>
      <c r="E93" s="121"/>
      <c r="F93" s="121"/>
      <c r="G93" s="121"/>
      <c r="H93" s="121"/>
    </row>
    <row r="94" spans="1:10" ht="20.25" customHeight="1" x14ac:dyDescent="0.3">
      <c r="A94" s="122" t="str">
        <f>CONCATENATE((IF(OR(A48="",A48="NA"),"",A48)),"= ",(IF(OR(D48="",D48="NA"),"",D48)),".")</f>
        <v>Building C = St + 1st to 13th Floor.</v>
      </c>
      <c r="B94" s="122"/>
      <c r="C94" s="122"/>
      <c r="D94" s="93" t="s">
        <v>115</v>
      </c>
      <c r="E94" s="130" t="s">
        <v>102</v>
      </c>
      <c r="F94" s="130"/>
      <c r="G94" s="93" t="s">
        <v>116</v>
      </c>
      <c r="H94" s="93" t="s">
        <v>117</v>
      </c>
      <c r="I94" s="16" t="str">
        <f ca="1">(IF(E97&gt;99%,"All work completed. Please provide OC.",IF(E97&gt;89.8%,"Plinth, RCC, Brick, Plaster, Flooring, Wooden, Plumbing, Electrification, etc., work Completed. Finishing work is in process.",IF(E97&lt;94%,(IF(C97=0,"Work not yet Started.",IF(D97=25%,"Piling work in process",IF(D97=50%,"Excavation work in process",IF(D97=100%,"Excavation work Completed. ","0")))&amp;(IF(C98=0%,"",IF(C98=J99,"Footing work is process",IF(C98=J100,"Footing work Completed",IF(C98=J101,"1st Basement Completed",IF(C98=J102,"1st &amp; 2nd Basement Completed",IF(C98=J103,"1st to 3rd Basement Completed",IF(C98=J104,"1st to 4th Basement Completed",IF(C98=J105,"Plinth work is process",IF(C98=J106,"Plinth work completed","0")))))))))))&amp;(IF(C99=(E95+G95+H95),", RCC Slab",IF(C99&gt;0,", RCC upto "&amp;C99&amp;" Slab",""))&amp;(IF(C100=H95,", Brickwork",IF(C100&gt;0,", Brickwork upto "&amp;C100&amp;" Floor",""))&amp;(IF(C101=H95,", Internal Plaster",IF(C101&gt;0,", Internal Plaster upto "&amp;C101&amp;" Floor",""))&amp;(IF(C102=H95,", External Plaster",IF(C102&gt;0,", External Plaster upto "&amp;C102&amp;" Floor",""))&amp;(IF(C103=H95,", External Plumbing, Elevation and Waterproofing",IF(C103&gt;0,", External Plumbing, Elevation and Waterproofing upto "&amp;C103&amp;" Floor",""))&amp;(IF(C104=H95,", Flooring &amp; Fitting",IF(C104&gt;0,", Flooring &amp; Fitting upto "&amp;C104&amp;" Floor",""))&amp;(IF(C105=H95,", Wooden Work",IF(C105&gt;0,", Wooden Work upto "&amp;C105&amp;" Floor",""))&amp;(IF(C106=H95,", Electrical &amp; Sanitary fittings",IF(C106&gt;0,", Electrical &amp; Sanitary fittings upto "&amp;C106&amp;" Floor",""))&amp;(IF(C107&gt;0,", Finishing upto "&amp;C107&amp;" Floor","")&amp;(IF(C99&gt;0.5," Completed",""))))))))))))))))</f>
        <v>Excavation work Completed. Plinth work is process</v>
      </c>
      <c r="J94" s="18"/>
    </row>
    <row r="95" spans="1:10" ht="20.25" x14ac:dyDescent="0.3">
      <c r="A95" s="122"/>
      <c r="B95" s="122"/>
      <c r="C95" s="122"/>
      <c r="D95" s="93">
        <f>IF(AND(ISNUMBER(SEARCH("1B",A94))),1,IF(AND(ISNUMBER(SEARCH("2B",A94))),2,IF(AND(ISNUMBER(SEARCH("3B",A94))),3,IF(AND(ISNUMBER(SEARCH("4B",A94))),4,IF(ISNUMBER(SEARCH("5B",A94)),5,0)))))</f>
        <v>0</v>
      </c>
      <c r="E95" s="130">
        <v>1</v>
      </c>
      <c r="F95" s="130"/>
      <c r="G95" s="93">
        <v>0</v>
      </c>
      <c r="H95" s="93">
        <f ca="1">--TRIM(RIGHT(SUBSTITUTE(LEFT(A94,_xlfn.AGGREGATE(16,6,FIND({0,1,2,3,4,5,6,7,8,9},A94,ROW(INDIRECT("1:"&amp;LEN(A94)))),1))," ",REPT(" ",LEN(A94))),LEN(A94)))</f>
        <v>13</v>
      </c>
      <c r="I95" s="17" t="s">
        <v>121</v>
      </c>
      <c r="J95" s="18"/>
    </row>
    <row r="96" spans="1:10" ht="20.25" customHeight="1" x14ac:dyDescent="0.3">
      <c r="A96" s="131" t="s">
        <v>119</v>
      </c>
      <c r="B96" s="131"/>
      <c r="C96" s="94" t="s">
        <v>132</v>
      </c>
      <c r="D96" s="94" t="s">
        <v>133</v>
      </c>
      <c r="E96" s="131" t="s">
        <v>120</v>
      </c>
      <c r="F96" s="131"/>
      <c r="G96" s="29" t="s">
        <v>118</v>
      </c>
      <c r="H96" s="29"/>
      <c r="I96" s="20" t="s">
        <v>134</v>
      </c>
      <c r="J96" s="19">
        <f ca="1">H95*25%</f>
        <v>3.25</v>
      </c>
    </row>
    <row r="97" spans="1:10" ht="20.25" customHeight="1" x14ac:dyDescent="0.3">
      <c r="A97" s="129" t="s">
        <v>135</v>
      </c>
      <c r="B97" s="129"/>
      <c r="C97" s="35">
        <f ca="1">J98</f>
        <v>13</v>
      </c>
      <c r="D97" s="36">
        <f ca="1">((100/H95)*C97)/100</f>
        <v>1</v>
      </c>
      <c r="E97" s="184">
        <f ca="1">(((C97/H95*10)+(C98/H95*15)+(25/(E95+G95+H95)*C99)+(5/(H95)*C100)+(2.5/(H95)*C101)+(2.5/(H95)*C102)+(5/H95*C103)+(10/H95*C104)+(2.5/H95*C105)+(2.5/H95*C106)+(10/H95*C107)+(10/H95*C108))/100)</f>
        <v>0.20499999999999999</v>
      </c>
      <c r="F97" s="185"/>
      <c r="G97" s="129" t="str">
        <f ca="1">I94</f>
        <v>Excavation work Completed. Plinth work is process</v>
      </c>
      <c r="H97" s="129"/>
      <c r="I97" s="20" t="s">
        <v>122</v>
      </c>
      <c r="J97" s="24">
        <f ca="1">H95*50%</f>
        <v>6.5</v>
      </c>
    </row>
    <row r="98" spans="1:10" ht="20.25" x14ac:dyDescent="0.3">
      <c r="A98" s="129" t="s">
        <v>103</v>
      </c>
      <c r="B98" s="129"/>
      <c r="C98" s="37">
        <f ca="1">J105</f>
        <v>9.1</v>
      </c>
      <c r="D98" s="36">
        <f ca="1">((100/H95)*C98)/100</f>
        <v>0.7</v>
      </c>
      <c r="E98" s="186"/>
      <c r="F98" s="187"/>
      <c r="G98" s="129"/>
      <c r="H98" s="129"/>
      <c r="I98" s="20" t="s">
        <v>123</v>
      </c>
      <c r="J98" s="24">
        <f ca="1">H95</f>
        <v>13</v>
      </c>
    </row>
    <row r="99" spans="1:10" ht="21" customHeight="1" x14ac:dyDescent="0.35">
      <c r="A99" s="129" t="s">
        <v>136</v>
      </c>
      <c r="B99" s="129"/>
      <c r="C99" s="35">
        <v>0</v>
      </c>
      <c r="D99" s="36">
        <f ca="1">((100/(E95+G95+H95))*C99)/100</f>
        <v>0</v>
      </c>
      <c r="E99" s="186"/>
      <c r="F99" s="187"/>
      <c r="G99" s="129"/>
      <c r="H99" s="129"/>
      <c r="I99" s="20" t="s">
        <v>124</v>
      </c>
      <c r="J99" s="25">
        <f ca="1">(IF(D95&gt;1,(H95/(D95+2)),H95*0.2))</f>
        <v>2.6</v>
      </c>
    </row>
    <row r="100" spans="1:10" ht="21" customHeight="1" x14ac:dyDescent="0.35">
      <c r="A100" s="129" t="s">
        <v>137</v>
      </c>
      <c r="B100" s="129"/>
      <c r="C100" s="35">
        <v>0</v>
      </c>
      <c r="D100" s="36">
        <f ca="1">((100/H95)*C100)/100</f>
        <v>0</v>
      </c>
      <c r="E100" s="186"/>
      <c r="F100" s="187"/>
      <c r="G100" s="129"/>
      <c r="H100" s="129"/>
      <c r="I100" s="20" t="s">
        <v>125</v>
      </c>
      <c r="J100" s="25">
        <f ca="1">(IF(D95&gt;1,(H95/(D95+2)+J99),H95*0.2+J99))</f>
        <v>5.2</v>
      </c>
    </row>
    <row r="101" spans="1:10" ht="21" customHeight="1" x14ac:dyDescent="0.35">
      <c r="A101" s="127" t="s">
        <v>138</v>
      </c>
      <c r="B101" s="128"/>
      <c r="C101" s="35">
        <v>0</v>
      </c>
      <c r="D101" s="36">
        <f ca="1">((100/H95)*C101)/100</f>
        <v>0</v>
      </c>
      <c r="E101" s="186"/>
      <c r="F101" s="187"/>
      <c r="G101" s="129"/>
      <c r="H101" s="129"/>
      <c r="I101" s="20" t="s">
        <v>139</v>
      </c>
      <c r="J101" s="25">
        <f>(IF(D95&gt;1,(H95/(D95+2)+J100),0))</f>
        <v>0</v>
      </c>
    </row>
    <row r="102" spans="1:10" ht="21" customHeight="1" x14ac:dyDescent="0.35">
      <c r="A102" s="127" t="s">
        <v>169</v>
      </c>
      <c r="B102" s="128"/>
      <c r="C102" s="35">
        <v>0</v>
      </c>
      <c r="D102" s="36">
        <f ca="1">((100/H95)*C102)/100</f>
        <v>0</v>
      </c>
      <c r="E102" s="186"/>
      <c r="F102" s="187"/>
      <c r="G102" s="129"/>
      <c r="H102" s="129"/>
      <c r="I102" s="20" t="s">
        <v>140</v>
      </c>
      <c r="J102" s="25">
        <f>(IF(D95&gt;2,(H95/(D95+2)+J101),0))</f>
        <v>0</v>
      </c>
    </row>
    <row r="103" spans="1:10" ht="57.75" customHeight="1" x14ac:dyDescent="0.35">
      <c r="A103" s="127" t="s">
        <v>166</v>
      </c>
      <c r="B103" s="128"/>
      <c r="C103" s="35">
        <v>0</v>
      </c>
      <c r="D103" s="36">
        <f ca="1">((100/(H95))*C103)/100</f>
        <v>0</v>
      </c>
      <c r="E103" s="186"/>
      <c r="F103" s="187"/>
      <c r="G103" s="129"/>
      <c r="H103" s="129"/>
      <c r="I103" s="20" t="s">
        <v>142</v>
      </c>
      <c r="J103" s="26">
        <f>(IF(D95&gt;3,(H95/(D95+2)+J102),0))</f>
        <v>0</v>
      </c>
    </row>
    <row r="104" spans="1:10" ht="21" x14ac:dyDescent="0.35">
      <c r="A104" s="129" t="s">
        <v>141</v>
      </c>
      <c r="B104" s="129"/>
      <c r="C104" s="35">
        <v>0</v>
      </c>
      <c r="D104" s="36">
        <f ca="1">((100/(H95))*C104)/100</f>
        <v>0</v>
      </c>
      <c r="E104" s="186"/>
      <c r="F104" s="187"/>
      <c r="G104" s="129"/>
      <c r="H104" s="129"/>
      <c r="I104" s="20" t="s">
        <v>143</v>
      </c>
      <c r="J104" s="25">
        <f>(IF(D95&gt;4,(H95/(D95+2)+J103),0))</f>
        <v>0</v>
      </c>
    </row>
    <row r="105" spans="1:10" ht="21" customHeight="1" x14ac:dyDescent="0.35">
      <c r="A105" s="129" t="s">
        <v>168</v>
      </c>
      <c r="B105" s="129"/>
      <c r="C105" s="35">
        <v>0</v>
      </c>
      <c r="D105" s="36">
        <f ca="1">((100/H95)*C105)/100</f>
        <v>0</v>
      </c>
      <c r="E105" s="186"/>
      <c r="F105" s="187"/>
      <c r="G105" s="129"/>
      <c r="H105" s="129"/>
      <c r="I105" s="20" t="s">
        <v>126</v>
      </c>
      <c r="J105" s="25">
        <f ca="1">(IF(D95=1,(H95/(D95+3)+J100),IF(D95=0,(H95*0.3+J100),IF(D95&gt;1,0))))</f>
        <v>9.1</v>
      </c>
    </row>
    <row r="106" spans="1:10" ht="21.75" thickBot="1" x14ac:dyDescent="0.4">
      <c r="A106" s="129" t="s">
        <v>167</v>
      </c>
      <c r="B106" s="129"/>
      <c r="C106" s="35">
        <v>0</v>
      </c>
      <c r="D106" s="36">
        <f ca="1">((100/H95)*C106)/100</f>
        <v>0</v>
      </c>
      <c r="E106" s="186"/>
      <c r="F106" s="187"/>
      <c r="G106" s="129"/>
      <c r="H106" s="129"/>
      <c r="I106" s="22" t="s">
        <v>127</v>
      </c>
      <c r="J106" s="27">
        <f ca="1">(IF(D95&gt;1.5,(H95/(D95+2)+J100+MAX(0,J101-J100)+MAX(0,J102-J101)+MAX(0,J103-J102)+MAX(0,J104-J103)+MAX(0,J105-J104)),IF(D95=1,(H95/(D95+3)+J105),IF(D95=0,H95*0.3+J105))))</f>
        <v>13</v>
      </c>
    </row>
    <row r="107" spans="1:10" ht="20.25" x14ac:dyDescent="0.25">
      <c r="A107" s="129" t="s">
        <v>144</v>
      </c>
      <c r="B107" s="129"/>
      <c r="C107" s="35">
        <v>0</v>
      </c>
      <c r="D107" s="36">
        <f ca="1">((100/(H95))*C107)/100</f>
        <v>0</v>
      </c>
      <c r="E107" s="186"/>
      <c r="F107" s="187"/>
      <c r="G107" s="129"/>
      <c r="H107" s="129"/>
    </row>
    <row r="108" spans="1:10" ht="20.25" x14ac:dyDescent="0.25">
      <c r="A108" s="129" t="s">
        <v>145</v>
      </c>
      <c r="B108" s="129"/>
      <c r="C108" s="35">
        <v>0</v>
      </c>
      <c r="D108" s="36">
        <f ca="1">((100/(H95))*C108)/100</f>
        <v>0</v>
      </c>
      <c r="E108" s="188"/>
      <c r="F108" s="189"/>
      <c r="G108" s="129"/>
      <c r="H108" s="129"/>
    </row>
    <row r="109" spans="1:10" ht="21" thickBot="1" x14ac:dyDescent="0.3">
      <c r="A109" s="121" t="s">
        <v>68</v>
      </c>
      <c r="B109" s="121"/>
      <c r="C109" s="121"/>
      <c r="D109" s="121"/>
      <c r="E109" s="121"/>
      <c r="F109" s="121"/>
      <c r="G109" s="121"/>
      <c r="H109" s="121"/>
    </row>
    <row r="110" spans="1:10" ht="20.25" customHeight="1" x14ac:dyDescent="0.3">
      <c r="A110" s="122" t="str">
        <f>CONCATENATE((IF(OR(A49="",A49="NA"),"",A49)),"= ",(IF(OR(D49="",D49="NA"),"",D49)),".")</f>
        <v>Building D= St + 1st to 14th Floor.</v>
      </c>
      <c r="B110" s="122"/>
      <c r="C110" s="122"/>
      <c r="D110" s="89" t="s">
        <v>115</v>
      </c>
      <c r="E110" s="130" t="s">
        <v>102</v>
      </c>
      <c r="F110" s="130"/>
      <c r="G110" s="89" t="s">
        <v>116</v>
      </c>
      <c r="H110" s="89" t="s">
        <v>117</v>
      </c>
      <c r="I110" s="16" t="str">
        <f ca="1">(IF(E113&gt;99%,"All work completed. Please provide OC.",IF(E113&gt;89.8%,"Plinth, RCC, Brick, Plaster, Flooring, Wooden, Plumbing, Electrification, etc., work Completed. Finishing work is in process.",IF(E113&lt;94%,(IF(C113=0,"Work not yet Started.",IF(D113=25%,"Piling work in process",IF(D113=50%,"Excavation work in process",IF(D113=100%,"Excavation work Completed. ","0")))&amp;(IF(C114=0%,"",IF(C114=J115,"Footing work is process",IF(C114=J116,"Footing work Completed",IF(C114=J117,"1st Basement Completed",IF(C114=J118,"1st &amp; 2nd Basement Completed",IF(C114=J119,"1st to 3rd Basement Completed",IF(C114=J120,"1st to 4th Basement Completed",IF(C114=J121,"Plinth work is process",IF(C114=J122,"Plinth work completed","0")))))))))))&amp;(IF(C115=(E111+G111+H111),", RCC Slab",IF(C115&gt;0,", RCC upto "&amp;C115&amp;" Slab",""))&amp;(IF(C116=H111,", Brickwork",IF(C116&gt;0,", Brickwork upto "&amp;C116&amp;" Floor",""))&amp;(IF(C117=H111,", Internal Plaster",IF(C117&gt;0,", Internal Plaster upto "&amp;C117&amp;" Floor",""))&amp;(IF(C118=H111,", External Plaster",IF(C118&gt;0,", External Plaster upto "&amp;C118&amp;" Floor",""))&amp;(IF(C119=H111,", External Plumbing, Elevation and Waterproofing",IF(C119&gt;0,", External Plumbing, Elevation and Waterproofing upto "&amp;C119&amp;" Floor",""))&amp;(IF(C120=H111,", Flooring &amp; Fitting",IF(C120&gt;0,", Flooring &amp; Fitting upto "&amp;C120&amp;" Floor",""))&amp;(IF(C121=H111,", Wooden Work",IF(C121&gt;0,", Wooden Work upto "&amp;C121&amp;" Floor",""))&amp;(IF(C122=H111,", Electrical &amp; Sanitary fittings",IF(C122&gt;0,", Electrical &amp; Sanitary fittings upto "&amp;C122&amp;" Floor",""))&amp;(IF(C123&gt;0,", Finishing upto "&amp;C123&amp;" Floor","")&amp;(IF(C115&gt;0.5," Completed",""))))))))))))))))</f>
        <v>Work not yet Started.</v>
      </c>
      <c r="J110" s="18"/>
    </row>
    <row r="111" spans="1:10" ht="20.25" x14ac:dyDescent="0.3">
      <c r="A111" s="122"/>
      <c r="B111" s="122"/>
      <c r="C111" s="122"/>
      <c r="D111" s="100">
        <f>IF(AND(ISNUMBER(SEARCH("1B",A110))),1,IF(AND(ISNUMBER(SEARCH("2B",A110))),2,IF(AND(ISNUMBER(SEARCH("3B",A110))),3,IF(AND(ISNUMBER(SEARCH("4B",A110))),4,IF(ISNUMBER(SEARCH("5B",A110)),5,0)))))</f>
        <v>0</v>
      </c>
      <c r="E111" s="130">
        <v>1</v>
      </c>
      <c r="F111" s="130"/>
      <c r="G111" s="100">
        <v>0</v>
      </c>
      <c r="H111" s="89">
        <f ca="1">--TRIM(RIGHT(SUBSTITUTE(LEFT(A110,_xlfn.AGGREGATE(16,6,FIND({0,1,2,3,4,5,6,7,8,9},A110,ROW(INDIRECT("1:"&amp;LEN(A110)))),1))," ",REPT(" ",LEN(A110))),LEN(A110)))</f>
        <v>14</v>
      </c>
      <c r="I111" s="17" t="s">
        <v>121</v>
      </c>
      <c r="J111" s="18"/>
    </row>
    <row r="112" spans="1:10" ht="20.25" customHeight="1" x14ac:dyDescent="0.3">
      <c r="A112" s="131" t="s">
        <v>119</v>
      </c>
      <c r="B112" s="131"/>
      <c r="C112" s="85" t="s">
        <v>132</v>
      </c>
      <c r="D112" s="85" t="s">
        <v>133</v>
      </c>
      <c r="E112" s="131" t="s">
        <v>120</v>
      </c>
      <c r="F112" s="131"/>
      <c r="G112" s="29" t="s">
        <v>118</v>
      </c>
      <c r="H112" s="29"/>
      <c r="I112" s="20" t="s">
        <v>134</v>
      </c>
      <c r="J112" s="19">
        <f ca="1">H111*25%</f>
        <v>3.5</v>
      </c>
    </row>
    <row r="113" spans="1:11" ht="20.25" customHeight="1" x14ac:dyDescent="0.3">
      <c r="A113" s="129" t="s">
        <v>135</v>
      </c>
      <c r="B113" s="129"/>
      <c r="C113" s="89">
        <v>0</v>
      </c>
      <c r="D113" s="86">
        <f ca="1">((100/H111)*C113)/100</f>
        <v>0</v>
      </c>
      <c r="E113" s="184">
        <f ca="1">(((C113/H111*10)+(C114/H111*15)+(25/(E111+G111+H111)*C115)+(5/(H111)*C116)+(2.5/(H111)*C117)+(2.5/(H111)*C118)+(5/H111*C119)+(10/H111*C120)+(2.5/H111*C121)+(2.5/H111*C122)+(10/H111*C123)+(10/H111*C124))/100)</f>
        <v>0</v>
      </c>
      <c r="F113" s="185"/>
      <c r="G113" s="129" t="str">
        <f ca="1">I110</f>
        <v>Work not yet Started.</v>
      </c>
      <c r="H113" s="129"/>
      <c r="I113" s="20" t="s">
        <v>122</v>
      </c>
      <c r="J113" s="24">
        <f ca="1">H111*50%</f>
        <v>7</v>
      </c>
    </row>
    <row r="114" spans="1:11" ht="20.25" x14ac:dyDescent="0.3">
      <c r="A114" s="129" t="s">
        <v>103</v>
      </c>
      <c r="B114" s="129"/>
      <c r="C114" s="90">
        <v>0</v>
      </c>
      <c r="D114" s="86">
        <f ca="1">((100/H111)*C114)/100</f>
        <v>0</v>
      </c>
      <c r="E114" s="186"/>
      <c r="F114" s="187"/>
      <c r="G114" s="129"/>
      <c r="H114" s="129"/>
      <c r="I114" s="20" t="s">
        <v>123</v>
      </c>
      <c r="J114" s="24">
        <f ca="1">H111</f>
        <v>14</v>
      </c>
    </row>
    <row r="115" spans="1:11" ht="21" customHeight="1" x14ac:dyDescent="0.35">
      <c r="A115" s="129" t="s">
        <v>136</v>
      </c>
      <c r="B115" s="129"/>
      <c r="C115" s="89">
        <v>0</v>
      </c>
      <c r="D115" s="86">
        <f ca="1">((100/(E111+G111+H111))*C115)/100</f>
        <v>0</v>
      </c>
      <c r="E115" s="186"/>
      <c r="F115" s="187"/>
      <c r="G115" s="129"/>
      <c r="H115" s="129"/>
      <c r="I115" s="20" t="s">
        <v>124</v>
      </c>
      <c r="J115" s="25">
        <f ca="1">(IF(D111&gt;1,(H111/(D111+2)),H111*0.2))</f>
        <v>2.8000000000000003</v>
      </c>
    </row>
    <row r="116" spans="1:11" ht="21" customHeight="1" x14ac:dyDescent="0.35">
      <c r="A116" s="129" t="s">
        <v>137</v>
      </c>
      <c r="B116" s="129"/>
      <c r="C116" s="89">
        <v>0</v>
      </c>
      <c r="D116" s="86">
        <f ca="1">((100/H111)*C116)/100</f>
        <v>0</v>
      </c>
      <c r="E116" s="186"/>
      <c r="F116" s="187"/>
      <c r="G116" s="129"/>
      <c r="H116" s="129"/>
      <c r="I116" s="20" t="s">
        <v>125</v>
      </c>
      <c r="J116" s="25">
        <f ca="1">(IF(D111&gt;1,(H111/(D111+2)+J115),H111*0.2+J115))</f>
        <v>5.6000000000000005</v>
      </c>
    </row>
    <row r="117" spans="1:11" ht="21" customHeight="1" x14ac:dyDescent="0.35">
      <c r="A117" s="127" t="s">
        <v>138</v>
      </c>
      <c r="B117" s="128"/>
      <c r="C117" s="89">
        <v>0</v>
      </c>
      <c r="D117" s="86">
        <f ca="1">((100/H111)*C117)/100</f>
        <v>0</v>
      </c>
      <c r="E117" s="186"/>
      <c r="F117" s="187"/>
      <c r="G117" s="129"/>
      <c r="H117" s="129"/>
      <c r="I117" s="20" t="s">
        <v>139</v>
      </c>
      <c r="J117" s="25">
        <f>(IF(D111&gt;1,(H111/(D111+2)+J116),0))</f>
        <v>0</v>
      </c>
    </row>
    <row r="118" spans="1:11" ht="21" customHeight="1" x14ac:dyDescent="0.35">
      <c r="A118" s="127" t="s">
        <v>169</v>
      </c>
      <c r="B118" s="128"/>
      <c r="C118" s="89">
        <v>0</v>
      </c>
      <c r="D118" s="86">
        <f ca="1">((100/H111)*C118)/100</f>
        <v>0</v>
      </c>
      <c r="E118" s="186"/>
      <c r="F118" s="187"/>
      <c r="G118" s="129"/>
      <c r="H118" s="129"/>
      <c r="I118" s="20" t="s">
        <v>140</v>
      </c>
      <c r="J118" s="25">
        <f>(IF(D111&gt;2,(H111/(D111+2)+J117),0))</f>
        <v>0</v>
      </c>
    </row>
    <row r="119" spans="1:11" ht="57.75" customHeight="1" x14ac:dyDescent="0.35">
      <c r="A119" s="127" t="s">
        <v>166</v>
      </c>
      <c r="B119" s="128"/>
      <c r="C119" s="89">
        <v>0</v>
      </c>
      <c r="D119" s="86">
        <f ca="1">((100/(H111))*C119)/100</f>
        <v>0</v>
      </c>
      <c r="E119" s="186"/>
      <c r="F119" s="187"/>
      <c r="G119" s="129"/>
      <c r="H119" s="129"/>
      <c r="I119" s="20" t="s">
        <v>142</v>
      </c>
      <c r="J119" s="26">
        <f>(IF(D111&gt;3,(H111/(D111+2)+J118),0))</f>
        <v>0</v>
      </c>
    </row>
    <row r="120" spans="1:11" ht="21" x14ac:dyDescent="0.35">
      <c r="A120" s="129" t="s">
        <v>141</v>
      </c>
      <c r="B120" s="129"/>
      <c r="C120" s="89">
        <v>0</v>
      </c>
      <c r="D120" s="86">
        <f ca="1">((100/(H111))*C120)/100</f>
        <v>0</v>
      </c>
      <c r="E120" s="186"/>
      <c r="F120" s="187"/>
      <c r="G120" s="129"/>
      <c r="H120" s="129"/>
      <c r="I120" s="20" t="s">
        <v>143</v>
      </c>
      <c r="J120" s="25">
        <f>(IF(D111&gt;4,(H111/(D111+2)+J119),0))</f>
        <v>0</v>
      </c>
    </row>
    <row r="121" spans="1:11" ht="21" customHeight="1" x14ac:dyDescent="0.35">
      <c r="A121" s="129" t="s">
        <v>168</v>
      </c>
      <c r="B121" s="129"/>
      <c r="C121" s="89">
        <v>0</v>
      </c>
      <c r="D121" s="86">
        <f ca="1">((100/H111)*C121)/100</f>
        <v>0</v>
      </c>
      <c r="E121" s="186"/>
      <c r="F121" s="187"/>
      <c r="G121" s="129"/>
      <c r="H121" s="129"/>
      <c r="I121" s="20" t="s">
        <v>126</v>
      </c>
      <c r="J121" s="25">
        <f ca="1">(IF(D111=1,(H111/(D111+3)+J116),IF(D111=0,(H111*0.3+J116),IF(D111&gt;1,0))))</f>
        <v>9.8000000000000007</v>
      </c>
    </row>
    <row r="122" spans="1:11" ht="21.75" thickBot="1" x14ac:dyDescent="0.4">
      <c r="A122" s="129" t="s">
        <v>167</v>
      </c>
      <c r="B122" s="129"/>
      <c r="C122" s="89">
        <v>0</v>
      </c>
      <c r="D122" s="86">
        <f ca="1">((100/H111)*C122)/100</f>
        <v>0</v>
      </c>
      <c r="E122" s="186"/>
      <c r="F122" s="187"/>
      <c r="G122" s="129"/>
      <c r="H122" s="129"/>
      <c r="I122" s="22" t="s">
        <v>127</v>
      </c>
      <c r="J122" s="27">
        <f ca="1">(IF(D111&gt;1.5,(H111/(D111+2)+J116+MAX(0,J117-J116)+MAX(0,J118-J117)+MAX(0,J119-J118)+MAX(0,J120-J119)+MAX(0,J121-J120)),IF(D111=1,(H111/(D111+3)+J121),IF(D111=0,H111*0.3+J121))))</f>
        <v>14</v>
      </c>
    </row>
    <row r="123" spans="1:11" ht="20.25" x14ac:dyDescent="0.25">
      <c r="A123" s="129" t="s">
        <v>144</v>
      </c>
      <c r="B123" s="129"/>
      <c r="C123" s="89">
        <v>0</v>
      </c>
      <c r="D123" s="86">
        <f ca="1">((100/(H111))*C123)/100</f>
        <v>0</v>
      </c>
      <c r="E123" s="186"/>
      <c r="F123" s="187"/>
      <c r="G123" s="129"/>
      <c r="H123" s="129"/>
    </row>
    <row r="124" spans="1:11" ht="20.25" x14ac:dyDescent="0.25">
      <c r="A124" s="129" t="s">
        <v>145</v>
      </c>
      <c r="B124" s="129"/>
      <c r="C124" s="89">
        <v>0</v>
      </c>
      <c r="D124" s="86">
        <f ca="1">((100/(H111))*C124)/100</f>
        <v>0</v>
      </c>
      <c r="E124" s="188"/>
      <c r="F124" s="189"/>
      <c r="G124" s="129"/>
      <c r="H124" s="129"/>
    </row>
    <row r="125" spans="1:11" ht="36.75" customHeight="1" x14ac:dyDescent="0.3">
      <c r="A125" s="110" t="s">
        <v>128</v>
      </c>
      <c r="B125" s="111"/>
      <c r="C125" s="111"/>
      <c r="D125" s="111"/>
      <c r="E125" s="111"/>
      <c r="F125" s="111"/>
      <c r="G125" s="137">
        <f ca="1">AVERAGE(E65,E81,E97)</f>
        <v>0.58083333333333342</v>
      </c>
      <c r="H125" s="138"/>
      <c r="I125" s="20"/>
      <c r="J125" s="21"/>
      <c r="K125" s="21"/>
    </row>
    <row r="126" spans="1:11" ht="20.25" x14ac:dyDescent="0.25">
      <c r="A126" s="156" t="s">
        <v>72</v>
      </c>
      <c r="B126" s="157"/>
      <c r="C126" s="157"/>
      <c r="D126" s="157"/>
      <c r="E126" s="157"/>
      <c r="F126" s="157"/>
      <c r="G126" s="157"/>
      <c r="H126" s="158"/>
    </row>
    <row r="127" spans="1:11" ht="54.75" customHeight="1" x14ac:dyDescent="0.25">
      <c r="A127" s="159" t="s">
        <v>73</v>
      </c>
      <c r="B127" s="160"/>
      <c r="C127" s="195" t="s">
        <v>107</v>
      </c>
      <c r="D127" s="196"/>
      <c r="E127" s="159" t="s">
        <v>146</v>
      </c>
      <c r="F127" s="160" t="s">
        <v>4</v>
      </c>
      <c r="G127" s="190" t="s">
        <v>158</v>
      </c>
      <c r="H127" s="190"/>
    </row>
    <row r="128" spans="1:11" ht="44.25" customHeight="1" x14ac:dyDescent="0.25">
      <c r="A128" s="159" t="s">
        <v>155</v>
      </c>
      <c r="B128" s="160"/>
      <c r="C128" s="195" t="s">
        <v>372</v>
      </c>
      <c r="D128" s="196"/>
      <c r="E128" s="159" t="s">
        <v>156</v>
      </c>
      <c r="F128" s="160" t="s">
        <v>4</v>
      </c>
      <c r="G128" s="123" t="s">
        <v>147</v>
      </c>
      <c r="H128" s="123"/>
    </row>
    <row r="129" spans="1:150 16226:16383" ht="20.25" x14ac:dyDescent="0.25">
      <c r="A129" s="159" t="s">
        <v>74</v>
      </c>
      <c r="B129" s="160"/>
      <c r="C129" s="165">
        <v>300000</v>
      </c>
      <c r="D129" s="167"/>
      <c r="E129" s="159" t="s">
        <v>101</v>
      </c>
      <c r="F129" s="160" t="s">
        <v>4</v>
      </c>
      <c r="G129" s="195" t="s">
        <v>108</v>
      </c>
      <c r="H129" s="196"/>
    </row>
    <row r="130" spans="1:150 16226:16383" ht="20.25" x14ac:dyDescent="0.25">
      <c r="A130" s="156" t="s">
        <v>71</v>
      </c>
      <c r="B130" s="157"/>
      <c r="C130" s="157"/>
      <c r="D130" s="157"/>
      <c r="E130" s="157"/>
      <c r="F130" s="157"/>
      <c r="G130" s="157"/>
      <c r="H130" s="158"/>
    </row>
    <row r="131" spans="1:150 16226:16383" ht="20.25" customHeight="1" x14ac:dyDescent="0.25">
      <c r="A131" s="159" t="s">
        <v>8</v>
      </c>
      <c r="B131" s="203"/>
      <c r="C131" s="203"/>
      <c r="D131" s="203"/>
      <c r="E131" s="203"/>
      <c r="F131" s="160"/>
      <c r="G131" s="140">
        <f>8280/10.764</f>
        <v>769.23076923076928</v>
      </c>
      <c r="H131" s="141"/>
    </row>
    <row r="132" spans="1:150 16226:16383" ht="20.25" customHeight="1" x14ac:dyDescent="0.25">
      <c r="A132" s="159" t="s">
        <v>28</v>
      </c>
      <c r="B132" s="203"/>
      <c r="C132" s="203"/>
      <c r="D132" s="203"/>
      <c r="E132" s="203"/>
      <c r="F132" s="160" t="s">
        <v>4</v>
      </c>
      <c r="G132" s="155">
        <f>47000/10.764</f>
        <v>4366.4065403195837</v>
      </c>
      <c r="H132" s="155"/>
    </row>
    <row r="133" spans="1:150 16226:16383" ht="20.25" customHeight="1" x14ac:dyDescent="0.25">
      <c r="A133" s="159" t="s">
        <v>109</v>
      </c>
      <c r="B133" s="203"/>
      <c r="C133" s="203"/>
      <c r="D133" s="203"/>
      <c r="E133" s="203"/>
      <c r="F133" s="160" t="s">
        <v>4</v>
      </c>
      <c r="G133" s="155">
        <f>G131*0.8</f>
        <v>615.38461538461547</v>
      </c>
      <c r="H133" s="155"/>
    </row>
    <row r="134" spans="1:150 16226:16383" ht="20.25" x14ac:dyDescent="0.25">
      <c r="A134" s="149" t="s">
        <v>364</v>
      </c>
      <c r="B134" s="150"/>
      <c r="C134" s="150"/>
      <c r="D134" s="150"/>
      <c r="E134" s="150"/>
      <c r="F134" s="150"/>
      <c r="G134" s="150"/>
      <c r="H134" s="151"/>
    </row>
    <row r="135" spans="1:150 16226:16383" s="3" customFormat="1" ht="20.25" x14ac:dyDescent="0.25">
      <c r="A135" s="115" t="s">
        <v>152</v>
      </c>
      <c r="B135" s="116"/>
      <c r="C135" s="115" t="s">
        <v>153</v>
      </c>
      <c r="D135" s="116"/>
      <c r="E135" s="115" t="s">
        <v>151</v>
      </c>
      <c r="F135" s="116"/>
      <c r="G135" s="115" t="s">
        <v>164</v>
      </c>
      <c r="H135" s="116"/>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3" customFormat="1" ht="20.25" x14ac:dyDescent="0.25">
      <c r="A136" s="117" t="s">
        <v>327</v>
      </c>
      <c r="B136" s="118"/>
      <c r="C136" s="117" t="s">
        <v>94</v>
      </c>
      <c r="D136" s="118"/>
      <c r="E136" s="117">
        <f>COUNT(E150:E164)</f>
        <v>15</v>
      </c>
      <c r="F136" s="118"/>
      <c r="G136" s="117">
        <f>SUM(H150:H164)</f>
        <v>3317.7877200000003</v>
      </c>
      <c r="H136" s="118"/>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3" customFormat="1" ht="20.25" x14ac:dyDescent="0.25">
      <c r="A137" s="115" t="s">
        <v>154</v>
      </c>
      <c r="B137" s="116"/>
      <c r="C137" s="115" t="s">
        <v>94</v>
      </c>
      <c r="D137" s="116"/>
      <c r="E137" s="115">
        <f>SUM(E136)</f>
        <v>15</v>
      </c>
      <c r="F137" s="116"/>
      <c r="G137" s="115">
        <f>SUM(G136)</f>
        <v>3317.7877200000003</v>
      </c>
      <c r="H137" s="116"/>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ht="20.25" x14ac:dyDescent="0.25">
      <c r="A138" s="149" t="s">
        <v>232</v>
      </c>
      <c r="B138" s="150"/>
      <c r="C138" s="150"/>
      <c r="D138" s="150"/>
      <c r="E138" s="150"/>
      <c r="F138" s="150"/>
      <c r="G138" s="150"/>
      <c r="H138" s="151"/>
    </row>
    <row r="139" spans="1:150 16226:16383" s="3" customFormat="1" ht="20.25" x14ac:dyDescent="0.25">
      <c r="A139" s="115" t="s">
        <v>152</v>
      </c>
      <c r="B139" s="116"/>
      <c r="C139" s="115" t="s">
        <v>153</v>
      </c>
      <c r="D139" s="116"/>
      <c r="E139" s="115" t="s">
        <v>151</v>
      </c>
      <c r="F139" s="116"/>
      <c r="G139" s="115" t="s">
        <v>164</v>
      </c>
      <c r="H139" s="116"/>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3" customFormat="1" ht="20.25" x14ac:dyDescent="0.25">
      <c r="A140" s="117" t="s">
        <v>327</v>
      </c>
      <c r="B140" s="118"/>
      <c r="C140" s="117" t="s">
        <v>94</v>
      </c>
      <c r="D140" s="118"/>
      <c r="E140" s="117">
        <f>COUNT(E166:E174)+COUNT(E176:E184)*11+COUNT(E187:E194)*2</f>
        <v>124</v>
      </c>
      <c r="F140" s="118"/>
      <c r="G140" s="117">
        <f>SUM(H166:H174)+SUM(H176:H184)*11+SUM(H187:H194)*2</f>
        <v>75402.673047000004</v>
      </c>
      <c r="H140" s="118"/>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3" customFormat="1" ht="20.25" x14ac:dyDescent="0.25">
      <c r="A141" s="117" t="s">
        <v>328</v>
      </c>
      <c r="B141" s="118"/>
      <c r="C141" s="117" t="s">
        <v>94</v>
      </c>
      <c r="D141" s="118"/>
      <c r="E141" s="117">
        <f>COUNT(E198:E209)*12+COUNT(E211:E213,E215:E222)*2</f>
        <v>166</v>
      </c>
      <c r="F141" s="118"/>
      <c r="G141" s="117">
        <f>SUM(H198:H209)*12+SUM(H211:H213,H215:H222)*2</f>
        <v>90204.946416000021</v>
      </c>
      <c r="H141" s="118"/>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3" customFormat="1" ht="20.25" x14ac:dyDescent="0.25">
      <c r="A142" s="117" t="s">
        <v>329</v>
      </c>
      <c r="B142" s="118"/>
      <c r="C142" s="117" t="s">
        <v>94</v>
      </c>
      <c r="D142" s="118"/>
      <c r="E142" s="117">
        <f>COUNT(E226:E233)*11+COUNT(E235:E237,E239:E242)</f>
        <v>95</v>
      </c>
      <c r="F142" s="118"/>
      <c r="G142" s="117">
        <f>SUM(H226:H233)*11+SUM(H235:H237,H239:H242)</f>
        <v>56378.064599999998</v>
      </c>
      <c r="H142" s="118"/>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3" customFormat="1" ht="20.25" x14ac:dyDescent="0.25">
      <c r="A143" s="117" t="s">
        <v>330</v>
      </c>
      <c r="B143" s="118"/>
      <c r="C143" s="117" t="s">
        <v>94</v>
      </c>
      <c r="D143" s="118"/>
      <c r="E143" s="117">
        <f>COUNT(E246:E255)*11+COUNT(E257:E260,E262:E267)*2</f>
        <v>130</v>
      </c>
      <c r="F143" s="118"/>
      <c r="G143" s="117">
        <f>SUM(H246:H255)*11+SUM(H257:H260,H262:H267)*2</f>
        <v>85256.36963999999</v>
      </c>
      <c r="H143" s="118"/>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row>
    <row r="144" spans="1:150 16226:16383" s="3" customFormat="1" ht="21" thickBot="1" x14ac:dyDescent="0.3">
      <c r="A144" s="119" t="s">
        <v>154</v>
      </c>
      <c r="B144" s="120"/>
      <c r="C144" s="119" t="s">
        <v>94</v>
      </c>
      <c r="D144" s="120"/>
      <c r="E144" s="119">
        <f>SUM(E140:F143)</f>
        <v>515</v>
      </c>
      <c r="F144" s="120"/>
      <c r="G144" s="119">
        <f>SUM(G140:H143)</f>
        <v>307242.05370300001</v>
      </c>
      <c r="H144" s="120"/>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row>
    <row r="145" spans="1:150 16226:16383" s="3" customFormat="1" ht="21" thickBot="1" x14ac:dyDescent="0.3">
      <c r="A145" s="145" t="s">
        <v>244</v>
      </c>
      <c r="B145" s="146"/>
      <c r="C145" s="147" t="s">
        <v>94</v>
      </c>
      <c r="D145" s="146"/>
      <c r="E145" s="147">
        <f>SUM(E137,E144)</f>
        <v>530</v>
      </c>
      <c r="F145" s="146"/>
      <c r="G145" s="147">
        <f>SUM(G137,G144)</f>
        <v>310559.84142300003</v>
      </c>
      <c r="H145" s="148"/>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row>
    <row r="146" spans="1:150 16226:16383" ht="20.25" x14ac:dyDescent="0.25">
      <c r="A146" s="112" t="s">
        <v>365</v>
      </c>
      <c r="B146" s="113"/>
      <c r="C146" s="113"/>
      <c r="D146" s="113"/>
      <c r="E146" s="113"/>
      <c r="F146" s="113"/>
      <c r="G146" s="113"/>
      <c r="H146" s="114"/>
    </row>
    <row r="147" spans="1:150 16226:16383" ht="66" customHeight="1" x14ac:dyDescent="0.25">
      <c r="A147" s="60" t="s">
        <v>233</v>
      </c>
      <c r="B147" s="41" t="s">
        <v>234</v>
      </c>
      <c r="C147" s="101" t="s">
        <v>235</v>
      </c>
      <c r="D147" s="31" t="s">
        <v>88</v>
      </c>
      <c r="E147" s="41" t="s">
        <v>165</v>
      </c>
      <c r="F147" s="40" t="s">
        <v>366</v>
      </c>
      <c r="G147" s="31" t="s">
        <v>90</v>
      </c>
      <c r="H147" s="31" t="s">
        <v>89</v>
      </c>
      <c r="I147" s="88">
        <v>10.763999999999999</v>
      </c>
    </row>
    <row r="148" spans="1:150 16226:16383" s="3" customFormat="1" ht="20.25" x14ac:dyDescent="0.25">
      <c r="A148" s="204" t="s">
        <v>327</v>
      </c>
      <c r="B148" s="205"/>
      <c r="C148" s="205"/>
      <c r="D148" s="205"/>
      <c r="E148" s="205"/>
      <c r="F148" s="205"/>
      <c r="G148" s="205"/>
      <c r="H148" s="206"/>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3" customFormat="1" ht="20.25" x14ac:dyDescent="0.25">
      <c r="A149" s="142" t="s">
        <v>341</v>
      </c>
      <c r="B149" s="143"/>
      <c r="C149" s="143"/>
      <c r="D149" s="143"/>
      <c r="E149" s="143"/>
      <c r="F149" s="143"/>
      <c r="G149" s="143"/>
      <c r="H149" s="144"/>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3" customFormat="1" ht="20.25" x14ac:dyDescent="0.25">
      <c r="A150" s="139">
        <v>1</v>
      </c>
      <c r="B150" s="139"/>
      <c r="C150" s="61" t="s">
        <v>94</v>
      </c>
      <c r="D150" s="61" t="s">
        <v>342</v>
      </c>
      <c r="E150" s="88">
        <f>(22.59)*10.764</f>
        <v>243.15875999999997</v>
      </c>
      <c r="F150" s="87">
        <v>0</v>
      </c>
      <c r="G150" s="87">
        <v>0</v>
      </c>
      <c r="H150" s="87">
        <f>E150+F150+(IF(G150&lt;101,G150,IF(G150&lt;201,G150/2,IF(G150&lt;=301,G150/3,G150/4))))</f>
        <v>243.15875999999997</v>
      </c>
      <c r="I150" s="103">
        <f>3.3*5.44+0.9*1.32+2.3*1.22</f>
        <v>21.946000000000002</v>
      </c>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s="3" customFormat="1" ht="20.25" x14ac:dyDescent="0.25">
      <c r="A151" s="135">
        <f>A150+1</f>
        <v>2</v>
      </c>
      <c r="B151" s="136"/>
      <c r="C151" s="61" t="s">
        <v>94</v>
      </c>
      <c r="D151" s="61" t="s">
        <v>342</v>
      </c>
      <c r="E151" s="88">
        <f>(20.56)*10.764</f>
        <v>221.30783999999997</v>
      </c>
      <c r="F151" s="87">
        <v>0</v>
      </c>
      <c r="G151" s="87">
        <v>0</v>
      </c>
      <c r="H151" s="87">
        <f t="shared" ref="H151:H164" si="0">E151+F151+(IF(G151&lt;101,G151,IF(G151&lt;201,G151/2,IF(G151&lt;=301,G151/3,G151/4))))</f>
        <v>221.30783999999997</v>
      </c>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3" customFormat="1" ht="20.25" x14ac:dyDescent="0.25">
      <c r="A152" s="135">
        <f t="shared" ref="A152:A164" si="1">A151+1</f>
        <v>3</v>
      </c>
      <c r="B152" s="136"/>
      <c r="C152" s="61" t="s">
        <v>94</v>
      </c>
      <c r="D152" s="61" t="s">
        <v>342</v>
      </c>
      <c r="E152" s="88">
        <f>(18.8)*10.764</f>
        <v>202.36320000000001</v>
      </c>
      <c r="F152" s="87">
        <v>0</v>
      </c>
      <c r="G152" s="87">
        <v>0</v>
      </c>
      <c r="H152" s="87">
        <f t="shared" si="0"/>
        <v>202.36320000000001</v>
      </c>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3" customFormat="1" ht="20.25" customHeight="1" x14ac:dyDescent="0.25">
      <c r="A153" s="135">
        <f t="shared" si="1"/>
        <v>4</v>
      </c>
      <c r="B153" s="136"/>
      <c r="C153" s="61" t="s">
        <v>94</v>
      </c>
      <c r="D153" s="61" t="s">
        <v>342</v>
      </c>
      <c r="E153" s="88">
        <f>(15.42)*10.764</f>
        <v>165.98087999999998</v>
      </c>
      <c r="F153" s="87">
        <v>0</v>
      </c>
      <c r="G153" s="87">
        <v>0</v>
      </c>
      <c r="H153" s="87">
        <f t="shared" si="0"/>
        <v>165.98087999999998</v>
      </c>
      <c r="I153" s="103">
        <f>2.24*5.44+2.24*1.22</f>
        <v>14.918400000000002</v>
      </c>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3" customFormat="1" ht="20.25" customHeight="1" x14ac:dyDescent="0.25">
      <c r="A154" s="135">
        <f t="shared" si="1"/>
        <v>5</v>
      </c>
      <c r="B154" s="136"/>
      <c r="C154" s="61" t="s">
        <v>94</v>
      </c>
      <c r="D154" s="61" t="s">
        <v>342</v>
      </c>
      <c r="E154" s="88">
        <f>(26.04)*10.764</f>
        <v>280.29455999999999</v>
      </c>
      <c r="F154" s="87">
        <v>0</v>
      </c>
      <c r="G154" s="87">
        <v>0</v>
      </c>
      <c r="H154" s="87">
        <f t="shared" si="0"/>
        <v>280.29455999999999</v>
      </c>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3" customFormat="1" ht="20.25" customHeight="1" x14ac:dyDescent="0.25">
      <c r="A155" s="135">
        <f t="shared" si="1"/>
        <v>6</v>
      </c>
      <c r="B155" s="136"/>
      <c r="C155" s="61" t="s">
        <v>94</v>
      </c>
      <c r="D155" s="61" t="s">
        <v>342</v>
      </c>
      <c r="E155" s="88">
        <f>(15.42)*10.764</f>
        <v>165.98087999999998</v>
      </c>
      <c r="F155" s="87">
        <v>0</v>
      </c>
      <c r="G155" s="87">
        <v>0</v>
      </c>
      <c r="H155" s="87">
        <f t="shared" si="0"/>
        <v>165.98087999999998</v>
      </c>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3" customFormat="1" ht="20.25" customHeight="1" x14ac:dyDescent="0.25">
      <c r="A156" s="135">
        <f t="shared" si="1"/>
        <v>7</v>
      </c>
      <c r="B156" s="136"/>
      <c r="C156" s="61" t="s">
        <v>94</v>
      </c>
      <c r="D156" s="61" t="s">
        <v>342</v>
      </c>
      <c r="E156" s="88">
        <f>(18.8)*10.764</f>
        <v>202.36320000000001</v>
      </c>
      <c r="F156" s="87">
        <v>0</v>
      </c>
      <c r="G156" s="87">
        <v>0</v>
      </c>
      <c r="H156" s="87">
        <f t="shared" si="0"/>
        <v>202.36320000000001</v>
      </c>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s="3" customFormat="1" ht="20.25" customHeight="1" x14ac:dyDescent="0.25">
      <c r="A157" s="135">
        <f t="shared" si="1"/>
        <v>8</v>
      </c>
      <c r="B157" s="136"/>
      <c r="C157" s="61" t="s">
        <v>94</v>
      </c>
      <c r="D157" s="61" t="s">
        <v>342</v>
      </c>
      <c r="E157" s="88">
        <f>(20.56)*10.764</f>
        <v>221.30783999999997</v>
      </c>
      <c r="F157" s="87">
        <v>0</v>
      </c>
      <c r="G157" s="87">
        <v>0</v>
      </c>
      <c r="H157" s="87">
        <f t="shared" si="0"/>
        <v>221.30783999999997</v>
      </c>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row>
    <row r="158" spans="1:150 16226:16383" s="3" customFormat="1" ht="20.25" customHeight="1" x14ac:dyDescent="0.25">
      <c r="A158" s="135">
        <f t="shared" si="1"/>
        <v>9</v>
      </c>
      <c r="B158" s="136"/>
      <c r="C158" s="61" t="s">
        <v>94</v>
      </c>
      <c r="D158" s="61" t="s">
        <v>342</v>
      </c>
      <c r="E158" s="88">
        <f>(20.56)*10.764</f>
        <v>221.30783999999997</v>
      </c>
      <c r="F158" s="87">
        <v>0</v>
      </c>
      <c r="G158" s="87">
        <v>0</v>
      </c>
      <c r="H158" s="87">
        <f t="shared" si="0"/>
        <v>221.30783999999997</v>
      </c>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0 16226:16383" s="3" customFormat="1" ht="20.25" customHeight="1" x14ac:dyDescent="0.25">
      <c r="A159" s="135">
        <f t="shared" si="1"/>
        <v>10</v>
      </c>
      <c r="B159" s="136"/>
      <c r="C159" s="61" t="s">
        <v>94</v>
      </c>
      <c r="D159" s="61" t="s">
        <v>342</v>
      </c>
      <c r="E159" s="88">
        <f>(18.8)*10.764</f>
        <v>202.36320000000001</v>
      </c>
      <c r="F159" s="87">
        <v>0</v>
      </c>
      <c r="G159" s="87">
        <v>0</v>
      </c>
      <c r="H159" s="87">
        <f t="shared" si="0"/>
        <v>202.36320000000001</v>
      </c>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row>
    <row r="160" spans="1:150 16226:16383" s="3" customFormat="1" ht="20.25" customHeight="1" x14ac:dyDescent="0.25">
      <c r="A160" s="135">
        <f t="shared" si="1"/>
        <v>11</v>
      </c>
      <c r="B160" s="136"/>
      <c r="C160" s="61" t="s">
        <v>94</v>
      </c>
      <c r="D160" s="61" t="s">
        <v>342</v>
      </c>
      <c r="E160" s="88">
        <f>(15.42)*10.764</f>
        <v>165.98087999999998</v>
      </c>
      <c r="F160" s="87">
        <v>0</v>
      </c>
      <c r="G160" s="87">
        <v>0</v>
      </c>
      <c r="H160" s="87">
        <f t="shared" si="0"/>
        <v>165.98087999999998</v>
      </c>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row>
    <row r="161" spans="1:150 16226:16383" s="3" customFormat="1" ht="20.25" customHeight="1" x14ac:dyDescent="0.25">
      <c r="A161" s="135">
        <f t="shared" si="1"/>
        <v>12</v>
      </c>
      <c r="B161" s="136"/>
      <c r="C161" s="61" t="s">
        <v>94</v>
      </c>
      <c r="D161" s="61" t="s">
        <v>342</v>
      </c>
      <c r="E161" s="88">
        <f>(28.06)*10.764</f>
        <v>302.03783999999996</v>
      </c>
      <c r="F161" s="87">
        <v>0</v>
      </c>
      <c r="G161" s="87">
        <v>0</v>
      </c>
      <c r="H161" s="87">
        <f t="shared" si="0"/>
        <v>302.03783999999996</v>
      </c>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row>
    <row r="162" spans="1:150 16226:16383" s="3" customFormat="1" ht="20.25" customHeight="1" x14ac:dyDescent="0.25">
      <c r="A162" s="135">
        <f t="shared" si="1"/>
        <v>13</v>
      </c>
      <c r="B162" s="136"/>
      <c r="C162" s="61" t="s">
        <v>94</v>
      </c>
      <c r="D162" s="61" t="s">
        <v>342</v>
      </c>
      <c r="E162" s="88">
        <f>(15.42)*10.764</f>
        <v>165.98087999999998</v>
      </c>
      <c r="F162" s="87">
        <v>0</v>
      </c>
      <c r="G162" s="87">
        <v>0</v>
      </c>
      <c r="H162" s="87">
        <f t="shared" si="0"/>
        <v>165.98087999999998</v>
      </c>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row>
    <row r="163" spans="1:150 16226:16383" s="3" customFormat="1" ht="20.25" customHeight="1" x14ac:dyDescent="0.25">
      <c r="A163" s="135">
        <f t="shared" si="1"/>
        <v>14</v>
      </c>
      <c r="B163" s="136"/>
      <c r="C163" s="61" t="s">
        <v>94</v>
      </c>
      <c r="D163" s="61" t="s">
        <v>342</v>
      </c>
      <c r="E163" s="88">
        <f>(18.8)*10.764</f>
        <v>202.36320000000001</v>
      </c>
      <c r="F163" s="87">
        <v>0</v>
      </c>
      <c r="G163" s="87">
        <v>0</v>
      </c>
      <c r="H163" s="87">
        <f t="shared" si="0"/>
        <v>202.36320000000001</v>
      </c>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row>
    <row r="164" spans="1:150 16226:16383" s="3" customFormat="1" ht="20.25" customHeight="1" x14ac:dyDescent="0.25">
      <c r="A164" s="135">
        <f t="shared" si="1"/>
        <v>15</v>
      </c>
      <c r="B164" s="136"/>
      <c r="C164" s="61" t="s">
        <v>94</v>
      </c>
      <c r="D164" s="61" t="s">
        <v>342</v>
      </c>
      <c r="E164" s="88">
        <f>(32.98)*10.764</f>
        <v>354.99671999999993</v>
      </c>
      <c r="F164" s="87">
        <v>0</v>
      </c>
      <c r="G164" s="87">
        <v>0</v>
      </c>
      <c r="H164" s="87">
        <f t="shared" si="0"/>
        <v>354.99671999999993</v>
      </c>
      <c r="I164" s="104">
        <f>4.84*5.44+2.61*1.32+2.13*1.22</f>
        <v>32.373400000000004</v>
      </c>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row>
    <row r="165" spans="1:150 16226:16383" s="3" customFormat="1" ht="20.25" x14ac:dyDescent="0.25">
      <c r="A165" s="142" t="s">
        <v>343</v>
      </c>
      <c r="B165" s="143"/>
      <c r="C165" s="143"/>
      <c r="D165" s="143"/>
      <c r="E165" s="143"/>
      <c r="F165" s="143"/>
      <c r="G165" s="143"/>
      <c r="H165" s="144"/>
      <c r="I165" s="1">
        <v>1</v>
      </c>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row>
    <row r="166" spans="1:150 16226:16383" s="3" customFormat="1" ht="20.25" x14ac:dyDescent="0.25">
      <c r="A166" s="139">
        <v>1</v>
      </c>
      <c r="B166" s="139"/>
      <c r="C166" s="61" t="s">
        <v>94</v>
      </c>
      <c r="D166" s="61" t="s">
        <v>344</v>
      </c>
      <c r="E166" s="88">
        <f>(33.81)*10.764</f>
        <v>363.93083999999999</v>
      </c>
      <c r="F166" s="88">
        <f>(3.26+1.6*(2+2.14))*10.764</f>
        <v>106.39137599999999</v>
      </c>
      <c r="G166" s="87">
        <v>0</v>
      </c>
      <c r="H166" s="87">
        <f>E166+F166+(IF(G166&lt;101,G166,IF(G166&lt;201,G166/2,IF(G166&lt;=301,G166/3,G166/4))))</f>
        <v>470.32221599999997</v>
      </c>
      <c r="I166" s="104">
        <f>(4.27*3.04+2.14*2.74+2.82*3.2+1.22*(1.99+1.82)+0.9*(1.35+1.5))</f>
        <v>35.081600000000002</v>
      </c>
      <c r="J166" s="102">
        <f>2.82*1.07</f>
        <v>3.0173999999999999</v>
      </c>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row>
    <row r="167" spans="1:150 16226:16383" s="3" customFormat="1" ht="20.25" x14ac:dyDescent="0.25">
      <c r="A167" s="135">
        <f>A166+1</f>
        <v>2</v>
      </c>
      <c r="B167" s="136"/>
      <c r="C167" s="61" t="s">
        <v>94</v>
      </c>
      <c r="D167" s="61" t="s">
        <v>344</v>
      </c>
      <c r="E167" s="88">
        <f>(33.81)*10.764</f>
        <v>363.93083999999999</v>
      </c>
      <c r="F167" s="88">
        <f>(3.26+1.6*(2+2.14))*10.764</f>
        <v>106.39137599999999</v>
      </c>
      <c r="G167" s="87">
        <v>0</v>
      </c>
      <c r="H167" s="87">
        <f t="shared" ref="H167:H174" si="2">E167+F167+(IF(G167&lt;101,G167,IF(G167&lt;201,G167/2,IF(G167&lt;=301,G167/3,G167/4))))</f>
        <v>470.32221599999997</v>
      </c>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row>
    <row r="168" spans="1:150 16226:16383" s="3" customFormat="1" ht="20.25" x14ac:dyDescent="0.25">
      <c r="A168" s="135">
        <f t="shared" ref="A168:A174" si="3">A167+1</f>
        <v>3</v>
      </c>
      <c r="B168" s="136"/>
      <c r="C168" s="61" t="s">
        <v>94</v>
      </c>
      <c r="D168" s="61" t="s">
        <v>344</v>
      </c>
      <c r="E168" s="88">
        <f>(35.49)*10.764</f>
        <v>382.01436000000001</v>
      </c>
      <c r="F168" s="88">
        <f>(3.53+1.6*2.1+0.75*2.13)*10.764</f>
        <v>91.359449999999995</v>
      </c>
      <c r="G168" s="87">
        <v>0</v>
      </c>
      <c r="H168" s="87">
        <f t="shared" si="2"/>
        <v>473.37380999999999</v>
      </c>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row>
    <row r="169" spans="1:150 16226:16383" s="3" customFormat="1" ht="20.25" customHeight="1" x14ac:dyDescent="0.25">
      <c r="A169" s="135">
        <f t="shared" si="3"/>
        <v>4</v>
      </c>
      <c r="B169" s="136"/>
      <c r="C169" s="61" t="s">
        <v>94</v>
      </c>
      <c r="D169" s="61" t="s">
        <v>345</v>
      </c>
      <c r="E169" s="88">
        <f>(68.44)*10.764</f>
        <v>736.68815999999993</v>
      </c>
      <c r="F169" s="88">
        <f>(7.07+0.75*2.29)*10.764</f>
        <v>94.588649999999987</v>
      </c>
      <c r="G169" s="88">
        <f>(1.8*2.75+2.1*2.6+1.5*0.5)*10.764</f>
        <v>120.12624</v>
      </c>
      <c r="H169" s="87">
        <f t="shared" si="2"/>
        <v>891.33992999999998</v>
      </c>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row>
    <row r="170" spans="1:150 16226:16383" s="3" customFormat="1" ht="20.25" customHeight="1" x14ac:dyDescent="0.25">
      <c r="A170" s="135">
        <f t="shared" si="3"/>
        <v>5</v>
      </c>
      <c r="B170" s="136"/>
      <c r="C170" s="61" t="s">
        <v>94</v>
      </c>
      <c r="D170" s="61" t="s">
        <v>346</v>
      </c>
      <c r="E170" s="88">
        <f>(53.29)*10.764</f>
        <v>573.61356000000001</v>
      </c>
      <c r="F170" s="88">
        <f>(3.21+0.75*(2.29+3.05))*10.764</f>
        <v>77.662259999999989</v>
      </c>
      <c r="G170" s="88">
        <f>(1.75*2.7)*10.764</f>
        <v>50.859900000000003</v>
      </c>
      <c r="H170" s="87">
        <f t="shared" si="2"/>
        <v>702.13571999999999</v>
      </c>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row>
    <row r="171" spans="1:150 16226:16383" s="3" customFormat="1" ht="20.25" customHeight="1" x14ac:dyDescent="0.25">
      <c r="A171" s="135">
        <f t="shared" si="3"/>
        <v>6</v>
      </c>
      <c r="B171" s="136"/>
      <c r="C171" s="61" t="s">
        <v>94</v>
      </c>
      <c r="D171" s="61" t="s">
        <v>346</v>
      </c>
      <c r="E171" s="88">
        <f>(53.29)*10.764</f>
        <v>573.61356000000001</v>
      </c>
      <c r="F171" s="96">
        <f>(3.21+0.75*(2.29+3.05))*10.764</f>
        <v>77.662259999999989</v>
      </c>
      <c r="G171" s="88">
        <f>(1.75*2.7)*10.764</f>
        <v>50.859900000000003</v>
      </c>
      <c r="H171" s="87">
        <f t="shared" si="2"/>
        <v>702.13571999999999</v>
      </c>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row>
    <row r="172" spans="1:150 16226:16383" s="3" customFormat="1" ht="20.25" customHeight="1" x14ac:dyDescent="0.25">
      <c r="A172" s="135">
        <f t="shared" si="3"/>
        <v>7</v>
      </c>
      <c r="B172" s="136"/>
      <c r="C172" s="61" t="s">
        <v>94</v>
      </c>
      <c r="D172" s="61" t="s">
        <v>346</v>
      </c>
      <c r="E172" s="88">
        <f>(53.16)*10.764</f>
        <v>572.2142399999999</v>
      </c>
      <c r="F172" s="88">
        <f>(3.21+0.75*(2.29+3.05))*10.764</f>
        <v>77.662259999999989</v>
      </c>
      <c r="G172" s="107">
        <f>(2.1*2.65+5*3+1.9*4)*10.764</f>
        <v>303.16805999999997</v>
      </c>
      <c r="H172" s="87">
        <f t="shared" si="2"/>
        <v>725.66851499999984</v>
      </c>
      <c r="I172" s="105" t="s">
        <v>348</v>
      </c>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row>
    <row r="173" spans="1:150 16226:16383" s="3" customFormat="1" ht="20.25" customHeight="1" x14ac:dyDescent="0.25">
      <c r="A173" s="135">
        <f t="shared" si="3"/>
        <v>8</v>
      </c>
      <c r="B173" s="136"/>
      <c r="C173" s="61" t="s">
        <v>94</v>
      </c>
      <c r="D173" s="61" t="s">
        <v>346</v>
      </c>
      <c r="E173" s="88">
        <f>(46.53)*10.764</f>
        <v>500.84891999999996</v>
      </c>
      <c r="F173" s="88">
        <f>(3.75+1.6*(2.1+2.13+2.79))*10.764</f>
        <v>161.26624799999999</v>
      </c>
      <c r="G173" s="88">
        <v>0</v>
      </c>
      <c r="H173" s="87">
        <f t="shared" si="2"/>
        <v>662.11516799999993</v>
      </c>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row>
    <row r="174" spans="1:150 16226:16383" s="3" customFormat="1" ht="20.25" customHeight="1" x14ac:dyDescent="0.25">
      <c r="A174" s="135">
        <f t="shared" si="3"/>
        <v>9</v>
      </c>
      <c r="B174" s="136"/>
      <c r="C174" s="61" t="s">
        <v>94</v>
      </c>
      <c r="D174" s="61" t="s">
        <v>344</v>
      </c>
      <c r="E174" s="88">
        <f>(34)*10.764</f>
        <v>365.976</v>
      </c>
      <c r="F174" s="88">
        <f>(3.57+1.6*(1.9+2.14))*10.764</f>
        <v>108.005976</v>
      </c>
      <c r="G174" s="88">
        <v>0</v>
      </c>
      <c r="H174" s="87">
        <f t="shared" si="2"/>
        <v>473.98197600000003</v>
      </c>
      <c r="I174" s="1">
        <f>3.05*1.17</f>
        <v>3.5684999999999998</v>
      </c>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row>
    <row r="175" spans="1:150 16226:16383" s="3" customFormat="1" ht="20.25" x14ac:dyDescent="0.25">
      <c r="A175" s="142" t="s">
        <v>347</v>
      </c>
      <c r="B175" s="143"/>
      <c r="C175" s="143"/>
      <c r="D175" s="143"/>
      <c r="E175" s="143"/>
      <c r="F175" s="143"/>
      <c r="G175" s="143"/>
      <c r="H175" s="144"/>
      <c r="I175" s="106">
        <f>6+4+1</f>
        <v>11</v>
      </c>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WZB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row>
    <row r="176" spans="1:150 16226:16383" s="3" customFormat="1" ht="20.25" x14ac:dyDescent="0.25">
      <c r="A176" s="139">
        <v>1</v>
      </c>
      <c r="B176" s="139"/>
      <c r="C176" s="61" t="s">
        <v>94</v>
      </c>
      <c r="D176" s="61" t="s">
        <v>344</v>
      </c>
      <c r="E176" s="96">
        <f>(33.81)*10.764</f>
        <v>363.93083999999999</v>
      </c>
      <c r="F176" s="96">
        <f>(3.26+1.6*(2+2.14))*10.764</f>
        <v>106.39137599999999</v>
      </c>
      <c r="G176" s="87">
        <v>0</v>
      </c>
      <c r="H176" s="87">
        <f>E176+F176+(IF(G176&lt;101,G176,IF(G176&lt;201,G176/2,IF(G176&lt;=301,G176/3,G176/4))))</f>
        <v>470.32221599999997</v>
      </c>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WZB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row>
    <row r="177" spans="1:150 16226:16383" s="3" customFormat="1" ht="20.25" x14ac:dyDescent="0.25">
      <c r="A177" s="135">
        <f>A176+1</f>
        <v>2</v>
      </c>
      <c r="B177" s="136"/>
      <c r="C177" s="61" t="s">
        <v>94</v>
      </c>
      <c r="D177" s="61" t="s">
        <v>344</v>
      </c>
      <c r="E177" s="96">
        <f>(33.81)*10.764</f>
        <v>363.93083999999999</v>
      </c>
      <c r="F177" s="96">
        <f>(3.26+1.6*(2+2.14))*10.764</f>
        <v>106.39137599999999</v>
      </c>
      <c r="G177" s="87">
        <v>0</v>
      </c>
      <c r="H177" s="87">
        <f t="shared" ref="H177:H184" si="4">E177+F177+(IF(G177&lt;101,G177,IF(G177&lt;201,G177/2,IF(G177&lt;=301,G177/3,G177/4))))</f>
        <v>470.32221599999997</v>
      </c>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WZB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row>
    <row r="178" spans="1:150 16226:16383" s="3" customFormat="1" ht="20.25" x14ac:dyDescent="0.25">
      <c r="A178" s="135">
        <f t="shared" ref="A178:A184" si="5">A177+1</f>
        <v>3</v>
      </c>
      <c r="B178" s="136"/>
      <c r="C178" s="61" t="s">
        <v>94</v>
      </c>
      <c r="D178" s="61" t="s">
        <v>344</v>
      </c>
      <c r="E178" s="96">
        <f>(35.49)*10.764</f>
        <v>382.01436000000001</v>
      </c>
      <c r="F178" s="96">
        <f>(3.53+1.6*2.1+0.75*2.13)*10.764</f>
        <v>91.359449999999995</v>
      </c>
      <c r="G178" s="87">
        <v>0</v>
      </c>
      <c r="H178" s="87">
        <f t="shared" si="4"/>
        <v>473.37380999999999</v>
      </c>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WZB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row>
    <row r="179" spans="1:150 16226:16383" s="3" customFormat="1" ht="20.25" customHeight="1" x14ac:dyDescent="0.25">
      <c r="A179" s="135">
        <f t="shared" si="5"/>
        <v>4</v>
      </c>
      <c r="B179" s="136"/>
      <c r="C179" s="61" t="s">
        <v>94</v>
      </c>
      <c r="D179" s="61" t="s">
        <v>345</v>
      </c>
      <c r="E179" s="96">
        <f>(68.44)*10.764</f>
        <v>736.68815999999993</v>
      </c>
      <c r="F179" s="96">
        <f>(7.07+0.75*(2.29+2.1+1.9))*10.764</f>
        <v>126.88065</v>
      </c>
      <c r="G179" s="87">
        <v>0</v>
      </c>
      <c r="H179" s="87">
        <f t="shared" si="4"/>
        <v>863.56880999999998</v>
      </c>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WZB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row>
    <row r="180" spans="1:150 16226:16383" s="3" customFormat="1" ht="20.25" customHeight="1" x14ac:dyDescent="0.25">
      <c r="A180" s="135">
        <f t="shared" si="5"/>
        <v>5</v>
      </c>
      <c r="B180" s="136"/>
      <c r="C180" s="61" t="s">
        <v>94</v>
      </c>
      <c r="D180" s="61" t="s">
        <v>346</v>
      </c>
      <c r="E180" s="96">
        <f>(53.29)*10.764</f>
        <v>573.61356000000001</v>
      </c>
      <c r="F180" s="96">
        <f>(3.21+0.75*(2.29+3.05+1.9))*10.764</f>
        <v>93.000960000000006</v>
      </c>
      <c r="G180" s="87">
        <v>0</v>
      </c>
      <c r="H180" s="87">
        <f t="shared" si="4"/>
        <v>666.61451999999997</v>
      </c>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WZB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row>
    <row r="181" spans="1:150 16226:16383" s="3" customFormat="1" ht="20.25" customHeight="1" x14ac:dyDescent="0.25">
      <c r="A181" s="135">
        <f t="shared" si="5"/>
        <v>6</v>
      </c>
      <c r="B181" s="136"/>
      <c r="C181" s="61" t="s">
        <v>94</v>
      </c>
      <c r="D181" s="61" t="s">
        <v>346</v>
      </c>
      <c r="E181" s="96">
        <f>(53.29)*10.764</f>
        <v>573.61356000000001</v>
      </c>
      <c r="F181" s="96">
        <f>(3.21+0.75*(2.29+3.05+1.9))*10.764</f>
        <v>93.000960000000006</v>
      </c>
      <c r="G181" s="87">
        <v>0</v>
      </c>
      <c r="H181" s="87">
        <f t="shared" si="4"/>
        <v>666.61451999999997</v>
      </c>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WZB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row>
    <row r="182" spans="1:150 16226:16383" s="3" customFormat="1" ht="20.25" customHeight="1" x14ac:dyDescent="0.25">
      <c r="A182" s="135">
        <f t="shared" si="5"/>
        <v>7</v>
      </c>
      <c r="B182" s="136"/>
      <c r="C182" s="61" t="s">
        <v>94</v>
      </c>
      <c r="D182" s="61" t="s">
        <v>346</v>
      </c>
      <c r="E182" s="96">
        <f>(53.16)*10.764</f>
        <v>572.2142399999999</v>
      </c>
      <c r="F182" s="96">
        <f>(3.21+0.75*(2.29+3.05+2.2))*10.764</f>
        <v>95.42286</v>
      </c>
      <c r="G182" s="87">
        <v>0</v>
      </c>
      <c r="H182" s="87">
        <f t="shared" si="4"/>
        <v>667.63709999999992</v>
      </c>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WZB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row>
    <row r="183" spans="1:150 16226:16383" s="3" customFormat="1" ht="20.25" customHeight="1" x14ac:dyDescent="0.25">
      <c r="A183" s="135">
        <f t="shared" si="5"/>
        <v>8</v>
      </c>
      <c r="B183" s="136"/>
      <c r="C183" s="61" t="s">
        <v>94</v>
      </c>
      <c r="D183" s="61" t="s">
        <v>346</v>
      </c>
      <c r="E183" s="96">
        <f>(46.53)*10.764</f>
        <v>500.84891999999996</v>
      </c>
      <c r="F183" s="96">
        <f>(3.75+1.6*(2.1+2.13+2.79))*10.764</f>
        <v>161.26624799999999</v>
      </c>
      <c r="G183" s="87">
        <v>0</v>
      </c>
      <c r="H183" s="87">
        <f t="shared" si="4"/>
        <v>662.11516799999993</v>
      </c>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WZB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row>
    <row r="184" spans="1:150 16226:16383" s="3" customFormat="1" ht="20.25" customHeight="1" x14ac:dyDescent="0.25">
      <c r="A184" s="135">
        <f t="shared" si="5"/>
        <v>9</v>
      </c>
      <c r="B184" s="136"/>
      <c r="C184" s="61" t="s">
        <v>94</v>
      </c>
      <c r="D184" s="61" t="s">
        <v>344</v>
      </c>
      <c r="E184" s="96">
        <f>(34)*10.764</f>
        <v>365.976</v>
      </c>
      <c r="F184" s="96">
        <f>(3.57+1.6*(1.9+2.14))*10.764</f>
        <v>108.005976</v>
      </c>
      <c r="G184" s="87">
        <v>0</v>
      </c>
      <c r="H184" s="87">
        <f t="shared" si="4"/>
        <v>473.98197600000003</v>
      </c>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WZB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row>
    <row r="185" spans="1:150 16226:16383" s="3" customFormat="1" ht="20.25" x14ac:dyDescent="0.25">
      <c r="A185" s="142" t="s">
        <v>349</v>
      </c>
      <c r="B185" s="143"/>
      <c r="C185" s="143"/>
      <c r="D185" s="143"/>
      <c r="E185" s="143"/>
      <c r="F185" s="143"/>
      <c r="G185" s="143"/>
      <c r="H185" s="144"/>
      <c r="I185" s="106">
        <v>2</v>
      </c>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WZB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row>
    <row r="186" spans="1:150 16226:16383" s="3" customFormat="1" ht="20.25" x14ac:dyDescent="0.25">
      <c r="A186" s="139">
        <v>1</v>
      </c>
      <c r="B186" s="139"/>
      <c r="C186" s="135" t="s">
        <v>350</v>
      </c>
      <c r="D186" s="207"/>
      <c r="E186" s="207"/>
      <c r="F186" s="207"/>
      <c r="G186" s="207"/>
      <c r="H186" s="136"/>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WZB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row>
    <row r="187" spans="1:150 16226:16383" s="3" customFormat="1" ht="20.25" x14ac:dyDescent="0.25">
      <c r="A187" s="135">
        <f>A186+1</f>
        <v>2</v>
      </c>
      <c r="B187" s="136"/>
      <c r="C187" s="61" t="s">
        <v>94</v>
      </c>
      <c r="D187" s="61" t="s">
        <v>346</v>
      </c>
      <c r="E187" s="88">
        <f>(48.33)*10.764</f>
        <v>520.22411999999997</v>
      </c>
      <c r="F187" s="88">
        <f>(6.52+1.6*(2+2.14))*10.764</f>
        <v>141.48201600000002</v>
      </c>
      <c r="G187" s="87">
        <v>0</v>
      </c>
      <c r="H187" s="87">
        <f t="shared" ref="H187:H194" si="6">E187+F187+(IF(G187&lt;101,G187,IF(G187&lt;201,G187/2,IF(G187&lt;=301,G187/3,G187/4))))</f>
        <v>661.70613600000001</v>
      </c>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WZB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row>
    <row r="188" spans="1:150 16226:16383" s="3" customFormat="1" ht="20.25" x14ac:dyDescent="0.25">
      <c r="A188" s="135">
        <f t="shared" ref="A188:A194" si="7">A187+1</f>
        <v>3</v>
      </c>
      <c r="B188" s="136"/>
      <c r="C188" s="61" t="s">
        <v>94</v>
      </c>
      <c r="D188" s="61" t="s">
        <v>344</v>
      </c>
      <c r="E188" s="96">
        <f>(35.49)*10.764</f>
        <v>382.01436000000001</v>
      </c>
      <c r="F188" s="96">
        <f>(3.53+1.6*2.1+0.75*2.13)*10.764</f>
        <v>91.359449999999995</v>
      </c>
      <c r="G188" s="87">
        <v>0</v>
      </c>
      <c r="H188" s="87">
        <f t="shared" si="6"/>
        <v>473.37380999999999</v>
      </c>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WZB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row>
    <row r="189" spans="1:150 16226:16383" s="3" customFormat="1" ht="20.25" customHeight="1" x14ac:dyDescent="0.25">
      <c r="A189" s="135">
        <f t="shared" si="7"/>
        <v>4</v>
      </c>
      <c r="B189" s="136"/>
      <c r="C189" s="61" t="s">
        <v>94</v>
      </c>
      <c r="D189" s="61" t="s">
        <v>345</v>
      </c>
      <c r="E189" s="96">
        <f>(68.44)*10.764</f>
        <v>736.68815999999993</v>
      </c>
      <c r="F189" s="96">
        <f>(7.07+0.75*(2.29+2.1+1.9))*10.764</f>
        <v>126.88065</v>
      </c>
      <c r="G189" s="87">
        <v>0</v>
      </c>
      <c r="H189" s="87">
        <f t="shared" si="6"/>
        <v>863.56880999999998</v>
      </c>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row>
    <row r="190" spans="1:150 16226:16383" s="3" customFormat="1" ht="20.25" customHeight="1" x14ac:dyDescent="0.25">
      <c r="A190" s="135">
        <f t="shared" si="7"/>
        <v>5</v>
      </c>
      <c r="B190" s="136"/>
      <c r="C190" s="61" t="s">
        <v>94</v>
      </c>
      <c r="D190" s="61" t="s">
        <v>346</v>
      </c>
      <c r="E190" s="96">
        <f>(53.29)*10.764</f>
        <v>573.61356000000001</v>
      </c>
      <c r="F190" s="96">
        <f>(3.21+0.75*(2.29+3.05+1.9))*10.764</f>
        <v>93.000960000000006</v>
      </c>
      <c r="G190" s="87">
        <v>0</v>
      </c>
      <c r="H190" s="87">
        <f t="shared" si="6"/>
        <v>666.61451999999997</v>
      </c>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WZB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row>
    <row r="191" spans="1:150 16226:16383" s="3" customFormat="1" ht="20.25" customHeight="1" x14ac:dyDescent="0.25">
      <c r="A191" s="135">
        <f t="shared" si="7"/>
        <v>6</v>
      </c>
      <c r="B191" s="136"/>
      <c r="C191" s="61" t="s">
        <v>94</v>
      </c>
      <c r="D191" s="61" t="s">
        <v>346</v>
      </c>
      <c r="E191" s="96">
        <f>(53.29)*10.764</f>
        <v>573.61356000000001</v>
      </c>
      <c r="F191" s="96">
        <f>(3.21+0.75*(2.29+3.05+1.9))*10.764</f>
        <v>93.000960000000006</v>
      </c>
      <c r="G191" s="87">
        <v>0</v>
      </c>
      <c r="H191" s="87">
        <f t="shared" si="6"/>
        <v>666.61451999999997</v>
      </c>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WZB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row>
    <row r="192" spans="1:150 16226:16383" s="3" customFormat="1" ht="20.25" customHeight="1" x14ac:dyDescent="0.25">
      <c r="A192" s="135">
        <f t="shared" si="7"/>
        <v>7</v>
      </c>
      <c r="B192" s="136"/>
      <c r="C192" s="61" t="s">
        <v>94</v>
      </c>
      <c r="D192" s="61" t="s">
        <v>346</v>
      </c>
      <c r="E192" s="96">
        <f>(53.16)*10.764</f>
        <v>572.2142399999999</v>
      </c>
      <c r="F192" s="96">
        <f>(3.21+0.75*(2.29+3.05+2.2))*10.764</f>
        <v>95.42286</v>
      </c>
      <c r="G192" s="87">
        <v>0</v>
      </c>
      <c r="H192" s="87">
        <f t="shared" si="6"/>
        <v>667.63709999999992</v>
      </c>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WZB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row>
    <row r="193" spans="1:150 16226:16383" s="3" customFormat="1" ht="20.25" customHeight="1" x14ac:dyDescent="0.25">
      <c r="A193" s="135">
        <f t="shared" si="7"/>
        <v>8</v>
      </c>
      <c r="B193" s="136"/>
      <c r="C193" s="61" t="s">
        <v>94</v>
      </c>
      <c r="D193" s="61" t="s">
        <v>346</v>
      </c>
      <c r="E193" s="96">
        <f>(46.53)*10.764</f>
        <v>500.84891999999996</v>
      </c>
      <c r="F193" s="96">
        <f>(3.75+1.6*(2.1+2.13+2.79))*10.764</f>
        <v>161.26624799999999</v>
      </c>
      <c r="G193" s="87">
        <v>0</v>
      </c>
      <c r="H193" s="87">
        <f t="shared" si="6"/>
        <v>662.11516799999993</v>
      </c>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WZB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row>
    <row r="194" spans="1:150 16226:16383" s="3" customFormat="1" ht="20.25" customHeight="1" x14ac:dyDescent="0.25">
      <c r="A194" s="135">
        <f t="shared" si="7"/>
        <v>9</v>
      </c>
      <c r="B194" s="136"/>
      <c r="C194" s="61" t="s">
        <v>94</v>
      </c>
      <c r="D194" s="61" t="s">
        <v>344</v>
      </c>
      <c r="E194" s="96">
        <f>(34)*10.764</f>
        <v>365.976</v>
      </c>
      <c r="F194" s="96">
        <f>(3.57+1.6*(1.9+2.14))*10.764</f>
        <v>108.005976</v>
      </c>
      <c r="G194" s="87">
        <v>0</v>
      </c>
      <c r="H194" s="87">
        <f t="shared" si="6"/>
        <v>473.98197600000003</v>
      </c>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WZB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row>
    <row r="195" spans="1:150 16226:16383" s="3" customFormat="1" ht="20.25" x14ac:dyDescent="0.25">
      <c r="A195" s="204" t="s">
        <v>328</v>
      </c>
      <c r="B195" s="205"/>
      <c r="C195" s="205"/>
      <c r="D195" s="205"/>
      <c r="E195" s="205"/>
      <c r="F195" s="205"/>
      <c r="G195" s="205"/>
      <c r="H195" s="206"/>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WZB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row>
    <row r="196" spans="1:150 16226:16383" s="3" customFormat="1" ht="20.25" x14ac:dyDescent="0.25">
      <c r="A196" s="142" t="s">
        <v>351</v>
      </c>
      <c r="B196" s="143"/>
      <c r="C196" s="143"/>
      <c r="D196" s="143"/>
      <c r="E196" s="143"/>
      <c r="F196" s="143"/>
      <c r="G196" s="143"/>
      <c r="H196" s="144"/>
      <c r="I196" s="1">
        <f>4600000-(4600000*0.12)</f>
        <v>4048000</v>
      </c>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WZB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row>
    <row r="197" spans="1:150 16226:16383" s="3" customFormat="1" ht="20.25" x14ac:dyDescent="0.25">
      <c r="A197" s="142" t="s">
        <v>352</v>
      </c>
      <c r="B197" s="143"/>
      <c r="C197" s="143"/>
      <c r="D197" s="143"/>
      <c r="E197" s="143"/>
      <c r="F197" s="143"/>
      <c r="G197" s="143"/>
      <c r="H197" s="144"/>
      <c r="I197" s="106">
        <f>7+5</f>
        <v>12</v>
      </c>
      <c r="J197" s="1"/>
      <c r="K197" s="1">
        <v>6500</v>
      </c>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WZB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row>
    <row r="198" spans="1:150 16226:16383" s="3" customFormat="1" ht="20.25" x14ac:dyDescent="0.25">
      <c r="A198" s="139">
        <v>1</v>
      </c>
      <c r="B198" s="139"/>
      <c r="C198" s="61" t="s">
        <v>94</v>
      </c>
      <c r="D198" s="61" t="s">
        <v>346</v>
      </c>
      <c r="E198" s="88">
        <f>(47.21)*10.764</f>
        <v>508.16843999999998</v>
      </c>
      <c r="F198" s="88">
        <f>(1.6*(2.4+2.14+2.35))*10.764</f>
        <v>118.662336</v>
      </c>
      <c r="G198" s="87">
        <v>0</v>
      </c>
      <c r="H198" s="87">
        <f>E198+F198+(IF(G198&lt;101,G198,IF(G198&lt;201,G198/2,IF(G198&lt;=301,G198/3,G198/4))))</f>
        <v>626.83077600000001</v>
      </c>
      <c r="I198" s="1">
        <f>2.4*4.11+2.74*(2.14+2.74)+3.14*3.13+1.22*(2.13+2.13)+2.7*0.9+1.45*3.13</f>
        <v>45.22910000000001</v>
      </c>
      <c r="J198" s="1"/>
      <c r="K198" s="104">
        <f>$K$197*H198</f>
        <v>4074400.0440000002</v>
      </c>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WZB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row>
    <row r="199" spans="1:150 16226:16383" s="3" customFormat="1" ht="20.25" x14ac:dyDescent="0.25">
      <c r="A199" s="135">
        <f>A198+1</f>
        <v>2</v>
      </c>
      <c r="B199" s="136"/>
      <c r="C199" s="61" t="s">
        <v>94</v>
      </c>
      <c r="D199" s="61" t="s">
        <v>346</v>
      </c>
      <c r="E199" s="88">
        <f>(47.21)*10.764</f>
        <v>508.16843999999998</v>
      </c>
      <c r="F199" s="88">
        <f>(1.6*(2.4+2.14+2.35))*10.764</f>
        <v>118.662336</v>
      </c>
      <c r="G199" s="87">
        <v>0</v>
      </c>
      <c r="H199" s="87">
        <f t="shared" ref="H199:H209" si="8">E199+F199+(IF(G199&lt;101,G199,IF(G199&lt;201,G199/2,IF(G199&lt;=301,G199/3,G199/4))))</f>
        <v>626.83077600000001</v>
      </c>
      <c r="I199" s="1" t="s">
        <v>370</v>
      </c>
      <c r="J199" s="1"/>
      <c r="K199" s="104">
        <f t="shared" ref="K199:K209" si="9">$K$197*H199</f>
        <v>4074400.0440000002</v>
      </c>
      <c r="L199" s="109">
        <f>(5887000-(5887000*0.12))</f>
        <v>5180560</v>
      </c>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WZB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row>
    <row r="200" spans="1:150 16226:16383" s="3" customFormat="1" ht="20.25" x14ac:dyDescent="0.25">
      <c r="A200" s="135">
        <f t="shared" ref="A200:A209" si="10">A199+1</f>
        <v>3</v>
      </c>
      <c r="B200" s="136"/>
      <c r="C200" s="61" t="s">
        <v>94</v>
      </c>
      <c r="D200" s="61" t="s">
        <v>346</v>
      </c>
      <c r="E200" s="88">
        <f>(43.36)*10.764</f>
        <v>466.72703999999999</v>
      </c>
      <c r="F200" s="88">
        <f>(3.26+1.6*(2+2.14))*10.764</f>
        <v>106.39137599999999</v>
      </c>
      <c r="G200" s="87">
        <v>0</v>
      </c>
      <c r="H200" s="87">
        <f t="shared" si="8"/>
        <v>573.11841600000002</v>
      </c>
      <c r="I200" s="109">
        <f>(5887000-(5887000*0.12))/H200</f>
        <v>9039.248880112762</v>
      </c>
      <c r="J200" s="1"/>
      <c r="K200" s="104">
        <f t="shared" si="9"/>
        <v>3725269.7040000004</v>
      </c>
      <c r="L200" s="109">
        <f>(5887000-(5887000*0.12))/H200</f>
        <v>9039.248880112762</v>
      </c>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WZB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row>
    <row r="201" spans="1:150 16226:16383" s="3" customFormat="1" ht="20.25" customHeight="1" x14ac:dyDescent="0.25">
      <c r="A201" s="135">
        <f t="shared" si="10"/>
        <v>4</v>
      </c>
      <c r="B201" s="136"/>
      <c r="C201" s="61" t="s">
        <v>94</v>
      </c>
      <c r="D201" s="61" t="s">
        <v>344</v>
      </c>
      <c r="E201" s="88">
        <f>(33.79)*10.764</f>
        <v>363.71555999999998</v>
      </c>
      <c r="F201" s="88">
        <f>(3.26+1.6*(2+2.14))*10.764</f>
        <v>106.39137599999999</v>
      </c>
      <c r="G201" s="87">
        <v>0</v>
      </c>
      <c r="H201" s="87">
        <f t="shared" si="8"/>
        <v>470.10693599999996</v>
      </c>
      <c r="I201" s="1">
        <f>(4.27*3.04+2.14*2.74+2.82*3.2+1.22* (1.99+1.82)+(1.45*0.9)*2)-1.07*2.82</f>
        <v>32.109200000000001</v>
      </c>
      <c r="J201" s="1"/>
      <c r="K201" s="104">
        <f t="shared" si="9"/>
        <v>3055695.0839999998</v>
      </c>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WZB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row>
    <row r="202" spans="1:150 16226:16383" s="3" customFormat="1" ht="20.25" customHeight="1" x14ac:dyDescent="0.25">
      <c r="A202" s="135">
        <f t="shared" si="10"/>
        <v>5</v>
      </c>
      <c r="B202" s="136"/>
      <c r="C202" s="61" t="s">
        <v>94</v>
      </c>
      <c r="D202" s="61" t="s">
        <v>344</v>
      </c>
      <c r="E202" s="88">
        <f>(33.79)*10.764</f>
        <v>363.71555999999998</v>
      </c>
      <c r="F202" s="88">
        <f>(3.26+1.6*(2+2.14))*10.764</f>
        <v>106.39137599999999</v>
      </c>
      <c r="G202" s="87">
        <v>0</v>
      </c>
      <c r="H202" s="87">
        <f t="shared" si="8"/>
        <v>470.10693599999996</v>
      </c>
      <c r="I202" s="1">
        <f>5400000/H202</f>
        <v>11486.74819807381</v>
      </c>
      <c r="J202" s="1"/>
      <c r="K202" s="104">
        <f t="shared" si="9"/>
        <v>3055695.0839999998</v>
      </c>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WZB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row>
    <row r="203" spans="1:150 16226:16383" s="3" customFormat="1" ht="20.25" customHeight="1" x14ac:dyDescent="0.25">
      <c r="A203" s="135">
        <f t="shared" si="10"/>
        <v>6</v>
      </c>
      <c r="B203" s="136"/>
      <c r="C203" s="61" t="s">
        <v>94</v>
      </c>
      <c r="D203" s="61" t="s">
        <v>346</v>
      </c>
      <c r="E203" s="88">
        <f>(43.36)*10.764</f>
        <v>466.72703999999999</v>
      </c>
      <c r="F203" s="88">
        <f>(3.26+1.6*(2+2.14+3))*10.764</f>
        <v>158.05857599999999</v>
      </c>
      <c r="G203" s="87">
        <v>0</v>
      </c>
      <c r="H203" s="87">
        <f t="shared" si="8"/>
        <v>624.785616</v>
      </c>
      <c r="I203" s="1"/>
      <c r="J203" s="1"/>
      <c r="K203" s="104">
        <f t="shared" si="9"/>
        <v>4061106.5040000002</v>
      </c>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WZB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row>
    <row r="204" spans="1:150 16226:16383" s="3" customFormat="1" ht="20.25" customHeight="1" x14ac:dyDescent="0.25">
      <c r="A204" s="135">
        <f t="shared" si="10"/>
        <v>7</v>
      </c>
      <c r="B204" s="136"/>
      <c r="C204" s="61" t="s">
        <v>94</v>
      </c>
      <c r="D204" s="61" t="s">
        <v>346</v>
      </c>
      <c r="E204" s="88">
        <f>(47.21)*10.764</f>
        <v>508.16843999999998</v>
      </c>
      <c r="F204" s="88">
        <f>(1.6*(2+2.14+2.3))*10.764</f>
        <v>110.91225600000001</v>
      </c>
      <c r="G204" s="87">
        <v>0</v>
      </c>
      <c r="H204" s="87">
        <f t="shared" si="8"/>
        <v>619.08069599999999</v>
      </c>
      <c r="I204" s="1">
        <f>4000000-(400000*0.12)</f>
        <v>3952000</v>
      </c>
      <c r="J204" s="1"/>
      <c r="K204" s="104">
        <f t="shared" si="9"/>
        <v>4024024.5239999997</v>
      </c>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WZB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row>
    <row r="205" spans="1:150 16226:16383" s="3" customFormat="1" ht="20.25" customHeight="1" x14ac:dyDescent="0.25">
      <c r="A205" s="135">
        <f t="shared" si="10"/>
        <v>8</v>
      </c>
      <c r="B205" s="136"/>
      <c r="C205" s="61" t="s">
        <v>94</v>
      </c>
      <c r="D205" s="61" t="s">
        <v>346</v>
      </c>
      <c r="E205" s="88">
        <f>(47.21)*10.764</f>
        <v>508.16843999999998</v>
      </c>
      <c r="F205" s="88">
        <f>(1.6*(2+2.14+2.3))*10.764</f>
        <v>110.91225600000001</v>
      </c>
      <c r="G205" s="87">
        <v>0</v>
      </c>
      <c r="H205" s="87">
        <f t="shared" si="8"/>
        <v>619.08069599999999</v>
      </c>
      <c r="I205" s="1"/>
      <c r="J205" s="1"/>
      <c r="K205" s="104">
        <f t="shared" si="9"/>
        <v>4024024.5239999997</v>
      </c>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WZB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row>
    <row r="206" spans="1:150 16226:16383" s="3" customFormat="1" ht="20.25" customHeight="1" x14ac:dyDescent="0.25">
      <c r="A206" s="135">
        <f t="shared" si="10"/>
        <v>9</v>
      </c>
      <c r="B206" s="136"/>
      <c r="C206" s="61" t="s">
        <v>94</v>
      </c>
      <c r="D206" s="61" t="s">
        <v>344</v>
      </c>
      <c r="E206" s="88">
        <f>(33.79)*10.764</f>
        <v>363.71555999999998</v>
      </c>
      <c r="F206" s="88">
        <f>(3.26+1.6*(2+2.14))*10.764</f>
        <v>106.39137599999999</v>
      </c>
      <c r="G206" s="87">
        <v>0</v>
      </c>
      <c r="H206" s="87">
        <f t="shared" si="8"/>
        <v>470.10693599999996</v>
      </c>
      <c r="I206" s="108">
        <f>(4000000-(400000*0.12))/H206</f>
        <v>8406.5979405162416</v>
      </c>
      <c r="J206" s="1"/>
      <c r="K206" s="104">
        <f t="shared" si="9"/>
        <v>3055695.0839999998</v>
      </c>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WZB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row>
    <row r="207" spans="1:150 16226:16383" s="3" customFormat="1" ht="20.25" customHeight="1" x14ac:dyDescent="0.25">
      <c r="A207" s="135">
        <f t="shared" si="10"/>
        <v>10</v>
      </c>
      <c r="B207" s="136"/>
      <c r="C207" s="61" t="s">
        <v>94</v>
      </c>
      <c r="D207" s="61" t="s">
        <v>344</v>
      </c>
      <c r="E207" s="88">
        <f>(33.79)*10.764</f>
        <v>363.71555999999998</v>
      </c>
      <c r="F207" s="88">
        <f>(3.26+1.6*(2+2.14))*10.764</f>
        <v>106.39137599999999</v>
      </c>
      <c r="G207" s="87">
        <v>0</v>
      </c>
      <c r="H207" s="87">
        <f t="shared" si="8"/>
        <v>470.10693599999996</v>
      </c>
      <c r="I207" s="104">
        <f>(4000000-(400000*0.12))/H207</f>
        <v>8406.5979405162416</v>
      </c>
      <c r="J207" s="1"/>
      <c r="K207" s="108">
        <f t="shared" si="9"/>
        <v>3055695.0839999998</v>
      </c>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WZB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row>
    <row r="208" spans="1:150 16226:16383" s="3" customFormat="1" ht="20.25" customHeight="1" x14ac:dyDescent="0.25">
      <c r="A208" s="135">
        <f t="shared" si="10"/>
        <v>11</v>
      </c>
      <c r="B208" s="136"/>
      <c r="C208" s="61" t="s">
        <v>94</v>
      </c>
      <c r="D208" s="61" t="s">
        <v>344</v>
      </c>
      <c r="E208" s="88">
        <f>(33.79)*10.764</f>
        <v>363.71555999999998</v>
      </c>
      <c r="F208" s="88">
        <f>(3.26+1.6*(2+2.14))*10.764</f>
        <v>106.39137599999999</v>
      </c>
      <c r="G208" s="87">
        <v>0</v>
      </c>
      <c r="H208" s="87">
        <f t="shared" si="8"/>
        <v>470.10693599999996</v>
      </c>
      <c r="I208" s="1"/>
      <c r="J208" s="1"/>
      <c r="K208" s="104">
        <f t="shared" si="9"/>
        <v>3055695.0839999998</v>
      </c>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WZB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row>
    <row r="209" spans="1:150 16226:16383" s="3" customFormat="1" ht="20.25" customHeight="1" x14ac:dyDescent="0.25">
      <c r="A209" s="135">
        <f t="shared" si="10"/>
        <v>12</v>
      </c>
      <c r="B209" s="136"/>
      <c r="C209" s="61" t="s">
        <v>94</v>
      </c>
      <c r="D209" s="61" t="s">
        <v>344</v>
      </c>
      <c r="E209" s="88">
        <f>(33.79)*10.764</f>
        <v>363.71555999999998</v>
      </c>
      <c r="F209" s="88">
        <f>(3.26+1.6*(2+2.14))*10.764</f>
        <v>106.39137599999999</v>
      </c>
      <c r="G209" s="87">
        <v>0</v>
      </c>
      <c r="H209" s="87">
        <f t="shared" si="8"/>
        <v>470.10693599999996</v>
      </c>
      <c r="I209" s="1"/>
      <c r="J209" s="1"/>
      <c r="K209" s="104">
        <f t="shared" si="9"/>
        <v>3055695.0839999998</v>
      </c>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WZB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row>
    <row r="210" spans="1:150 16226:16383" s="3" customFormat="1" ht="19.5" customHeight="1" x14ac:dyDescent="0.25">
      <c r="A210" s="142" t="s">
        <v>349</v>
      </c>
      <c r="B210" s="143"/>
      <c r="C210" s="143"/>
      <c r="D210" s="143"/>
      <c r="E210" s="143"/>
      <c r="F210" s="143"/>
      <c r="G210" s="143"/>
      <c r="H210" s="144"/>
      <c r="I210" s="106">
        <v>2</v>
      </c>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WZB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row>
    <row r="211" spans="1:150 16226:16383" s="3" customFormat="1" ht="20.25" x14ac:dyDescent="0.25">
      <c r="A211" s="139">
        <v>1</v>
      </c>
      <c r="B211" s="139"/>
      <c r="C211" s="61" t="s">
        <v>94</v>
      </c>
      <c r="D211" s="61" t="s">
        <v>346</v>
      </c>
      <c r="E211" s="88">
        <f>(47.21)*10.764</f>
        <v>508.16843999999998</v>
      </c>
      <c r="F211" s="87">
        <f>(1.6*(2.4+2.14+2.35))*10.764</f>
        <v>118.662336</v>
      </c>
      <c r="G211" s="87">
        <v>0</v>
      </c>
      <c r="H211" s="87">
        <f>E211+F211+(IF(G211&lt;101,G211,IF(G211&lt;201,G211/2,IF(G211&lt;=301,G211/3,G211/4))))</f>
        <v>626.83077600000001</v>
      </c>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WZB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row>
    <row r="212" spans="1:150 16226:16383" s="3" customFormat="1" ht="20.25" x14ac:dyDescent="0.25">
      <c r="A212" s="135">
        <f>A211+1</f>
        <v>2</v>
      </c>
      <c r="B212" s="136"/>
      <c r="C212" s="61" t="s">
        <v>94</v>
      </c>
      <c r="D212" s="61" t="s">
        <v>346</v>
      </c>
      <c r="E212" s="88">
        <f>(47.21)*10.764</f>
        <v>508.16843999999998</v>
      </c>
      <c r="F212" s="87">
        <f>(1.6*(2.4+2.14+2.35))*10.764</f>
        <v>118.662336</v>
      </c>
      <c r="G212" s="87">
        <v>0</v>
      </c>
      <c r="H212" s="87">
        <f t="shared" ref="H212:H222" si="11">E212+F212+(IF(G212&lt;101,G212,IF(G212&lt;201,G212/2,IF(G212&lt;=301,G212/3,G212/4))))</f>
        <v>626.83077600000001</v>
      </c>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WZB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row>
    <row r="213" spans="1:150 16226:16383" s="3" customFormat="1" ht="20.25" x14ac:dyDescent="0.25">
      <c r="A213" s="135">
        <f t="shared" ref="A213:A222" si="12">A212+1</f>
        <v>3</v>
      </c>
      <c r="B213" s="136"/>
      <c r="C213" s="61" t="s">
        <v>94</v>
      </c>
      <c r="D213" s="61" t="s">
        <v>346</v>
      </c>
      <c r="E213" s="88">
        <f>(43.36)*10.764</f>
        <v>466.72703999999999</v>
      </c>
      <c r="F213" s="87">
        <f>(3.26+1.6*(2+2.14))*10.764</f>
        <v>106.39137599999999</v>
      </c>
      <c r="G213" s="87">
        <v>0</v>
      </c>
      <c r="H213" s="87">
        <f t="shared" si="11"/>
        <v>573.11841600000002</v>
      </c>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WZB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row>
    <row r="214" spans="1:150 16226:16383" s="3" customFormat="1" ht="20.25" customHeight="1" x14ac:dyDescent="0.25">
      <c r="A214" s="135">
        <f t="shared" si="12"/>
        <v>4</v>
      </c>
      <c r="B214" s="136"/>
      <c r="C214" s="135" t="s">
        <v>350</v>
      </c>
      <c r="D214" s="207"/>
      <c r="E214" s="207"/>
      <c r="F214" s="207"/>
      <c r="G214" s="207"/>
      <c r="H214" s="136"/>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WZB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row>
    <row r="215" spans="1:150 16226:16383" s="3" customFormat="1" ht="20.25" customHeight="1" x14ac:dyDescent="0.25">
      <c r="A215" s="135">
        <f t="shared" si="12"/>
        <v>5</v>
      </c>
      <c r="B215" s="136"/>
      <c r="C215" s="61" t="s">
        <v>94</v>
      </c>
      <c r="D215" s="61" t="s">
        <v>344</v>
      </c>
      <c r="E215" s="88">
        <f>(33.79)*10.764</f>
        <v>363.71555999999998</v>
      </c>
      <c r="F215" s="87">
        <f>(3.26+1.6*(2+2.14))*10.764</f>
        <v>106.39137599999999</v>
      </c>
      <c r="G215" s="87">
        <v>0</v>
      </c>
      <c r="H215" s="87">
        <f t="shared" si="11"/>
        <v>470.10693599999996</v>
      </c>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WZB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row>
    <row r="216" spans="1:150 16226:16383" s="3" customFormat="1" ht="20.25" customHeight="1" x14ac:dyDescent="0.25">
      <c r="A216" s="135">
        <f t="shared" si="12"/>
        <v>6</v>
      </c>
      <c r="B216" s="136"/>
      <c r="C216" s="61" t="s">
        <v>94</v>
      </c>
      <c r="D216" s="61" t="s">
        <v>346</v>
      </c>
      <c r="E216" s="88">
        <f>(43.36)*10.764</f>
        <v>466.72703999999999</v>
      </c>
      <c r="F216" s="87">
        <f>(3.26+1.6*(2+2.14+3))*10.764</f>
        <v>158.05857599999999</v>
      </c>
      <c r="G216" s="87">
        <v>0</v>
      </c>
      <c r="H216" s="87">
        <f t="shared" si="11"/>
        <v>624.785616</v>
      </c>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WZB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row>
    <row r="217" spans="1:150 16226:16383" s="3" customFormat="1" ht="20.25" customHeight="1" x14ac:dyDescent="0.25">
      <c r="A217" s="135">
        <f t="shared" si="12"/>
        <v>7</v>
      </c>
      <c r="B217" s="136"/>
      <c r="C217" s="61" t="s">
        <v>94</v>
      </c>
      <c r="D217" s="61" t="s">
        <v>346</v>
      </c>
      <c r="E217" s="88">
        <f>(47.21)*10.764</f>
        <v>508.16843999999998</v>
      </c>
      <c r="F217" s="87">
        <f>(1.6*(2+2.14+2.3))*10.764</f>
        <v>110.91225600000001</v>
      </c>
      <c r="G217" s="87">
        <v>0</v>
      </c>
      <c r="H217" s="87">
        <f t="shared" si="11"/>
        <v>619.08069599999999</v>
      </c>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WZB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row>
    <row r="218" spans="1:150 16226:16383" s="3" customFormat="1" ht="20.25" customHeight="1" x14ac:dyDescent="0.25">
      <c r="A218" s="135">
        <f t="shared" si="12"/>
        <v>8</v>
      </c>
      <c r="B218" s="136"/>
      <c r="C218" s="61" t="s">
        <v>94</v>
      </c>
      <c r="D218" s="61" t="s">
        <v>346</v>
      </c>
      <c r="E218" s="88">
        <f>(47.21)*10.764</f>
        <v>508.16843999999998</v>
      </c>
      <c r="F218" s="87">
        <f>(1.6*(2+2.14+2.3))*10.764</f>
        <v>110.91225600000001</v>
      </c>
      <c r="G218" s="87">
        <v>0</v>
      </c>
      <c r="H218" s="87">
        <f t="shared" si="11"/>
        <v>619.08069599999999</v>
      </c>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WZB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row>
    <row r="219" spans="1:150 16226:16383" s="3" customFormat="1" ht="20.25" customHeight="1" x14ac:dyDescent="0.25">
      <c r="A219" s="135">
        <f t="shared" si="12"/>
        <v>9</v>
      </c>
      <c r="B219" s="136"/>
      <c r="C219" s="61" t="s">
        <v>94</v>
      </c>
      <c r="D219" s="61" t="s">
        <v>344</v>
      </c>
      <c r="E219" s="88">
        <f>(33.79)*10.764</f>
        <v>363.71555999999998</v>
      </c>
      <c r="F219" s="87">
        <f>(3.26+1.6*(2+2.14))*10.764</f>
        <v>106.39137599999999</v>
      </c>
      <c r="G219" s="87">
        <v>0</v>
      </c>
      <c r="H219" s="87">
        <f t="shared" si="11"/>
        <v>470.10693599999996</v>
      </c>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WZB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row>
    <row r="220" spans="1:150 16226:16383" s="3" customFormat="1" ht="20.25" customHeight="1" x14ac:dyDescent="0.25">
      <c r="A220" s="135">
        <f t="shared" si="12"/>
        <v>10</v>
      </c>
      <c r="B220" s="136"/>
      <c r="C220" s="61" t="s">
        <v>94</v>
      </c>
      <c r="D220" s="61" t="s">
        <v>344</v>
      </c>
      <c r="E220" s="88">
        <f>(33.79)*10.764</f>
        <v>363.71555999999998</v>
      </c>
      <c r="F220" s="87">
        <f>(3.26+1.6*(2+2.14))*10.764</f>
        <v>106.39137599999999</v>
      </c>
      <c r="G220" s="87">
        <v>0</v>
      </c>
      <c r="H220" s="87">
        <f t="shared" si="11"/>
        <v>470.10693599999996</v>
      </c>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WZB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row>
    <row r="221" spans="1:150 16226:16383" s="3" customFormat="1" ht="20.25" customHeight="1" x14ac:dyDescent="0.25">
      <c r="A221" s="135">
        <f t="shared" si="12"/>
        <v>11</v>
      </c>
      <c r="B221" s="136"/>
      <c r="C221" s="61" t="s">
        <v>94</v>
      </c>
      <c r="D221" s="61" t="s">
        <v>344</v>
      </c>
      <c r="E221" s="88">
        <f>(33.79)*10.764</f>
        <v>363.71555999999998</v>
      </c>
      <c r="F221" s="87">
        <f>(3.26+1.6*(2+2.14))*10.764</f>
        <v>106.39137599999999</v>
      </c>
      <c r="G221" s="87">
        <v>0</v>
      </c>
      <c r="H221" s="87">
        <f t="shared" si="11"/>
        <v>470.10693599999996</v>
      </c>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WZB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row>
    <row r="222" spans="1:150 16226:16383" s="3" customFormat="1" ht="20.25" customHeight="1" x14ac:dyDescent="0.25">
      <c r="A222" s="135">
        <f t="shared" si="12"/>
        <v>12</v>
      </c>
      <c r="B222" s="136"/>
      <c r="C222" s="61" t="s">
        <v>94</v>
      </c>
      <c r="D222" s="61" t="s">
        <v>344</v>
      </c>
      <c r="E222" s="88">
        <f>(33.79)*10.764</f>
        <v>363.71555999999998</v>
      </c>
      <c r="F222" s="87">
        <f>(3.26+1.6*(2+2.14))*10.764</f>
        <v>106.39137599999999</v>
      </c>
      <c r="G222" s="87">
        <v>0</v>
      </c>
      <c r="H222" s="87">
        <f t="shared" si="11"/>
        <v>470.10693599999996</v>
      </c>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WZB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row>
    <row r="223" spans="1:150 16226:16383" s="3" customFormat="1" ht="19.5" customHeight="1" x14ac:dyDescent="0.25">
      <c r="A223" s="204" t="s">
        <v>329</v>
      </c>
      <c r="B223" s="205"/>
      <c r="C223" s="205"/>
      <c r="D223" s="205"/>
      <c r="E223" s="205"/>
      <c r="F223" s="205"/>
      <c r="G223" s="205"/>
      <c r="H223" s="206"/>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WZB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row>
    <row r="224" spans="1:150 16226:16383" s="3" customFormat="1" ht="19.5" customHeight="1" x14ac:dyDescent="0.25">
      <c r="A224" s="142" t="s">
        <v>351</v>
      </c>
      <c r="B224" s="143"/>
      <c r="C224" s="143"/>
      <c r="D224" s="143"/>
      <c r="E224" s="143"/>
      <c r="F224" s="143"/>
      <c r="G224" s="143"/>
      <c r="H224" s="144"/>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WZB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row>
    <row r="225" spans="1:150 16226:16383" s="3" customFormat="1" ht="19.5" customHeight="1" x14ac:dyDescent="0.25">
      <c r="A225" s="142" t="s">
        <v>353</v>
      </c>
      <c r="B225" s="143"/>
      <c r="C225" s="143"/>
      <c r="D225" s="143"/>
      <c r="E225" s="143"/>
      <c r="F225" s="143"/>
      <c r="G225" s="143"/>
      <c r="H225" s="144"/>
      <c r="I225" s="106">
        <f>7+4</f>
        <v>11</v>
      </c>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WZB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row>
    <row r="226" spans="1:150 16226:16383" s="3" customFormat="1" ht="20.25" x14ac:dyDescent="0.25">
      <c r="A226" s="139">
        <v>1</v>
      </c>
      <c r="B226" s="139"/>
      <c r="C226" s="61" t="s">
        <v>94</v>
      </c>
      <c r="D226" s="61" t="s">
        <v>346</v>
      </c>
      <c r="E226" s="88">
        <f>(48.98)*10.764</f>
        <v>527.22071999999991</v>
      </c>
      <c r="F226" s="88">
        <f>(1.6*(2.1+2)+2.14*1.2)*10.764</f>
        <v>98.25379199999999</v>
      </c>
      <c r="G226" s="87">
        <v>0</v>
      </c>
      <c r="H226" s="87">
        <f>E226+F226+(IF(G226&lt;101,G226,IF(G226&lt;201,G226/2,IF(G226&lt;=301,G226/3,G226/4))))</f>
        <v>625.47451199999989</v>
      </c>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WZB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row>
    <row r="227" spans="1:150 16226:16383" s="3" customFormat="1" ht="20.25" x14ac:dyDescent="0.25">
      <c r="A227" s="135">
        <f>A226+1</f>
        <v>2</v>
      </c>
      <c r="B227" s="136"/>
      <c r="C227" s="61" t="s">
        <v>94</v>
      </c>
      <c r="D227" s="61" t="s">
        <v>346</v>
      </c>
      <c r="E227" s="88">
        <f>(47.51)*10.764</f>
        <v>511.39763999999997</v>
      </c>
      <c r="F227" s="88">
        <f>(1.6*(2.1+2)+2.14*1.2)*10.764</f>
        <v>98.25379199999999</v>
      </c>
      <c r="G227" s="87">
        <v>0</v>
      </c>
      <c r="H227" s="87">
        <f t="shared" ref="H227:H233" si="13">E227+F227+(IF(G227&lt;101,G227,IF(G227&lt;201,G227/2,IF(G227&lt;=301,G227/3,G227/4))))</f>
        <v>609.651432</v>
      </c>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WZB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row>
    <row r="228" spans="1:150 16226:16383" s="3" customFormat="1" ht="20.25" x14ac:dyDescent="0.25">
      <c r="A228" s="135">
        <f t="shared" ref="A228:A233" si="14">A227+1</f>
        <v>3</v>
      </c>
      <c r="B228" s="136"/>
      <c r="C228" s="61" t="s">
        <v>94</v>
      </c>
      <c r="D228" s="61" t="s">
        <v>346</v>
      </c>
      <c r="E228" s="88">
        <f>(54.21)*10.764</f>
        <v>583.51643999999999</v>
      </c>
      <c r="F228" s="88">
        <f>(1.6*1.85+1.2*2.14+2.74*0.75)*10.764</f>
        <v>81.623412000000002</v>
      </c>
      <c r="G228" s="87">
        <v>0</v>
      </c>
      <c r="H228" s="87">
        <f t="shared" si="13"/>
        <v>665.13985200000002</v>
      </c>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WZB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row>
    <row r="229" spans="1:150 16226:16383" s="3" customFormat="1" ht="20.25" customHeight="1" x14ac:dyDescent="0.25">
      <c r="A229" s="135">
        <f t="shared" si="14"/>
        <v>4</v>
      </c>
      <c r="B229" s="136"/>
      <c r="C229" s="61" t="s">
        <v>94</v>
      </c>
      <c r="D229" s="61" t="s">
        <v>344</v>
      </c>
      <c r="E229" s="88">
        <f>(36.74)*10.764</f>
        <v>395.46935999999999</v>
      </c>
      <c r="F229" s="88">
        <f>(1.6*1.85+2.14*1.2)*10.764</f>
        <v>59.503391999999998</v>
      </c>
      <c r="G229" s="87">
        <v>0</v>
      </c>
      <c r="H229" s="87">
        <f t="shared" si="13"/>
        <v>454.97275200000001</v>
      </c>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WZB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row>
    <row r="230" spans="1:150 16226:16383" s="3" customFormat="1" ht="20.25" customHeight="1" x14ac:dyDescent="0.25">
      <c r="A230" s="135">
        <f t="shared" si="14"/>
        <v>5</v>
      </c>
      <c r="B230" s="136"/>
      <c r="C230" s="61" t="s">
        <v>94</v>
      </c>
      <c r="D230" s="61" t="s">
        <v>346</v>
      </c>
      <c r="E230" s="88">
        <f>(47.51)*10.764</f>
        <v>511.39763999999997</v>
      </c>
      <c r="F230" s="88">
        <f>(1.6*(2.15+2.1)+2.14*1.2)*10.764</f>
        <v>100.837152</v>
      </c>
      <c r="G230" s="87">
        <v>0</v>
      </c>
      <c r="H230" s="87">
        <f t="shared" si="13"/>
        <v>612.23479199999997</v>
      </c>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WZB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row>
    <row r="231" spans="1:150 16226:16383" s="3" customFormat="1" ht="20.25" customHeight="1" x14ac:dyDescent="0.25">
      <c r="A231" s="135">
        <f t="shared" si="14"/>
        <v>6</v>
      </c>
      <c r="B231" s="136"/>
      <c r="C231" s="61" t="s">
        <v>94</v>
      </c>
      <c r="D231" s="61" t="s">
        <v>346</v>
      </c>
      <c r="E231" s="88">
        <f>(49.45)*10.764</f>
        <v>532.27980000000002</v>
      </c>
      <c r="F231" s="88">
        <f>(1.6*(2.15+2.1)+2.14*1.2)*10.764</f>
        <v>100.837152</v>
      </c>
      <c r="G231" s="87">
        <v>0</v>
      </c>
      <c r="H231" s="87">
        <f t="shared" si="13"/>
        <v>633.11695200000008</v>
      </c>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WZB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row>
    <row r="232" spans="1:150 16226:16383" s="3" customFormat="1" ht="20.25" customHeight="1" x14ac:dyDescent="0.25">
      <c r="A232" s="135">
        <f t="shared" si="14"/>
        <v>7</v>
      </c>
      <c r="B232" s="136"/>
      <c r="C232" s="61" t="s">
        <v>94</v>
      </c>
      <c r="D232" s="61" t="s">
        <v>344</v>
      </c>
      <c r="E232" s="88">
        <f>(36.74)*10.764</f>
        <v>395.46935999999999</v>
      </c>
      <c r="F232" s="88">
        <f>(1.6*1.85+1.2*2.14)*10.764</f>
        <v>59.503391999999998</v>
      </c>
      <c r="G232" s="87">
        <v>0</v>
      </c>
      <c r="H232" s="87">
        <f t="shared" si="13"/>
        <v>454.97275200000001</v>
      </c>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WZB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row>
    <row r="233" spans="1:150 16226:16383" s="3" customFormat="1" ht="20.25" customHeight="1" x14ac:dyDescent="0.25">
      <c r="A233" s="135">
        <f t="shared" si="14"/>
        <v>8</v>
      </c>
      <c r="B233" s="136"/>
      <c r="C233" s="61" t="s">
        <v>94</v>
      </c>
      <c r="D233" s="61" t="s">
        <v>346</v>
      </c>
      <c r="E233" s="88">
        <f>(54.21)*10.764</f>
        <v>583.51643999999999</v>
      </c>
      <c r="F233" s="96">
        <f>(1.6*1.85+1.2*2.14+2.74*0.75)*10.764</f>
        <v>81.623412000000002</v>
      </c>
      <c r="G233" s="87">
        <v>0</v>
      </c>
      <c r="H233" s="87">
        <f t="shared" si="13"/>
        <v>665.13985200000002</v>
      </c>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WZB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row>
    <row r="234" spans="1:150 16226:16383" s="3" customFormat="1" ht="19.5" customHeight="1" x14ac:dyDescent="0.25">
      <c r="A234" s="142" t="s">
        <v>354</v>
      </c>
      <c r="B234" s="143"/>
      <c r="C234" s="143"/>
      <c r="D234" s="143"/>
      <c r="E234" s="143"/>
      <c r="F234" s="143"/>
      <c r="G234" s="143"/>
      <c r="H234" s="144"/>
      <c r="I234" s="106">
        <v>1</v>
      </c>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WZB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1"/>
    </row>
    <row r="235" spans="1:150 16226:16383" s="3" customFormat="1" ht="20.25" x14ac:dyDescent="0.25">
      <c r="A235" s="139">
        <v>1</v>
      </c>
      <c r="B235" s="139"/>
      <c r="C235" s="61" t="s">
        <v>94</v>
      </c>
      <c r="D235" s="61" t="s">
        <v>346</v>
      </c>
      <c r="E235" s="88">
        <f>(48.98)*10.764</f>
        <v>527.22071999999991</v>
      </c>
      <c r="F235" s="87">
        <f>(1.6*(2.1+2)+2.14*1.2)*10.764</f>
        <v>98.25379199999999</v>
      </c>
      <c r="G235" s="87">
        <v>0</v>
      </c>
      <c r="H235" s="87">
        <f>E235+F235+(IF(G235&lt;101,G235,IF(G235&lt;201,G235/2,IF(G235&lt;=301,G235/3,G235/4))))</f>
        <v>625.47451199999989</v>
      </c>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WZB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c r="XEZ235" s="1"/>
      <c r="XFA235" s="1"/>
      <c r="XFB235" s="1"/>
      <c r="XFC235" s="1"/>
    </row>
    <row r="236" spans="1:150 16226:16383" s="3" customFormat="1" ht="20.25" x14ac:dyDescent="0.25">
      <c r="A236" s="135">
        <f>A235+1</f>
        <v>2</v>
      </c>
      <c r="B236" s="136"/>
      <c r="C236" s="61" t="s">
        <v>94</v>
      </c>
      <c r="D236" s="61" t="s">
        <v>346</v>
      </c>
      <c r="E236" s="88">
        <f>(47.51)*10.764</f>
        <v>511.39763999999997</v>
      </c>
      <c r="F236" s="87">
        <f>(1.6*(2.1+2)+2.14*1.2)*10.764</f>
        <v>98.25379199999999</v>
      </c>
      <c r="G236" s="87">
        <v>0</v>
      </c>
      <c r="H236" s="87">
        <f t="shared" ref="H236:H242" si="15">E236+F236+(IF(G236&lt;101,G236,IF(G236&lt;201,G236/2,IF(G236&lt;=301,G236/3,G236/4))))</f>
        <v>609.651432</v>
      </c>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WZB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c r="XFB236" s="1"/>
      <c r="XFC236" s="1"/>
    </row>
    <row r="237" spans="1:150 16226:16383" s="3" customFormat="1" ht="20.25" x14ac:dyDescent="0.25">
      <c r="A237" s="135">
        <f t="shared" ref="A237:A242" si="16">A236+1</f>
        <v>3</v>
      </c>
      <c r="B237" s="136"/>
      <c r="C237" s="61" t="s">
        <v>94</v>
      </c>
      <c r="D237" s="61" t="s">
        <v>345</v>
      </c>
      <c r="E237" s="88">
        <f>(71.36)*10.764</f>
        <v>768.11903999999993</v>
      </c>
      <c r="F237" s="88">
        <f>(1.85*1.6+2.14*1.2+2.74*0.75)*10.764</f>
        <v>81.623412000000002</v>
      </c>
      <c r="G237" s="87">
        <v>0</v>
      </c>
      <c r="H237" s="87">
        <f>E237+F237+(IF(G237&lt;101,G237,IF(G237&lt;201,G237/2,IF(G237&lt;=301,G237/3,G237/4))))</f>
        <v>849.74245199999996</v>
      </c>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WZB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c r="XFA237" s="1"/>
      <c r="XFB237" s="1"/>
      <c r="XFC237" s="1"/>
    </row>
    <row r="238" spans="1:150 16226:16383" s="3" customFormat="1" ht="20.25" customHeight="1" x14ac:dyDescent="0.25">
      <c r="A238" s="135">
        <f t="shared" si="16"/>
        <v>4</v>
      </c>
      <c r="B238" s="136"/>
      <c r="C238" s="135" t="s">
        <v>350</v>
      </c>
      <c r="D238" s="207"/>
      <c r="E238" s="207"/>
      <c r="F238" s="207"/>
      <c r="G238" s="207"/>
      <c r="H238" s="136"/>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WZB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c r="XEY238" s="1"/>
      <c r="XEZ238" s="1"/>
      <c r="XFA238" s="1"/>
      <c r="XFB238" s="1"/>
      <c r="XFC238" s="1"/>
    </row>
    <row r="239" spans="1:150 16226:16383" s="3" customFormat="1" ht="20.25" customHeight="1" x14ac:dyDescent="0.25">
      <c r="A239" s="135">
        <f t="shared" si="16"/>
        <v>5</v>
      </c>
      <c r="B239" s="136"/>
      <c r="C239" s="61" t="s">
        <v>94</v>
      </c>
      <c r="D239" s="61" t="s">
        <v>346</v>
      </c>
      <c r="E239" s="88">
        <f>(47.51)*10.764</f>
        <v>511.39763999999997</v>
      </c>
      <c r="F239" s="87">
        <f>(1.6*(2.15+2.1)+2.14*1.2)*10.764</f>
        <v>100.837152</v>
      </c>
      <c r="G239" s="87">
        <v>0</v>
      </c>
      <c r="H239" s="87">
        <f t="shared" si="15"/>
        <v>612.23479199999997</v>
      </c>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WZB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c r="XEY239" s="1"/>
      <c r="XEZ239" s="1"/>
      <c r="XFA239" s="1"/>
      <c r="XFB239" s="1"/>
      <c r="XFC239" s="1"/>
    </row>
    <row r="240" spans="1:150 16226:16383" s="3" customFormat="1" ht="20.25" customHeight="1" x14ac:dyDescent="0.25">
      <c r="A240" s="135">
        <f t="shared" si="16"/>
        <v>6</v>
      </c>
      <c r="B240" s="136"/>
      <c r="C240" s="61" t="s">
        <v>94</v>
      </c>
      <c r="D240" s="61" t="s">
        <v>346</v>
      </c>
      <c r="E240" s="88">
        <f>(49.45)*10.764</f>
        <v>532.27980000000002</v>
      </c>
      <c r="F240" s="87">
        <f>(1.6*(2.15+2.1)+2.14*1.2)*10.764</f>
        <v>100.837152</v>
      </c>
      <c r="G240" s="87">
        <v>0</v>
      </c>
      <c r="H240" s="87">
        <f t="shared" si="15"/>
        <v>633.11695200000008</v>
      </c>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WZB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c r="XFB240" s="1"/>
      <c r="XFC240" s="1"/>
    </row>
    <row r="241" spans="1:150 16226:16383" s="3" customFormat="1" ht="20.25" customHeight="1" x14ac:dyDescent="0.25">
      <c r="A241" s="135">
        <f t="shared" si="16"/>
        <v>7</v>
      </c>
      <c r="B241" s="136"/>
      <c r="C241" s="61" t="s">
        <v>94</v>
      </c>
      <c r="D241" s="61" t="s">
        <v>344</v>
      </c>
      <c r="E241" s="88">
        <f>(36.74)*10.764</f>
        <v>395.46935999999999</v>
      </c>
      <c r="F241" s="87">
        <f>(1.6*1.85+1.2*2.14)*10.764</f>
        <v>59.503391999999998</v>
      </c>
      <c r="G241" s="87">
        <v>0</v>
      </c>
      <c r="H241" s="87">
        <f t="shared" si="15"/>
        <v>454.97275200000001</v>
      </c>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WZB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c r="XFB241" s="1"/>
      <c r="XFC241" s="1"/>
    </row>
    <row r="242" spans="1:150 16226:16383" s="3" customFormat="1" ht="20.25" customHeight="1" x14ac:dyDescent="0.25">
      <c r="A242" s="135">
        <f t="shared" si="16"/>
        <v>8</v>
      </c>
      <c r="B242" s="136"/>
      <c r="C242" s="61" t="s">
        <v>94</v>
      </c>
      <c r="D242" s="61" t="s">
        <v>346</v>
      </c>
      <c r="E242" s="96">
        <f>(54.21)*10.764</f>
        <v>583.51643999999999</v>
      </c>
      <c r="F242" s="96">
        <f>(1.6*1.85+1.2*2.14+2.74*0.75)*10.764</f>
        <v>81.623412000000002</v>
      </c>
      <c r="G242" s="87">
        <v>0</v>
      </c>
      <c r="H242" s="87">
        <f t="shared" si="15"/>
        <v>665.13985200000002</v>
      </c>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WZB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c r="XEW242" s="1"/>
      <c r="XEX242" s="1"/>
      <c r="XEY242" s="1"/>
      <c r="XEZ242" s="1"/>
      <c r="XFA242" s="1"/>
      <c r="XFB242" s="1"/>
      <c r="XFC242" s="1"/>
    </row>
    <row r="243" spans="1:150 16226:16383" s="3" customFormat="1" ht="19.5" customHeight="1" x14ac:dyDescent="0.25">
      <c r="A243" s="204" t="s">
        <v>330</v>
      </c>
      <c r="B243" s="205"/>
      <c r="C243" s="205"/>
      <c r="D243" s="205"/>
      <c r="E243" s="205"/>
      <c r="F243" s="205"/>
      <c r="G243" s="205"/>
      <c r="H243" s="206"/>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WZB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c r="XEW243" s="1"/>
      <c r="XEX243" s="1"/>
      <c r="XEY243" s="1"/>
      <c r="XEZ243" s="1"/>
      <c r="XFA243" s="1"/>
      <c r="XFB243" s="1"/>
      <c r="XFC243" s="1"/>
    </row>
    <row r="244" spans="1:150 16226:16383" s="3" customFormat="1" ht="19.5" customHeight="1" x14ac:dyDescent="0.25">
      <c r="A244" s="142" t="s">
        <v>351</v>
      </c>
      <c r="B244" s="143"/>
      <c r="C244" s="143"/>
      <c r="D244" s="143"/>
      <c r="E244" s="143"/>
      <c r="F244" s="143"/>
      <c r="G244" s="143"/>
      <c r="H244" s="144"/>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WZB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c r="XEW244" s="1"/>
      <c r="XEX244" s="1"/>
      <c r="XEY244" s="1"/>
      <c r="XEZ244" s="1"/>
      <c r="XFA244" s="1"/>
      <c r="XFB244" s="1"/>
      <c r="XFC244" s="1"/>
    </row>
    <row r="245" spans="1:150 16226:16383" s="3" customFormat="1" ht="19.5" customHeight="1" x14ac:dyDescent="0.25">
      <c r="A245" s="142" t="s">
        <v>353</v>
      </c>
      <c r="B245" s="143"/>
      <c r="C245" s="143"/>
      <c r="D245" s="143"/>
      <c r="E245" s="143"/>
      <c r="F245" s="143"/>
      <c r="G245" s="143"/>
      <c r="H245" s="144"/>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WZB245" s="1"/>
      <c r="WZC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c r="XEV245" s="1"/>
      <c r="XEW245" s="1"/>
      <c r="XEX245" s="1"/>
      <c r="XEY245" s="1"/>
      <c r="XEZ245" s="1"/>
      <c r="XFA245" s="1"/>
      <c r="XFB245" s="1"/>
      <c r="XFC245" s="1"/>
    </row>
    <row r="246" spans="1:150 16226:16383" s="3" customFormat="1" ht="20.25" x14ac:dyDescent="0.25">
      <c r="A246" s="139">
        <v>1</v>
      </c>
      <c r="B246" s="139"/>
      <c r="C246" s="61" t="s">
        <v>94</v>
      </c>
      <c r="D246" s="61" t="s">
        <v>346</v>
      </c>
      <c r="E246" s="88">
        <f>(47.92)*10.764</f>
        <v>515.81088</v>
      </c>
      <c r="F246" s="88">
        <f>(1.6*(2.7+2.3)+2.14*1.2)*10.764</f>
        <v>113.75395199999998</v>
      </c>
      <c r="G246" s="87">
        <v>0</v>
      </c>
      <c r="H246" s="87">
        <f>E246+F246+(IF(G246&lt;101,G246,IF(G246&lt;201,G246/2,IF(G246&lt;=301,G246/3,G246/4))))</f>
        <v>629.56483200000002</v>
      </c>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WZB246" s="1"/>
      <c r="WZC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c r="XEV246" s="1"/>
      <c r="XEW246" s="1"/>
      <c r="XEX246" s="1"/>
      <c r="XEY246" s="1"/>
      <c r="XEZ246" s="1"/>
      <c r="XFA246" s="1"/>
      <c r="XFB246" s="1"/>
      <c r="XFC246" s="1"/>
    </row>
    <row r="247" spans="1:150 16226:16383" s="3" customFormat="1" ht="20.25" x14ac:dyDescent="0.25">
      <c r="A247" s="135">
        <f>A246+1</f>
        <v>2</v>
      </c>
      <c r="B247" s="136"/>
      <c r="C247" s="61" t="s">
        <v>94</v>
      </c>
      <c r="D247" s="61" t="s">
        <v>346</v>
      </c>
      <c r="E247" s="88">
        <f>(47.92)*10.764</f>
        <v>515.81088</v>
      </c>
      <c r="F247" s="88">
        <f>(1.6*(2.7+2.3)+2.14*1.2)*10.764</f>
        <v>113.75395199999998</v>
      </c>
      <c r="G247" s="87">
        <v>0</v>
      </c>
      <c r="H247" s="87">
        <f t="shared" ref="H247:H255" si="17">E247+F247+(IF(G247&lt;101,G247,IF(G247&lt;201,G247/2,IF(G247&lt;=301,G247/3,G247/4))))</f>
        <v>629.56483200000002</v>
      </c>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WZB247" s="1"/>
      <c r="WZC247" s="1"/>
      <c r="WZD247" s="1"/>
      <c r="WZE247" s="1"/>
      <c r="WZF247" s="1"/>
      <c r="WZG247" s="1"/>
      <c r="WZH247" s="1"/>
      <c r="WZI247" s="1"/>
      <c r="WZJ247" s="1"/>
      <c r="WZK247" s="1"/>
      <c r="WZL247" s="1"/>
      <c r="WZM247" s="1"/>
      <c r="WZN247" s="1"/>
      <c r="WZO247" s="1"/>
      <c r="WZP247" s="1"/>
      <c r="WZQ247" s="1"/>
      <c r="WZR247" s="1"/>
      <c r="WZS247" s="1"/>
      <c r="WZT247" s="1"/>
      <c r="WZU247" s="1"/>
      <c r="WZV247" s="1"/>
      <c r="WZW247" s="1"/>
      <c r="WZX247" s="1"/>
      <c r="WZY247" s="1"/>
      <c r="WZZ247" s="1"/>
      <c r="XAA247" s="1"/>
      <c r="XAB247" s="1"/>
      <c r="XAC247" s="1"/>
      <c r="XAD247" s="1"/>
      <c r="XAE247" s="1"/>
      <c r="XAF247" s="1"/>
      <c r="XAG247" s="1"/>
      <c r="XAH247" s="1"/>
      <c r="XAI247" s="1"/>
      <c r="XAJ247" s="1"/>
      <c r="XAK247" s="1"/>
      <c r="XAL247" s="1"/>
      <c r="XAM247" s="1"/>
      <c r="XAN247" s="1"/>
      <c r="XAO247" s="1"/>
      <c r="XAP247" s="1"/>
      <c r="XAQ247" s="1"/>
      <c r="XAR247" s="1"/>
      <c r="XAS247" s="1"/>
      <c r="XAT247" s="1"/>
      <c r="XAU247" s="1"/>
      <c r="XAV247" s="1"/>
      <c r="XAW247" s="1"/>
      <c r="XAX247" s="1"/>
      <c r="XAY247" s="1"/>
      <c r="XAZ247" s="1"/>
      <c r="XBA247" s="1"/>
      <c r="XBB247" s="1"/>
      <c r="XBC247" s="1"/>
      <c r="XBD247" s="1"/>
      <c r="XBE247" s="1"/>
      <c r="XBF247" s="1"/>
      <c r="XBG247" s="1"/>
      <c r="XBH247" s="1"/>
      <c r="XBI247" s="1"/>
      <c r="XBJ247" s="1"/>
      <c r="XBK247" s="1"/>
      <c r="XBL247" s="1"/>
      <c r="XBM247" s="1"/>
      <c r="XBN247" s="1"/>
      <c r="XBO247" s="1"/>
      <c r="XBP247" s="1"/>
      <c r="XBQ247" s="1"/>
      <c r="XBR247" s="1"/>
      <c r="XBS247" s="1"/>
      <c r="XBT247" s="1"/>
      <c r="XBU247" s="1"/>
      <c r="XBV247" s="1"/>
      <c r="XBW247" s="1"/>
      <c r="XBX247" s="1"/>
      <c r="XBY247" s="1"/>
      <c r="XBZ247" s="1"/>
      <c r="XCA247" s="1"/>
      <c r="XCB247" s="1"/>
      <c r="XCC247" s="1"/>
      <c r="XCD247" s="1"/>
      <c r="XCE247" s="1"/>
      <c r="XCF247" s="1"/>
      <c r="XCG247" s="1"/>
      <c r="XCH247" s="1"/>
      <c r="XCI247" s="1"/>
      <c r="XCJ247" s="1"/>
      <c r="XCK247" s="1"/>
      <c r="XCL247" s="1"/>
      <c r="XCM247" s="1"/>
      <c r="XCN247" s="1"/>
      <c r="XCO247" s="1"/>
      <c r="XCP247" s="1"/>
      <c r="XCQ247" s="1"/>
      <c r="XCR247" s="1"/>
      <c r="XCS247" s="1"/>
      <c r="XCT247" s="1"/>
      <c r="XCU247" s="1"/>
      <c r="XCV247" s="1"/>
      <c r="XCW247" s="1"/>
      <c r="XCX247" s="1"/>
      <c r="XCY247" s="1"/>
      <c r="XCZ247" s="1"/>
      <c r="XDA247" s="1"/>
      <c r="XDB247" s="1"/>
      <c r="XDC247" s="1"/>
      <c r="XDD247" s="1"/>
      <c r="XDE247" s="1"/>
      <c r="XDF247" s="1"/>
      <c r="XDG247" s="1"/>
      <c r="XDH247" s="1"/>
      <c r="XDI247" s="1"/>
      <c r="XDJ247" s="1"/>
      <c r="XDK247" s="1"/>
      <c r="XDL247" s="1"/>
      <c r="XDM247" s="1"/>
      <c r="XDN247" s="1"/>
      <c r="XDO247" s="1"/>
      <c r="XDP247" s="1"/>
      <c r="XDQ247" s="1"/>
      <c r="XDR247" s="1"/>
      <c r="XDS247" s="1"/>
      <c r="XDT247" s="1"/>
      <c r="XDU247" s="1"/>
      <c r="XDV247" s="1"/>
      <c r="XDW247" s="1"/>
      <c r="XDX247" s="1"/>
      <c r="XDY247" s="1"/>
      <c r="XDZ247" s="1"/>
      <c r="XEA247" s="1"/>
      <c r="XEB247" s="1"/>
      <c r="XEC247" s="1"/>
      <c r="XED247" s="1"/>
      <c r="XEE247" s="1"/>
      <c r="XEF247" s="1"/>
      <c r="XEG247" s="1"/>
      <c r="XEH247" s="1"/>
      <c r="XEI247" s="1"/>
      <c r="XEJ247" s="1"/>
      <c r="XEK247" s="1"/>
      <c r="XEL247" s="1"/>
      <c r="XEM247" s="1"/>
      <c r="XEN247" s="1"/>
      <c r="XEO247" s="1"/>
      <c r="XEP247" s="1"/>
      <c r="XEQ247" s="1"/>
      <c r="XER247" s="1"/>
      <c r="XES247" s="1"/>
      <c r="XET247" s="1"/>
      <c r="XEU247" s="1"/>
      <c r="XEV247" s="1"/>
      <c r="XEW247" s="1"/>
      <c r="XEX247" s="1"/>
      <c r="XEY247" s="1"/>
      <c r="XEZ247" s="1"/>
      <c r="XFA247" s="1"/>
      <c r="XFB247" s="1"/>
      <c r="XFC247" s="1"/>
    </row>
    <row r="248" spans="1:150 16226:16383" s="3" customFormat="1" ht="20.25" x14ac:dyDescent="0.25">
      <c r="A248" s="135">
        <f t="shared" ref="A248:A255" si="18">A247+1</f>
        <v>3</v>
      </c>
      <c r="B248" s="136"/>
      <c r="C248" s="61" t="s">
        <v>94</v>
      </c>
      <c r="D248" s="61" t="s">
        <v>346</v>
      </c>
      <c r="E248" s="88">
        <f>(54.36)*10.764</f>
        <v>585.13103999999998</v>
      </c>
      <c r="F248" s="88">
        <f>(2.4*1.6+2.14*1.2+3*0.75)*10.764</f>
        <v>93.194711999999996</v>
      </c>
      <c r="G248" s="87">
        <v>0</v>
      </c>
      <c r="H248" s="87">
        <f t="shared" si="17"/>
        <v>678.32575199999997</v>
      </c>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WZB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c r="XEG248" s="1"/>
      <c r="XEH248" s="1"/>
      <c r="XEI248" s="1"/>
      <c r="XEJ248" s="1"/>
      <c r="XEK248" s="1"/>
      <c r="XEL248" s="1"/>
      <c r="XEM248" s="1"/>
      <c r="XEN248" s="1"/>
      <c r="XEO248" s="1"/>
      <c r="XEP248" s="1"/>
      <c r="XEQ248" s="1"/>
      <c r="XER248" s="1"/>
      <c r="XES248" s="1"/>
      <c r="XET248" s="1"/>
      <c r="XEU248" s="1"/>
      <c r="XEV248" s="1"/>
      <c r="XEW248" s="1"/>
      <c r="XEX248" s="1"/>
      <c r="XEY248" s="1"/>
      <c r="XEZ248" s="1"/>
      <c r="XFA248" s="1"/>
      <c r="XFB248" s="1"/>
      <c r="XFC248" s="1"/>
    </row>
    <row r="249" spans="1:150 16226:16383" s="3" customFormat="1" ht="20.25" customHeight="1" x14ac:dyDescent="0.25">
      <c r="A249" s="135">
        <f t="shared" si="18"/>
        <v>4</v>
      </c>
      <c r="B249" s="136"/>
      <c r="C249" s="61" t="s">
        <v>94</v>
      </c>
      <c r="D249" s="61" t="s">
        <v>346</v>
      </c>
      <c r="E249" s="88">
        <f>(54.36)*10.764</f>
        <v>585.13103999999998</v>
      </c>
      <c r="F249" s="88">
        <f>(2.4*1.6+2.14*1.2+0.75*3)*10.764</f>
        <v>93.194711999999996</v>
      </c>
      <c r="G249" s="87">
        <v>0</v>
      </c>
      <c r="H249" s="87">
        <f t="shared" si="17"/>
        <v>678.32575199999997</v>
      </c>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WZB249" s="1"/>
      <c r="WZC249" s="1"/>
      <c r="WZD249" s="1"/>
      <c r="WZE249" s="1"/>
      <c r="WZF249" s="1"/>
      <c r="WZG249" s="1"/>
      <c r="WZH249" s="1"/>
      <c r="WZI249" s="1"/>
      <c r="WZJ249" s="1"/>
      <c r="WZK249" s="1"/>
      <c r="WZL249" s="1"/>
      <c r="WZM249" s="1"/>
      <c r="WZN249" s="1"/>
      <c r="WZO249" s="1"/>
      <c r="WZP249" s="1"/>
      <c r="WZQ249" s="1"/>
      <c r="WZR249" s="1"/>
      <c r="WZS249" s="1"/>
      <c r="WZT249" s="1"/>
      <c r="WZU249" s="1"/>
      <c r="WZV249" s="1"/>
      <c r="WZW249" s="1"/>
      <c r="WZX249" s="1"/>
      <c r="WZY249" s="1"/>
      <c r="WZZ249" s="1"/>
      <c r="XAA249" s="1"/>
      <c r="XAB249" s="1"/>
      <c r="XAC249" s="1"/>
      <c r="XAD249" s="1"/>
      <c r="XAE249" s="1"/>
      <c r="XAF249" s="1"/>
      <c r="XAG249" s="1"/>
      <c r="XAH249" s="1"/>
      <c r="XAI249" s="1"/>
      <c r="XAJ249" s="1"/>
      <c r="XAK249" s="1"/>
      <c r="XAL249" s="1"/>
      <c r="XAM249" s="1"/>
      <c r="XAN249" s="1"/>
      <c r="XAO249" s="1"/>
      <c r="XAP249" s="1"/>
      <c r="XAQ249" s="1"/>
      <c r="XAR249" s="1"/>
      <c r="XAS249" s="1"/>
      <c r="XAT249" s="1"/>
      <c r="XAU249" s="1"/>
      <c r="XAV249" s="1"/>
      <c r="XAW249" s="1"/>
      <c r="XAX249" s="1"/>
      <c r="XAY249" s="1"/>
      <c r="XAZ249" s="1"/>
      <c r="XBA249" s="1"/>
      <c r="XBB249" s="1"/>
      <c r="XBC249" s="1"/>
      <c r="XBD249" s="1"/>
      <c r="XBE249" s="1"/>
      <c r="XBF249" s="1"/>
      <c r="XBG249" s="1"/>
      <c r="XBH249" s="1"/>
      <c r="XBI249" s="1"/>
      <c r="XBJ249" s="1"/>
      <c r="XBK249" s="1"/>
      <c r="XBL249" s="1"/>
      <c r="XBM249" s="1"/>
      <c r="XBN249" s="1"/>
      <c r="XBO249" s="1"/>
      <c r="XBP249" s="1"/>
      <c r="XBQ249" s="1"/>
      <c r="XBR249" s="1"/>
      <c r="XBS249" s="1"/>
      <c r="XBT249" s="1"/>
      <c r="XBU249" s="1"/>
      <c r="XBV249" s="1"/>
      <c r="XBW249" s="1"/>
      <c r="XBX249" s="1"/>
      <c r="XBY249" s="1"/>
      <c r="XBZ249" s="1"/>
      <c r="XCA249" s="1"/>
      <c r="XCB249" s="1"/>
      <c r="XCC249" s="1"/>
      <c r="XCD249" s="1"/>
      <c r="XCE249" s="1"/>
      <c r="XCF249" s="1"/>
      <c r="XCG249" s="1"/>
      <c r="XCH249" s="1"/>
      <c r="XCI249" s="1"/>
      <c r="XCJ249" s="1"/>
      <c r="XCK249" s="1"/>
      <c r="XCL249" s="1"/>
      <c r="XCM249" s="1"/>
      <c r="XCN249" s="1"/>
      <c r="XCO249" s="1"/>
      <c r="XCP249" s="1"/>
      <c r="XCQ249" s="1"/>
      <c r="XCR249" s="1"/>
      <c r="XCS249" s="1"/>
      <c r="XCT249" s="1"/>
      <c r="XCU249" s="1"/>
      <c r="XCV249" s="1"/>
      <c r="XCW249" s="1"/>
      <c r="XCX249" s="1"/>
      <c r="XCY249" s="1"/>
      <c r="XCZ249" s="1"/>
      <c r="XDA249" s="1"/>
      <c r="XDB249" s="1"/>
      <c r="XDC249" s="1"/>
      <c r="XDD249" s="1"/>
      <c r="XDE249" s="1"/>
      <c r="XDF249" s="1"/>
      <c r="XDG249" s="1"/>
      <c r="XDH249" s="1"/>
      <c r="XDI249" s="1"/>
      <c r="XDJ249" s="1"/>
      <c r="XDK249" s="1"/>
      <c r="XDL249" s="1"/>
      <c r="XDM249" s="1"/>
      <c r="XDN249" s="1"/>
      <c r="XDO249" s="1"/>
      <c r="XDP249" s="1"/>
      <c r="XDQ249" s="1"/>
      <c r="XDR249" s="1"/>
      <c r="XDS249" s="1"/>
      <c r="XDT249" s="1"/>
      <c r="XDU249" s="1"/>
      <c r="XDV249" s="1"/>
      <c r="XDW249" s="1"/>
      <c r="XDX249" s="1"/>
      <c r="XDY249" s="1"/>
      <c r="XDZ249" s="1"/>
      <c r="XEA249" s="1"/>
      <c r="XEB249" s="1"/>
      <c r="XEC249" s="1"/>
      <c r="XED249" s="1"/>
      <c r="XEE249" s="1"/>
      <c r="XEF249" s="1"/>
      <c r="XEG249" s="1"/>
      <c r="XEH249" s="1"/>
      <c r="XEI249" s="1"/>
      <c r="XEJ249" s="1"/>
      <c r="XEK249" s="1"/>
      <c r="XEL249" s="1"/>
      <c r="XEM249" s="1"/>
      <c r="XEN249" s="1"/>
      <c r="XEO249" s="1"/>
      <c r="XEP249" s="1"/>
      <c r="XEQ249" s="1"/>
      <c r="XER249" s="1"/>
      <c r="XES249" s="1"/>
      <c r="XET249" s="1"/>
      <c r="XEU249" s="1"/>
      <c r="XEV249" s="1"/>
      <c r="XEW249" s="1"/>
      <c r="XEX249" s="1"/>
      <c r="XEY249" s="1"/>
      <c r="XEZ249" s="1"/>
      <c r="XFA249" s="1"/>
      <c r="XFB249" s="1"/>
      <c r="XFC249" s="1"/>
    </row>
    <row r="250" spans="1:150 16226:16383" s="3" customFormat="1" ht="20.25" customHeight="1" x14ac:dyDescent="0.25">
      <c r="A250" s="135">
        <f t="shared" si="18"/>
        <v>5</v>
      </c>
      <c r="B250" s="136"/>
      <c r="C250" s="61" t="s">
        <v>94</v>
      </c>
      <c r="D250" s="61" t="s">
        <v>346</v>
      </c>
      <c r="E250" s="88">
        <f>(54.36)*10.764</f>
        <v>585.13103999999998</v>
      </c>
      <c r="F250" s="96">
        <f>(2.4*1.6+2.14*1.2+0.75*3)*10.764</f>
        <v>93.194711999999996</v>
      </c>
      <c r="G250" s="87">
        <v>0</v>
      </c>
      <c r="H250" s="87">
        <f t="shared" si="17"/>
        <v>678.32575199999997</v>
      </c>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WZB250" s="1"/>
      <c r="WZC250" s="1"/>
      <c r="WZD250" s="1"/>
      <c r="WZE250" s="1"/>
      <c r="WZF250" s="1"/>
      <c r="WZG250" s="1"/>
      <c r="WZH250" s="1"/>
      <c r="WZI250" s="1"/>
      <c r="WZJ250" s="1"/>
      <c r="WZK250" s="1"/>
      <c r="WZL250" s="1"/>
      <c r="WZM250" s="1"/>
      <c r="WZN250" s="1"/>
      <c r="WZO250" s="1"/>
      <c r="WZP250" s="1"/>
      <c r="WZQ250" s="1"/>
      <c r="WZR250" s="1"/>
      <c r="WZS250" s="1"/>
      <c r="WZT250" s="1"/>
      <c r="WZU250" s="1"/>
      <c r="WZV250" s="1"/>
      <c r="WZW250" s="1"/>
      <c r="WZX250" s="1"/>
      <c r="WZY250" s="1"/>
      <c r="WZZ250" s="1"/>
      <c r="XAA250" s="1"/>
      <c r="XAB250" s="1"/>
      <c r="XAC250" s="1"/>
      <c r="XAD250" s="1"/>
      <c r="XAE250" s="1"/>
      <c r="XAF250" s="1"/>
      <c r="XAG250" s="1"/>
      <c r="XAH250" s="1"/>
      <c r="XAI250" s="1"/>
      <c r="XAJ250" s="1"/>
      <c r="XAK250" s="1"/>
      <c r="XAL250" s="1"/>
      <c r="XAM250" s="1"/>
      <c r="XAN250" s="1"/>
      <c r="XAO250" s="1"/>
      <c r="XAP250" s="1"/>
      <c r="XAQ250" s="1"/>
      <c r="XAR250" s="1"/>
      <c r="XAS250" s="1"/>
      <c r="XAT250" s="1"/>
      <c r="XAU250" s="1"/>
      <c r="XAV250" s="1"/>
      <c r="XAW250" s="1"/>
      <c r="XAX250" s="1"/>
      <c r="XAY250" s="1"/>
      <c r="XAZ250" s="1"/>
      <c r="XBA250" s="1"/>
      <c r="XBB250" s="1"/>
      <c r="XBC250" s="1"/>
      <c r="XBD250" s="1"/>
      <c r="XBE250" s="1"/>
      <c r="XBF250" s="1"/>
      <c r="XBG250" s="1"/>
      <c r="XBH250" s="1"/>
      <c r="XBI250" s="1"/>
      <c r="XBJ250" s="1"/>
      <c r="XBK250" s="1"/>
      <c r="XBL250" s="1"/>
      <c r="XBM250" s="1"/>
      <c r="XBN250" s="1"/>
      <c r="XBO250" s="1"/>
      <c r="XBP250" s="1"/>
      <c r="XBQ250" s="1"/>
      <c r="XBR250" s="1"/>
      <c r="XBS250" s="1"/>
      <c r="XBT250" s="1"/>
      <c r="XBU250" s="1"/>
      <c r="XBV250" s="1"/>
      <c r="XBW250" s="1"/>
      <c r="XBX250" s="1"/>
      <c r="XBY250" s="1"/>
      <c r="XBZ250" s="1"/>
      <c r="XCA250" s="1"/>
      <c r="XCB250" s="1"/>
      <c r="XCC250" s="1"/>
      <c r="XCD250" s="1"/>
      <c r="XCE250" s="1"/>
      <c r="XCF250" s="1"/>
      <c r="XCG250" s="1"/>
      <c r="XCH250" s="1"/>
      <c r="XCI250" s="1"/>
      <c r="XCJ250" s="1"/>
      <c r="XCK250" s="1"/>
      <c r="XCL250" s="1"/>
      <c r="XCM250" s="1"/>
      <c r="XCN250" s="1"/>
      <c r="XCO250" s="1"/>
      <c r="XCP250" s="1"/>
      <c r="XCQ250" s="1"/>
      <c r="XCR250" s="1"/>
      <c r="XCS250" s="1"/>
      <c r="XCT250" s="1"/>
      <c r="XCU250" s="1"/>
      <c r="XCV250" s="1"/>
      <c r="XCW250" s="1"/>
      <c r="XCX250" s="1"/>
      <c r="XCY250" s="1"/>
      <c r="XCZ250" s="1"/>
      <c r="XDA250" s="1"/>
      <c r="XDB250" s="1"/>
      <c r="XDC250" s="1"/>
      <c r="XDD250" s="1"/>
      <c r="XDE250" s="1"/>
      <c r="XDF250" s="1"/>
      <c r="XDG250" s="1"/>
      <c r="XDH250" s="1"/>
      <c r="XDI250" s="1"/>
      <c r="XDJ250" s="1"/>
      <c r="XDK250" s="1"/>
      <c r="XDL250" s="1"/>
      <c r="XDM250" s="1"/>
      <c r="XDN250" s="1"/>
      <c r="XDO250" s="1"/>
      <c r="XDP250" s="1"/>
      <c r="XDQ250" s="1"/>
      <c r="XDR250" s="1"/>
      <c r="XDS250" s="1"/>
      <c r="XDT250" s="1"/>
      <c r="XDU250" s="1"/>
      <c r="XDV250" s="1"/>
      <c r="XDW250" s="1"/>
      <c r="XDX250" s="1"/>
      <c r="XDY250" s="1"/>
      <c r="XDZ250" s="1"/>
      <c r="XEA250" s="1"/>
      <c r="XEB250" s="1"/>
      <c r="XEC250" s="1"/>
      <c r="XED250" s="1"/>
      <c r="XEE250" s="1"/>
      <c r="XEF250" s="1"/>
      <c r="XEG250" s="1"/>
      <c r="XEH250" s="1"/>
      <c r="XEI250" s="1"/>
      <c r="XEJ250" s="1"/>
      <c r="XEK250" s="1"/>
      <c r="XEL250" s="1"/>
      <c r="XEM250" s="1"/>
      <c r="XEN250" s="1"/>
      <c r="XEO250" s="1"/>
      <c r="XEP250" s="1"/>
      <c r="XEQ250" s="1"/>
      <c r="XER250" s="1"/>
      <c r="XES250" s="1"/>
      <c r="XET250" s="1"/>
      <c r="XEU250" s="1"/>
      <c r="XEV250" s="1"/>
      <c r="XEW250" s="1"/>
      <c r="XEX250" s="1"/>
      <c r="XEY250" s="1"/>
      <c r="XEZ250" s="1"/>
      <c r="XFA250" s="1"/>
      <c r="XFB250" s="1"/>
      <c r="XFC250" s="1"/>
    </row>
    <row r="251" spans="1:150 16226:16383" s="3" customFormat="1" ht="20.25" customHeight="1" x14ac:dyDescent="0.25">
      <c r="A251" s="135">
        <f t="shared" si="18"/>
        <v>6</v>
      </c>
      <c r="B251" s="136"/>
      <c r="C251" s="61" t="s">
        <v>94</v>
      </c>
      <c r="D251" s="61" t="s">
        <v>346</v>
      </c>
      <c r="E251" s="88">
        <f>(47.92)*10.764</f>
        <v>515.81088</v>
      </c>
      <c r="F251" s="88">
        <f>((2.7+2.4)*1.6+2.14*1.2)*10.764</f>
        <v>115.47619199999998</v>
      </c>
      <c r="G251" s="87">
        <v>0</v>
      </c>
      <c r="H251" s="87">
        <f t="shared" si="17"/>
        <v>631.28707199999997</v>
      </c>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WZB251" s="1"/>
      <c r="WZC251" s="1"/>
      <c r="WZD251" s="1"/>
      <c r="WZE251" s="1"/>
      <c r="WZF251" s="1"/>
      <c r="WZG251" s="1"/>
      <c r="WZH251" s="1"/>
      <c r="WZI251" s="1"/>
      <c r="WZJ251" s="1"/>
      <c r="WZK251" s="1"/>
      <c r="WZL251" s="1"/>
      <c r="WZM251" s="1"/>
      <c r="WZN251" s="1"/>
      <c r="WZO251" s="1"/>
      <c r="WZP251" s="1"/>
      <c r="WZQ251" s="1"/>
      <c r="WZR251" s="1"/>
      <c r="WZS251" s="1"/>
      <c r="WZT251" s="1"/>
      <c r="WZU251" s="1"/>
      <c r="WZV251" s="1"/>
      <c r="WZW251" s="1"/>
      <c r="WZX251" s="1"/>
      <c r="WZY251" s="1"/>
      <c r="WZZ251" s="1"/>
      <c r="XAA251" s="1"/>
      <c r="XAB251" s="1"/>
      <c r="XAC251" s="1"/>
      <c r="XAD251" s="1"/>
      <c r="XAE251" s="1"/>
      <c r="XAF251" s="1"/>
      <c r="XAG251" s="1"/>
      <c r="XAH251" s="1"/>
      <c r="XAI251" s="1"/>
      <c r="XAJ251" s="1"/>
      <c r="XAK251" s="1"/>
      <c r="XAL251" s="1"/>
      <c r="XAM251" s="1"/>
      <c r="XAN251" s="1"/>
      <c r="XAO251" s="1"/>
      <c r="XAP251" s="1"/>
      <c r="XAQ251" s="1"/>
      <c r="XAR251" s="1"/>
      <c r="XAS251" s="1"/>
      <c r="XAT251" s="1"/>
      <c r="XAU251" s="1"/>
      <c r="XAV251" s="1"/>
      <c r="XAW251" s="1"/>
      <c r="XAX251" s="1"/>
      <c r="XAY251" s="1"/>
      <c r="XAZ251" s="1"/>
      <c r="XBA251" s="1"/>
      <c r="XBB251" s="1"/>
      <c r="XBC251" s="1"/>
      <c r="XBD251" s="1"/>
      <c r="XBE251" s="1"/>
      <c r="XBF251" s="1"/>
      <c r="XBG251" s="1"/>
      <c r="XBH251" s="1"/>
      <c r="XBI251" s="1"/>
      <c r="XBJ251" s="1"/>
      <c r="XBK251" s="1"/>
      <c r="XBL251" s="1"/>
      <c r="XBM251" s="1"/>
      <c r="XBN251" s="1"/>
      <c r="XBO251" s="1"/>
      <c r="XBP251" s="1"/>
      <c r="XBQ251" s="1"/>
      <c r="XBR251" s="1"/>
      <c r="XBS251" s="1"/>
      <c r="XBT251" s="1"/>
      <c r="XBU251" s="1"/>
      <c r="XBV251" s="1"/>
      <c r="XBW251" s="1"/>
      <c r="XBX251" s="1"/>
      <c r="XBY251" s="1"/>
      <c r="XBZ251" s="1"/>
      <c r="XCA251" s="1"/>
      <c r="XCB251" s="1"/>
      <c r="XCC251" s="1"/>
      <c r="XCD251" s="1"/>
      <c r="XCE251" s="1"/>
      <c r="XCF251" s="1"/>
      <c r="XCG251" s="1"/>
      <c r="XCH251" s="1"/>
      <c r="XCI251" s="1"/>
      <c r="XCJ251" s="1"/>
      <c r="XCK251" s="1"/>
      <c r="XCL251" s="1"/>
      <c r="XCM251" s="1"/>
      <c r="XCN251" s="1"/>
      <c r="XCO251" s="1"/>
      <c r="XCP251" s="1"/>
      <c r="XCQ251" s="1"/>
      <c r="XCR251" s="1"/>
      <c r="XCS251" s="1"/>
      <c r="XCT251" s="1"/>
      <c r="XCU251" s="1"/>
      <c r="XCV251" s="1"/>
      <c r="XCW251" s="1"/>
      <c r="XCX251" s="1"/>
      <c r="XCY251" s="1"/>
      <c r="XCZ251" s="1"/>
      <c r="XDA251" s="1"/>
      <c r="XDB251" s="1"/>
      <c r="XDC251" s="1"/>
      <c r="XDD251" s="1"/>
      <c r="XDE251" s="1"/>
      <c r="XDF251" s="1"/>
      <c r="XDG251" s="1"/>
      <c r="XDH251" s="1"/>
      <c r="XDI251" s="1"/>
      <c r="XDJ251" s="1"/>
      <c r="XDK251" s="1"/>
      <c r="XDL251" s="1"/>
      <c r="XDM251" s="1"/>
      <c r="XDN251" s="1"/>
      <c r="XDO251" s="1"/>
      <c r="XDP251" s="1"/>
      <c r="XDQ251" s="1"/>
      <c r="XDR251" s="1"/>
      <c r="XDS251" s="1"/>
      <c r="XDT251" s="1"/>
      <c r="XDU251" s="1"/>
      <c r="XDV251" s="1"/>
      <c r="XDW251" s="1"/>
      <c r="XDX251" s="1"/>
      <c r="XDY251" s="1"/>
      <c r="XDZ251" s="1"/>
      <c r="XEA251" s="1"/>
      <c r="XEB251" s="1"/>
      <c r="XEC251" s="1"/>
      <c r="XED251" s="1"/>
      <c r="XEE251" s="1"/>
      <c r="XEF251" s="1"/>
      <c r="XEG251" s="1"/>
      <c r="XEH251" s="1"/>
      <c r="XEI251" s="1"/>
      <c r="XEJ251" s="1"/>
      <c r="XEK251" s="1"/>
      <c r="XEL251" s="1"/>
      <c r="XEM251" s="1"/>
      <c r="XEN251" s="1"/>
      <c r="XEO251" s="1"/>
      <c r="XEP251" s="1"/>
      <c r="XEQ251" s="1"/>
      <c r="XER251" s="1"/>
      <c r="XES251" s="1"/>
      <c r="XET251" s="1"/>
      <c r="XEU251" s="1"/>
      <c r="XEV251" s="1"/>
      <c r="XEW251" s="1"/>
      <c r="XEX251" s="1"/>
      <c r="XEY251" s="1"/>
      <c r="XEZ251" s="1"/>
      <c r="XFA251" s="1"/>
      <c r="XFB251" s="1"/>
      <c r="XFC251" s="1"/>
    </row>
    <row r="252" spans="1:150 16226:16383" s="3" customFormat="1" ht="20.25" customHeight="1" x14ac:dyDescent="0.25">
      <c r="A252" s="135">
        <f t="shared" si="18"/>
        <v>7</v>
      </c>
      <c r="B252" s="136"/>
      <c r="C252" s="61" t="s">
        <v>94</v>
      </c>
      <c r="D252" s="61" t="s">
        <v>346</v>
      </c>
      <c r="E252" s="96">
        <f>(47.92)*10.764</f>
        <v>515.81088</v>
      </c>
      <c r="F252" s="88">
        <f>((2.7+2.4)*1.6+2.14*1.2)*10.764</f>
        <v>115.47619199999998</v>
      </c>
      <c r="G252" s="87">
        <v>0</v>
      </c>
      <c r="H252" s="87">
        <f t="shared" si="17"/>
        <v>631.28707199999997</v>
      </c>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WZB252" s="1"/>
      <c r="WZC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c r="XEV252" s="1"/>
      <c r="XEW252" s="1"/>
      <c r="XEX252" s="1"/>
      <c r="XEY252" s="1"/>
      <c r="XEZ252" s="1"/>
      <c r="XFA252" s="1"/>
      <c r="XFB252" s="1"/>
      <c r="XFC252" s="1"/>
    </row>
    <row r="253" spans="1:150 16226:16383" s="3" customFormat="1" ht="20.25" customHeight="1" x14ac:dyDescent="0.25">
      <c r="A253" s="135">
        <f t="shared" si="18"/>
        <v>8</v>
      </c>
      <c r="B253" s="136"/>
      <c r="C253" s="61" t="s">
        <v>94</v>
      </c>
      <c r="D253" s="61" t="s">
        <v>346</v>
      </c>
      <c r="E253" s="88">
        <f>(52.06)*10.764</f>
        <v>560.37383999999997</v>
      </c>
      <c r="F253" s="88">
        <f>(2.57+2.45*1.6+2.14*1.2+3*0.75)*10.764</f>
        <v>121.71931199999999</v>
      </c>
      <c r="G253" s="87">
        <v>0</v>
      </c>
      <c r="H253" s="87">
        <f t="shared" si="17"/>
        <v>682.09315199999992</v>
      </c>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WZB253" s="1"/>
      <c r="WZC253" s="1"/>
      <c r="WZD253" s="1"/>
      <c r="WZE253" s="1"/>
      <c r="WZF253" s="1"/>
      <c r="WZG253" s="1"/>
      <c r="WZH253" s="1"/>
      <c r="WZI253" s="1"/>
      <c r="WZJ253" s="1"/>
      <c r="WZK253" s="1"/>
      <c r="WZL253" s="1"/>
      <c r="WZM253" s="1"/>
      <c r="WZN253" s="1"/>
      <c r="WZO253" s="1"/>
      <c r="WZP253" s="1"/>
      <c r="WZQ253" s="1"/>
      <c r="WZR253" s="1"/>
      <c r="WZS253" s="1"/>
      <c r="WZT253" s="1"/>
      <c r="WZU253" s="1"/>
      <c r="WZV253" s="1"/>
      <c r="WZW253" s="1"/>
      <c r="WZX253" s="1"/>
      <c r="WZY253" s="1"/>
      <c r="WZZ253" s="1"/>
      <c r="XAA253" s="1"/>
      <c r="XAB253" s="1"/>
      <c r="XAC253" s="1"/>
      <c r="XAD253" s="1"/>
      <c r="XAE253" s="1"/>
      <c r="XAF253" s="1"/>
      <c r="XAG253" s="1"/>
      <c r="XAH253" s="1"/>
      <c r="XAI253" s="1"/>
      <c r="XAJ253" s="1"/>
      <c r="XAK253" s="1"/>
      <c r="XAL253" s="1"/>
      <c r="XAM253" s="1"/>
      <c r="XAN253" s="1"/>
      <c r="XAO253" s="1"/>
      <c r="XAP253" s="1"/>
      <c r="XAQ253" s="1"/>
      <c r="XAR253" s="1"/>
      <c r="XAS253" s="1"/>
      <c r="XAT253" s="1"/>
      <c r="XAU253" s="1"/>
      <c r="XAV253" s="1"/>
      <c r="XAW253" s="1"/>
      <c r="XAX253" s="1"/>
      <c r="XAY253" s="1"/>
      <c r="XAZ253" s="1"/>
      <c r="XBA253" s="1"/>
      <c r="XBB253" s="1"/>
      <c r="XBC253" s="1"/>
      <c r="XBD253" s="1"/>
      <c r="XBE253" s="1"/>
      <c r="XBF253" s="1"/>
      <c r="XBG253" s="1"/>
      <c r="XBH253" s="1"/>
      <c r="XBI253" s="1"/>
      <c r="XBJ253" s="1"/>
      <c r="XBK253" s="1"/>
      <c r="XBL253" s="1"/>
      <c r="XBM253" s="1"/>
      <c r="XBN253" s="1"/>
      <c r="XBO253" s="1"/>
      <c r="XBP253" s="1"/>
      <c r="XBQ253" s="1"/>
      <c r="XBR253" s="1"/>
      <c r="XBS253" s="1"/>
      <c r="XBT253" s="1"/>
      <c r="XBU253" s="1"/>
      <c r="XBV253" s="1"/>
      <c r="XBW253" s="1"/>
      <c r="XBX253" s="1"/>
      <c r="XBY253" s="1"/>
      <c r="XBZ253" s="1"/>
      <c r="XCA253" s="1"/>
      <c r="XCB253" s="1"/>
      <c r="XCC253" s="1"/>
      <c r="XCD253" s="1"/>
      <c r="XCE253" s="1"/>
      <c r="XCF253" s="1"/>
      <c r="XCG253" s="1"/>
      <c r="XCH253" s="1"/>
      <c r="XCI253" s="1"/>
      <c r="XCJ253" s="1"/>
      <c r="XCK253" s="1"/>
      <c r="XCL253" s="1"/>
      <c r="XCM253" s="1"/>
      <c r="XCN253" s="1"/>
      <c r="XCO253" s="1"/>
      <c r="XCP253" s="1"/>
      <c r="XCQ253" s="1"/>
      <c r="XCR253" s="1"/>
      <c r="XCS253" s="1"/>
      <c r="XCT253" s="1"/>
      <c r="XCU253" s="1"/>
      <c r="XCV253" s="1"/>
      <c r="XCW253" s="1"/>
      <c r="XCX253" s="1"/>
      <c r="XCY253" s="1"/>
      <c r="XCZ253" s="1"/>
      <c r="XDA253" s="1"/>
      <c r="XDB253" s="1"/>
      <c r="XDC253" s="1"/>
      <c r="XDD253" s="1"/>
      <c r="XDE253" s="1"/>
      <c r="XDF253" s="1"/>
      <c r="XDG253" s="1"/>
      <c r="XDH253" s="1"/>
      <c r="XDI253" s="1"/>
      <c r="XDJ253" s="1"/>
      <c r="XDK253" s="1"/>
      <c r="XDL253" s="1"/>
      <c r="XDM253" s="1"/>
      <c r="XDN253" s="1"/>
      <c r="XDO253" s="1"/>
      <c r="XDP253" s="1"/>
      <c r="XDQ253" s="1"/>
      <c r="XDR253" s="1"/>
      <c r="XDS253" s="1"/>
      <c r="XDT253" s="1"/>
      <c r="XDU253" s="1"/>
      <c r="XDV253" s="1"/>
      <c r="XDW253" s="1"/>
      <c r="XDX253" s="1"/>
      <c r="XDY253" s="1"/>
      <c r="XDZ253" s="1"/>
      <c r="XEA253" s="1"/>
      <c r="XEB253" s="1"/>
      <c r="XEC253" s="1"/>
      <c r="XED253" s="1"/>
      <c r="XEE253" s="1"/>
      <c r="XEF253" s="1"/>
      <c r="XEG253" s="1"/>
      <c r="XEH253" s="1"/>
      <c r="XEI253" s="1"/>
      <c r="XEJ253" s="1"/>
      <c r="XEK253" s="1"/>
      <c r="XEL253" s="1"/>
      <c r="XEM253" s="1"/>
      <c r="XEN253" s="1"/>
      <c r="XEO253" s="1"/>
      <c r="XEP253" s="1"/>
      <c r="XEQ253" s="1"/>
      <c r="XER253" s="1"/>
      <c r="XES253" s="1"/>
      <c r="XET253" s="1"/>
      <c r="XEU253" s="1"/>
      <c r="XEV253" s="1"/>
      <c r="XEW253" s="1"/>
      <c r="XEX253" s="1"/>
      <c r="XEY253" s="1"/>
      <c r="XEZ253" s="1"/>
      <c r="XFA253" s="1"/>
      <c r="XFB253" s="1"/>
      <c r="XFC253" s="1"/>
    </row>
    <row r="254" spans="1:150 16226:16383" s="3" customFormat="1" ht="20.25" customHeight="1" x14ac:dyDescent="0.25">
      <c r="A254" s="135">
        <f t="shared" si="18"/>
        <v>9</v>
      </c>
      <c r="B254" s="136"/>
      <c r="C254" s="61" t="s">
        <v>94</v>
      </c>
      <c r="D254" s="61" t="s">
        <v>346</v>
      </c>
      <c r="E254" s="88">
        <f>(52.06)*10.764</f>
        <v>560.37383999999997</v>
      </c>
      <c r="F254" s="96">
        <f>(2.57+2.45*1.6+2.14*1.2+3*0.75)*10.764</f>
        <v>121.71931199999999</v>
      </c>
      <c r="G254" s="87">
        <v>0</v>
      </c>
      <c r="H254" s="87">
        <f t="shared" si="17"/>
        <v>682.09315199999992</v>
      </c>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WZB254" s="1"/>
      <c r="WZC254" s="1"/>
      <c r="WZD254" s="1"/>
      <c r="WZE254" s="1"/>
      <c r="WZF254" s="1"/>
      <c r="WZG254" s="1"/>
      <c r="WZH254" s="1"/>
      <c r="WZI254" s="1"/>
      <c r="WZJ254" s="1"/>
      <c r="WZK254" s="1"/>
      <c r="WZL254" s="1"/>
      <c r="WZM254" s="1"/>
      <c r="WZN254" s="1"/>
      <c r="WZO254" s="1"/>
      <c r="WZP254" s="1"/>
      <c r="WZQ254" s="1"/>
      <c r="WZR254" s="1"/>
      <c r="WZS254" s="1"/>
      <c r="WZT254" s="1"/>
      <c r="WZU254" s="1"/>
      <c r="WZV254" s="1"/>
      <c r="WZW254" s="1"/>
      <c r="WZX254" s="1"/>
      <c r="WZY254" s="1"/>
      <c r="WZZ254" s="1"/>
      <c r="XAA254" s="1"/>
      <c r="XAB254" s="1"/>
      <c r="XAC254" s="1"/>
      <c r="XAD254" s="1"/>
      <c r="XAE254" s="1"/>
      <c r="XAF254" s="1"/>
      <c r="XAG254" s="1"/>
      <c r="XAH254" s="1"/>
      <c r="XAI254" s="1"/>
      <c r="XAJ254" s="1"/>
      <c r="XAK254" s="1"/>
      <c r="XAL254" s="1"/>
      <c r="XAM254" s="1"/>
      <c r="XAN254" s="1"/>
      <c r="XAO254" s="1"/>
      <c r="XAP254" s="1"/>
      <c r="XAQ254" s="1"/>
      <c r="XAR254" s="1"/>
      <c r="XAS254" s="1"/>
      <c r="XAT254" s="1"/>
      <c r="XAU254" s="1"/>
      <c r="XAV254" s="1"/>
      <c r="XAW254" s="1"/>
      <c r="XAX254" s="1"/>
      <c r="XAY254" s="1"/>
      <c r="XAZ254" s="1"/>
      <c r="XBA254" s="1"/>
      <c r="XBB254" s="1"/>
      <c r="XBC254" s="1"/>
      <c r="XBD254" s="1"/>
      <c r="XBE254" s="1"/>
      <c r="XBF254" s="1"/>
      <c r="XBG254" s="1"/>
      <c r="XBH254" s="1"/>
      <c r="XBI254" s="1"/>
      <c r="XBJ254" s="1"/>
      <c r="XBK254" s="1"/>
      <c r="XBL254" s="1"/>
      <c r="XBM254" s="1"/>
      <c r="XBN254" s="1"/>
      <c r="XBO254" s="1"/>
      <c r="XBP254" s="1"/>
      <c r="XBQ254" s="1"/>
      <c r="XBR254" s="1"/>
      <c r="XBS254" s="1"/>
      <c r="XBT254" s="1"/>
      <c r="XBU254" s="1"/>
      <c r="XBV254" s="1"/>
      <c r="XBW254" s="1"/>
      <c r="XBX254" s="1"/>
      <c r="XBY254" s="1"/>
      <c r="XBZ254" s="1"/>
      <c r="XCA254" s="1"/>
      <c r="XCB254" s="1"/>
      <c r="XCC254" s="1"/>
      <c r="XCD254" s="1"/>
      <c r="XCE254" s="1"/>
      <c r="XCF254" s="1"/>
      <c r="XCG254" s="1"/>
      <c r="XCH254" s="1"/>
      <c r="XCI254" s="1"/>
      <c r="XCJ254" s="1"/>
      <c r="XCK254" s="1"/>
      <c r="XCL254" s="1"/>
      <c r="XCM254" s="1"/>
      <c r="XCN254" s="1"/>
      <c r="XCO254" s="1"/>
      <c r="XCP254" s="1"/>
      <c r="XCQ254" s="1"/>
      <c r="XCR254" s="1"/>
      <c r="XCS254" s="1"/>
      <c r="XCT254" s="1"/>
      <c r="XCU254" s="1"/>
      <c r="XCV254" s="1"/>
      <c r="XCW254" s="1"/>
      <c r="XCX254" s="1"/>
      <c r="XCY254" s="1"/>
      <c r="XCZ254" s="1"/>
      <c r="XDA254" s="1"/>
      <c r="XDB254" s="1"/>
      <c r="XDC254" s="1"/>
      <c r="XDD254" s="1"/>
      <c r="XDE254" s="1"/>
      <c r="XDF254" s="1"/>
      <c r="XDG254" s="1"/>
      <c r="XDH254" s="1"/>
      <c r="XDI254" s="1"/>
      <c r="XDJ254" s="1"/>
      <c r="XDK254" s="1"/>
      <c r="XDL254" s="1"/>
      <c r="XDM254" s="1"/>
      <c r="XDN254" s="1"/>
      <c r="XDO254" s="1"/>
      <c r="XDP254" s="1"/>
      <c r="XDQ254" s="1"/>
      <c r="XDR254" s="1"/>
      <c r="XDS254" s="1"/>
      <c r="XDT254" s="1"/>
      <c r="XDU254" s="1"/>
      <c r="XDV254" s="1"/>
      <c r="XDW254" s="1"/>
      <c r="XDX254" s="1"/>
      <c r="XDY254" s="1"/>
      <c r="XDZ254" s="1"/>
      <c r="XEA254" s="1"/>
      <c r="XEB254" s="1"/>
      <c r="XEC254" s="1"/>
      <c r="XED254" s="1"/>
      <c r="XEE254" s="1"/>
      <c r="XEF254" s="1"/>
      <c r="XEG254" s="1"/>
      <c r="XEH254" s="1"/>
      <c r="XEI254" s="1"/>
      <c r="XEJ254" s="1"/>
      <c r="XEK254" s="1"/>
      <c r="XEL254" s="1"/>
      <c r="XEM254" s="1"/>
      <c r="XEN254" s="1"/>
      <c r="XEO254" s="1"/>
      <c r="XEP254" s="1"/>
      <c r="XEQ254" s="1"/>
      <c r="XER254" s="1"/>
      <c r="XES254" s="1"/>
      <c r="XET254" s="1"/>
      <c r="XEU254" s="1"/>
      <c r="XEV254" s="1"/>
      <c r="XEW254" s="1"/>
      <c r="XEX254" s="1"/>
      <c r="XEY254" s="1"/>
      <c r="XEZ254" s="1"/>
      <c r="XFA254" s="1"/>
      <c r="XFB254" s="1"/>
      <c r="XFC254" s="1"/>
    </row>
    <row r="255" spans="1:150 16226:16383" s="3" customFormat="1" ht="20.25" customHeight="1" x14ac:dyDescent="0.25">
      <c r="A255" s="135">
        <f t="shared" si="18"/>
        <v>10</v>
      </c>
      <c r="B255" s="136"/>
      <c r="C255" s="61" t="s">
        <v>94</v>
      </c>
      <c r="D255" s="61" t="s">
        <v>346</v>
      </c>
      <c r="E255" s="88">
        <f>(52.06)*10.764</f>
        <v>560.37383999999997</v>
      </c>
      <c r="F255" s="96">
        <f>(2.57+2.45*1.6+2.14*1.2+3*0.75)*10.764</f>
        <v>121.71931199999999</v>
      </c>
      <c r="G255" s="87">
        <v>0</v>
      </c>
      <c r="H255" s="87">
        <f t="shared" si="17"/>
        <v>682.09315199999992</v>
      </c>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WZB255" s="1"/>
      <c r="WZC255" s="1"/>
      <c r="WZD255" s="1"/>
      <c r="WZE255" s="1"/>
      <c r="WZF255" s="1"/>
      <c r="WZG255" s="1"/>
      <c r="WZH255" s="1"/>
      <c r="WZI255" s="1"/>
      <c r="WZJ255" s="1"/>
      <c r="WZK255" s="1"/>
      <c r="WZL255" s="1"/>
      <c r="WZM255" s="1"/>
      <c r="WZN255" s="1"/>
      <c r="WZO255" s="1"/>
      <c r="WZP255" s="1"/>
      <c r="WZQ255" s="1"/>
      <c r="WZR255" s="1"/>
      <c r="WZS255" s="1"/>
      <c r="WZT255" s="1"/>
      <c r="WZU255" s="1"/>
      <c r="WZV255" s="1"/>
      <c r="WZW255" s="1"/>
      <c r="WZX255" s="1"/>
      <c r="WZY255" s="1"/>
      <c r="WZZ255" s="1"/>
      <c r="XAA255" s="1"/>
      <c r="XAB255" s="1"/>
      <c r="XAC255" s="1"/>
      <c r="XAD255" s="1"/>
      <c r="XAE255" s="1"/>
      <c r="XAF255" s="1"/>
      <c r="XAG255" s="1"/>
      <c r="XAH255" s="1"/>
      <c r="XAI255" s="1"/>
      <c r="XAJ255" s="1"/>
      <c r="XAK255" s="1"/>
      <c r="XAL255" s="1"/>
      <c r="XAM255" s="1"/>
      <c r="XAN255" s="1"/>
      <c r="XAO255" s="1"/>
      <c r="XAP255" s="1"/>
      <c r="XAQ255" s="1"/>
      <c r="XAR255" s="1"/>
      <c r="XAS255" s="1"/>
      <c r="XAT255" s="1"/>
      <c r="XAU255" s="1"/>
      <c r="XAV255" s="1"/>
      <c r="XAW255" s="1"/>
      <c r="XAX255" s="1"/>
      <c r="XAY255" s="1"/>
      <c r="XAZ255" s="1"/>
      <c r="XBA255" s="1"/>
      <c r="XBB255" s="1"/>
      <c r="XBC255" s="1"/>
      <c r="XBD255" s="1"/>
      <c r="XBE255" s="1"/>
      <c r="XBF255" s="1"/>
      <c r="XBG255" s="1"/>
      <c r="XBH255" s="1"/>
      <c r="XBI255" s="1"/>
      <c r="XBJ255" s="1"/>
      <c r="XBK255" s="1"/>
      <c r="XBL255" s="1"/>
      <c r="XBM255" s="1"/>
      <c r="XBN255" s="1"/>
      <c r="XBO255" s="1"/>
      <c r="XBP255" s="1"/>
      <c r="XBQ255" s="1"/>
      <c r="XBR255" s="1"/>
      <c r="XBS255" s="1"/>
      <c r="XBT255" s="1"/>
      <c r="XBU255" s="1"/>
      <c r="XBV255" s="1"/>
      <c r="XBW255" s="1"/>
      <c r="XBX255" s="1"/>
      <c r="XBY255" s="1"/>
      <c r="XBZ255" s="1"/>
      <c r="XCA255" s="1"/>
      <c r="XCB255" s="1"/>
      <c r="XCC255" s="1"/>
      <c r="XCD255" s="1"/>
      <c r="XCE255" s="1"/>
      <c r="XCF255" s="1"/>
      <c r="XCG255" s="1"/>
      <c r="XCH255" s="1"/>
      <c r="XCI255" s="1"/>
      <c r="XCJ255" s="1"/>
      <c r="XCK255" s="1"/>
      <c r="XCL255" s="1"/>
      <c r="XCM255" s="1"/>
      <c r="XCN255" s="1"/>
      <c r="XCO255" s="1"/>
      <c r="XCP255" s="1"/>
      <c r="XCQ255" s="1"/>
      <c r="XCR255" s="1"/>
      <c r="XCS255" s="1"/>
      <c r="XCT255" s="1"/>
      <c r="XCU255" s="1"/>
      <c r="XCV255" s="1"/>
      <c r="XCW255" s="1"/>
      <c r="XCX255" s="1"/>
      <c r="XCY255" s="1"/>
      <c r="XCZ255" s="1"/>
      <c r="XDA255" s="1"/>
      <c r="XDB255" s="1"/>
      <c r="XDC255" s="1"/>
      <c r="XDD255" s="1"/>
      <c r="XDE255" s="1"/>
      <c r="XDF255" s="1"/>
      <c r="XDG255" s="1"/>
      <c r="XDH255" s="1"/>
      <c r="XDI255" s="1"/>
      <c r="XDJ255" s="1"/>
      <c r="XDK255" s="1"/>
      <c r="XDL255" s="1"/>
      <c r="XDM255" s="1"/>
      <c r="XDN255" s="1"/>
      <c r="XDO255" s="1"/>
      <c r="XDP255" s="1"/>
      <c r="XDQ255" s="1"/>
      <c r="XDR255" s="1"/>
      <c r="XDS255" s="1"/>
      <c r="XDT255" s="1"/>
      <c r="XDU255" s="1"/>
      <c r="XDV255" s="1"/>
      <c r="XDW255" s="1"/>
      <c r="XDX255" s="1"/>
      <c r="XDY255" s="1"/>
      <c r="XDZ255" s="1"/>
      <c r="XEA255" s="1"/>
      <c r="XEB255" s="1"/>
      <c r="XEC255" s="1"/>
      <c r="XED255" s="1"/>
      <c r="XEE255" s="1"/>
      <c r="XEF255" s="1"/>
      <c r="XEG255" s="1"/>
      <c r="XEH255" s="1"/>
      <c r="XEI255" s="1"/>
      <c r="XEJ255" s="1"/>
      <c r="XEK255" s="1"/>
      <c r="XEL255" s="1"/>
      <c r="XEM255" s="1"/>
      <c r="XEN255" s="1"/>
      <c r="XEO255" s="1"/>
      <c r="XEP255" s="1"/>
      <c r="XEQ255" s="1"/>
      <c r="XER255" s="1"/>
      <c r="XES255" s="1"/>
      <c r="XET255" s="1"/>
      <c r="XEU255" s="1"/>
      <c r="XEV255" s="1"/>
      <c r="XEW255" s="1"/>
      <c r="XEX255" s="1"/>
      <c r="XEY255" s="1"/>
      <c r="XEZ255" s="1"/>
      <c r="XFA255" s="1"/>
      <c r="XFB255" s="1"/>
      <c r="XFC255" s="1"/>
    </row>
    <row r="256" spans="1:150 16226:16383" s="3" customFormat="1" ht="19.5" customHeight="1" x14ac:dyDescent="0.25">
      <c r="A256" s="142" t="s">
        <v>349</v>
      </c>
      <c r="B256" s="143"/>
      <c r="C256" s="143"/>
      <c r="D256" s="143"/>
      <c r="E256" s="143"/>
      <c r="F256" s="143"/>
      <c r="G256" s="143"/>
      <c r="H256" s="144"/>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WZB256" s="1"/>
      <c r="WZC256" s="1"/>
      <c r="WZD256" s="1"/>
      <c r="WZE256" s="1"/>
      <c r="WZF256" s="1"/>
      <c r="WZG256" s="1"/>
      <c r="WZH256" s="1"/>
      <c r="WZI256" s="1"/>
      <c r="WZJ256" s="1"/>
      <c r="WZK256" s="1"/>
      <c r="WZL256" s="1"/>
      <c r="WZM256" s="1"/>
      <c r="WZN256" s="1"/>
      <c r="WZO256" s="1"/>
      <c r="WZP256" s="1"/>
      <c r="WZQ256" s="1"/>
      <c r="WZR256" s="1"/>
      <c r="WZS256" s="1"/>
      <c r="WZT256" s="1"/>
      <c r="WZU256" s="1"/>
      <c r="WZV256" s="1"/>
      <c r="WZW256" s="1"/>
      <c r="WZX256" s="1"/>
      <c r="WZY256" s="1"/>
      <c r="WZZ256" s="1"/>
      <c r="XAA256" s="1"/>
      <c r="XAB256" s="1"/>
      <c r="XAC256" s="1"/>
      <c r="XAD256" s="1"/>
      <c r="XAE256" s="1"/>
      <c r="XAF256" s="1"/>
      <c r="XAG256" s="1"/>
      <c r="XAH256" s="1"/>
      <c r="XAI256" s="1"/>
      <c r="XAJ256" s="1"/>
      <c r="XAK256" s="1"/>
      <c r="XAL256" s="1"/>
      <c r="XAM256" s="1"/>
      <c r="XAN256" s="1"/>
      <c r="XAO256" s="1"/>
      <c r="XAP256" s="1"/>
      <c r="XAQ256" s="1"/>
      <c r="XAR256" s="1"/>
      <c r="XAS256" s="1"/>
      <c r="XAT256" s="1"/>
      <c r="XAU256" s="1"/>
      <c r="XAV256" s="1"/>
      <c r="XAW256" s="1"/>
      <c r="XAX256" s="1"/>
      <c r="XAY256" s="1"/>
      <c r="XAZ256" s="1"/>
      <c r="XBA256" s="1"/>
      <c r="XBB256" s="1"/>
      <c r="XBC256" s="1"/>
      <c r="XBD256" s="1"/>
      <c r="XBE256" s="1"/>
      <c r="XBF256" s="1"/>
      <c r="XBG256" s="1"/>
      <c r="XBH256" s="1"/>
      <c r="XBI256" s="1"/>
      <c r="XBJ256" s="1"/>
      <c r="XBK256" s="1"/>
      <c r="XBL256" s="1"/>
      <c r="XBM256" s="1"/>
      <c r="XBN256" s="1"/>
      <c r="XBO256" s="1"/>
      <c r="XBP256" s="1"/>
      <c r="XBQ256" s="1"/>
      <c r="XBR256" s="1"/>
      <c r="XBS256" s="1"/>
      <c r="XBT256" s="1"/>
      <c r="XBU256" s="1"/>
      <c r="XBV256" s="1"/>
      <c r="XBW256" s="1"/>
      <c r="XBX256" s="1"/>
      <c r="XBY256" s="1"/>
      <c r="XBZ256" s="1"/>
      <c r="XCA256" s="1"/>
      <c r="XCB256" s="1"/>
      <c r="XCC256" s="1"/>
      <c r="XCD256" s="1"/>
      <c r="XCE256" s="1"/>
      <c r="XCF256" s="1"/>
      <c r="XCG256" s="1"/>
      <c r="XCH256" s="1"/>
      <c r="XCI256" s="1"/>
      <c r="XCJ256" s="1"/>
      <c r="XCK256" s="1"/>
      <c r="XCL256" s="1"/>
      <c r="XCM256" s="1"/>
      <c r="XCN256" s="1"/>
      <c r="XCO256" s="1"/>
      <c r="XCP256" s="1"/>
      <c r="XCQ256" s="1"/>
      <c r="XCR256" s="1"/>
      <c r="XCS256" s="1"/>
      <c r="XCT256" s="1"/>
      <c r="XCU256" s="1"/>
      <c r="XCV256" s="1"/>
      <c r="XCW256" s="1"/>
      <c r="XCX256" s="1"/>
      <c r="XCY256" s="1"/>
      <c r="XCZ256" s="1"/>
      <c r="XDA256" s="1"/>
      <c r="XDB256" s="1"/>
      <c r="XDC256" s="1"/>
      <c r="XDD256" s="1"/>
      <c r="XDE256" s="1"/>
      <c r="XDF256" s="1"/>
      <c r="XDG256" s="1"/>
      <c r="XDH256" s="1"/>
      <c r="XDI256" s="1"/>
      <c r="XDJ256" s="1"/>
      <c r="XDK256" s="1"/>
      <c r="XDL256" s="1"/>
      <c r="XDM256" s="1"/>
      <c r="XDN256" s="1"/>
      <c r="XDO256" s="1"/>
      <c r="XDP256" s="1"/>
      <c r="XDQ256" s="1"/>
      <c r="XDR256" s="1"/>
      <c r="XDS256" s="1"/>
      <c r="XDT256" s="1"/>
      <c r="XDU256" s="1"/>
      <c r="XDV256" s="1"/>
      <c r="XDW256" s="1"/>
      <c r="XDX256" s="1"/>
      <c r="XDY256" s="1"/>
      <c r="XDZ256" s="1"/>
      <c r="XEA256" s="1"/>
      <c r="XEB256" s="1"/>
      <c r="XEC256" s="1"/>
      <c r="XED256" s="1"/>
      <c r="XEE256" s="1"/>
      <c r="XEF256" s="1"/>
      <c r="XEG256" s="1"/>
      <c r="XEH256" s="1"/>
      <c r="XEI256" s="1"/>
      <c r="XEJ256" s="1"/>
      <c r="XEK256" s="1"/>
      <c r="XEL256" s="1"/>
      <c r="XEM256" s="1"/>
      <c r="XEN256" s="1"/>
      <c r="XEO256" s="1"/>
      <c r="XEP256" s="1"/>
      <c r="XEQ256" s="1"/>
      <c r="XER256" s="1"/>
      <c r="XES256" s="1"/>
      <c r="XET256" s="1"/>
      <c r="XEU256" s="1"/>
      <c r="XEV256" s="1"/>
      <c r="XEW256" s="1"/>
      <c r="XEX256" s="1"/>
      <c r="XEY256" s="1"/>
      <c r="XEZ256" s="1"/>
      <c r="XFA256" s="1"/>
      <c r="XFB256" s="1"/>
      <c r="XFC256" s="1"/>
    </row>
    <row r="257" spans="1:150 16226:16383" s="3" customFormat="1" ht="20.25" x14ac:dyDescent="0.25">
      <c r="A257" s="139">
        <v>1</v>
      </c>
      <c r="B257" s="139"/>
      <c r="C257" s="61" t="s">
        <v>94</v>
      </c>
      <c r="D257" s="61" t="s">
        <v>346</v>
      </c>
      <c r="E257" s="96">
        <f>(47.92)*10.764</f>
        <v>515.81088</v>
      </c>
      <c r="F257" s="96">
        <f>(1.6*(2.7+2.3)+2.14*1.2)*10.764</f>
        <v>113.75395199999998</v>
      </c>
      <c r="G257" s="87">
        <v>0</v>
      </c>
      <c r="H257" s="87">
        <f>E257+F257+(IF(G257&lt;101,G257,IF(G257&lt;201,G257/2,IF(G257&lt;=301,G257/3,G257/4))))</f>
        <v>629.56483200000002</v>
      </c>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WZB257" s="1"/>
      <c r="WZC257" s="1"/>
      <c r="WZD257" s="1"/>
      <c r="WZE257" s="1"/>
      <c r="WZF257" s="1"/>
      <c r="WZG257" s="1"/>
      <c r="WZH257" s="1"/>
      <c r="WZI257" s="1"/>
      <c r="WZJ257" s="1"/>
      <c r="WZK257" s="1"/>
      <c r="WZL257" s="1"/>
      <c r="WZM257" s="1"/>
      <c r="WZN257" s="1"/>
      <c r="WZO257" s="1"/>
      <c r="WZP257" s="1"/>
      <c r="WZQ257" s="1"/>
      <c r="WZR257" s="1"/>
      <c r="WZS257" s="1"/>
      <c r="WZT257" s="1"/>
      <c r="WZU257" s="1"/>
      <c r="WZV257" s="1"/>
      <c r="WZW257" s="1"/>
      <c r="WZX257" s="1"/>
      <c r="WZY257" s="1"/>
      <c r="WZZ257" s="1"/>
      <c r="XAA257" s="1"/>
      <c r="XAB257" s="1"/>
      <c r="XAC257" s="1"/>
      <c r="XAD257" s="1"/>
      <c r="XAE257" s="1"/>
      <c r="XAF257" s="1"/>
      <c r="XAG257" s="1"/>
      <c r="XAH257" s="1"/>
      <c r="XAI257" s="1"/>
      <c r="XAJ257" s="1"/>
      <c r="XAK257" s="1"/>
      <c r="XAL257" s="1"/>
      <c r="XAM257" s="1"/>
      <c r="XAN257" s="1"/>
      <c r="XAO257" s="1"/>
      <c r="XAP257" s="1"/>
      <c r="XAQ257" s="1"/>
      <c r="XAR257" s="1"/>
      <c r="XAS257" s="1"/>
      <c r="XAT257" s="1"/>
      <c r="XAU257" s="1"/>
      <c r="XAV257" s="1"/>
      <c r="XAW257" s="1"/>
      <c r="XAX257" s="1"/>
      <c r="XAY257" s="1"/>
      <c r="XAZ257" s="1"/>
      <c r="XBA257" s="1"/>
      <c r="XBB257" s="1"/>
      <c r="XBC257" s="1"/>
      <c r="XBD257" s="1"/>
      <c r="XBE257" s="1"/>
      <c r="XBF257" s="1"/>
      <c r="XBG257" s="1"/>
      <c r="XBH257" s="1"/>
      <c r="XBI257" s="1"/>
      <c r="XBJ257" s="1"/>
      <c r="XBK257" s="1"/>
      <c r="XBL257" s="1"/>
      <c r="XBM257" s="1"/>
      <c r="XBN257" s="1"/>
      <c r="XBO257" s="1"/>
      <c r="XBP257" s="1"/>
      <c r="XBQ257" s="1"/>
      <c r="XBR257" s="1"/>
      <c r="XBS257" s="1"/>
      <c r="XBT257" s="1"/>
      <c r="XBU257" s="1"/>
      <c r="XBV257" s="1"/>
      <c r="XBW257" s="1"/>
      <c r="XBX257" s="1"/>
      <c r="XBY257" s="1"/>
      <c r="XBZ257" s="1"/>
      <c r="XCA257" s="1"/>
      <c r="XCB257" s="1"/>
      <c r="XCC257" s="1"/>
      <c r="XCD257" s="1"/>
      <c r="XCE257" s="1"/>
      <c r="XCF257" s="1"/>
      <c r="XCG257" s="1"/>
      <c r="XCH257" s="1"/>
      <c r="XCI257" s="1"/>
      <c r="XCJ257" s="1"/>
      <c r="XCK257" s="1"/>
      <c r="XCL257" s="1"/>
      <c r="XCM257" s="1"/>
      <c r="XCN257" s="1"/>
      <c r="XCO257" s="1"/>
      <c r="XCP257" s="1"/>
      <c r="XCQ257" s="1"/>
      <c r="XCR257" s="1"/>
      <c r="XCS257" s="1"/>
      <c r="XCT257" s="1"/>
      <c r="XCU257" s="1"/>
      <c r="XCV257" s="1"/>
      <c r="XCW257" s="1"/>
      <c r="XCX257" s="1"/>
      <c r="XCY257" s="1"/>
      <c r="XCZ257" s="1"/>
      <c r="XDA257" s="1"/>
      <c r="XDB257" s="1"/>
      <c r="XDC257" s="1"/>
      <c r="XDD257" s="1"/>
      <c r="XDE257" s="1"/>
      <c r="XDF257" s="1"/>
      <c r="XDG257" s="1"/>
      <c r="XDH257" s="1"/>
      <c r="XDI257" s="1"/>
      <c r="XDJ257" s="1"/>
      <c r="XDK257" s="1"/>
      <c r="XDL257" s="1"/>
      <c r="XDM257" s="1"/>
      <c r="XDN257" s="1"/>
      <c r="XDO257" s="1"/>
      <c r="XDP257" s="1"/>
      <c r="XDQ257" s="1"/>
      <c r="XDR257" s="1"/>
      <c r="XDS257" s="1"/>
      <c r="XDT257" s="1"/>
      <c r="XDU257" s="1"/>
      <c r="XDV257" s="1"/>
      <c r="XDW257" s="1"/>
      <c r="XDX257" s="1"/>
      <c r="XDY257" s="1"/>
      <c r="XDZ257" s="1"/>
      <c r="XEA257" s="1"/>
      <c r="XEB257" s="1"/>
      <c r="XEC257" s="1"/>
      <c r="XED257" s="1"/>
      <c r="XEE257" s="1"/>
      <c r="XEF257" s="1"/>
      <c r="XEG257" s="1"/>
      <c r="XEH257" s="1"/>
      <c r="XEI257" s="1"/>
      <c r="XEJ257" s="1"/>
      <c r="XEK257" s="1"/>
      <c r="XEL257" s="1"/>
      <c r="XEM257" s="1"/>
      <c r="XEN257" s="1"/>
      <c r="XEO257" s="1"/>
      <c r="XEP257" s="1"/>
      <c r="XEQ257" s="1"/>
      <c r="XER257" s="1"/>
      <c r="XES257" s="1"/>
      <c r="XET257" s="1"/>
      <c r="XEU257" s="1"/>
      <c r="XEV257" s="1"/>
      <c r="XEW257" s="1"/>
      <c r="XEX257" s="1"/>
      <c r="XEY257" s="1"/>
      <c r="XEZ257" s="1"/>
      <c r="XFA257" s="1"/>
      <c r="XFB257" s="1"/>
      <c r="XFC257" s="1"/>
    </row>
    <row r="258" spans="1:150 16226:16383" s="3" customFormat="1" ht="20.25" x14ac:dyDescent="0.25">
      <c r="A258" s="135">
        <f>A257+1</f>
        <v>2</v>
      </c>
      <c r="B258" s="136"/>
      <c r="C258" s="61" t="s">
        <v>94</v>
      </c>
      <c r="D258" s="61" t="s">
        <v>346</v>
      </c>
      <c r="E258" s="96">
        <f>(47.92)*10.764</f>
        <v>515.81088</v>
      </c>
      <c r="F258" s="96">
        <f>(1.6*(2.7+2.3)+2.14*1.2)*10.764</f>
        <v>113.75395199999998</v>
      </c>
      <c r="G258" s="87">
        <v>0</v>
      </c>
      <c r="H258" s="87">
        <f t="shared" ref="H258:H267" si="19">E258+F258+(IF(G258&lt;101,G258,IF(G258&lt;201,G258/2,IF(G258&lt;=301,G258/3,G258/4))))</f>
        <v>629.56483200000002</v>
      </c>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WZB258" s="1"/>
      <c r="WZC258" s="1"/>
      <c r="WZD258" s="1"/>
      <c r="WZE258" s="1"/>
      <c r="WZF258" s="1"/>
      <c r="WZG258" s="1"/>
      <c r="WZH258" s="1"/>
      <c r="WZI258" s="1"/>
      <c r="WZJ258" s="1"/>
      <c r="WZK258" s="1"/>
      <c r="WZL258" s="1"/>
      <c r="WZM258" s="1"/>
      <c r="WZN258" s="1"/>
      <c r="WZO258" s="1"/>
      <c r="WZP258" s="1"/>
      <c r="WZQ258" s="1"/>
      <c r="WZR258" s="1"/>
      <c r="WZS258" s="1"/>
      <c r="WZT258" s="1"/>
      <c r="WZU258" s="1"/>
      <c r="WZV258" s="1"/>
      <c r="WZW258" s="1"/>
      <c r="WZX258" s="1"/>
      <c r="WZY258" s="1"/>
      <c r="WZZ258" s="1"/>
      <c r="XAA258" s="1"/>
      <c r="XAB258" s="1"/>
      <c r="XAC258" s="1"/>
      <c r="XAD258" s="1"/>
      <c r="XAE258" s="1"/>
      <c r="XAF258" s="1"/>
      <c r="XAG258" s="1"/>
      <c r="XAH258" s="1"/>
      <c r="XAI258" s="1"/>
      <c r="XAJ258" s="1"/>
      <c r="XAK258" s="1"/>
      <c r="XAL258" s="1"/>
      <c r="XAM258" s="1"/>
      <c r="XAN258" s="1"/>
      <c r="XAO258" s="1"/>
      <c r="XAP258" s="1"/>
      <c r="XAQ258" s="1"/>
      <c r="XAR258" s="1"/>
      <c r="XAS258" s="1"/>
      <c r="XAT258" s="1"/>
      <c r="XAU258" s="1"/>
      <c r="XAV258" s="1"/>
      <c r="XAW258" s="1"/>
      <c r="XAX258" s="1"/>
      <c r="XAY258" s="1"/>
      <c r="XAZ258" s="1"/>
      <c r="XBA258" s="1"/>
      <c r="XBB258" s="1"/>
      <c r="XBC258" s="1"/>
      <c r="XBD258" s="1"/>
      <c r="XBE258" s="1"/>
      <c r="XBF258" s="1"/>
      <c r="XBG258" s="1"/>
      <c r="XBH258" s="1"/>
      <c r="XBI258" s="1"/>
      <c r="XBJ258" s="1"/>
      <c r="XBK258" s="1"/>
      <c r="XBL258" s="1"/>
      <c r="XBM258" s="1"/>
      <c r="XBN258" s="1"/>
      <c r="XBO258" s="1"/>
      <c r="XBP258" s="1"/>
      <c r="XBQ258" s="1"/>
      <c r="XBR258" s="1"/>
      <c r="XBS258" s="1"/>
      <c r="XBT258" s="1"/>
      <c r="XBU258" s="1"/>
      <c r="XBV258" s="1"/>
      <c r="XBW258" s="1"/>
      <c r="XBX258" s="1"/>
      <c r="XBY258" s="1"/>
      <c r="XBZ258" s="1"/>
      <c r="XCA258" s="1"/>
      <c r="XCB258" s="1"/>
      <c r="XCC258" s="1"/>
      <c r="XCD258" s="1"/>
      <c r="XCE258" s="1"/>
      <c r="XCF258" s="1"/>
      <c r="XCG258" s="1"/>
      <c r="XCH258" s="1"/>
      <c r="XCI258" s="1"/>
      <c r="XCJ258" s="1"/>
      <c r="XCK258" s="1"/>
      <c r="XCL258" s="1"/>
      <c r="XCM258" s="1"/>
      <c r="XCN258" s="1"/>
      <c r="XCO258" s="1"/>
      <c r="XCP258" s="1"/>
      <c r="XCQ258" s="1"/>
      <c r="XCR258" s="1"/>
      <c r="XCS258" s="1"/>
      <c r="XCT258" s="1"/>
      <c r="XCU258" s="1"/>
      <c r="XCV258" s="1"/>
      <c r="XCW258" s="1"/>
      <c r="XCX258" s="1"/>
      <c r="XCY258" s="1"/>
      <c r="XCZ258" s="1"/>
      <c r="XDA258" s="1"/>
      <c r="XDB258" s="1"/>
      <c r="XDC258" s="1"/>
      <c r="XDD258" s="1"/>
      <c r="XDE258" s="1"/>
      <c r="XDF258" s="1"/>
      <c r="XDG258" s="1"/>
      <c r="XDH258" s="1"/>
      <c r="XDI258" s="1"/>
      <c r="XDJ258" s="1"/>
      <c r="XDK258" s="1"/>
      <c r="XDL258" s="1"/>
      <c r="XDM258" s="1"/>
      <c r="XDN258" s="1"/>
      <c r="XDO258" s="1"/>
      <c r="XDP258" s="1"/>
      <c r="XDQ258" s="1"/>
      <c r="XDR258" s="1"/>
      <c r="XDS258" s="1"/>
      <c r="XDT258" s="1"/>
      <c r="XDU258" s="1"/>
      <c r="XDV258" s="1"/>
      <c r="XDW258" s="1"/>
      <c r="XDX258" s="1"/>
      <c r="XDY258" s="1"/>
      <c r="XDZ258" s="1"/>
      <c r="XEA258" s="1"/>
      <c r="XEB258" s="1"/>
      <c r="XEC258" s="1"/>
      <c r="XED258" s="1"/>
      <c r="XEE258" s="1"/>
      <c r="XEF258" s="1"/>
      <c r="XEG258" s="1"/>
      <c r="XEH258" s="1"/>
      <c r="XEI258" s="1"/>
      <c r="XEJ258" s="1"/>
      <c r="XEK258" s="1"/>
      <c r="XEL258" s="1"/>
      <c r="XEM258" s="1"/>
      <c r="XEN258" s="1"/>
      <c r="XEO258" s="1"/>
      <c r="XEP258" s="1"/>
      <c r="XEQ258" s="1"/>
      <c r="XER258" s="1"/>
      <c r="XES258" s="1"/>
      <c r="XET258" s="1"/>
      <c r="XEU258" s="1"/>
      <c r="XEV258" s="1"/>
      <c r="XEW258" s="1"/>
      <c r="XEX258" s="1"/>
      <c r="XEY258" s="1"/>
      <c r="XEZ258" s="1"/>
      <c r="XFA258" s="1"/>
      <c r="XFB258" s="1"/>
      <c r="XFC258" s="1"/>
    </row>
    <row r="259" spans="1:150 16226:16383" s="3" customFormat="1" ht="20.25" x14ac:dyDescent="0.25">
      <c r="A259" s="135">
        <f t="shared" ref="A259:A267" si="20">A258+1</f>
        <v>3</v>
      </c>
      <c r="B259" s="136"/>
      <c r="C259" s="61" t="s">
        <v>94</v>
      </c>
      <c r="D259" s="61" t="s">
        <v>346</v>
      </c>
      <c r="E259" s="96">
        <f>(54.36)*10.764</f>
        <v>585.13103999999998</v>
      </c>
      <c r="F259" s="96">
        <f>(2.4*1.6+2.14*1.2+3*0.75)*10.764</f>
        <v>93.194711999999996</v>
      </c>
      <c r="G259" s="87">
        <v>0</v>
      </c>
      <c r="H259" s="87">
        <f t="shared" si="19"/>
        <v>678.32575199999997</v>
      </c>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WZB259" s="1"/>
      <c r="WZC259" s="1"/>
      <c r="WZD259" s="1"/>
      <c r="WZE259" s="1"/>
      <c r="WZF259" s="1"/>
      <c r="WZG259" s="1"/>
      <c r="WZH259" s="1"/>
      <c r="WZI259" s="1"/>
      <c r="WZJ259" s="1"/>
      <c r="WZK259" s="1"/>
      <c r="WZL259" s="1"/>
      <c r="WZM259" s="1"/>
      <c r="WZN259" s="1"/>
      <c r="WZO259" s="1"/>
      <c r="WZP259" s="1"/>
      <c r="WZQ259" s="1"/>
      <c r="WZR259" s="1"/>
      <c r="WZS259" s="1"/>
      <c r="WZT259" s="1"/>
      <c r="WZU259" s="1"/>
      <c r="WZV259" s="1"/>
      <c r="WZW259" s="1"/>
      <c r="WZX259" s="1"/>
      <c r="WZY259" s="1"/>
      <c r="WZZ259" s="1"/>
      <c r="XAA259" s="1"/>
      <c r="XAB259" s="1"/>
      <c r="XAC259" s="1"/>
      <c r="XAD259" s="1"/>
      <c r="XAE259" s="1"/>
      <c r="XAF259" s="1"/>
      <c r="XAG259" s="1"/>
      <c r="XAH259" s="1"/>
      <c r="XAI259" s="1"/>
      <c r="XAJ259" s="1"/>
      <c r="XAK259" s="1"/>
      <c r="XAL259" s="1"/>
      <c r="XAM259" s="1"/>
      <c r="XAN259" s="1"/>
      <c r="XAO259" s="1"/>
      <c r="XAP259" s="1"/>
      <c r="XAQ259" s="1"/>
      <c r="XAR259" s="1"/>
      <c r="XAS259" s="1"/>
      <c r="XAT259" s="1"/>
      <c r="XAU259" s="1"/>
      <c r="XAV259" s="1"/>
      <c r="XAW259" s="1"/>
      <c r="XAX259" s="1"/>
      <c r="XAY259" s="1"/>
      <c r="XAZ259" s="1"/>
      <c r="XBA259" s="1"/>
      <c r="XBB259" s="1"/>
      <c r="XBC259" s="1"/>
      <c r="XBD259" s="1"/>
      <c r="XBE259" s="1"/>
      <c r="XBF259" s="1"/>
      <c r="XBG259" s="1"/>
      <c r="XBH259" s="1"/>
      <c r="XBI259" s="1"/>
      <c r="XBJ259" s="1"/>
      <c r="XBK259" s="1"/>
      <c r="XBL259" s="1"/>
      <c r="XBM259" s="1"/>
      <c r="XBN259" s="1"/>
      <c r="XBO259" s="1"/>
      <c r="XBP259" s="1"/>
      <c r="XBQ259" s="1"/>
      <c r="XBR259" s="1"/>
      <c r="XBS259" s="1"/>
      <c r="XBT259" s="1"/>
      <c r="XBU259" s="1"/>
      <c r="XBV259" s="1"/>
      <c r="XBW259" s="1"/>
      <c r="XBX259" s="1"/>
      <c r="XBY259" s="1"/>
      <c r="XBZ259" s="1"/>
      <c r="XCA259" s="1"/>
      <c r="XCB259" s="1"/>
      <c r="XCC259" s="1"/>
      <c r="XCD259" s="1"/>
      <c r="XCE259" s="1"/>
      <c r="XCF259" s="1"/>
      <c r="XCG259" s="1"/>
      <c r="XCH259" s="1"/>
      <c r="XCI259" s="1"/>
      <c r="XCJ259" s="1"/>
      <c r="XCK259" s="1"/>
      <c r="XCL259" s="1"/>
      <c r="XCM259" s="1"/>
      <c r="XCN259" s="1"/>
      <c r="XCO259" s="1"/>
      <c r="XCP259" s="1"/>
      <c r="XCQ259" s="1"/>
      <c r="XCR259" s="1"/>
      <c r="XCS259" s="1"/>
      <c r="XCT259" s="1"/>
      <c r="XCU259" s="1"/>
      <c r="XCV259" s="1"/>
      <c r="XCW259" s="1"/>
      <c r="XCX259" s="1"/>
      <c r="XCY259" s="1"/>
      <c r="XCZ259" s="1"/>
      <c r="XDA259" s="1"/>
      <c r="XDB259" s="1"/>
      <c r="XDC259" s="1"/>
      <c r="XDD259" s="1"/>
      <c r="XDE259" s="1"/>
      <c r="XDF259" s="1"/>
      <c r="XDG259" s="1"/>
      <c r="XDH259" s="1"/>
      <c r="XDI259" s="1"/>
      <c r="XDJ259" s="1"/>
      <c r="XDK259" s="1"/>
      <c r="XDL259" s="1"/>
      <c r="XDM259" s="1"/>
      <c r="XDN259" s="1"/>
      <c r="XDO259" s="1"/>
      <c r="XDP259" s="1"/>
      <c r="XDQ259" s="1"/>
      <c r="XDR259" s="1"/>
      <c r="XDS259" s="1"/>
      <c r="XDT259" s="1"/>
      <c r="XDU259" s="1"/>
      <c r="XDV259" s="1"/>
      <c r="XDW259" s="1"/>
      <c r="XDX259" s="1"/>
      <c r="XDY259" s="1"/>
      <c r="XDZ259" s="1"/>
      <c r="XEA259" s="1"/>
      <c r="XEB259" s="1"/>
      <c r="XEC259" s="1"/>
      <c r="XED259" s="1"/>
      <c r="XEE259" s="1"/>
      <c r="XEF259" s="1"/>
      <c r="XEG259" s="1"/>
      <c r="XEH259" s="1"/>
      <c r="XEI259" s="1"/>
      <c r="XEJ259" s="1"/>
      <c r="XEK259" s="1"/>
      <c r="XEL259" s="1"/>
      <c r="XEM259" s="1"/>
      <c r="XEN259" s="1"/>
      <c r="XEO259" s="1"/>
      <c r="XEP259" s="1"/>
      <c r="XEQ259" s="1"/>
      <c r="XER259" s="1"/>
      <c r="XES259" s="1"/>
      <c r="XET259" s="1"/>
      <c r="XEU259" s="1"/>
      <c r="XEV259" s="1"/>
      <c r="XEW259" s="1"/>
      <c r="XEX259" s="1"/>
      <c r="XEY259" s="1"/>
      <c r="XEZ259" s="1"/>
      <c r="XFA259" s="1"/>
      <c r="XFB259" s="1"/>
      <c r="XFC259" s="1"/>
    </row>
    <row r="260" spans="1:150 16226:16383" s="3" customFormat="1" ht="20.25" customHeight="1" x14ac:dyDescent="0.25">
      <c r="A260" s="135">
        <f t="shared" si="20"/>
        <v>4</v>
      </c>
      <c r="B260" s="136"/>
      <c r="C260" s="61" t="s">
        <v>94</v>
      </c>
      <c r="D260" s="61" t="s">
        <v>344</v>
      </c>
      <c r="E260" s="88">
        <f>(43.01)*10.764</f>
        <v>462.95963999999992</v>
      </c>
      <c r="F260" s="88">
        <f>(2.45*1.6+2.14*1.2)*10.764</f>
        <v>69.836832000000001</v>
      </c>
      <c r="G260" s="87">
        <v>0</v>
      </c>
      <c r="H260" s="87">
        <f t="shared" si="19"/>
        <v>532.79647199999988</v>
      </c>
      <c r="I260" s="1">
        <f>4.68*4.12+2.14*2.4+2.67*3.04+1.35*1.72+1.45+1.22*(2.3+1.98)</f>
        <v>41.528000000000006</v>
      </c>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WZB260" s="1"/>
      <c r="WZC260" s="1"/>
      <c r="WZD260" s="1"/>
      <c r="WZE260" s="1"/>
      <c r="WZF260" s="1"/>
      <c r="WZG260" s="1"/>
      <c r="WZH260" s="1"/>
      <c r="WZI260" s="1"/>
      <c r="WZJ260" s="1"/>
      <c r="WZK260" s="1"/>
      <c r="WZL260" s="1"/>
      <c r="WZM260" s="1"/>
      <c r="WZN260" s="1"/>
      <c r="WZO260" s="1"/>
      <c r="WZP260" s="1"/>
      <c r="WZQ260" s="1"/>
      <c r="WZR260" s="1"/>
      <c r="WZS260" s="1"/>
      <c r="WZT260" s="1"/>
      <c r="WZU260" s="1"/>
      <c r="WZV260" s="1"/>
      <c r="WZW260" s="1"/>
      <c r="WZX260" s="1"/>
      <c r="WZY260" s="1"/>
      <c r="WZZ260" s="1"/>
      <c r="XAA260" s="1"/>
      <c r="XAB260" s="1"/>
      <c r="XAC260" s="1"/>
      <c r="XAD260" s="1"/>
      <c r="XAE260" s="1"/>
      <c r="XAF260" s="1"/>
      <c r="XAG260" s="1"/>
      <c r="XAH260" s="1"/>
      <c r="XAI260" s="1"/>
      <c r="XAJ260" s="1"/>
      <c r="XAK260" s="1"/>
      <c r="XAL260" s="1"/>
      <c r="XAM260" s="1"/>
      <c r="XAN260" s="1"/>
      <c r="XAO260" s="1"/>
      <c r="XAP260" s="1"/>
      <c r="XAQ260" s="1"/>
      <c r="XAR260" s="1"/>
      <c r="XAS260" s="1"/>
      <c r="XAT260" s="1"/>
      <c r="XAU260" s="1"/>
      <c r="XAV260" s="1"/>
      <c r="XAW260" s="1"/>
      <c r="XAX260" s="1"/>
      <c r="XAY260" s="1"/>
      <c r="XAZ260" s="1"/>
      <c r="XBA260" s="1"/>
      <c r="XBB260" s="1"/>
      <c r="XBC260" s="1"/>
      <c r="XBD260" s="1"/>
      <c r="XBE260" s="1"/>
      <c r="XBF260" s="1"/>
      <c r="XBG260" s="1"/>
      <c r="XBH260" s="1"/>
      <c r="XBI260" s="1"/>
      <c r="XBJ260" s="1"/>
      <c r="XBK260" s="1"/>
      <c r="XBL260" s="1"/>
      <c r="XBM260" s="1"/>
      <c r="XBN260" s="1"/>
      <c r="XBO260" s="1"/>
      <c r="XBP260" s="1"/>
      <c r="XBQ260" s="1"/>
      <c r="XBR260" s="1"/>
      <c r="XBS260" s="1"/>
      <c r="XBT260" s="1"/>
      <c r="XBU260" s="1"/>
      <c r="XBV260" s="1"/>
      <c r="XBW260" s="1"/>
      <c r="XBX260" s="1"/>
      <c r="XBY260" s="1"/>
      <c r="XBZ260" s="1"/>
      <c r="XCA260" s="1"/>
      <c r="XCB260" s="1"/>
      <c r="XCC260" s="1"/>
      <c r="XCD260" s="1"/>
      <c r="XCE260" s="1"/>
      <c r="XCF260" s="1"/>
      <c r="XCG260" s="1"/>
      <c r="XCH260" s="1"/>
      <c r="XCI260" s="1"/>
      <c r="XCJ260" s="1"/>
      <c r="XCK260" s="1"/>
      <c r="XCL260" s="1"/>
      <c r="XCM260" s="1"/>
      <c r="XCN260" s="1"/>
      <c r="XCO260" s="1"/>
      <c r="XCP260" s="1"/>
      <c r="XCQ260" s="1"/>
      <c r="XCR260" s="1"/>
      <c r="XCS260" s="1"/>
      <c r="XCT260" s="1"/>
      <c r="XCU260" s="1"/>
      <c r="XCV260" s="1"/>
      <c r="XCW260" s="1"/>
      <c r="XCX260" s="1"/>
      <c r="XCY260" s="1"/>
      <c r="XCZ260" s="1"/>
      <c r="XDA260" s="1"/>
      <c r="XDB260" s="1"/>
      <c r="XDC260" s="1"/>
      <c r="XDD260" s="1"/>
      <c r="XDE260" s="1"/>
      <c r="XDF260" s="1"/>
      <c r="XDG260" s="1"/>
      <c r="XDH260" s="1"/>
      <c r="XDI260" s="1"/>
      <c r="XDJ260" s="1"/>
      <c r="XDK260" s="1"/>
      <c r="XDL260" s="1"/>
      <c r="XDM260" s="1"/>
      <c r="XDN260" s="1"/>
      <c r="XDO260" s="1"/>
      <c r="XDP260" s="1"/>
      <c r="XDQ260" s="1"/>
      <c r="XDR260" s="1"/>
      <c r="XDS260" s="1"/>
      <c r="XDT260" s="1"/>
      <c r="XDU260" s="1"/>
      <c r="XDV260" s="1"/>
      <c r="XDW260" s="1"/>
      <c r="XDX260" s="1"/>
      <c r="XDY260" s="1"/>
      <c r="XDZ260" s="1"/>
      <c r="XEA260" s="1"/>
      <c r="XEB260" s="1"/>
      <c r="XEC260" s="1"/>
      <c r="XED260" s="1"/>
      <c r="XEE260" s="1"/>
      <c r="XEF260" s="1"/>
      <c r="XEG260" s="1"/>
      <c r="XEH260" s="1"/>
      <c r="XEI260" s="1"/>
      <c r="XEJ260" s="1"/>
      <c r="XEK260" s="1"/>
      <c r="XEL260" s="1"/>
      <c r="XEM260" s="1"/>
      <c r="XEN260" s="1"/>
      <c r="XEO260" s="1"/>
      <c r="XEP260" s="1"/>
      <c r="XEQ260" s="1"/>
      <c r="XER260" s="1"/>
      <c r="XES260" s="1"/>
      <c r="XET260" s="1"/>
      <c r="XEU260" s="1"/>
      <c r="XEV260" s="1"/>
      <c r="XEW260" s="1"/>
      <c r="XEX260" s="1"/>
      <c r="XEY260" s="1"/>
      <c r="XEZ260" s="1"/>
      <c r="XFA260" s="1"/>
      <c r="XFB260" s="1"/>
      <c r="XFC260" s="1"/>
    </row>
    <row r="261" spans="1:150 16226:16383" s="3" customFormat="1" ht="20.25" customHeight="1" x14ac:dyDescent="0.25">
      <c r="A261" s="135" t="s">
        <v>94</v>
      </c>
      <c r="B261" s="136"/>
      <c r="C261" s="208" t="s">
        <v>350</v>
      </c>
      <c r="D261" s="209"/>
      <c r="E261" s="209"/>
      <c r="F261" s="209"/>
      <c r="G261" s="209"/>
      <c r="H261" s="210"/>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WZB261" s="1"/>
      <c r="WZC261" s="1"/>
      <c r="WZD261" s="1"/>
      <c r="WZE261" s="1"/>
      <c r="WZF261" s="1"/>
      <c r="WZG261" s="1"/>
      <c r="WZH261" s="1"/>
      <c r="WZI261" s="1"/>
      <c r="WZJ261" s="1"/>
      <c r="WZK261" s="1"/>
      <c r="WZL261" s="1"/>
      <c r="WZM261" s="1"/>
      <c r="WZN261" s="1"/>
      <c r="WZO261" s="1"/>
      <c r="WZP261" s="1"/>
      <c r="WZQ261" s="1"/>
      <c r="WZR261" s="1"/>
      <c r="WZS261" s="1"/>
      <c r="WZT261" s="1"/>
      <c r="WZU261" s="1"/>
      <c r="WZV261" s="1"/>
      <c r="WZW261" s="1"/>
      <c r="WZX261" s="1"/>
      <c r="WZY261" s="1"/>
      <c r="WZZ261" s="1"/>
      <c r="XAA261" s="1"/>
      <c r="XAB261" s="1"/>
      <c r="XAC261" s="1"/>
      <c r="XAD261" s="1"/>
      <c r="XAE261" s="1"/>
      <c r="XAF261" s="1"/>
      <c r="XAG261" s="1"/>
      <c r="XAH261" s="1"/>
      <c r="XAI261" s="1"/>
      <c r="XAJ261" s="1"/>
      <c r="XAK261" s="1"/>
      <c r="XAL261" s="1"/>
      <c r="XAM261" s="1"/>
      <c r="XAN261" s="1"/>
      <c r="XAO261" s="1"/>
      <c r="XAP261" s="1"/>
      <c r="XAQ261" s="1"/>
      <c r="XAR261" s="1"/>
      <c r="XAS261" s="1"/>
      <c r="XAT261" s="1"/>
      <c r="XAU261" s="1"/>
      <c r="XAV261" s="1"/>
      <c r="XAW261" s="1"/>
      <c r="XAX261" s="1"/>
      <c r="XAY261" s="1"/>
      <c r="XAZ261" s="1"/>
      <c r="XBA261" s="1"/>
      <c r="XBB261" s="1"/>
      <c r="XBC261" s="1"/>
      <c r="XBD261" s="1"/>
      <c r="XBE261" s="1"/>
      <c r="XBF261" s="1"/>
      <c r="XBG261" s="1"/>
      <c r="XBH261" s="1"/>
      <c r="XBI261" s="1"/>
      <c r="XBJ261" s="1"/>
      <c r="XBK261" s="1"/>
      <c r="XBL261" s="1"/>
      <c r="XBM261" s="1"/>
      <c r="XBN261" s="1"/>
      <c r="XBO261" s="1"/>
      <c r="XBP261" s="1"/>
      <c r="XBQ261" s="1"/>
      <c r="XBR261" s="1"/>
      <c r="XBS261" s="1"/>
      <c r="XBT261" s="1"/>
      <c r="XBU261" s="1"/>
      <c r="XBV261" s="1"/>
      <c r="XBW261" s="1"/>
      <c r="XBX261" s="1"/>
      <c r="XBY261" s="1"/>
      <c r="XBZ261" s="1"/>
      <c r="XCA261" s="1"/>
      <c r="XCB261" s="1"/>
      <c r="XCC261" s="1"/>
      <c r="XCD261" s="1"/>
      <c r="XCE261" s="1"/>
      <c r="XCF261" s="1"/>
      <c r="XCG261" s="1"/>
      <c r="XCH261" s="1"/>
      <c r="XCI261" s="1"/>
      <c r="XCJ261" s="1"/>
      <c r="XCK261" s="1"/>
      <c r="XCL261" s="1"/>
      <c r="XCM261" s="1"/>
      <c r="XCN261" s="1"/>
      <c r="XCO261" s="1"/>
      <c r="XCP261" s="1"/>
      <c r="XCQ261" s="1"/>
      <c r="XCR261" s="1"/>
      <c r="XCS261" s="1"/>
      <c r="XCT261" s="1"/>
      <c r="XCU261" s="1"/>
      <c r="XCV261" s="1"/>
      <c r="XCW261" s="1"/>
      <c r="XCX261" s="1"/>
      <c r="XCY261" s="1"/>
      <c r="XCZ261" s="1"/>
      <c r="XDA261" s="1"/>
      <c r="XDB261" s="1"/>
      <c r="XDC261" s="1"/>
      <c r="XDD261" s="1"/>
      <c r="XDE261" s="1"/>
      <c r="XDF261" s="1"/>
      <c r="XDG261" s="1"/>
      <c r="XDH261" s="1"/>
      <c r="XDI261" s="1"/>
      <c r="XDJ261" s="1"/>
      <c r="XDK261" s="1"/>
      <c r="XDL261" s="1"/>
      <c r="XDM261" s="1"/>
      <c r="XDN261" s="1"/>
      <c r="XDO261" s="1"/>
      <c r="XDP261" s="1"/>
      <c r="XDQ261" s="1"/>
      <c r="XDR261" s="1"/>
      <c r="XDS261" s="1"/>
      <c r="XDT261" s="1"/>
      <c r="XDU261" s="1"/>
      <c r="XDV261" s="1"/>
      <c r="XDW261" s="1"/>
      <c r="XDX261" s="1"/>
      <c r="XDY261" s="1"/>
      <c r="XDZ261" s="1"/>
      <c r="XEA261" s="1"/>
      <c r="XEB261" s="1"/>
      <c r="XEC261" s="1"/>
      <c r="XED261" s="1"/>
      <c r="XEE261" s="1"/>
      <c r="XEF261" s="1"/>
      <c r="XEG261" s="1"/>
      <c r="XEH261" s="1"/>
      <c r="XEI261" s="1"/>
      <c r="XEJ261" s="1"/>
      <c r="XEK261" s="1"/>
      <c r="XEL261" s="1"/>
      <c r="XEM261" s="1"/>
      <c r="XEN261" s="1"/>
      <c r="XEO261" s="1"/>
      <c r="XEP261" s="1"/>
      <c r="XEQ261" s="1"/>
      <c r="XER261" s="1"/>
      <c r="XES261" s="1"/>
      <c r="XET261" s="1"/>
      <c r="XEU261" s="1"/>
      <c r="XEV261" s="1"/>
      <c r="XEW261" s="1"/>
      <c r="XEX261" s="1"/>
      <c r="XEY261" s="1"/>
      <c r="XEZ261" s="1"/>
      <c r="XFA261" s="1"/>
      <c r="XFB261" s="1"/>
      <c r="XFC261" s="1"/>
    </row>
    <row r="262" spans="1:150 16226:16383" s="3" customFormat="1" ht="20.25" customHeight="1" x14ac:dyDescent="0.25">
      <c r="A262" s="135">
        <f>A260+1</f>
        <v>5</v>
      </c>
      <c r="B262" s="136"/>
      <c r="C262" s="61" t="s">
        <v>94</v>
      </c>
      <c r="D262" s="61" t="s">
        <v>344</v>
      </c>
      <c r="E262" s="88">
        <f>(43.01)*10.764</f>
        <v>462.95963999999992</v>
      </c>
      <c r="F262" s="88">
        <f>(2.45*1.6+2.14*1.2)*10.764</f>
        <v>69.836832000000001</v>
      </c>
      <c r="G262" s="87">
        <v>0</v>
      </c>
      <c r="H262" s="87">
        <f t="shared" si="19"/>
        <v>532.79647199999988</v>
      </c>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WZB262" s="1"/>
      <c r="WZC262" s="1"/>
      <c r="WZD262" s="1"/>
      <c r="WZE262" s="1"/>
      <c r="WZF262" s="1"/>
      <c r="WZG262" s="1"/>
      <c r="WZH262" s="1"/>
      <c r="WZI262" s="1"/>
      <c r="WZJ262" s="1"/>
      <c r="WZK262" s="1"/>
      <c r="WZL262" s="1"/>
      <c r="WZM262" s="1"/>
      <c r="WZN262" s="1"/>
      <c r="WZO262" s="1"/>
      <c r="WZP262" s="1"/>
      <c r="WZQ262" s="1"/>
      <c r="WZR262" s="1"/>
      <c r="WZS262" s="1"/>
      <c r="WZT262" s="1"/>
      <c r="WZU262" s="1"/>
      <c r="WZV262" s="1"/>
      <c r="WZW262" s="1"/>
      <c r="WZX262" s="1"/>
      <c r="WZY262" s="1"/>
      <c r="WZZ262" s="1"/>
      <c r="XAA262" s="1"/>
      <c r="XAB262" s="1"/>
      <c r="XAC262" s="1"/>
      <c r="XAD262" s="1"/>
      <c r="XAE262" s="1"/>
      <c r="XAF262" s="1"/>
      <c r="XAG262" s="1"/>
      <c r="XAH262" s="1"/>
      <c r="XAI262" s="1"/>
      <c r="XAJ262" s="1"/>
      <c r="XAK262" s="1"/>
      <c r="XAL262" s="1"/>
      <c r="XAM262" s="1"/>
      <c r="XAN262" s="1"/>
      <c r="XAO262" s="1"/>
      <c r="XAP262" s="1"/>
      <c r="XAQ262" s="1"/>
      <c r="XAR262" s="1"/>
      <c r="XAS262" s="1"/>
      <c r="XAT262" s="1"/>
      <c r="XAU262" s="1"/>
      <c r="XAV262" s="1"/>
      <c r="XAW262" s="1"/>
      <c r="XAX262" s="1"/>
      <c r="XAY262" s="1"/>
      <c r="XAZ262" s="1"/>
      <c r="XBA262" s="1"/>
      <c r="XBB262" s="1"/>
      <c r="XBC262" s="1"/>
      <c r="XBD262" s="1"/>
      <c r="XBE262" s="1"/>
      <c r="XBF262" s="1"/>
      <c r="XBG262" s="1"/>
      <c r="XBH262" s="1"/>
      <c r="XBI262" s="1"/>
      <c r="XBJ262" s="1"/>
      <c r="XBK262" s="1"/>
      <c r="XBL262" s="1"/>
      <c r="XBM262" s="1"/>
      <c r="XBN262" s="1"/>
      <c r="XBO262" s="1"/>
      <c r="XBP262" s="1"/>
      <c r="XBQ262" s="1"/>
      <c r="XBR262" s="1"/>
      <c r="XBS262" s="1"/>
      <c r="XBT262" s="1"/>
      <c r="XBU262" s="1"/>
      <c r="XBV262" s="1"/>
      <c r="XBW262" s="1"/>
      <c r="XBX262" s="1"/>
      <c r="XBY262" s="1"/>
      <c r="XBZ262" s="1"/>
      <c r="XCA262" s="1"/>
      <c r="XCB262" s="1"/>
      <c r="XCC262" s="1"/>
      <c r="XCD262" s="1"/>
      <c r="XCE262" s="1"/>
      <c r="XCF262" s="1"/>
      <c r="XCG262" s="1"/>
      <c r="XCH262" s="1"/>
      <c r="XCI262" s="1"/>
      <c r="XCJ262" s="1"/>
      <c r="XCK262" s="1"/>
      <c r="XCL262" s="1"/>
      <c r="XCM262" s="1"/>
      <c r="XCN262" s="1"/>
      <c r="XCO262" s="1"/>
      <c r="XCP262" s="1"/>
      <c r="XCQ262" s="1"/>
      <c r="XCR262" s="1"/>
      <c r="XCS262" s="1"/>
      <c r="XCT262" s="1"/>
      <c r="XCU262" s="1"/>
      <c r="XCV262" s="1"/>
      <c r="XCW262" s="1"/>
      <c r="XCX262" s="1"/>
      <c r="XCY262" s="1"/>
      <c r="XCZ262" s="1"/>
      <c r="XDA262" s="1"/>
      <c r="XDB262" s="1"/>
      <c r="XDC262" s="1"/>
      <c r="XDD262" s="1"/>
      <c r="XDE262" s="1"/>
      <c r="XDF262" s="1"/>
      <c r="XDG262" s="1"/>
      <c r="XDH262" s="1"/>
      <c r="XDI262" s="1"/>
      <c r="XDJ262" s="1"/>
      <c r="XDK262" s="1"/>
      <c r="XDL262" s="1"/>
      <c r="XDM262" s="1"/>
      <c r="XDN262" s="1"/>
      <c r="XDO262" s="1"/>
      <c r="XDP262" s="1"/>
      <c r="XDQ262" s="1"/>
      <c r="XDR262" s="1"/>
      <c r="XDS262" s="1"/>
      <c r="XDT262" s="1"/>
      <c r="XDU262" s="1"/>
      <c r="XDV262" s="1"/>
      <c r="XDW262" s="1"/>
      <c r="XDX262" s="1"/>
      <c r="XDY262" s="1"/>
      <c r="XDZ262" s="1"/>
      <c r="XEA262" s="1"/>
      <c r="XEB262" s="1"/>
      <c r="XEC262" s="1"/>
      <c r="XED262" s="1"/>
      <c r="XEE262" s="1"/>
      <c r="XEF262" s="1"/>
      <c r="XEG262" s="1"/>
      <c r="XEH262" s="1"/>
      <c r="XEI262" s="1"/>
      <c r="XEJ262" s="1"/>
      <c r="XEK262" s="1"/>
      <c r="XEL262" s="1"/>
      <c r="XEM262" s="1"/>
      <c r="XEN262" s="1"/>
      <c r="XEO262" s="1"/>
      <c r="XEP262" s="1"/>
      <c r="XEQ262" s="1"/>
      <c r="XER262" s="1"/>
      <c r="XES262" s="1"/>
      <c r="XET262" s="1"/>
      <c r="XEU262" s="1"/>
      <c r="XEV262" s="1"/>
      <c r="XEW262" s="1"/>
      <c r="XEX262" s="1"/>
      <c r="XEY262" s="1"/>
      <c r="XEZ262" s="1"/>
      <c r="XFA262" s="1"/>
      <c r="XFB262" s="1"/>
      <c r="XFC262" s="1"/>
    </row>
    <row r="263" spans="1:150 16226:16383" s="3" customFormat="1" ht="20.25" customHeight="1" x14ac:dyDescent="0.25">
      <c r="A263" s="135">
        <f t="shared" si="20"/>
        <v>6</v>
      </c>
      <c r="B263" s="136"/>
      <c r="C263" s="61" t="s">
        <v>94</v>
      </c>
      <c r="D263" s="61" t="s">
        <v>346</v>
      </c>
      <c r="E263" s="96">
        <f>(47.92)*10.764</f>
        <v>515.81088</v>
      </c>
      <c r="F263" s="96">
        <f>((2.7+2.4)*1.6+2.14*1.2)*10.764</f>
        <v>115.47619199999998</v>
      </c>
      <c r="G263" s="87">
        <v>0</v>
      </c>
      <c r="H263" s="87">
        <f t="shared" si="19"/>
        <v>631.28707199999997</v>
      </c>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WZB263" s="1"/>
      <c r="WZC263" s="1"/>
      <c r="WZD263" s="1"/>
      <c r="WZE263" s="1"/>
      <c r="WZF263" s="1"/>
      <c r="WZG263" s="1"/>
      <c r="WZH263" s="1"/>
      <c r="WZI263" s="1"/>
      <c r="WZJ263" s="1"/>
      <c r="WZK263" s="1"/>
      <c r="WZL263" s="1"/>
      <c r="WZM263" s="1"/>
      <c r="WZN263" s="1"/>
      <c r="WZO263" s="1"/>
      <c r="WZP263" s="1"/>
      <c r="WZQ263" s="1"/>
      <c r="WZR263" s="1"/>
      <c r="WZS263" s="1"/>
      <c r="WZT263" s="1"/>
      <c r="WZU263" s="1"/>
      <c r="WZV263" s="1"/>
      <c r="WZW263" s="1"/>
      <c r="WZX263" s="1"/>
      <c r="WZY263" s="1"/>
      <c r="WZZ263" s="1"/>
      <c r="XAA263" s="1"/>
      <c r="XAB263" s="1"/>
      <c r="XAC263" s="1"/>
      <c r="XAD263" s="1"/>
      <c r="XAE263" s="1"/>
      <c r="XAF263" s="1"/>
      <c r="XAG263" s="1"/>
      <c r="XAH263" s="1"/>
      <c r="XAI263" s="1"/>
      <c r="XAJ263" s="1"/>
      <c r="XAK263" s="1"/>
      <c r="XAL263" s="1"/>
      <c r="XAM263" s="1"/>
      <c r="XAN263" s="1"/>
      <c r="XAO263" s="1"/>
      <c r="XAP263" s="1"/>
      <c r="XAQ263" s="1"/>
      <c r="XAR263" s="1"/>
      <c r="XAS263" s="1"/>
      <c r="XAT263" s="1"/>
      <c r="XAU263" s="1"/>
      <c r="XAV263" s="1"/>
      <c r="XAW263" s="1"/>
      <c r="XAX263" s="1"/>
      <c r="XAY263" s="1"/>
      <c r="XAZ263" s="1"/>
      <c r="XBA263" s="1"/>
      <c r="XBB263" s="1"/>
      <c r="XBC263" s="1"/>
      <c r="XBD263" s="1"/>
      <c r="XBE263" s="1"/>
      <c r="XBF263" s="1"/>
      <c r="XBG263" s="1"/>
      <c r="XBH263" s="1"/>
      <c r="XBI263" s="1"/>
      <c r="XBJ263" s="1"/>
      <c r="XBK263" s="1"/>
      <c r="XBL263" s="1"/>
      <c r="XBM263" s="1"/>
      <c r="XBN263" s="1"/>
      <c r="XBO263" s="1"/>
      <c r="XBP263" s="1"/>
      <c r="XBQ263" s="1"/>
      <c r="XBR263" s="1"/>
      <c r="XBS263" s="1"/>
      <c r="XBT263" s="1"/>
      <c r="XBU263" s="1"/>
      <c r="XBV263" s="1"/>
      <c r="XBW263" s="1"/>
      <c r="XBX263" s="1"/>
      <c r="XBY263" s="1"/>
      <c r="XBZ263" s="1"/>
      <c r="XCA263" s="1"/>
      <c r="XCB263" s="1"/>
      <c r="XCC263" s="1"/>
      <c r="XCD263" s="1"/>
      <c r="XCE263" s="1"/>
      <c r="XCF263" s="1"/>
      <c r="XCG263" s="1"/>
      <c r="XCH263" s="1"/>
      <c r="XCI263" s="1"/>
      <c r="XCJ263" s="1"/>
      <c r="XCK263" s="1"/>
      <c r="XCL263" s="1"/>
      <c r="XCM263" s="1"/>
      <c r="XCN263" s="1"/>
      <c r="XCO263" s="1"/>
      <c r="XCP263" s="1"/>
      <c r="XCQ263" s="1"/>
      <c r="XCR263" s="1"/>
      <c r="XCS263" s="1"/>
      <c r="XCT263" s="1"/>
      <c r="XCU263" s="1"/>
      <c r="XCV263" s="1"/>
      <c r="XCW263" s="1"/>
      <c r="XCX263" s="1"/>
      <c r="XCY263" s="1"/>
      <c r="XCZ263" s="1"/>
      <c r="XDA263" s="1"/>
      <c r="XDB263" s="1"/>
      <c r="XDC263" s="1"/>
      <c r="XDD263" s="1"/>
      <c r="XDE263" s="1"/>
      <c r="XDF263" s="1"/>
      <c r="XDG263" s="1"/>
      <c r="XDH263" s="1"/>
      <c r="XDI263" s="1"/>
      <c r="XDJ263" s="1"/>
      <c r="XDK263" s="1"/>
      <c r="XDL263" s="1"/>
      <c r="XDM263" s="1"/>
      <c r="XDN263" s="1"/>
      <c r="XDO263" s="1"/>
      <c r="XDP263" s="1"/>
      <c r="XDQ263" s="1"/>
      <c r="XDR263" s="1"/>
      <c r="XDS263" s="1"/>
      <c r="XDT263" s="1"/>
      <c r="XDU263" s="1"/>
      <c r="XDV263" s="1"/>
      <c r="XDW263" s="1"/>
      <c r="XDX263" s="1"/>
      <c r="XDY263" s="1"/>
      <c r="XDZ263" s="1"/>
      <c r="XEA263" s="1"/>
      <c r="XEB263" s="1"/>
      <c r="XEC263" s="1"/>
      <c r="XED263" s="1"/>
      <c r="XEE263" s="1"/>
      <c r="XEF263" s="1"/>
      <c r="XEG263" s="1"/>
      <c r="XEH263" s="1"/>
      <c r="XEI263" s="1"/>
      <c r="XEJ263" s="1"/>
      <c r="XEK263" s="1"/>
      <c r="XEL263" s="1"/>
      <c r="XEM263" s="1"/>
      <c r="XEN263" s="1"/>
      <c r="XEO263" s="1"/>
      <c r="XEP263" s="1"/>
      <c r="XEQ263" s="1"/>
      <c r="XER263" s="1"/>
      <c r="XES263" s="1"/>
      <c r="XET263" s="1"/>
      <c r="XEU263" s="1"/>
      <c r="XEV263" s="1"/>
      <c r="XEW263" s="1"/>
      <c r="XEX263" s="1"/>
      <c r="XEY263" s="1"/>
      <c r="XEZ263" s="1"/>
      <c r="XFA263" s="1"/>
      <c r="XFB263" s="1"/>
      <c r="XFC263" s="1"/>
    </row>
    <row r="264" spans="1:150 16226:16383" s="3" customFormat="1" ht="20.25" customHeight="1" x14ac:dyDescent="0.25">
      <c r="A264" s="135">
        <f t="shared" si="20"/>
        <v>7</v>
      </c>
      <c r="B264" s="136"/>
      <c r="C264" s="61" t="s">
        <v>94</v>
      </c>
      <c r="D264" s="61" t="s">
        <v>346</v>
      </c>
      <c r="E264" s="96">
        <f>(47.92)*10.764</f>
        <v>515.81088</v>
      </c>
      <c r="F264" s="96">
        <f>((2.7+2.4)*1.6+2.14*1.2)*10.764</f>
        <v>115.47619199999998</v>
      </c>
      <c r="G264" s="87">
        <v>0</v>
      </c>
      <c r="H264" s="87">
        <f t="shared" si="19"/>
        <v>631.28707199999997</v>
      </c>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WZB264" s="1"/>
      <c r="WZC264" s="1"/>
      <c r="WZD264" s="1"/>
      <c r="WZE264" s="1"/>
      <c r="WZF264" s="1"/>
      <c r="WZG264" s="1"/>
      <c r="WZH264" s="1"/>
      <c r="WZI264" s="1"/>
      <c r="WZJ264" s="1"/>
      <c r="WZK264" s="1"/>
      <c r="WZL264" s="1"/>
      <c r="WZM264" s="1"/>
      <c r="WZN264" s="1"/>
      <c r="WZO264" s="1"/>
      <c r="WZP264" s="1"/>
      <c r="WZQ264" s="1"/>
      <c r="WZR264" s="1"/>
      <c r="WZS264" s="1"/>
      <c r="WZT264" s="1"/>
      <c r="WZU264" s="1"/>
      <c r="WZV264" s="1"/>
      <c r="WZW264" s="1"/>
      <c r="WZX264" s="1"/>
      <c r="WZY264" s="1"/>
      <c r="WZZ264" s="1"/>
      <c r="XAA264" s="1"/>
      <c r="XAB264" s="1"/>
      <c r="XAC264" s="1"/>
      <c r="XAD264" s="1"/>
      <c r="XAE264" s="1"/>
      <c r="XAF264" s="1"/>
      <c r="XAG264" s="1"/>
      <c r="XAH264" s="1"/>
      <c r="XAI264" s="1"/>
      <c r="XAJ264" s="1"/>
      <c r="XAK264" s="1"/>
      <c r="XAL264" s="1"/>
      <c r="XAM264" s="1"/>
      <c r="XAN264" s="1"/>
      <c r="XAO264" s="1"/>
      <c r="XAP264" s="1"/>
      <c r="XAQ264" s="1"/>
      <c r="XAR264" s="1"/>
      <c r="XAS264" s="1"/>
      <c r="XAT264" s="1"/>
      <c r="XAU264" s="1"/>
      <c r="XAV264" s="1"/>
      <c r="XAW264" s="1"/>
      <c r="XAX264" s="1"/>
      <c r="XAY264" s="1"/>
      <c r="XAZ264" s="1"/>
      <c r="XBA264" s="1"/>
      <c r="XBB264" s="1"/>
      <c r="XBC264" s="1"/>
      <c r="XBD264" s="1"/>
      <c r="XBE264" s="1"/>
      <c r="XBF264" s="1"/>
      <c r="XBG264" s="1"/>
      <c r="XBH264" s="1"/>
      <c r="XBI264" s="1"/>
      <c r="XBJ264" s="1"/>
      <c r="XBK264" s="1"/>
      <c r="XBL264" s="1"/>
      <c r="XBM264" s="1"/>
      <c r="XBN264" s="1"/>
      <c r="XBO264" s="1"/>
      <c r="XBP264" s="1"/>
      <c r="XBQ264" s="1"/>
      <c r="XBR264" s="1"/>
      <c r="XBS264" s="1"/>
      <c r="XBT264" s="1"/>
      <c r="XBU264" s="1"/>
      <c r="XBV264" s="1"/>
      <c r="XBW264" s="1"/>
      <c r="XBX264" s="1"/>
      <c r="XBY264" s="1"/>
      <c r="XBZ264" s="1"/>
      <c r="XCA264" s="1"/>
      <c r="XCB264" s="1"/>
      <c r="XCC264" s="1"/>
      <c r="XCD264" s="1"/>
      <c r="XCE264" s="1"/>
      <c r="XCF264" s="1"/>
      <c r="XCG264" s="1"/>
      <c r="XCH264" s="1"/>
      <c r="XCI264" s="1"/>
      <c r="XCJ264" s="1"/>
      <c r="XCK264" s="1"/>
      <c r="XCL264" s="1"/>
      <c r="XCM264" s="1"/>
      <c r="XCN264" s="1"/>
      <c r="XCO264" s="1"/>
      <c r="XCP264" s="1"/>
      <c r="XCQ264" s="1"/>
      <c r="XCR264" s="1"/>
      <c r="XCS264" s="1"/>
      <c r="XCT264" s="1"/>
      <c r="XCU264" s="1"/>
      <c r="XCV264" s="1"/>
      <c r="XCW264" s="1"/>
      <c r="XCX264" s="1"/>
      <c r="XCY264" s="1"/>
      <c r="XCZ264" s="1"/>
      <c r="XDA264" s="1"/>
      <c r="XDB264" s="1"/>
      <c r="XDC264" s="1"/>
      <c r="XDD264" s="1"/>
      <c r="XDE264" s="1"/>
      <c r="XDF264" s="1"/>
      <c r="XDG264" s="1"/>
      <c r="XDH264" s="1"/>
      <c r="XDI264" s="1"/>
      <c r="XDJ264" s="1"/>
      <c r="XDK264" s="1"/>
      <c r="XDL264" s="1"/>
      <c r="XDM264" s="1"/>
      <c r="XDN264" s="1"/>
      <c r="XDO264" s="1"/>
      <c r="XDP264" s="1"/>
      <c r="XDQ264" s="1"/>
      <c r="XDR264" s="1"/>
      <c r="XDS264" s="1"/>
      <c r="XDT264" s="1"/>
      <c r="XDU264" s="1"/>
      <c r="XDV264" s="1"/>
      <c r="XDW264" s="1"/>
      <c r="XDX264" s="1"/>
      <c r="XDY264" s="1"/>
      <c r="XDZ264" s="1"/>
      <c r="XEA264" s="1"/>
      <c r="XEB264" s="1"/>
      <c r="XEC264" s="1"/>
      <c r="XED264" s="1"/>
      <c r="XEE264" s="1"/>
      <c r="XEF264" s="1"/>
      <c r="XEG264" s="1"/>
      <c r="XEH264" s="1"/>
      <c r="XEI264" s="1"/>
      <c r="XEJ264" s="1"/>
      <c r="XEK264" s="1"/>
      <c r="XEL264" s="1"/>
      <c r="XEM264" s="1"/>
      <c r="XEN264" s="1"/>
      <c r="XEO264" s="1"/>
      <c r="XEP264" s="1"/>
      <c r="XEQ264" s="1"/>
      <c r="XER264" s="1"/>
      <c r="XES264" s="1"/>
      <c r="XET264" s="1"/>
      <c r="XEU264" s="1"/>
      <c r="XEV264" s="1"/>
      <c r="XEW264" s="1"/>
      <c r="XEX264" s="1"/>
      <c r="XEY264" s="1"/>
      <c r="XEZ264" s="1"/>
      <c r="XFA264" s="1"/>
      <c r="XFB264" s="1"/>
      <c r="XFC264" s="1"/>
    </row>
    <row r="265" spans="1:150 16226:16383" s="3" customFormat="1" ht="20.25" customHeight="1" x14ac:dyDescent="0.25">
      <c r="A265" s="135">
        <f t="shared" si="20"/>
        <v>8</v>
      </c>
      <c r="B265" s="136"/>
      <c r="C265" s="61" t="s">
        <v>94</v>
      </c>
      <c r="D265" s="61" t="s">
        <v>346</v>
      </c>
      <c r="E265" s="96">
        <f>(52.06)*10.764</f>
        <v>560.37383999999997</v>
      </c>
      <c r="F265" s="96">
        <f>(2.57+2.45*1.6+2.14*1.2+3*0.75)*10.764</f>
        <v>121.71931199999999</v>
      </c>
      <c r="G265" s="87">
        <v>0</v>
      </c>
      <c r="H265" s="87">
        <f t="shared" si="19"/>
        <v>682.09315199999992</v>
      </c>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WZB265" s="1"/>
      <c r="WZC265" s="1"/>
      <c r="WZD265" s="1"/>
      <c r="WZE265" s="1"/>
      <c r="WZF265" s="1"/>
      <c r="WZG265" s="1"/>
      <c r="WZH265" s="1"/>
      <c r="WZI265" s="1"/>
      <c r="WZJ265" s="1"/>
      <c r="WZK265" s="1"/>
      <c r="WZL265" s="1"/>
      <c r="WZM265" s="1"/>
      <c r="WZN265" s="1"/>
      <c r="WZO265" s="1"/>
      <c r="WZP265" s="1"/>
      <c r="WZQ265" s="1"/>
      <c r="WZR265" s="1"/>
      <c r="WZS265" s="1"/>
      <c r="WZT265" s="1"/>
      <c r="WZU265" s="1"/>
      <c r="WZV265" s="1"/>
      <c r="WZW265" s="1"/>
      <c r="WZX265" s="1"/>
      <c r="WZY265" s="1"/>
      <c r="WZZ265" s="1"/>
      <c r="XAA265" s="1"/>
      <c r="XAB265" s="1"/>
      <c r="XAC265" s="1"/>
      <c r="XAD265" s="1"/>
      <c r="XAE265" s="1"/>
      <c r="XAF265" s="1"/>
      <c r="XAG265" s="1"/>
      <c r="XAH265" s="1"/>
      <c r="XAI265" s="1"/>
      <c r="XAJ265" s="1"/>
      <c r="XAK265" s="1"/>
      <c r="XAL265" s="1"/>
      <c r="XAM265" s="1"/>
      <c r="XAN265" s="1"/>
      <c r="XAO265" s="1"/>
      <c r="XAP265" s="1"/>
      <c r="XAQ265" s="1"/>
      <c r="XAR265" s="1"/>
      <c r="XAS265" s="1"/>
      <c r="XAT265" s="1"/>
      <c r="XAU265" s="1"/>
      <c r="XAV265" s="1"/>
      <c r="XAW265" s="1"/>
      <c r="XAX265" s="1"/>
      <c r="XAY265" s="1"/>
      <c r="XAZ265" s="1"/>
      <c r="XBA265" s="1"/>
      <c r="XBB265" s="1"/>
      <c r="XBC265" s="1"/>
      <c r="XBD265" s="1"/>
      <c r="XBE265" s="1"/>
      <c r="XBF265" s="1"/>
      <c r="XBG265" s="1"/>
      <c r="XBH265" s="1"/>
      <c r="XBI265" s="1"/>
      <c r="XBJ265" s="1"/>
      <c r="XBK265" s="1"/>
      <c r="XBL265" s="1"/>
      <c r="XBM265" s="1"/>
      <c r="XBN265" s="1"/>
      <c r="XBO265" s="1"/>
      <c r="XBP265" s="1"/>
      <c r="XBQ265" s="1"/>
      <c r="XBR265" s="1"/>
      <c r="XBS265" s="1"/>
      <c r="XBT265" s="1"/>
      <c r="XBU265" s="1"/>
      <c r="XBV265" s="1"/>
      <c r="XBW265" s="1"/>
      <c r="XBX265" s="1"/>
      <c r="XBY265" s="1"/>
      <c r="XBZ265" s="1"/>
      <c r="XCA265" s="1"/>
      <c r="XCB265" s="1"/>
      <c r="XCC265" s="1"/>
      <c r="XCD265" s="1"/>
      <c r="XCE265" s="1"/>
      <c r="XCF265" s="1"/>
      <c r="XCG265" s="1"/>
      <c r="XCH265" s="1"/>
      <c r="XCI265" s="1"/>
      <c r="XCJ265" s="1"/>
      <c r="XCK265" s="1"/>
      <c r="XCL265" s="1"/>
      <c r="XCM265" s="1"/>
      <c r="XCN265" s="1"/>
      <c r="XCO265" s="1"/>
      <c r="XCP265" s="1"/>
      <c r="XCQ265" s="1"/>
      <c r="XCR265" s="1"/>
      <c r="XCS265" s="1"/>
      <c r="XCT265" s="1"/>
      <c r="XCU265" s="1"/>
      <c r="XCV265" s="1"/>
      <c r="XCW265" s="1"/>
      <c r="XCX265" s="1"/>
      <c r="XCY265" s="1"/>
      <c r="XCZ265" s="1"/>
      <c r="XDA265" s="1"/>
      <c r="XDB265" s="1"/>
      <c r="XDC265" s="1"/>
      <c r="XDD265" s="1"/>
      <c r="XDE265" s="1"/>
      <c r="XDF265" s="1"/>
      <c r="XDG265" s="1"/>
      <c r="XDH265" s="1"/>
      <c r="XDI265" s="1"/>
      <c r="XDJ265" s="1"/>
      <c r="XDK265" s="1"/>
      <c r="XDL265" s="1"/>
      <c r="XDM265" s="1"/>
      <c r="XDN265" s="1"/>
      <c r="XDO265" s="1"/>
      <c r="XDP265" s="1"/>
      <c r="XDQ265" s="1"/>
      <c r="XDR265" s="1"/>
      <c r="XDS265" s="1"/>
      <c r="XDT265" s="1"/>
      <c r="XDU265" s="1"/>
      <c r="XDV265" s="1"/>
      <c r="XDW265" s="1"/>
      <c r="XDX265" s="1"/>
      <c r="XDY265" s="1"/>
      <c r="XDZ265" s="1"/>
      <c r="XEA265" s="1"/>
      <c r="XEB265" s="1"/>
      <c r="XEC265" s="1"/>
      <c r="XED265" s="1"/>
      <c r="XEE265" s="1"/>
      <c r="XEF265" s="1"/>
      <c r="XEG265" s="1"/>
      <c r="XEH265" s="1"/>
      <c r="XEI265" s="1"/>
      <c r="XEJ265" s="1"/>
      <c r="XEK265" s="1"/>
      <c r="XEL265" s="1"/>
      <c r="XEM265" s="1"/>
      <c r="XEN265" s="1"/>
      <c r="XEO265" s="1"/>
      <c r="XEP265" s="1"/>
      <c r="XEQ265" s="1"/>
      <c r="XER265" s="1"/>
      <c r="XES265" s="1"/>
      <c r="XET265" s="1"/>
      <c r="XEU265" s="1"/>
      <c r="XEV265" s="1"/>
      <c r="XEW265" s="1"/>
      <c r="XEX265" s="1"/>
      <c r="XEY265" s="1"/>
      <c r="XEZ265" s="1"/>
      <c r="XFA265" s="1"/>
      <c r="XFB265" s="1"/>
      <c r="XFC265" s="1"/>
    </row>
    <row r="266" spans="1:150 16226:16383" s="3" customFormat="1" ht="20.25" customHeight="1" x14ac:dyDescent="0.25">
      <c r="A266" s="135">
        <f t="shared" si="20"/>
        <v>9</v>
      </c>
      <c r="B266" s="136"/>
      <c r="C266" s="61" t="s">
        <v>94</v>
      </c>
      <c r="D266" s="61" t="s">
        <v>346</v>
      </c>
      <c r="E266" s="96">
        <f>(52.06)*10.764</f>
        <v>560.37383999999997</v>
      </c>
      <c r="F266" s="96">
        <f>(2.57+2.45*1.6+2.14*1.2+3*0.75)*10.764</f>
        <v>121.71931199999999</v>
      </c>
      <c r="G266" s="87">
        <v>0</v>
      </c>
      <c r="H266" s="87">
        <f t="shared" si="19"/>
        <v>682.09315199999992</v>
      </c>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WZB266" s="1"/>
      <c r="WZC266" s="1"/>
      <c r="WZD266" s="1"/>
      <c r="WZE266" s="1"/>
      <c r="WZF266" s="1"/>
      <c r="WZG266" s="1"/>
      <c r="WZH266" s="1"/>
      <c r="WZI266" s="1"/>
      <c r="WZJ266" s="1"/>
      <c r="WZK266" s="1"/>
      <c r="WZL266" s="1"/>
      <c r="WZM266" s="1"/>
      <c r="WZN266" s="1"/>
      <c r="WZO266" s="1"/>
      <c r="WZP266" s="1"/>
      <c r="WZQ266" s="1"/>
      <c r="WZR266" s="1"/>
      <c r="WZS266" s="1"/>
      <c r="WZT266" s="1"/>
      <c r="WZU266" s="1"/>
      <c r="WZV266" s="1"/>
      <c r="WZW266" s="1"/>
      <c r="WZX266" s="1"/>
      <c r="WZY266" s="1"/>
      <c r="WZZ266" s="1"/>
      <c r="XAA266" s="1"/>
      <c r="XAB266" s="1"/>
      <c r="XAC266" s="1"/>
      <c r="XAD266" s="1"/>
      <c r="XAE266" s="1"/>
      <c r="XAF266" s="1"/>
      <c r="XAG266" s="1"/>
      <c r="XAH266" s="1"/>
      <c r="XAI266" s="1"/>
      <c r="XAJ266" s="1"/>
      <c r="XAK266" s="1"/>
      <c r="XAL266" s="1"/>
      <c r="XAM266" s="1"/>
      <c r="XAN266" s="1"/>
      <c r="XAO266" s="1"/>
      <c r="XAP266" s="1"/>
      <c r="XAQ266" s="1"/>
      <c r="XAR266" s="1"/>
      <c r="XAS266" s="1"/>
      <c r="XAT266" s="1"/>
      <c r="XAU266" s="1"/>
      <c r="XAV266" s="1"/>
      <c r="XAW266" s="1"/>
      <c r="XAX266" s="1"/>
      <c r="XAY266" s="1"/>
      <c r="XAZ266" s="1"/>
      <c r="XBA266" s="1"/>
      <c r="XBB266" s="1"/>
      <c r="XBC266" s="1"/>
      <c r="XBD266" s="1"/>
      <c r="XBE266" s="1"/>
      <c r="XBF266" s="1"/>
      <c r="XBG266" s="1"/>
      <c r="XBH266" s="1"/>
      <c r="XBI266" s="1"/>
      <c r="XBJ266" s="1"/>
      <c r="XBK266" s="1"/>
      <c r="XBL266" s="1"/>
      <c r="XBM266" s="1"/>
      <c r="XBN266" s="1"/>
      <c r="XBO266" s="1"/>
      <c r="XBP266" s="1"/>
      <c r="XBQ266" s="1"/>
      <c r="XBR266" s="1"/>
      <c r="XBS266" s="1"/>
      <c r="XBT266" s="1"/>
      <c r="XBU266" s="1"/>
      <c r="XBV266" s="1"/>
      <c r="XBW266" s="1"/>
      <c r="XBX266" s="1"/>
      <c r="XBY266" s="1"/>
      <c r="XBZ266" s="1"/>
      <c r="XCA266" s="1"/>
      <c r="XCB266" s="1"/>
      <c r="XCC266" s="1"/>
      <c r="XCD266" s="1"/>
      <c r="XCE266" s="1"/>
      <c r="XCF266" s="1"/>
      <c r="XCG266" s="1"/>
      <c r="XCH266" s="1"/>
      <c r="XCI266" s="1"/>
      <c r="XCJ266" s="1"/>
      <c r="XCK266" s="1"/>
      <c r="XCL266" s="1"/>
      <c r="XCM266" s="1"/>
      <c r="XCN266" s="1"/>
      <c r="XCO266" s="1"/>
      <c r="XCP266" s="1"/>
      <c r="XCQ266" s="1"/>
      <c r="XCR266" s="1"/>
      <c r="XCS266" s="1"/>
      <c r="XCT266" s="1"/>
      <c r="XCU266" s="1"/>
      <c r="XCV266" s="1"/>
      <c r="XCW266" s="1"/>
      <c r="XCX266" s="1"/>
      <c r="XCY266" s="1"/>
      <c r="XCZ266" s="1"/>
      <c r="XDA266" s="1"/>
      <c r="XDB266" s="1"/>
      <c r="XDC266" s="1"/>
      <c r="XDD266" s="1"/>
      <c r="XDE266" s="1"/>
      <c r="XDF266" s="1"/>
      <c r="XDG266" s="1"/>
      <c r="XDH266" s="1"/>
      <c r="XDI266" s="1"/>
      <c r="XDJ266" s="1"/>
      <c r="XDK266" s="1"/>
      <c r="XDL266" s="1"/>
      <c r="XDM266" s="1"/>
      <c r="XDN266" s="1"/>
      <c r="XDO266" s="1"/>
      <c r="XDP266" s="1"/>
      <c r="XDQ266" s="1"/>
      <c r="XDR266" s="1"/>
      <c r="XDS266" s="1"/>
      <c r="XDT266" s="1"/>
      <c r="XDU266" s="1"/>
      <c r="XDV266" s="1"/>
      <c r="XDW266" s="1"/>
      <c r="XDX266" s="1"/>
      <c r="XDY266" s="1"/>
      <c r="XDZ266" s="1"/>
      <c r="XEA266" s="1"/>
      <c r="XEB266" s="1"/>
      <c r="XEC266" s="1"/>
      <c r="XED266" s="1"/>
      <c r="XEE266" s="1"/>
      <c r="XEF266" s="1"/>
      <c r="XEG266" s="1"/>
      <c r="XEH266" s="1"/>
      <c r="XEI266" s="1"/>
      <c r="XEJ266" s="1"/>
      <c r="XEK266" s="1"/>
      <c r="XEL266" s="1"/>
      <c r="XEM266" s="1"/>
      <c r="XEN266" s="1"/>
      <c r="XEO266" s="1"/>
      <c r="XEP266" s="1"/>
      <c r="XEQ266" s="1"/>
      <c r="XER266" s="1"/>
      <c r="XES266" s="1"/>
      <c r="XET266" s="1"/>
      <c r="XEU266" s="1"/>
      <c r="XEV266" s="1"/>
      <c r="XEW266" s="1"/>
      <c r="XEX266" s="1"/>
      <c r="XEY266" s="1"/>
      <c r="XEZ266" s="1"/>
      <c r="XFA266" s="1"/>
      <c r="XFB266" s="1"/>
      <c r="XFC266" s="1"/>
    </row>
    <row r="267" spans="1:150 16226:16383" s="3" customFormat="1" ht="20.25" customHeight="1" x14ac:dyDescent="0.25">
      <c r="A267" s="135">
        <f t="shared" si="20"/>
        <v>10</v>
      </c>
      <c r="B267" s="136"/>
      <c r="C267" s="61" t="s">
        <v>94</v>
      </c>
      <c r="D267" s="61" t="s">
        <v>346</v>
      </c>
      <c r="E267" s="96">
        <f>(52.06)*10.764</f>
        <v>560.37383999999997</v>
      </c>
      <c r="F267" s="96">
        <f>(2.57+2.45*1.6+2.14*1.2+3*0.75)*10.764</f>
        <v>121.71931199999999</v>
      </c>
      <c r="G267" s="87">
        <v>0</v>
      </c>
      <c r="H267" s="87">
        <f t="shared" si="19"/>
        <v>682.09315199999992</v>
      </c>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WZB267" s="1"/>
      <c r="WZC267" s="1"/>
      <c r="WZD267" s="1"/>
      <c r="WZE267" s="1"/>
      <c r="WZF267" s="1"/>
      <c r="WZG267" s="1"/>
      <c r="WZH267" s="1"/>
      <c r="WZI267" s="1"/>
      <c r="WZJ267" s="1"/>
      <c r="WZK267" s="1"/>
      <c r="WZL267" s="1"/>
      <c r="WZM267" s="1"/>
      <c r="WZN267" s="1"/>
      <c r="WZO267" s="1"/>
      <c r="WZP267" s="1"/>
      <c r="WZQ267" s="1"/>
      <c r="WZR267" s="1"/>
      <c r="WZS267" s="1"/>
      <c r="WZT267" s="1"/>
      <c r="WZU267" s="1"/>
      <c r="WZV267" s="1"/>
      <c r="WZW267" s="1"/>
      <c r="WZX267" s="1"/>
      <c r="WZY267" s="1"/>
      <c r="WZZ267" s="1"/>
      <c r="XAA267" s="1"/>
      <c r="XAB267" s="1"/>
      <c r="XAC267" s="1"/>
      <c r="XAD267" s="1"/>
      <c r="XAE267" s="1"/>
      <c r="XAF267" s="1"/>
      <c r="XAG267" s="1"/>
      <c r="XAH267" s="1"/>
      <c r="XAI267" s="1"/>
      <c r="XAJ267" s="1"/>
      <c r="XAK267" s="1"/>
      <c r="XAL267" s="1"/>
      <c r="XAM267" s="1"/>
      <c r="XAN267" s="1"/>
      <c r="XAO267" s="1"/>
      <c r="XAP267" s="1"/>
      <c r="XAQ267" s="1"/>
      <c r="XAR267" s="1"/>
      <c r="XAS267" s="1"/>
      <c r="XAT267" s="1"/>
      <c r="XAU267" s="1"/>
      <c r="XAV267" s="1"/>
      <c r="XAW267" s="1"/>
      <c r="XAX267" s="1"/>
      <c r="XAY267" s="1"/>
      <c r="XAZ267" s="1"/>
      <c r="XBA267" s="1"/>
      <c r="XBB267" s="1"/>
      <c r="XBC267" s="1"/>
      <c r="XBD267" s="1"/>
      <c r="XBE267" s="1"/>
      <c r="XBF267" s="1"/>
      <c r="XBG267" s="1"/>
      <c r="XBH267" s="1"/>
      <c r="XBI267" s="1"/>
      <c r="XBJ267" s="1"/>
      <c r="XBK267" s="1"/>
      <c r="XBL267" s="1"/>
      <c r="XBM267" s="1"/>
      <c r="XBN267" s="1"/>
      <c r="XBO267" s="1"/>
      <c r="XBP267" s="1"/>
      <c r="XBQ267" s="1"/>
      <c r="XBR267" s="1"/>
      <c r="XBS267" s="1"/>
      <c r="XBT267" s="1"/>
      <c r="XBU267" s="1"/>
      <c r="XBV267" s="1"/>
      <c r="XBW267" s="1"/>
      <c r="XBX267" s="1"/>
      <c r="XBY267" s="1"/>
      <c r="XBZ267" s="1"/>
      <c r="XCA267" s="1"/>
      <c r="XCB267" s="1"/>
      <c r="XCC267" s="1"/>
      <c r="XCD267" s="1"/>
      <c r="XCE267" s="1"/>
      <c r="XCF267" s="1"/>
      <c r="XCG267" s="1"/>
      <c r="XCH267" s="1"/>
      <c r="XCI267" s="1"/>
      <c r="XCJ267" s="1"/>
      <c r="XCK267" s="1"/>
      <c r="XCL267" s="1"/>
      <c r="XCM267" s="1"/>
      <c r="XCN267" s="1"/>
      <c r="XCO267" s="1"/>
      <c r="XCP267" s="1"/>
      <c r="XCQ267" s="1"/>
      <c r="XCR267" s="1"/>
      <c r="XCS267" s="1"/>
      <c r="XCT267" s="1"/>
      <c r="XCU267" s="1"/>
      <c r="XCV267" s="1"/>
      <c r="XCW267" s="1"/>
      <c r="XCX267" s="1"/>
      <c r="XCY267" s="1"/>
      <c r="XCZ267" s="1"/>
      <c r="XDA267" s="1"/>
      <c r="XDB267" s="1"/>
      <c r="XDC267" s="1"/>
      <c r="XDD267" s="1"/>
      <c r="XDE267" s="1"/>
      <c r="XDF267" s="1"/>
      <c r="XDG267" s="1"/>
      <c r="XDH267" s="1"/>
      <c r="XDI267" s="1"/>
      <c r="XDJ267" s="1"/>
      <c r="XDK267" s="1"/>
      <c r="XDL267" s="1"/>
      <c r="XDM267" s="1"/>
      <c r="XDN267" s="1"/>
      <c r="XDO267" s="1"/>
      <c r="XDP267" s="1"/>
      <c r="XDQ267" s="1"/>
      <c r="XDR267" s="1"/>
      <c r="XDS267" s="1"/>
      <c r="XDT267" s="1"/>
      <c r="XDU267" s="1"/>
      <c r="XDV267" s="1"/>
      <c r="XDW267" s="1"/>
      <c r="XDX267" s="1"/>
      <c r="XDY267" s="1"/>
      <c r="XDZ267" s="1"/>
      <c r="XEA267" s="1"/>
      <c r="XEB267" s="1"/>
      <c r="XEC267" s="1"/>
      <c r="XED267" s="1"/>
      <c r="XEE267" s="1"/>
      <c r="XEF267" s="1"/>
      <c r="XEG267" s="1"/>
      <c r="XEH267" s="1"/>
      <c r="XEI267" s="1"/>
      <c r="XEJ267" s="1"/>
      <c r="XEK267" s="1"/>
      <c r="XEL267" s="1"/>
      <c r="XEM267" s="1"/>
      <c r="XEN267" s="1"/>
      <c r="XEO267" s="1"/>
      <c r="XEP267" s="1"/>
      <c r="XEQ267" s="1"/>
      <c r="XER267" s="1"/>
      <c r="XES267" s="1"/>
      <c r="XET267" s="1"/>
      <c r="XEU267" s="1"/>
      <c r="XEV267" s="1"/>
      <c r="XEW267" s="1"/>
      <c r="XEX267" s="1"/>
      <c r="XEY267" s="1"/>
      <c r="XEZ267" s="1"/>
      <c r="XFA267" s="1"/>
      <c r="XFB267" s="1"/>
      <c r="XFC267" s="1"/>
    </row>
    <row r="268" spans="1:150 16226:16383" s="3" customFormat="1" ht="19.5" hidden="1" customHeight="1" x14ac:dyDescent="0.25">
      <c r="A268" s="142" t="s">
        <v>353</v>
      </c>
      <c r="B268" s="143"/>
      <c r="C268" s="143"/>
      <c r="D268" s="143"/>
      <c r="E268" s="143"/>
      <c r="F268" s="143"/>
      <c r="G268" s="143"/>
      <c r="H268" s="144"/>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WZB268" s="1"/>
      <c r="WZC268" s="1"/>
      <c r="WZD268" s="1"/>
      <c r="WZE268" s="1"/>
      <c r="WZF268" s="1"/>
      <c r="WZG268" s="1"/>
      <c r="WZH268" s="1"/>
      <c r="WZI268" s="1"/>
      <c r="WZJ268" s="1"/>
      <c r="WZK268" s="1"/>
      <c r="WZL268" s="1"/>
      <c r="WZM268" s="1"/>
      <c r="WZN268" s="1"/>
      <c r="WZO268" s="1"/>
      <c r="WZP268" s="1"/>
      <c r="WZQ268" s="1"/>
      <c r="WZR268" s="1"/>
      <c r="WZS268" s="1"/>
      <c r="WZT268" s="1"/>
      <c r="WZU268" s="1"/>
      <c r="WZV268" s="1"/>
      <c r="WZW268" s="1"/>
      <c r="WZX268" s="1"/>
      <c r="WZY268" s="1"/>
      <c r="WZZ268" s="1"/>
      <c r="XAA268" s="1"/>
      <c r="XAB268" s="1"/>
      <c r="XAC268" s="1"/>
      <c r="XAD268" s="1"/>
      <c r="XAE268" s="1"/>
      <c r="XAF268" s="1"/>
      <c r="XAG268" s="1"/>
      <c r="XAH268" s="1"/>
      <c r="XAI268" s="1"/>
      <c r="XAJ268" s="1"/>
      <c r="XAK268" s="1"/>
      <c r="XAL268" s="1"/>
      <c r="XAM268" s="1"/>
      <c r="XAN268" s="1"/>
      <c r="XAO268" s="1"/>
      <c r="XAP268" s="1"/>
      <c r="XAQ268" s="1"/>
      <c r="XAR268" s="1"/>
      <c r="XAS268" s="1"/>
      <c r="XAT268" s="1"/>
      <c r="XAU268" s="1"/>
      <c r="XAV268" s="1"/>
      <c r="XAW268" s="1"/>
      <c r="XAX268" s="1"/>
      <c r="XAY268" s="1"/>
      <c r="XAZ268" s="1"/>
      <c r="XBA268" s="1"/>
      <c r="XBB268" s="1"/>
      <c r="XBC268" s="1"/>
      <c r="XBD268" s="1"/>
      <c r="XBE268" s="1"/>
      <c r="XBF268" s="1"/>
      <c r="XBG268" s="1"/>
      <c r="XBH268" s="1"/>
      <c r="XBI268" s="1"/>
      <c r="XBJ268" s="1"/>
      <c r="XBK268" s="1"/>
      <c r="XBL268" s="1"/>
      <c r="XBM268" s="1"/>
      <c r="XBN268" s="1"/>
      <c r="XBO268" s="1"/>
      <c r="XBP268" s="1"/>
      <c r="XBQ268" s="1"/>
      <c r="XBR268" s="1"/>
      <c r="XBS268" s="1"/>
      <c r="XBT268" s="1"/>
      <c r="XBU268" s="1"/>
      <c r="XBV268" s="1"/>
      <c r="XBW268" s="1"/>
      <c r="XBX268" s="1"/>
      <c r="XBY268" s="1"/>
      <c r="XBZ268" s="1"/>
      <c r="XCA268" s="1"/>
      <c r="XCB268" s="1"/>
      <c r="XCC268" s="1"/>
      <c r="XCD268" s="1"/>
      <c r="XCE268" s="1"/>
      <c r="XCF268" s="1"/>
      <c r="XCG268" s="1"/>
      <c r="XCH268" s="1"/>
      <c r="XCI268" s="1"/>
      <c r="XCJ268" s="1"/>
      <c r="XCK268" s="1"/>
      <c r="XCL268" s="1"/>
      <c r="XCM268" s="1"/>
      <c r="XCN268" s="1"/>
      <c r="XCO268" s="1"/>
      <c r="XCP268" s="1"/>
      <c r="XCQ268" s="1"/>
      <c r="XCR268" s="1"/>
      <c r="XCS268" s="1"/>
      <c r="XCT268" s="1"/>
      <c r="XCU268" s="1"/>
      <c r="XCV268" s="1"/>
      <c r="XCW268" s="1"/>
      <c r="XCX268" s="1"/>
      <c r="XCY268" s="1"/>
      <c r="XCZ268" s="1"/>
      <c r="XDA268" s="1"/>
      <c r="XDB268" s="1"/>
      <c r="XDC268" s="1"/>
      <c r="XDD268" s="1"/>
      <c r="XDE268" s="1"/>
      <c r="XDF268" s="1"/>
      <c r="XDG268" s="1"/>
      <c r="XDH268" s="1"/>
      <c r="XDI268" s="1"/>
      <c r="XDJ268" s="1"/>
      <c r="XDK268" s="1"/>
      <c r="XDL268" s="1"/>
      <c r="XDM268" s="1"/>
      <c r="XDN268" s="1"/>
      <c r="XDO268" s="1"/>
      <c r="XDP268" s="1"/>
      <c r="XDQ268" s="1"/>
      <c r="XDR268" s="1"/>
      <c r="XDS268" s="1"/>
      <c r="XDT268" s="1"/>
      <c r="XDU268" s="1"/>
      <c r="XDV268" s="1"/>
      <c r="XDW268" s="1"/>
      <c r="XDX268" s="1"/>
      <c r="XDY268" s="1"/>
      <c r="XDZ268" s="1"/>
      <c r="XEA268" s="1"/>
      <c r="XEB268" s="1"/>
      <c r="XEC268" s="1"/>
      <c r="XED268" s="1"/>
      <c r="XEE268" s="1"/>
      <c r="XEF268" s="1"/>
      <c r="XEG268" s="1"/>
      <c r="XEH268" s="1"/>
      <c r="XEI268" s="1"/>
      <c r="XEJ268" s="1"/>
      <c r="XEK268" s="1"/>
      <c r="XEL268" s="1"/>
      <c r="XEM268" s="1"/>
      <c r="XEN268" s="1"/>
      <c r="XEO268" s="1"/>
      <c r="XEP268" s="1"/>
      <c r="XEQ268" s="1"/>
      <c r="XER268" s="1"/>
      <c r="XES268" s="1"/>
      <c r="XET268" s="1"/>
      <c r="XEU268" s="1"/>
      <c r="XEV268" s="1"/>
      <c r="XEW268" s="1"/>
      <c r="XEX268" s="1"/>
      <c r="XEY268" s="1"/>
      <c r="XEZ268" s="1"/>
      <c r="XFA268" s="1"/>
      <c r="XFB268" s="1"/>
      <c r="XFC268" s="1"/>
    </row>
    <row r="269" spans="1:150 16226:16383" s="3" customFormat="1" ht="20.25" hidden="1" x14ac:dyDescent="0.25">
      <c r="A269" s="139">
        <v>1</v>
      </c>
      <c r="B269" s="139"/>
      <c r="C269" s="61"/>
      <c r="D269" s="61"/>
      <c r="E269" s="39">
        <v>0</v>
      </c>
      <c r="F269" s="38">
        <v>0</v>
      </c>
      <c r="G269" s="38">
        <v>0</v>
      </c>
      <c r="H269" s="6">
        <f>E269+F269+(IF(G269&lt;101,G269,IF(G269&lt;201,G269/2,IF(G269&lt;=301,G269/3,G269/4))))</f>
        <v>0</v>
      </c>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WZB269" s="1"/>
      <c r="WZC269" s="1"/>
      <c r="WZD269" s="1"/>
      <c r="WZE269" s="1"/>
      <c r="WZF269" s="1"/>
      <c r="WZG269" s="1"/>
      <c r="WZH269" s="1"/>
      <c r="WZI269" s="1"/>
      <c r="WZJ269" s="1"/>
      <c r="WZK269" s="1"/>
      <c r="WZL269" s="1"/>
      <c r="WZM269" s="1"/>
      <c r="WZN269" s="1"/>
      <c r="WZO269" s="1"/>
      <c r="WZP269" s="1"/>
      <c r="WZQ269" s="1"/>
      <c r="WZR269" s="1"/>
      <c r="WZS269" s="1"/>
      <c r="WZT269" s="1"/>
      <c r="WZU269" s="1"/>
      <c r="WZV269" s="1"/>
      <c r="WZW269" s="1"/>
      <c r="WZX269" s="1"/>
      <c r="WZY269" s="1"/>
      <c r="WZZ269" s="1"/>
      <c r="XAA269" s="1"/>
      <c r="XAB269" s="1"/>
      <c r="XAC269" s="1"/>
      <c r="XAD269" s="1"/>
      <c r="XAE269" s="1"/>
      <c r="XAF269" s="1"/>
      <c r="XAG269" s="1"/>
      <c r="XAH269" s="1"/>
      <c r="XAI269" s="1"/>
      <c r="XAJ269" s="1"/>
      <c r="XAK269" s="1"/>
      <c r="XAL269" s="1"/>
      <c r="XAM269" s="1"/>
      <c r="XAN269" s="1"/>
      <c r="XAO269" s="1"/>
      <c r="XAP269" s="1"/>
      <c r="XAQ269" s="1"/>
      <c r="XAR269" s="1"/>
      <c r="XAS269" s="1"/>
      <c r="XAT269" s="1"/>
      <c r="XAU269" s="1"/>
      <c r="XAV269" s="1"/>
      <c r="XAW269" s="1"/>
      <c r="XAX269" s="1"/>
      <c r="XAY269" s="1"/>
      <c r="XAZ269" s="1"/>
      <c r="XBA269" s="1"/>
      <c r="XBB269" s="1"/>
      <c r="XBC269" s="1"/>
      <c r="XBD269" s="1"/>
      <c r="XBE269" s="1"/>
      <c r="XBF269" s="1"/>
      <c r="XBG269" s="1"/>
      <c r="XBH269" s="1"/>
      <c r="XBI269" s="1"/>
      <c r="XBJ269" s="1"/>
      <c r="XBK269" s="1"/>
      <c r="XBL269" s="1"/>
      <c r="XBM269" s="1"/>
      <c r="XBN269" s="1"/>
      <c r="XBO269" s="1"/>
      <c r="XBP269" s="1"/>
      <c r="XBQ269" s="1"/>
      <c r="XBR269" s="1"/>
      <c r="XBS269" s="1"/>
      <c r="XBT269" s="1"/>
      <c r="XBU269" s="1"/>
      <c r="XBV269" s="1"/>
      <c r="XBW269" s="1"/>
      <c r="XBX269" s="1"/>
      <c r="XBY269" s="1"/>
      <c r="XBZ269" s="1"/>
      <c r="XCA269" s="1"/>
      <c r="XCB269" s="1"/>
      <c r="XCC269" s="1"/>
      <c r="XCD269" s="1"/>
      <c r="XCE269" s="1"/>
      <c r="XCF269" s="1"/>
      <c r="XCG269" s="1"/>
      <c r="XCH269" s="1"/>
      <c r="XCI269" s="1"/>
      <c r="XCJ269" s="1"/>
      <c r="XCK269" s="1"/>
      <c r="XCL269" s="1"/>
      <c r="XCM269" s="1"/>
      <c r="XCN269" s="1"/>
      <c r="XCO269" s="1"/>
      <c r="XCP269" s="1"/>
      <c r="XCQ269" s="1"/>
      <c r="XCR269" s="1"/>
      <c r="XCS269" s="1"/>
      <c r="XCT269" s="1"/>
      <c r="XCU269" s="1"/>
      <c r="XCV269" s="1"/>
      <c r="XCW269" s="1"/>
      <c r="XCX269" s="1"/>
      <c r="XCY269" s="1"/>
      <c r="XCZ269" s="1"/>
      <c r="XDA269" s="1"/>
      <c r="XDB269" s="1"/>
      <c r="XDC269" s="1"/>
      <c r="XDD269" s="1"/>
      <c r="XDE269" s="1"/>
      <c r="XDF269" s="1"/>
      <c r="XDG269" s="1"/>
      <c r="XDH269" s="1"/>
      <c r="XDI269" s="1"/>
      <c r="XDJ269" s="1"/>
      <c r="XDK269" s="1"/>
      <c r="XDL269" s="1"/>
      <c r="XDM269" s="1"/>
      <c r="XDN269" s="1"/>
      <c r="XDO269" s="1"/>
      <c r="XDP269" s="1"/>
      <c r="XDQ269" s="1"/>
      <c r="XDR269" s="1"/>
      <c r="XDS269" s="1"/>
      <c r="XDT269" s="1"/>
      <c r="XDU269" s="1"/>
      <c r="XDV269" s="1"/>
      <c r="XDW269" s="1"/>
      <c r="XDX269" s="1"/>
      <c r="XDY269" s="1"/>
      <c r="XDZ269" s="1"/>
      <c r="XEA269" s="1"/>
      <c r="XEB269" s="1"/>
      <c r="XEC269" s="1"/>
      <c r="XED269" s="1"/>
      <c r="XEE269" s="1"/>
      <c r="XEF269" s="1"/>
      <c r="XEG269" s="1"/>
      <c r="XEH269" s="1"/>
      <c r="XEI269" s="1"/>
      <c r="XEJ269" s="1"/>
      <c r="XEK269" s="1"/>
      <c r="XEL269" s="1"/>
      <c r="XEM269" s="1"/>
      <c r="XEN269" s="1"/>
      <c r="XEO269" s="1"/>
      <c r="XEP269" s="1"/>
      <c r="XEQ269" s="1"/>
      <c r="XER269" s="1"/>
      <c r="XES269" s="1"/>
      <c r="XET269" s="1"/>
      <c r="XEU269" s="1"/>
      <c r="XEV269" s="1"/>
      <c r="XEW269" s="1"/>
      <c r="XEX269" s="1"/>
      <c r="XEY269" s="1"/>
      <c r="XEZ269" s="1"/>
      <c r="XFA269" s="1"/>
      <c r="XFB269" s="1"/>
      <c r="XFC269" s="1"/>
    </row>
    <row r="270" spans="1:150 16226:16383" s="3" customFormat="1" ht="20.25" hidden="1" x14ac:dyDescent="0.25">
      <c r="A270" s="135">
        <f>A269+1</f>
        <v>2</v>
      </c>
      <c r="B270" s="136"/>
      <c r="C270" s="61"/>
      <c r="D270" s="61"/>
      <c r="E270" s="39"/>
      <c r="F270" s="38"/>
      <c r="G270" s="38"/>
      <c r="H270" s="38">
        <f t="shared" ref="H270:H276" si="21">E270+F270+(IF(G270&lt;101,G270,IF(G270&lt;201,G270/2,IF(G270&lt;=301,G270/3,G270/4))))</f>
        <v>0</v>
      </c>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WZB270" s="1"/>
      <c r="WZC270" s="1"/>
      <c r="WZD270" s="1"/>
      <c r="WZE270" s="1"/>
      <c r="WZF270" s="1"/>
      <c r="WZG270" s="1"/>
      <c r="WZH270" s="1"/>
      <c r="WZI270" s="1"/>
      <c r="WZJ270" s="1"/>
      <c r="WZK270" s="1"/>
      <c r="WZL270" s="1"/>
      <c r="WZM270" s="1"/>
      <c r="WZN270" s="1"/>
      <c r="WZO270" s="1"/>
      <c r="WZP270" s="1"/>
      <c r="WZQ270" s="1"/>
      <c r="WZR270" s="1"/>
      <c r="WZS270" s="1"/>
      <c r="WZT270" s="1"/>
      <c r="WZU270" s="1"/>
      <c r="WZV270" s="1"/>
      <c r="WZW270" s="1"/>
      <c r="WZX270" s="1"/>
      <c r="WZY270" s="1"/>
      <c r="WZZ270" s="1"/>
      <c r="XAA270" s="1"/>
      <c r="XAB270" s="1"/>
      <c r="XAC270" s="1"/>
      <c r="XAD270" s="1"/>
      <c r="XAE270" s="1"/>
      <c r="XAF270" s="1"/>
      <c r="XAG270" s="1"/>
      <c r="XAH270" s="1"/>
      <c r="XAI270" s="1"/>
      <c r="XAJ270" s="1"/>
      <c r="XAK270" s="1"/>
      <c r="XAL270" s="1"/>
      <c r="XAM270" s="1"/>
      <c r="XAN270" s="1"/>
      <c r="XAO270" s="1"/>
      <c r="XAP270" s="1"/>
      <c r="XAQ270" s="1"/>
      <c r="XAR270" s="1"/>
      <c r="XAS270" s="1"/>
      <c r="XAT270" s="1"/>
      <c r="XAU270" s="1"/>
      <c r="XAV270" s="1"/>
      <c r="XAW270" s="1"/>
      <c r="XAX270" s="1"/>
      <c r="XAY270" s="1"/>
      <c r="XAZ270" s="1"/>
      <c r="XBA270" s="1"/>
      <c r="XBB270" s="1"/>
      <c r="XBC270" s="1"/>
      <c r="XBD270" s="1"/>
      <c r="XBE270" s="1"/>
      <c r="XBF270" s="1"/>
      <c r="XBG270" s="1"/>
      <c r="XBH270" s="1"/>
      <c r="XBI270" s="1"/>
      <c r="XBJ270" s="1"/>
      <c r="XBK270" s="1"/>
      <c r="XBL270" s="1"/>
      <c r="XBM270" s="1"/>
      <c r="XBN270" s="1"/>
      <c r="XBO270" s="1"/>
      <c r="XBP270" s="1"/>
      <c r="XBQ270" s="1"/>
      <c r="XBR270" s="1"/>
      <c r="XBS270" s="1"/>
      <c r="XBT270" s="1"/>
      <c r="XBU270" s="1"/>
      <c r="XBV270" s="1"/>
      <c r="XBW270" s="1"/>
      <c r="XBX270" s="1"/>
      <c r="XBY270" s="1"/>
      <c r="XBZ270" s="1"/>
      <c r="XCA270" s="1"/>
      <c r="XCB270" s="1"/>
      <c r="XCC270" s="1"/>
      <c r="XCD270" s="1"/>
      <c r="XCE270" s="1"/>
      <c r="XCF270" s="1"/>
      <c r="XCG270" s="1"/>
      <c r="XCH270" s="1"/>
      <c r="XCI270" s="1"/>
      <c r="XCJ270" s="1"/>
      <c r="XCK270" s="1"/>
      <c r="XCL270" s="1"/>
      <c r="XCM270" s="1"/>
      <c r="XCN270" s="1"/>
      <c r="XCO270" s="1"/>
      <c r="XCP270" s="1"/>
      <c r="XCQ270" s="1"/>
      <c r="XCR270" s="1"/>
      <c r="XCS270" s="1"/>
      <c r="XCT270" s="1"/>
      <c r="XCU270" s="1"/>
      <c r="XCV270" s="1"/>
      <c r="XCW270" s="1"/>
      <c r="XCX270" s="1"/>
      <c r="XCY270" s="1"/>
      <c r="XCZ270" s="1"/>
      <c r="XDA270" s="1"/>
      <c r="XDB270" s="1"/>
      <c r="XDC270" s="1"/>
      <c r="XDD270" s="1"/>
      <c r="XDE270" s="1"/>
      <c r="XDF270" s="1"/>
      <c r="XDG270" s="1"/>
      <c r="XDH270" s="1"/>
      <c r="XDI270" s="1"/>
      <c r="XDJ270" s="1"/>
      <c r="XDK270" s="1"/>
      <c r="XDL270" s="1"/>
      <c r="XDM270" s="1"/>
      <c r="XDN270" s="1"/>
      <c r="XDO270" s="1"/>
      <c r="XDP270" s="1"/>
      <c r="XDQ270" s="1"/>
      <c r="XDR270" s="1"/>
      <c r="XDS270" s="1"/>
      <c r="XDT270" s="1"/>
      <c r="XDU270" s="1"/>
      <c r="XDV270" s="1"/>
      <c r="XDW270" s="1"/>
      <c r="XDX270" s="1"/>
      <c r="XDY270" s="1"/>
      <c r="XDZ270" s="1"/>
      <c r="XEA270" s="1"/>
      <c r="XEB270" s="1"/>
      <c r="XEC270" s="1"/>
      <c r="XED270" s="1"/>
      <c r="XEE270" s="1"/>
      <c r="XEF270" s="1"/>
      <c r="XEG270" s="1"/>
      <c r="XEH270" s="1"/>
      <c r="XEI270" s="1"/>
      <c r="XEJ270" s="1"/>
      <c r="XEK270" s="1"/>
      <c r="XEL270" s="1"/>
      <c r="XEM270" s="1"/>
      <c r="XEN270" s="1"/>
      <c r="XEO270" s="1"/>
      <c r="XEP270" s="1"/>
      <c r="XEQ270" s="1"/>
      <c r="XER270" s="1"/>
      <c r="XES270" s="1"/>
      <c r="XET270" s="1"/>
      <c r="XEU270" s="1"/>
      <c r="XEV270" s="1"/>
      <c r="XEW270" s="1"/>
      <c r="XEX270" s="1"/>
      <c r="XEY270" s="1"/>
      <c r="XEZ270" s="1"/>
      <c r="XFA270" s="1"/>
      <c r="XFB270" s="1"/>
      <c r="XFC270" s="1"/>
    </row>
    <row r="271" spans="1:150 16226:16383" s="3" customFormat="1" ht="20.25" hidden="1" x14ac:dyDescent="0.25">
      <c r="A271" s="135">
        <f t="shared" ref="A271:A283" si="22">A270+1</f>
        <v>3</v>
      </c>
      <c r="B271" s="136"/>
      <c r="C271" s="61"/>
      <c r="D271" s="61"/>
      <c r="E271" s="39"/>
      <c r="F271" s="38"/>
      <c r="G271" s="38"/>
      <c r="H271" s="38">
        <f t="shared" si="21"/>
        <v>0</v>
      </c>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WZB271" s="1"/>
      <c r="WZC271" s="1"/>
      <c r="WZD271" s="1"/>
      <c r="WZE271" s="1"/>
      <c r="WZF271" s="1"/>
      <c r="WZG271" s="1"/>
      <c r="WZH271" s="1"/>
      <c r="WZI271" s="1"/>
      <c r="WZJ271" s="1"/>
      <c r="WZK271" s="1"/>
      <c r="WZL271" s="1"/>
      <c r="WZM271" s="1"/>
      <c r="WZN271" s="1"/>
      <c r="WZO271" s="1"/>
      <c r="WZP271" s="1"/>
      <c r="WZQ271" s="1"/>
      <c r="WZR271" s="1"/>
      <c r="WZS271" s="1"/>
      <c r="WZT271" s="1"/>
      <c r="WZU271" s="1"/>
      <c r="WZV271" s="1"/>
      <c r="WZW271" s="1"/>
      <c r="WZX271" s="1"/>
      <c r="WZY271" s="1"/>
      <c r="WZZ271" s="1"/>
      <c r="XAA271" s="1"/>
      <c r="XAB271" s="1"/>
      <c r="XAC271" s="1"/>
      <c r="XAD271" s="1"/>
      <c r="XAE271" s="1"/>
      <c r="XAF271" s="1"/>
      <c r="XAG271" s="1"/>
      <c r="XAH271" s="1"/>
      <c r="XAI271" s="1"/>
      <c r="XAJ271" s="1"/>
      <c r="XAK271" s="1"/>
      <c r="XAL271" s="1"/>
      <c r="XAM271" s="1"/>
      <c r="XAN271" s="1"/>
      <c r="XAO271" s="1"/>
      <c r="XAP271" s="1"/>
      <c r="XAQ271" s="1"/>
      <c r="XAR271" s="1"/>
      <c r="XAS271" s="1"/>
      <c r="XAT271" s="1"/>
      <c r="XAU271" s="1"/>
      <c r="XAV271" s="1"/>
      <c r="XAW271" s="1"/>
      <c r="XAX271" s="1"/>
      <c r="XAY271" s="1"/>
      <c r="XAZ271" s="1"/>
      <c r="XBA271" s="1"/>
      <c r="XBB271" s="1"/>
      <c r="XBC271" s="1"/>
      <c r="XBD271" s="1"/>
      <c r="XBE271" s="1"/>
      <c r="XBF271" s="1"/>
      <c r="XBG271" s="1"/>
      <c r="XBH271" s="1"/>
      <c r="XBI271" s="1"/>
      <c r="XBJ271" s="1"/>
      <c r="XBK271" s="1"/>
      <c r="XBL271" s="1"/>
      <c r="XBM271" s="1"/>
      <c r="XBN271" s="1"/>
      <c r="XBO271" s="1"/>
      <c r="XBP271" s="1"/>
      <c r="XBQ271" s="1"/>
      <c r="XBR271" s="1"/>
      <c r="XBS271" s="1"/>
      <c r="XBT271" s="1"/>
      <c r="XBU271" s="1"/>
      <c r="XBV271" s="1"/>
      <c r="XBW271" s="1"/>
      <c r="XBX271" s="1"/>
      <c r="XBY271" s="1"/>
      <c r="XBZ271" s="1"/>
      <c r="XCA271" s="1"/>
      <c r="XCB271" s="1"/>
      <c r="XCC271" s="1"/>
      <c r="XCD271" s="1"/>
      <c r="XCE271" s="1"/>
      <c r="XCF271" s="1"/>
      <c r="XCG271" s="1"/>
      <c r="XCH271" s="1"/>
      <c r="XCI271" s="1"/>
      <c r="XCJ271" s="1"/>
      <c r="XCK271" s="1"/>
      <c r="XCL271" s="1"/>
      <c r="XCM271" s="1"/>
      <c r="XCN271" s="1"/>
      <c r="XCO271" s="1"/>
      <c r="XCP271" s="1"/>
      <c r="XCQ271" s="1"/>
      <c r="XCR271" s="1"/>
      <c r="XCS271" s="1"/>
      <c r="XCT271" s="1"/>
      <c r="XCU271" s="1"/>
      <c r="XCV271" s="1"/>
      <c r="XCW271" s="1"/>
      <c r="XCX271" s="1"/>
      <c r="XCY271" s="1"/>
      <c r="XCZ271" s="1"/>
      <c r="XDA271" s="1"/>
      <c r="XDB271" s="1"/>
      <c r="XDC271" s="1"/>
      <c r="XDD271" s="1"/>
      <c r="XDE271" s="1"/>
      <c r="XDF271" s="1"/>
      <c r="XDG271" s="1"/>
      <c r="XDH271" s="1"/>
      <c r="XDI271" s="1"/>
      <c r="XDJ271" s="1"/>
      <c r="XDK271" s="1"/>
      <c r="XDL271" s="1"/>
      <c r="XDM271" s="1"/>
      <c r="XDN271" s="1"/>
      <c r="XDO271" s="1"/>
      <c r="XDP271" s="1"/>
      <c r="XDQ271" s="1"/>
      <c r="XDR271" s="1"/>
      <c r="XDS271" s="1"/>
      <c r="XDT271" s="1"/>
      <c r="XDU271" s="1"/>
      <c r="XDV271" s="1"/>
      <c r="XDW271" s="1"/>
      <c r="XDX271" s="1"/>
      <c r="XDY271" s="1"/>
      <c r="XDZ271" s="1"/>
      <c r="XEA271" s="1"/>
      <c r="XEB271" s="1"/>
      <c r="XEC271" s="1"/>
      <c r="XED271" s="1"/>
      <c r="XEE271" s="1"/>
      <c r="XEF271" s="1"/>
      <c r="XEG271" s="1"/>
      <c r="XEH271" s="1"/>
      <c r="XEI271" s="1"/>
      <c r="XEJ271" s="1"/>
      <c r="XEK271" s="1"/>
      <c r="XEL271" s="1"/>
      <c r="XEM271" s="1"/>
      <c r="XEN271" s="1"/>
      <c r="XEO271" s="1"/>
      <c r="XEP271" s="1"/>
      <c r="XEQ271" s="1"/>
      <c r="XER271" s="1"/>
      <c r="XES271" s="1"/>
      <c r="XET271" s="1"/>
      <c r="XEU271" s="1"/>
      <c r="XEV271" s="1"/>
      <c r="XEW271" s="1"/>
      <c r="XEX271" s="1"/>
      <c r="XEY271" s="1"/>
      <c r="XEZ271" s="1"/>
      <c r="XFA271" s="1"/>
      <c r="XFB271" s="1"/>
      <c r="XFC271" s="1"/>
    </row>
    <row r="272" spans="1:150 16226:16383" s="3" customFormat="1" ht="20.25" hidden="1" customHeight="1" x14ac:dyDescent="0.25">
      <c r="A272" s="135">
        <f t="shared" si="22"/>
        <v>4</v>
      </c>
      <c r="B272" s="136"/>
      <c r="C272" s="61"/>
      <c r="D272" s="61"/>
      <c r="E272" s="39"/>
      <c r="F272" s="38"/>
      <c r="G272" s="38"/>
      <c r="H272" s="38">
        <f t="shared" si="21"/>
        <v>0</v>
      </c>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WZB272" s="1"/>
      <c r="WZC272" s="1"/>
      <c r="WZD272" s="1"/>
      <c r="WZE272" s="1"/>
      <c r="WZF272" s="1"/>
      <c r="WZG272" s="1"/>
      <c r="WZH272" s="1"/>
      <c r="WZI272" s="1"/>
      <c r="WZJ272" s="1"/>
      <c r="WZK272" s="1"/>
      <c r="WZL272" s="1"/>
      <c r="WZM272" s="1"/>
      <c r="WZN272" s="1"/>
      <c r="WZO272" s="1"/>
      <c r="WZP272" s="1"/>
      <c r="WZQ272" s="1"/>
      <c r="WZR272" s="1"/>
      <c r="WZS272" s="1"/>
      <c r="WZT272" s="1"/>
      <c r="WZU272" s="1"/>
      <c r="WZV272" s="1"/>
      <c r="WZW272" s="1"/>
      <c r="WZX272" s="1"/>
      <c r="WZY272" s="1"/>
      <c r="WZZ272" s="1"/>
      <c r="XAA272" s="1"/>
      <c r="XAB272" s="1"/>
      <c r="XAC272" s="1"/>
      <c r="XAD272" s="1"/>
      <c r="XAE272" s="1"/>
      <c r="XAF272" s="1"/>
      <c r="XAG272" s="1"/>
      <c r="XAH272" s="1"/>
      <c r="XAI272" s="1"/>
      <c r="XAJ272" s="1"/>
      <c r="XAK272" s="1"/>
      <c r="XAL272" s="1"/>
      <c r="XAM272" s="1"/>
      <c r="XAN272" s="1"/>
      <c r="XAO272" s="1"/>
      <c r="XAP272" s="1"/>
      <c r="XAQ272" s="1"/>
      <c r="XAR272" s="1"/>
      <c r="XAS272" s="1"/>
      <c r="XAT272" s="1"/>
      <c r="XAU272" s="1"/>
      <c r="XAV272" s="1"/>
      <c r="XAW272" s="1"/>
      <c r="XAX272" s="1"/>
      <c r="XAY272" s="1"/>
      <c r="XAZ272" s="1"/>
      <c r="XBA272" s="1"/>
      <c r="XBB272" s="1"/>
      <c r="XBC272" s="1"/>
      <c r="XBD272" s="1"/>
      <c r="XBE272" s="1"/>
      <c r="XBF272" s="1"/>
      <c r="XBG272" s="1"/>
      <c r="XBH272" s="1"/>
      <c r="XBI272" s="1"/>
      <c r="XBJ272" s="1"/>
      <c r="XBK272" s="1"/>
      <c r="XBL272" s="1"/>
      <c r="XBM272" s="1"/>
      <c r="XBN272" s="1"/>
      <c r="XBO272" s="1"/>
      <c r="XBP272" s="1"/>
      <c r="XBQ272" s="1"/>
      <c r="XBR272" s="1"/>
      <c r="XBS272" s="1"/>
      <c r="XBT272" s="1"/>
      <c r="XBU272" s="1"/>
      <c r="XBV272" s="1"/>
      <c r="XBW272" s="1"/>
      <c r="XBX272" s="1"/>
      <c r="XBY272" s="1"/>
      <c r="XBZ272" s="1"/>
      <c r="XCA272" s="1"/>
      <c r="XCB272" s="1"/>
      <c r="XCC272" s="1"/>
      <c r="XCD272" s="1"/>
      <c r="XCE272" s="1"/>
      <c r="XCF272" s="1"/>
      <c r="XCG272" s="1"/>
      <c r="XCH272" s="1"/>
      <c r="XCI272" s="1"/>
      <c r="XCJ272" s="1"/>
      <c r="XCK272" s="1"/>
      <c r="XCL272" s="1"/>
      <c r="XCM272" s="1"/>
      <c r="XCN272" s="1"/>
      <c r="XCO272" s="1"/>
      <c r="XCP272" s="1"/>
      <c r="XCQ272" s="1"/>
      <c r="XCR272" s="1"/>
      <c r="XCS272" s="1"/>
      <c r="XCT272" s="1"/>
      <c r="XCU272" s="1"/>
      <c r="XCV272" s="1"/>
      <c r="XCW272" s="1"/>
      <c r="XCX272" s="1"/>
      <c r="XCY272" s="1"/>
      <c r="XCZ272" s="1"/>
      <c r="XDA272" s="1"/>
      <c r="XDB272" s="1"/>
      <c r="XDC272" s="1"/>
      <c r="XDD272" s="1"/>
      <c r="XDE272" s="1"/>
      <c r="XDF272" s="1"/>
      <c r="XDG272" s="1"/>
      <c r="XDH272" s="1"/>
      <c r="XDI272" s="1"/>
      <c r="XDJ272" s="1"/>
      <c r="XDK272" s="1"/>
      <c r="XDL272" s="1"/>
      <c r="XDM272" s="1"/>
      <c r="XDN272" s="1"/>
      <c r="XDO272" s="1"/>
      <c r="XDP272" s="1"/>
      <c r="XDQ272" s="1"/>
      <c r="XDR272" s="1"/>
      <c r="XDS272" s="1"/>
      <c r="XDT272" s="1"/>
      <c r="XDU272" s="1"/>
      <c r="XDV272" s="1"/>
      <c r="XDW272" s="1"/>
      <c r="XDX272" s="1"/>
      <c r="XDY272" s="1"/>
      <c r="XDZ272" s="1"/>
      <c r="XEA272" s="1"/>
      <c r="XEB272" s="1"/>
      <c r="XEC272" s="1"/>
      <c r="XED272" s="1"/>
      <c r="XEE272" s="1"/>
      <c r="XEF272" s="1"/>
      <c r="XEG272" s="1"/>
      <c r="XEH272" s="1"/>
      <c r="XEI272" s="1"/>
      <c r="XEJ272" s="1"/>
      <c r="XEK272" s="1"/>
      <c r="XEL272" s="1"/>
      <c r="XEM272" s="1"/>
      <c r="XEN272" s="1"/>
      <c r="XEO272" s="1"/>
      <c r="XEP272" s="1"/>
      <c r="XEQ272" s="1"/>
      <c r="XER272" s="1"/>
      <c r="XES272" s="1"/>
      <c r="XET272" s="1"/>
      <c r="XEU272" s="1"/>
      <c r="XEV272" s="1"/>
      <c r="XEW272" s="1"/>
      <c r="XEX272" s="1"/>
      <c r="XEY272" s="1"/>
      <c r="XEZ272" s="1"/>
      <c r="XFA272" s="1"/>
      <c r="XFB272" s="1"/>
      <c r="XFC272" s="1"/>
    </row>
    <row r="273" spans="1:150 16226:16383" s="3" customFormat="1" ht="20.25" hidden="1" customHeight="1" x14ac:dyDescent="0.25">
      <c r="A273" s="135">
        <f t="shared" si="22"/>
        <v>5</v>
      </c>
      <c r="B273" s="136"/>
      <c r="C273" s="61"/>
      <c r="D273" s="61"/>
      <c r="E273" s="39"/>
      <c r="F273" s="38"/>
      <c r="G273" s="38"/>
      <c r="H273" s="38">
        <f t="shared" si="21"/>
        <v>0</v>
      </c>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WZB273" s="1"/>
      <c r="WZC273" s="1"/>
      <c r="WZD273" s="1"/>
      <c r="WZE273" s="1"/>
      <c r="WZF273" s="1"/>
      <c r="WZG273" s="1"/>
      <c r="WZH273" s="1"/>
      <c r="WZI273" s="1"/>
      <c r="WZJ273" s="1"/>
      <c r="WZK273" s="1"/>
      <c r="WZL273" s="1"/>
      <c r="WZM273" s="1"/>
      <c r="WZN273" s="1"/>
      <c r="WZO273" s="1"/>
      <c r="WZP273" s="1"/>
      <c r="WZQ273" s="1"/>
      <c r="WZR273" s="1"/>
      <c r="WZS273" s="1"/>
      <c r="WZT273" s="1"/>
      <c r="WZU273" s="1"/>
      <c r="WZV273" s="1"/>
      <c r="WZW273" s="1"/>
      <c r="WZX273" s="1"/>
      <c r="WZY273" s="1"/>
      <c r="WZZ273" s="1"/>
      <c r="XAA273" s="1"/>
      <c r="XAB273" s="1"/>
      <c r="XAC273" s="1"/>
      <c r="XAD273" s="1"/>
      <c r="XAE273" s="1"/>
      <c r="XAF273" s="1"/>
      <c r="XAG273" s="1"/>
      <c r="XAH273" s="1"/>
      <c r="XAI273" s="1"/>
      <c r="XAJ273" s="1"/>
      <c r="XAK273" s="1"/>
      <c r="XAL273" s="1"/>
      <c r="XAM273" s="1"/>
      <c r="XAN273" s="1"/>
      <c r="XAO273" s="1"/>
      <c r="XAP273" s="1"/>
      <c r="XAQ273" s="1"/>
      <c r="XAR273" s="1"/>
      <c r="XAS273" s="1"/>
      <c r="XAT273" s="1"/>
      <c r="XAU273" s="1"/>
      <c r="XAV273" s="1"/>
      <c r="XAW273" s="1"/>
      <c r="XAX273" s="1"/>
      <c r="XAY273" s="1"/>
      <c r="XAZ273" s="1"/>
      <c r="XBA273" s="1"/>
      <c r="XBB273" s="1"/>
      <c r="XBC273" s="1"/>
      <c r="XBD273" s="1"/>
      <c r="XBE273" s="1"/>
      <c r="XBF273" s="1"/>
      <c r="XBG273" s="1"/>
      <c r="XBH273" s="1"/>
      <c r="XBI273" s="1"/>
      <c r="XBJ273" s="1"/>
      <c r="XBK273" s="1"/>
      <c r="XBL273" s="1"/>
      <c r="XBM273" s="1"/>
      <c r="XBN273" s="1"/>
      <c r="XBO273" s="1"/>
      <c r="XBP273" s="1"/>
      <c r="XBQ273" s="1"/>
      <c r="XBR273" s="1"/>
      <c r="XBS273" s="1"/>
      <c r="XBT273" s="1"/>
      <c r="XBU273" s="1"/>
      <c r="XBV273" s="1"/>
      <c r="XBW273" s="1"/>
      <c r="XBX273" s="1"/>
      <c r="XBY273" s="1"/>
      <c r="XBZ273" s="1"/>
      <c r="XCA273" s="1"/>
      <c r="XCB273" s="1"/>
      <c r="XCC273" s="1"/>
      <c r="XCD273" s="1"/>
      <c r="XCE273" s="1"/>
      <c r="XCF273" s="1"/>
      <c r="XCG273" s="1"/>
      <c r="XCH273" s="1"/>
      <c r="XCI273" s="1"/>
      <c r="XCJ273" s="1"/>
      <c r="XCK273" s="1"/>
      <c r="XCL273" s="1"/>
      <c r="XCM273" s="1"/>
      <c r="XCN273" s="1"/>
      <c r="XCO273" s="1"/>
      <c r="XCP273" s="1"/>
      <c r="XCQ273" s="1"/>
      <c r="XCR273" s="1"/>
      <c r="XCS273" s="1"/>
      <c r="XCT273" s="1"/>
      <c r="XCU273" s="1"/>
      <c r="XCV273" s="1"/>
      <c r="XCW273" s="1"/>
      <c r="XCX273" s="1"/>
      <c r="XCY273" s="1"/>
      <c r="XCZ273" s="1"/>
      <c r="XDA273" s="1"/>
      <c r="XDB273" s="1"/>
      <c r="XDC273" s="1"/>
      <c r="XDD273" s="1"/>
      <c r="XDE273" s="1"/>
      <c r="XDF273" s="1"/>
      <c r="XDG273" s="1"/>
      <c r="XDH273" s="1"/>
      <c r="XDI273" s="1"/>
      <c r="XDJ273" s="1"/>
      <c r="XDK273" s="1"/>
      <c r="XDL273" s="1"/>
      <c r="XDM273" s="1"/>
      <c r="XDN273" s="1"/>
      <c r="XDO273" s="1"/>
      <c r="XDP273" s="1"/>
      <c r="XDQ273" s="1"/>
      <c r="XDR273" s="1"/>
      <c r="XDS273" s="1"/>
      <c r="XDT273" s="1"/>
      <c r="XDU273" s="1"/>
      <c r="XDV273" s="1"/>
      <c r="XDW273" s="1"/>
      <c r="XDX273" s="1"/>
      <c r="XDY273" s="1"/>
      <c r="XDZ273" s="1"/>
      <c r="XEA273" s="1"/>
      <c r="XEB273" s="1"/>
      <c r="XEC273" s="1"/>
      <c r="XED273" s="1"/>
      <c r="XEE273" s="1"/>
      <c r="XEF273" s="1"/>
      <c r="XEG273" s="1"/>
      <c r="XEH273" s="1"/>
      <c r="XEI273" s="1"/>
      <c r="XEJ273" s="1"/>
      <c r="XEK273" s="1"/>
      <c r="XEL273" s="1"/>
      <c r="XEM273" s="1"/>
      <c r="XEN273" s="1"/>
      <c r="XEO273" s="1"/>
      <c r="XEP273" s="1"/>
      <c r="XEQ273" s="1"/>
      <c r="XER273" s="1"/>
      <c r="XES273" s="1"/>
      <c r="XET273" s="1"/>
      <c r="XEU273" s="1"/>
      <c r="XEV273" s="1"/>
      <c r="XEW273" s="1"/>
      <c r="XEX273" s="1"/>
      <c r="XEY273" s="1"/>
      <c r="XEZ273" s="1"/>
      <c r="XFA273" s="1"/>
      <c r="XFB273" s="1"/>
      <c r="XFC273" s="1"/>
    </row>
    <row r="274" spans="1:150 16226:16383" s="3" customFormat="1" ht="20.25" hidden="1" customHeight="1" x14ac:dyDescent="0.25">
      <c r="A274" s="135">
        <f t="shared" si="22"/>
        <v>6</v>
      </c>
      <c r="B274" s="136"/>
      <c r="C274" s="61"/>
      <c r="D274" s="61"/>
      <c r="E274" s="39"/>
      <c r="F274" s="38"/>
      <c r="G274" s="38"/>
      <c r="H274" s="38">
        <f t="shared" si="21"/>
        <v>0</v>
      </c>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WZB274" s="1"/>
      <c r="WZC274" s="1"/>
      <c r="WZD274" s="1"/>
      <c r="WZE274" s="1"/>
      <c r="WZF274" s="1"/>
      <c r="WZG274" s="1"/>
      <c r="WZH274" s="1"/>
      <c r="WZI274" s="1"/>
      <c r="WZJ274" s="1"/>
      <c r="WZK274" s="1"/>
      <c r="WZL274" s="1"/>
      <c r="WZM274" s="1"/>
      <c r="WZN274" s="1"/>
      <c r="WZO274" s="1"/>
      <c r="WZP274" s="1"/>
      <c r="WZQ274" s="1"/>
      <c r="WZR274" s="1"/>
      <c r="WZS274" s="1"/>
      <c r="WZT274" s="1"/>
      <c r="WZU274" s="1"/>
      <c r="WZV274" s="1"/>
      <c r="WZW274" s="1"/>
      <c r="WZX274" s="1"/>
      <c r="WZY274" s="1"/>
      <c r="WZZ274" s="1"/>
      <c r="XAA274" s="1"/>
      <c r="XAB274" s="1"/>
      <c r="XAC274" s="1"/>
      <c r="XAD274" s="1"/>
      <c r="XAE274" s="1"/>
      <c r="XAF274" s="1"/>
      <c r="XAG274" s="1"/>
      <c r="XAH274" s="1"/>
      <c r="XAI274" s="1"/>
      <c r="XAJ274" s="1"/>
      <c r="XAK274" s="1"/>
      <c r="XAL274" s="1"/>
      <c r="XAM274" s="1"/>
      <c r="XAN274" s="1"/>
      <c r="XAO274" s="1"/>
      <c r="XAP274" s="1"/>
      <c r="XAQ274" s="1"/>
      <c r="XAR274" s="1"/>
      <c r="XAS274" s="1"/>
      <c r="XAT274" s="1"/>
      <c r="XAU274" s="1"/>
      <c r="XAV274" s="1"/>
      <c r="XAW274" s="1"/>
      <c r="XAX274" s="1"/>
      <c r="XAY274" s="1"/>
      <c r="XAZ274" s="1"/>
      <c r="XBA274" s="1"/>
      <c r="XBB274" s="1"/>
      <c r="XBC274" s="1"/>
      <c r="XBD274" s="1"/>
      <c r="XBE274" s="1"/>
      <c r="XBF274" s="1"/>
      <c r="XBG274" s="1"/>
      <c r="XBH274" s="1"/>
      <c r="XBI274" s="1"/>
      <c r="XBJ274" s="1"/>
      <c r="XBK274" s="1"/>
      <c r="XBL274" s="1"/>
      <c r="XBM274" s="1"/>
      <c r="XBN274" s="1"/>
      <c r="XBO274" s="1"/>
      <c r="XBP274" s="1"/>
      <c r="XBQ274" s="1"/>
      <c r="XBR274" s="1"/>
      <c r="XBS274" s="1"/>
      <c r="XBT274" s="1"/>
      <c r="XBU274" s="1"/>
      <c r="XBV274" s="1"/>
      <c r="XBW274" s="1"/>
      <c r="XBX274" s="1"/>
      <c r="XBY274" s="1"/>
      <c r="XBZ274" s="1"/>
      <c r="XCA274" s="1"/>
      <c r="XCB274" s="1"/>
      <c r="XCC274" s="1"/>
      <c r="XCD274" s="1"/>
      <c r="XCE274" s="1"/>
      <c r="XCF274" s="1"/>
      <c r="XCG274" s="1"/>
      <c r="XCH274" s="1"/>
      <c r="XCI274" s="1"/>
      <c r="XCJ274" s="1"/>
      <c r="XCK274" s="1"/>
      <c r="XCL274" s="1"/>
      <c r="XCM274" s="1"/>
      <c r="XCN274" s="1"/>
      <c r="XCO274" s="1"/>
      <c r="XCP274" s="1"/>
      <c r="XCQ274" s="1"/>
      <c r="XCR274" s="1"/>
      <c r="XCS274" s="1"/>
      <c r="XCT274" s="1"/>
      <c r="XCU274" s="1"/>
      <c r="XCV274" s="1"/>
      <c r="XCW274" s="1"/>
      <c r="XCX274" s="1"/>
      <c r="XCY274" s="1"/>
      <c r="XCZ274" s="1"/>
      <c r="XDA274" s="1"/>
      <c r="XDB274" s="1"/>
      <c r="XDC274" s="1"/>
      <c r="XDD274" s="1"/>
      <c r="XDE274" s="1"/>
      <c r="XDF274" s="1"/>
      <c r="XDG274" s="1"/>
      <c r="XDH274" s="1"/>
      <c r="XDI274" s="1"/>
      <c r="XDJ274" s="1"/>
      <c r="XDK274" s="1"/>
      <c r="XDL274" s="1"/>
      <c r="XDM274" s="1"/>
      <c r="XDN274" s="1"/>
      <c r="XDO274" s="1"/>
      <c r="XDP274" s="1"/>
      <c r="XDQ274" s="1"/>
      <c r="XDR274" s="1"/>
      <c r="XDS274" s="1"/>
      <c r="XDT274" s="1"/>
      <c r="XDU274" s="1"/>
      <c r="XDV274" s="1"/>
      <c r="XDW274" s="1"/>
      <c r="XDX274" s="1"/>
      <c r="XDY274" s="1"/>
      <c r="XDZ274" s="1"/>
      <c r="XEA274" s="1"/>
      <c r="XEB274" s="1"/>
      <c r="XEC274" s="1"/>
      <c r="XED274" s="1"/>
      <c r="XEE274" s="1"/>
      <c r="XEF274" s="1"/>
      <c r="XEG274" s="1"/>
      <c r="XEH274" s="1"/>
      <c r="XEI274" s="1"/>
      <c r="XEJ274" s="1"/>
      <c r="XEK274" s="1"/>
      <c r="XEL274" s="1"/>
      <c r="XEM274" s="1"/>
      <c r="XEN274" s="1"/>
      <c r="XEO274" s="1"/>
      <c r="XEP274" s="1"/>
      <c r="XEQ274" s="1"/>
      <c r="XER274" s="1"/>
      <c r="XES274" s="1"/>
      <c r="XET274" s="1"/>
      <c r="XEU274" s="1"/>
      <c r="XEV274" s="1"/>
      <c r="XEW274" s="1"/>
      <c r="XEX274" s="1"/>
      <c r="XEY274" s="1"/>
      <c r="XEZ274" s="1"/>
      <c r="XFA274" s="1"/>
      <c r="XFB274" s="1"/>
      <c r="XFC274" s="1"/>
    </row>
    <row r="275" spans="1:150 16226:16383" s="3" customFormat="1" ht="20.25" hidden="1" customHeight="1" x14ac:dyDescent="0.25">
      <c r="A275" s="135">
        <f t="shared" si="22"/>
        <v>7</v>
      </c>
      <c r="B275" s="136"/>
      <c r="C275" s="61"/>
      <c r="D275" s="61"/>
      <c r="E275" s="39"/>
      <c r="F275" s="38"/>
      <c r="G275" s="38"/>
      <c r="H275" s="38">
        <f t="shared" si="21"/>
        <v>0</v>
      </c>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WZB275" s="1"/>
      <c r="WZC275" s="1"/>
      <c r="WZD275" s="1"/>
      <c r="WZE275" s="1"/>
      <c r="WZF275" s="1"/>
      <c r="WZG275" s="1"/>
      <c r="WZH275" s="1"/>
      <c r="WZI275" s="1"/>
      <c r="WZJ275" s="1"/>
      <c r="WZK275" s="1"/>
      <c r="WZL275" s="1"/>
      <c r="WZM275" s="1"/>
      <c r="WZN275" s="1"/>
      <c r="WZO275" s="1"/>
      <c r="WZP275" s="1"/>
      <c r="WZQ275" s="1"/>
      <c r="WZR275" s="1"/>
      <c r="WZS275" s="1"/>
      <c r="WZT275" s="1"/>
      <c r="WZU275" s="1"/>
      <c r="WZV275" s="1"/>
      <c r="WZW275" s="1"/>
      <c r="WZX275" s="1"/>
      <c r="WZY275" s="1"/>
      <c r="WZZ275" s="1"/>
      <c r="XAA275" s="1"/>
      <c r="XAB275" s="1"/>
      <c r="XAC275" s="1"/>
      <c r="XAD275" s="1"/>
      <c r="XAE275" s="1"/>
      <c r="XAF275" s="1"/>
      <c r="XAG275" s="1"/>
      <c r="XAH275" s="1"/>
      <c r="XAI275" s="1"/>
      <c r="XAJ275" s="1"/>
      <c r="XAK275" s="1"/>
      <c r="XAL275" s="1"/>
      <c r="XAM275" s="1"/>
      <c r="XAN275" s="1"/>
      <c r="XAO275" s="1"/>
      <c r="XAP275" s="1"/>
      <c r="XAQ275" s="1"/>
      <c r="XAR275" s="1"/>
      <c r="XAS275" s="1"/>
      <c r="XAT275" s="1"/>
      <c r="XAU275" s="1"/>
      <c r="XAV275" s="1"/>
      <c r="XAW275" s="1"/>
      <c r="XAX275" s="1"/>
      <c r="XAY275" s="1"/>
      <c r="XAZ275" s="1"/>
      <c r="XBA275" s="1"/>
      <c r="XBB275" s="1"/>
      <c r="XBC275" s="1"/>
      <c r="XBD275" s="1"/>
      <c r="XBE275" s="1"/>
      <c r="XBF275" s="1"/>
      <c r="XBG275" s="1"/>
      <c r="XBH275" s="1"/>
      <c r="XBI275" s="1"/>
      <c r="XBJ275" s="1"/>
      <c r="XBK275" s="1"/>
      <c r="XBL275" s="1"/>
      <c r="XBM275" s="1"/>
      <c r="XBN275" s="1"/>
      <c r="XBO275" s="1"/>
      <c r="XBP275" s="1"/>
      <c r="XBQ275" s="1"/>
      <c r="XBR275" s="1"/>
      <c r="XBS275" s="1"/>
      <c r="XBT275" s="1"/>
      <c r="XBU275" s="1"/>
      <c r="XBV275" s="1"/>
      <c r="XBW275" s="1"/>
      <c r="XBX275" s="1"/>
      <c r="XBY275" s="1"/>
      <c r="XBZ275" s="1"/>
      <c r="XCA275" s="1"/>
      <c r="XCB275" s="1"/>
      <c r="XCC275" s="1"/>
      <c r="XCD275" s="1"/>
      <c r="XCE275" s="1"/>
      <c r="XCF275" s="1"/>
      <c r="XCG275" s="1"/>
      <c r="XCH275" s="1"/>
      <c r="XCI275" s="1"/>
      <c r="XCJ275" s="1"/>
      <c r="XCK275" s="1"/>
      <c r="XCL275" s="1"/>
      <c r="XCM275" s="1"/>
      <c r="XCN275" s="1"/>
      <c r="XCO275" s="1"/>
      <c r="XCP275" s="1"/>
      <c r="XCQ275" s="1"/>
      <c r="XCR275" s="1"/>
      <c r="XCS275" s="1"/>
      <c r="XCT275" s="1"/>
      <c r="XCU275" s="1"/>
      <c r="XCV275" s="1"/>
      <c r="XCW275" s="1"/>
      <c r="XCX275" s="1"/>
      <c r="XCY275" s="1"/>
      <c r="XCZ275" s="1"/>
      <c r="XDA275" s="1"/>
      <c r="XDB275" s="1"/>
      <c r="XDC275" s="1"/>
      <c r="XDD275" s="1"/>
      <c r="XDE275" s="1"/>
      <c r="XDF275" s="1"/>
      <c r="XDG275" s="1"/>
      <c r="XDH275" s="1"/>
      <c r="XDI275" s="1"/>
      <c r="XDJ275" s="1"/>
      <c r="XDK275" s="1"/>
      <c r="XDL275" s="1"/>
      <c r="XDM275" s="1"/>
      <c r="XDN275" s="1"/>
      <c r="XDO275" s="1"/>
      <c r="XDP275" s="1"/>
      <c r="XDQ275" s="1"/>
      <c r="XDR275" s="1"/>
      <c r="XDS275" s="1"/>
      <c r="XDT275" s="1"/>
      <c r="XDU275" s="1"/>
      <c r="XDV275" s="1"/>
      <c r="XDW275" s="1"/>
      <c r="XDX275" s="1"/>
      <c r="XDY275" s="1"/>
      <c r="XDZ275" s="1"/>
      <c r="XEA275" s="1"/>
      <c r="XEB275" s="1"/>
      <c r="XEC275" s="1"/>
      <c r="XED275" s="1"/>
      <c r="XEE275" s="1"/>
      <c r="XEF275" s="1"/>
      <c r="XEG275" s="1"/>
      <c r="XEH275" s="1"/>
      <c r="XEI275" s="1"/>
      <c r="XEJ275" s="1"/>
      <c r="XEK275" s="1"/>
      <c r="XEL275" s="1"/>
      <c r="XEM275" s="1"/>
      <c r="XEN275" s="1"/>
      <c r="XEO275" s="1"/>
      <c r="XEP275" s="1"/>
      <c r="XEQ275" s="1"/>
      <c r="XER275" s="1"/>
      <c r="XES275" s="1"/>
      <c r="XET275" s="1"/>
      <c r="XEU275" s="1"/>
      <c r="XEV275" s="1"/>
      <c r="XEW275" s="1"/>
      <c r="XEX275" s="1"/>
      <c r="XEY275" s="1"/>
      <c r="XEZ275" s="1"/>
      <c r="XFA275" s="1"/>
      <c r="XFB275" s="1"/>
      <c r="XFC275" s="1"/>
    </row>
    <row r="276" spans="1:150 16226:16383" s="3" customFormat="1" ht="20.25" hidden="1" customHeight="1" x14ac:dyDescent="0.25">
      <c r="A276" s="135">
        <f t="shared" si="22"/>
        <v>8</v>
      </c>
      <c r="B276" s="136"/>
      <c r="C276" s="61"/>
      <c r="D276" s="61"/>
      <c r="E276" s="39"/>
      <c r="F276" s="38"/>
      <c r="G276" s="38"/>
      <c r="H276" s="38">
        <f t="shared" si="21"/>
        <v>0</v>
      </c>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WZB276" s="1"/>
      <c r="WZC276" s="1"/>
      <c r="WZD276" s="1"/>
      <c r="WZE276" s="1"/>
      <c r="WZF276" s="1"/>
      <c r="WZG276" s="1"/>
      <c r="WZH276" s="1"/>
      <c r="WZI276" s="1"/>
      <c r="WZJ276" s="1"/>
      <c r="WZK276" s="1"/>
      <c r="WZL276" s="1"/>
      <c r="WZM276" s="1"/>
      <c r="WZN276" s="1"/>
      <c r="WZO276" s="1"/>
      <c r="WZP276" s="1"/>
      <c r="WZQ276" s="1"/>
      <c r="WZR276" s="1"/>
      <c r="WZS276" s="1"/>
      <c r="WZT276" s="1"/>
      <c r="WZU276" s="1"/>
      <c r="WZV276" s="1"/>
      <c r="WZW276" s="1"/>
      <c r="WZX276" s="1"/>
      <c r="WZY276" s="1"/>
      <c r="WZZ276" s="1"/>
      <c r="XAA276" s="1"/>
      <c r="XAB276" s="1"/>
      <c r="XAC276" s="1"/>
      <c r="XAD276" s="1"/>
      <c r="XAE276" s="1"/>
      <c r="XAF276" s="1"/>
      <c r="XAG276" s="1"/>
      <c r="XAH276" s="1"/>
      <c r="XAI276" s="1"/>
      <c r="XAJ276" s="1"/>
      <c r="XAK276" s="1"/>
      <c r="XAL276" s="1"/>
      <c r="XAM276" s="1"/>
      <c r="XAN276" s="1"/>
      <c r="XAO276" s="1"/>
      <c r="XAP276" s="1"/>
      <c r="XAQ276" s="1"/>
      <c r="XAR276" s="1"/>
      <c r="XAS276" s="1"/>
      <c r="XAT276" s="1"/>
      <c r="XAU276" s="1"/>
      <c r="XAV276" s="1"/>
      <c r="XAW276" s="1"/>
      <c r="XAX276" s="1"/>
      <c r="XAY276" s="1"/>
      <c r="XAZ276" s="1"/>
      <c r="XBA276" s="1"/>
      <c r="XBB276" s="1"/>
      <c r="XBC276" s="1"/>
      <c r="XBD276" s="1"/>
      <c r="XBE276" s="1"/>
      <c r="XBF276" s="1"/>
      <c r="XBG276" s="1"/>
      <c r="XBH276" s="1"/>
      <c r="XBI276" s="1"/>
      <c r="XBJ276" s="1"/>
      <c r="XBK276" s="1"/>
      <c r="XBL276" s="1"/>
      <c r="XBM276" s="1"/>
      <c r="XBN276" s="1"/>
      <c r="XBO276" s="1"/>
      <c r="XBP276" s="1"/>
      <c r="XBQ276" s="1"/>
      <c r="XBR276" s="1"/>
      <c r="XBS276" s="1"/>
      <c r="XBT276" s="1"/>
      <c r="XBU276" s="1"/>
      <c r="XBV276" s="1"/>
      <c r="XBW276" s="1"/>
      <c r="XBX276" s="1"/>
      <c r="XBY276" s="1"/>
      <c r="XBZ276" s="1"/>
      <c r="XCA276" s="1"/>
      <c r="XCB276" s="1"/>
      <c r="XCC276" s="1"/>
      <c r="XCD276" s="1"/>
      <c r="XCE276" s="1"/>
      <c r="XCF276" s="1"/>
      <c r="XCG276" s="1"/>
      <c r="XCH276" s="1"/>
      <c r="XCI276" s="1"/>
      <c r="XCJ276" s="1"/>
      <c r="XCK276" s="1"/>
      <c r="XCL276" s="1"/>
      <c r="XCM276" s="1"/>
      <c r="XCN276" s="1"/>
      <c r="XCO276" s="1"/>
      <c r="XCP276" s="1"/>
      <c r="XCQ276" s="1"/>
      <c r="XCR276" s="1"/>
      <c r="XCS276" s="1"/>
      <c r="XCT276" s="1"/>
      <c r="XCU276" s="1"/>
      <c r="XCV276" s="1"/>
      <c r="XCW276" s="1"/>
      <c r="XCX276" s="1"/>
      <c r="XCY276" s="1"/>
      <c r="XCZ276" s="1"/>
      <c r="XDA276" s="1"/>
      <c r="XDB276" s="1"/>
      <c r="XDC276" s="1"/>
      <c r="XDD276" s="1"/>
      <c r="XDE276" s="1"/>
      <c r="XDF276" s="1"/>
      <c r="XDG276" s="1"/>
      <c r="XDH276" s="1"/>
      <c r="XDI276" s="1"/>
      <c r="XDJ276" s="1"/>
      <c r="XDK276" s="1"/>
      <c r="XDL276" s="1"/>
      <c r="XDM276" s="1"/>
      <c r="XDN276" s="1"/>
      <c r="XDO276" s="1"/>
      <c r="XDP276" s="1"/>
      <c r="XDQ276" s="1"/>
      <c r="XDR276" s="1"/>
      <c r="XDS276" s="1"/>
      <c r="XDT276" s="1"/>
      <c r="XDU276" s="1"/>
      <c r="XDV276" s="1"/>
      <c r="XDW276" s="1"/>
      <c r="XDX276" s="1"/>
      <c r="XDY276" s="1"/>
      <c r="XDZ276" s="1"/>
      <c r="XEA276" s="1"/>
      <c r="XEB276" s="1"/>
      <c r="XEC276" s="1"/>
      <c r="XED276" s="1"/>
      <c r="XEE276" s="1"/>
      <c r="XEF276" s="1"/>
      <c r="XEG276" s="1"/>
      <c r="XEH276" s="1"/>
      <c r="XEI276" s="1"/>
      <c r="XEJ276" s="1"/>
      <c r="XEK276" s="1"/>
      <c r="XEL276" s="1"/>
      <c r="XEM276" s="1"/>
      <c r="XEN276" s="1"/>
      <c r="XEO276" s="1"/>
      <c r="XEP276" s="1"/>
      <c r="XEQ276" s="1"/>
      <c r="XER276" s="1"/>
      <c r="XES276" s="1"/>
      <c r="XET276" s="1"/>
      <c r="XEU276" s="1"/>
      <c r="XEV276" s="1"/>
      <c r="XEW276" s="1"/>
      <c r="XEX276" s="1"/>
      <c r="XEY276" s="1"/>
      <c r="XEZ276" s="1"/>
      <c r="XFA276" s="1"/>
      <c r="XFB276" s="1"/>
      <c r="XFC276" s="1"/>
    </row>
    <row r="277" spans="1:150 16226:16383" s="3" customFormat="1" ht="20.25" hidden="1" customHeight="1" x14ac:dyDescent="0.25">
      <c r="A277" s="135">
        <f t="shared" si="22"/>
        <v>9</v>
      </c>
      <c r="B277" s="136"/>
      <c r="C277" s="61"/>
      <c r="D277" s="61"/>
      <c r="E277" s="88"/>
      <c r="F277" s="87"/>
      <c r="G277" s="87"/>
      <c r="H277" s="87">
        <f t="shared" ref="H277:H281" si="23">E277+F277+(IF(G277&lt;101,G277,IF(G277&lt;201,G277/2,IF(G277&lt;=301,G277/3,G277/4))))</f>
        <v>0</v>
      </c>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WZB277" s="1"/>
      <c r="WZC277" s="1"/>
      <c r="WZD277" s="1"/>
      <c r="WZE277" s="1"/>
      <c r="WZF277" s="1"/>
      <c r="WZG277" s="1"/>
      <c r="WZH277" s="1"/>
      <c r="WZI277" s="1"/>
      <c r="WZJ277" s="1"/>
      <c r="WZK277" s="1"/>
      <c r="WZL277" s="1"/>
      <c r="WZM277" s="1"/>
      <c r="WZN277" s="1"/>
      <c r="WZO277" s="1"/>
      <c r="WZP277" s="1"/>
      <c r="WZQ277" s="1"/>
      <c r="WZR277" s="1"/>
      <c r="WZS277" s="1"/>
      <c r="WZT277" s="1"/>
      <c r="WZU277" s="1"/>
      <c r="WZV277" s="1"/>
      <c r="WZW277" s="1"/>
      <c r="WZX277" s="1"/>
      <c r="WZY277" s="1"/>
      <c r="WZZ277" s="1"/>
      <c r="XAA277" s="1"/>
      <c r="XAB277" s="1"/>
      <c r="XAC277" s="1"/>
      <c r="XAD277" s="1"/>
      <c r="XAE277" s="1"/>
      <c r="XAF277" s="1"/>
      <c r="XAG277" s="1"/>
      <c r="XAH277" s="1"/>
      <c r="XAI277" s="1"/>
      <c r="XAJ277" s="1"/>
      <c r="XAK277" s="1"/>
      <c r="XAL277" s="1"/>
      <c r="XAM277" s="1"/>
      <c r="XAN277" s="1"/>
      <c r="XAO277" s="1"/>
      <c r="XAP277" s="1"/>
      <c r="XAQ277" s="1"/>
      <c r="XAR277" s="1"/>
      <c r="XAS277" s="1"/>
      <c r="XAT277" s="1"/>
      <c r="XAU277" s="1"/>
      <c r="XAV277" s="1"/>
      <c r="XAW277" s="1"/>
      <c r="XAX277" s="1"/>
      <c r="XAY277" s="1"/>
      <c r="XAZ277" s="1"/>
      <c r="XBA277" s="1"/>
      <c r="XBB277" s="1"/>
      <c r="XBC277" s="1"/>
      <c r="XBD277" s="1"/>
      <c r="XBE277" s="1"/>
      <c r="XBF277" s="1"/>
      <c r="XBG277" s="1"/>
      <c r="XBH277" s="1"/>
      <c r="XBI277" s="1"/>
      <c r="XBJ277" s="1"/>
      <c r="XBK277" s="1"/>
      <c r="XBL277" s="1"/>
      <c r="XBM277" s="1"/>
      <c r="XBN277" s="1"/>
      <c r="XBO277" s="1"/>
      <c r="XBP277" s="1"/>
      <c r="XBQ277" s="1"/>
      <c r="XBR277" s="1"/>
      <c r="XBS277" s="1"/>
      <c r="XBT277" s="1"/>
      <c r="XBU277" s="1"/>
      <c r="XBV277" s="1"/>
      <c r="XBW277" s="1"/>
      <c r="XBX277" s="1"/>
      <c r="XBY277" s="1"/>
      <c r="XBZ277" s="1"/>
      <c r="XCA277" s="1"/>
      <c r="XCB277" s="1"/>
      <c r="XCC277" s="1"/>
      <c r="XCD277" s="1"/>
      <c r="XCE277" s="1"/>
      <c r="XCF277" s="1"/>
      <c r="XCG277" s="1"/>
      <c r="XCH277" s="1"/>
      <c r="XCI277" s="1"/>
      <c r="XCJ277" s="1"/>
      <c r="XCK277" s="1"/>
      <c r="XCL277" s="1"/>
      <c r="XCM277" s="1"/>
      <c r="XCN277" s="1"/>
      <c r="XCO277" s="1"/>
      <c r="XCP277" s="1"/>
      <c r="XCQ277" s="1"/>
      <c r="XCR277" s="1"/>
      <c r="XCS277" s="1"/>
      <c r="XCT277" s="1"/>
      <c r="XCU277" s="1"/>
      <c r="XCV277" s="1"/>
      <c r="XCW277" s="1"/>
      <c r="XCX277" s="1"/>
      <c r="XCY277" s="1"/>
      <c r="XCZ277" s="1"/>
      <c r="XDA277" s="1"/>
      <c r="XDB277" s="1"/>
      <c r="XDC277" s="1"/>
      <c r="XDD277" s="1"/>
      <c r="XDE277" s="1"/>
      <c r="XDF277" s="1"/>
      <c r="XDG277" s="1"/>
      <c r="XDH277" s="1"/>
      <c r="XDI277" s="1"/>
      <c r="XDJ277" s="1"/>
      <c r="XDK277" s="1"/>
      <c r="XDL277" s="1"/>
      <c r="XDM277" s="1"/>
      <c r="XDN277" s="1"/>
      <c r="XDO277" s="1"/>
      <c r="XDP277" s="1"/>
      <c r="XDQ277" s="1"/>
      <c r="XDR277" s="1"/>
      <c r="XDS277" s="1"/>
      <c r="XDT277" s="1"/>
      <c r="XDU277" s="1"/>
      <c r="XDV277" s="1"/>
      <c r="XDW277" s="1"/>
      <c r="XDX277" s="1"/>
      <c r="XDY277" s="1"/>
      <c r="XDZ277" s="1"/>
      <c r="XEA277" s="1"/>
      <c r="XEB277" s="1"/>
      <c r="XEC277" s="1"/>
      <c r="XED277" s="1"/>
      <c r="XEE277" s="1"/>
      <c r="XEF277" s="1"/>
      <c r="XEG277" s="1"/>
      <c r="XEH277" s="1"/>
      <c r="XEI277" s="1"/>
      <c r="XEJ277" s="1"/>
      <c r="XEK277" s="1"/>
      <c r="XEL277" s="1"/>
      <c r="XEM277" s="1"/>
      <c r="XEN277" s="1"/>
      <c r="XEO277" s="1"/>
      <c r="XEP277" s="1"/>
      <c r="XEQ277" s="1"/>
      <c r="XER277" s="1"/>
      <c r="XES277" s="1"/>
      <c r="XET277" s="1"/>
      <c r="XEU277" s="1"/>
      <c r="XEV277" s="1"/>
      <c r="XEW277" s="1"/>
      <c r="XEX277" s="1"/>
      <c r="XEY277" s="1"/>
      <c r="XEZ277" s="1"/>
      <c r="XFA277" s="1"/>
      <c r="XFB277" s="1"/>
      <c r="XFC277" s="1"/>
    </row>
    <row r="278" spans="1:150 16226:16383" s="3" customFormat="1" ht="20.25" hidden="1" customHeight="1" x14ac:dyDescent="0.25">
      <c r="A278" s="135">
        <f t="shared" si="22"/>
        <v>10</v>
      </c>
      <c r="B278" s="136"/>
      <c r="C278" s="61"/>
      <c r="D278" s="61"/>
      <c r="E278" s="88"/>
      <c r="F278" s="87"/>
      <c r="G278" s="87"/>
      <c r="H278" s="87">
        <f t="shared" si="23"/>
        <v>0</v>
      </c>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WZB278" s="1"/>
      <c r="WZC278" s="1"/>
      <c r="WZD278" s="1"/>
      <c r="WZE278" s="1"/>
      <c r="WZF278" s="1"/>
      <c r="WZG278" s="1"/>
      <c r="WZH278" s="1"/>
      <c r="WZI278" s="1"/>
      <c r="WZJ278" s="1"/>
      <c r="WZK278" s="1"/>
      <c r="WZL278" s="1"/>
      <c r="WZM278" s="1"/>
      <c r="WZN278" s="1"/>
      <c r="WZO278" s="1"/>
      <c r="WZP278" s="1"/>
      <c r="WZQ278" s="1"/>
      <c r="WZR278" s="1"/>
      <c r="WZS278" s="1"/>
      <c r="WZT278" s="1"/>
      <c r="WZU278" s="1"/>
      <c r="WZV278" s="1"/>
      <c r="WZW278" s="1"/>
      <c r="WZX278" s="1"/>
      <c r="WZY278" s="1"/>
      <c r="WZZ278" s="1"/>
      <c r="XAA278" s="1"/>
      <c r="XAB278" s="1"/>
      <c r="XAC278" s="1"/>
      <c r="XAD278" s="1"/>
      <c r="XAE278" s="1"/>
      <c r="XAF278" s="1"/>
      <c r="XAG278" s="1"/>
      <c r="XAH278" s="1"/>
      <c r="XAI278" s="1"/>
      <c r="XAJ278" s="1"/>
      <c r="XAK278" s="1"/>
      <c r="XAL278" s="1"/>
      <c r="XAM278" s="1"/>
      <c r="XAN278" s="1"/>
      <c r="XAO278" s="1"/>
      <c r="XAP278" s="1"/>
      <c r="XAQ278" s="1"/>
      <c r="XAR278" s="1"/>
      <c r="XAS278" s="1"/>
      <c r="XAT278" s="1"/>
      <c r="XAU278" s="1"/>
      <c r="XAV278" s="1"/>
      <c r="XAW278" s="1"/>
      <c r="XAX278" s="1"/>
      <c r="XAY278" s="1"/>
      <c r="XAZ278" s="1"/>
      <c r="XBA278" s="1"/>
      <c r="XBB278" s="1"/>
      <c r="XBC278" s="1"/>
      <c r="XBD278" s="1"/>
      <c r="XBE278" s="1"/>
      <c r="XBF278" s="1"/>
      <c r="XBG278" s="1"/>
      <c r="XBH278" s="1"/>
      <c r="XBI278" s="1"/>
      <c r="XBJ278" s="1"/>
      <c r="XBK278" s="1"/>
      <c r="XBL278" s="1"/>
      <c r="XBM278" s="1"/>
      <c r="XBN278" s="1"/>
      <c r="XBO278" s="1"/>
      <c r="XBP278" s="1"/>
      <c r="XBQ278" s="1"/>
      <c r="XBR278" s="1"/>
      <c r="XBS278" s="1"/>
      <c r="XBT278" s="1"/>
      <c r="XBU278" s="1"/>
      <c r="XBV278" s="1"/>
      <c r="XBW278" s="1"/>
      <c r="XBX278" s="1"/>
      <c r="XBY278" s="1"/>
      <c r="XBZ278" s="1"/>
      <c r="XCA278" s="1"/>
      <c r="XCB278" s="1"/>
      <c r="XCC278" s="1"/>
      <c r="XCD278" s="1"/>
      <c r="XCE278" s="1"/>
      <c r="XCF278" s="1"/>
      <c r="XCG278" s="1"/>
      <c r="XCH278" s="1"/>
      <c r="XCI278" s="1"/>
      <c r="XCJ278" s="1"/>
      <c r="XCK278" s="1"/>
      <c r="XCL278" s="1"/>
      <c r="XCM278" s="1"/>
      <c r="XCN278" s="1"/>
      <c r="XCO278" s="1"/>
      <c r="XCP278" s="1"/>
      <c r="XCQ278" s="1"/>
      <c r="XCR278" s="1"/>
      <c r="XCS278" s="1"/>
      <c r="XCT278" s="1"/>
      <c r="XCU278" s="1"/>
      <c r="XCV278" s="1"/>
      <c r="XCW278" s="1"/>
      <c r="XCX278" s="1"/>
      <c r="XCY278" s="1"/>
      <c r="XCZ278" s="1"/>
      <c r="XDA278" s="1"/>
      <c r="XDB278" s="1"/>
      <c r="XDC278" s="1"/>
      <c r="XDD278" s="1"/>
      <c r="XDE278" s="1"/>
      <c r="XDF278" s="1"/>
      <c r="XDG278" s="1"/>
      <c r="XDH278" s="1"/>
      <c r="XDI278" s="1"/>
      <c r="XDJ278" s="1"/>
      <c r="XDK278" s="1"/>
      <c r="XDL278" s="1"/>
      <c r="XDM278" s="1"/>
      <c r="XDN278" s="1"/>
      <c r="XDO278" s="1"/>
      <c r="XDP278" s="1"/>
      <c r="XDQ278" s="1"/>
      <c r="XDR278" s="1"/>
      <c r="XDS278" s="1"/>
      <c r="XDT278" s="1"/>
      <c r="XDU278" s="1"/>
      <c r="XDV278" s="1"/>
      <c r="XDW278" s="1"/>
      <c r="XDX278" s="1"/>
      <c r="XDY278" s="1"/>
      <c r="XDZ278" s="1"/>
      <c r="XEA278" s="1"/>
      <c r="XEB278" s="1"/>
      <c r="XEC278" s="1"/>
      <c r="XED278" s="1"/>
      <c r="XEE278" s="1"/>
      <c r="XEF278" s="1"/>
      <c r="XEG278" s="1"/>
      <c r="XEH278" s="1"/>
      <c r="XEI278" s="1"/>
      <c r="XEJ278" s="1"/>
      <c r="XEK278" s="1"/>
      <c r="XEL278" s="1"/>
      <c r="XEM278" s="1"/>
      <c r="XEN278" s="1"/>
      <c r="XEO278" s="1"/>
      <c r="XEP278" s="1"/>
      <c r="XEQ278" s="1"/>
      <c r="XER278" s="1"/>
      <c r="XES278" s="1"/>
      <c r="XET278" s="1"/>
      <c r="XEU278" s="1"/>
      <c r="XEV278" s="1"/>
      <c r="XEW278" s="1"/>
      <c r="XEX278" s="1"/>
      <c r="XEY278" s="1"/>
      <c r="XEZ278" s="1"/>
      <c r="XFA278" s="1"/>
      <c r="XFB278" s="1"/>
      <c r="XFC278" s="1"/>
    </row>
    <row r="279" spans="1:150 16226:16383" s="3" customFormat="1" ht="20.25" hidden="1" customHeight="1" x14ac:dyDescent="0.25">
      <c r="A279" s="135">
        <f t="shared" si="22"/>
        <v>11</v>
      </c>
      <c r="B279" s="136"/>
      <c r="C279" s="61"/>
      <c r="D279" s="61"/>
      <c r="E279" s="88"/>
      <c r="F279" s="87"/>
      <c r="G279" s="87"/>
      <c r="H279" s="87">
        <f t="shared" si="23"/>
        <v>0</v>
      </c>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WZB279" s="1"/>
      <c r="WZC279" s="1"/>
      <c r="WZD279" s="1"/>
      <c r="WZE279" s="1"/>
      <c r="WZF279" s="1"/>
      <c r="WZG279" s="1"/>
      <c r="WZH279" s="1"/>
      <c r="WZI279" s="1"/>
      <c r="WZJ279" s="1"/>
      <c r="WZK279" s="1"/>
      <c r="WZL279" s="1"/>
      <c r="WZM279" s="1"/>
      <c r="WZN279" s="1"/>
      <c r="WZO279" s="1"/>
      <c r="WZP279" s="1"/>
      <c r="WZQ279" s="1"/>
      <c r="WZR279" s="1"/>
      <c r="WZS279" s="1"/>
      <c r="WZT279" s="1"/>
      <c r="WZU279" s="1"/>
      <c r="WZV279" s="1"/>
      <c r="WZW279" s="1"/>
      <c r="WZX279" s="1"/>
      <c r="WZY279" s="1"/>
      <c r="WZZ279" s="1"/>
      <c r="XAA279" s="1"/>
      <c r="XAB279" s="1"/>
      <c r="XAC279" s="1"/>
      <c r="XAD279" s="1"/>
      <c r="XAE279" s="1"/>
      <c r="XAF279" s="1"/>
      <c r="XAG279" s="1"/>
      <c r="XAH279" s="1"/>
      <c r="XAI279" s="1"/>
      <c r="XAJ279" s="1"/>
      <c r="XAK279" s="1"/>
      <c r="XAL279" s="1"/>
      <c r="XAM279" s="1"/>
      <c r="XAN279" s="1"/>
      <c r="XAO279" s="1"/>
      <c r="XAP279" s="1"/>
      <c r="XAQ279" s="1"/>
      <c r="XAR279" s="1"/>
      <c r="XAS279" s="1"/>
      <c r="XAT279" s="1"/>
      <c r="XAU279" s="1"/>
      <c r="XAV279" s="1"/>
      <c r="XAW279" s="1"/>
      <c r="XAX279" s="1"/>
      <c r="XAY279" s="1"/>
      <c r="XAZ279" s="1"/>
      <c r="XBA279" s="1"/>
      <c r="XBB279" s="1"/>
      <c r="XBC279" s="1"/>
      <c r="XBD279" s="1"/>
      <c r="XBE279" s="1"/>
      <c r="XBF279" s="1"/>
      <c r="XBG279" s="1"/>
      <c r="XBH279" s="1"/>
      <c r="XBI279" s="1"/>
      <c r="XBJ279" s="1"/>
      <c r="XBK279" s="1"/>
      <c r="XBL279" s="1"/>
      <c r="XBM279" s="1"/>
      <c r="XBN279" s="1"/>
      <c r="XBO279" s="1"/>
      <c r="XBP279" s="1"/>
      <c r="XBQ279" s="1"/>
      <c r="XBR279" s="1"/>
      <c r="XBS279" s="1"/>
      <c r="XBT279" s="1"/>
      <c r="XBU279" s="1"/>
      <c r="XBV279" s="1"/>
      <c r="XBW279" s="1"/>
      <c r="XBX279" s="1"/>
      <c r="XBY279" s="1"/>
      <c r="XBZ279" s="1"/>
      <c r="XCA279" s="1"/>
      <c r="XCB279" s="1"/>
      <c r="XCC279" s="1"/>
      <c r="XCD279" s="1"/>
      <c r="XCE279" s="1"/>
      <c r="XCF279" s="1"/>
      <c r="XCG279" s="1"/>
      <c r="XCH279" s="1"/>
      <c r="XCI279" s="1"/>
      <c r="XCJ279" s="1"/>
      <c r="XCK279" s="1"/>
      <c r="XCL279" s="1"/>
      <c r="XCM279" s="1"/>
      <c r="XCN279" s="1"/>
      <c r="XCO279" s="1"/>
      <c r="XCP279" s="1"/>
      <c r="XCQ279" s="1"/>
      <c r="XCR279" s="1"/>
      <c r="XCS279" s="1"/>
      <c r="XCT279" s="1"/>
      <c r="XCU279" s="1"/>
      <c r="XCV279" s="1"/>
      <c r="XCW279" s="1"/>
      <c r="XCX279" s="1"/>
      <c r="XCY279" s="1"/>
      <c r="XCZ279" s="1"/>
      <c r="XDA279" s="1"/>
      <c r="XDB279" s="1"/>
      <c r="XDC279" s="1"/>
      <c r="XDD279" s="1"/>
      <c r="XDE279" s="1"/>
      <c r="XDF279" s="1"/>
      <c r="XDG279" s="1"/>
      <c r="XDH279" s="1"/>
      <c r="XDI279" s="1"/>
      <c r="XDJ279" s="1"/>
      <c r="XDK279" s="1"/>
      <c r="XDL279" s="1"/>
      <c r="XDM279" s="1"/>
      <c r="XDN279" s="1"/>
      <c r="XDO279" s="1"/>
      <c r="XDP279" s="1"/>
      <c r="XDQ279" s="1"/>
      <c r="XDR279" s="1"/>
      <c r="XDS279" s="1"/>
      <c r="XDT279" s="1"/>
      <c r="XDU279" s="1"/>
      <c r="XDV279" s="1"/>
      <c r="XDW279" s="1"/>
      <c r="XDX279" s="1"/>
      <c r="XDY279" s="1"/>
      <c r="XDZ279" s="1"/>
      <c r="XEA279" s="1"/>
      <c r="XEB279" s="1"/>
      <c r="XEC279" s="1"/>
      <c r="XED279" s="1"/>
      <c r="XEE279" s="1"/>
      <c r="XEF279" s="1"/>
      <c r="XEG279" s="1"/>
      <c r="XEH279" s="1"/>
      <c r="XEI279" s="1"/>
      <c r="XEJ279" s="1"/>
      <c r="XEK279" s="1"/>
      <c r="XEL279" s="1"/>
      <c r="XEM279" s="1"/>
      <c r="XEN279" s="1"/>
      <c r="XEO279" s="1"/>
      <c r="XEP279" s="1"/>
      <c r="XEQ279" s="1"/>
      <c r="XER279" s="1"/>
      <c r="XES279" s="1"/>
      <c r="XET279" s="1"/>
      <c r="XEU279" s="1"/>
      <c r="XEV279" s="1"/>
      <c r="XEW279" s="1"/>
      <c r="XEX279" s="1"/>
      <c r="XEY279" s="1"/>
      <c r="XEZ279" s="1"/>
      <c r="XFA279" s="1"/>
      <c r="XFB279" s="1"/>
      <c r="XFC279" s="1"/>
    </row>
    <row r="280" spans="1:150 16226:16383" s="3" customFormat="1" ht="20.25" hidden="1" customHeight="1" x14ac:dyDescent="0.25">
      <c r="A280" s="135">
        <f t="shared" si="22"/>
        <v>12</v>
      </c>
      <c r="B280" s="136"/>
      <c r="C280" s="61"/>
      <c r="D280" s="61"/>
      <c r="E280" s="88"/>
      <c r="F280" s="87"/>
      <c r="G280" s="87"/>
      <c r="H280" s="87">
        <f t="shared" si="23"/>
        <v>0</v>
      </c>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WZB280" s="1"/>
      <c r="WZC280" s="1"/>
      <c r="WZD280" s="1"/>
      <c r="WZE280" s="1"/>
      <c r="WZF280" s="1"/>
      <c r="WZG280" s="1"/>
      <c r="WZH280" s="1"/>
      <c r="WZI280" s="1"/>
      <c r="WZJ280" s="1"/>
      <c r="WZK280" s="1"/>
      <c r="WZL280" s="1"/>
      <c r="WZM280" s="1"/>
      <c r="WZN280" s="1"/>
      <c r="WZO280" s="1"/>
      <c r="WZP280" s="1"/>
      <c r="WZQ280" s="1"/>
      <c r="WZR280" s="1"/>
      <c r="WZS280" s="1"/>
      <c r="WZT280" s="1"/>
      <c r="WZU280" s="1"/>
      <c r="WZV280" s="1"/>
      <c r="WZW280" s="1"/>
      <c r="WZX280" s="1"/>
      <c r="WZY280" s="1"/>
      <c r="WZZ280" s="1"/>
      <c r="XAA280" s="1"/>
      <c r="XAB280" s="1"/>
      <c r="XAC280" s="1"/>
      <c r="XAD280" s="1"/>
      <c r="XAE280" s="1"/>
      <c r="XAF280" s="1"/>
      <c r="XAG280" s="1"/>
      <c r="XAH280" s="1"/>
      <c r="XAI280" s="1"/>
      <c r="XAJ280" s="1"/>
      <c r="XAK280" s="1"/>
      <c r="XAL280" s="1"/>
      <c r="XAM280" s="1"/>
      <c r="XAN280" s="1"/>
      <c r="XAO280" s="1"/>
      <c r="XAP280" s="1"/>
      <c r="XAQ280" s="1"/>
      <c r="XAR280" s="1"/>
      <c r="XAS280" s="1"/>
      <c r="XAT280" s="1"/>
      <c r="XAU280" s="1"/>
      <c r="XAV280" s="1"/>
      <c r="XAW280" s="1"/>
      <c r="XAX280" s="1"/>
      <c r="XAY280" s="1"/>
      <c r="XAZ280" s="1"/>
      <c r="XBA280" s="1"/>
      <c r="XBB280" s="1"/>
      <c r="XBC280" s="1"/>
      <c r="XBD280" s="1"/>
      <c r="XBE280" s="1"/>
      <c r="XBF280" s="1"/>
      <c r="XBG280" s="1"/>
      <c r="XBH280" s="1"/>
      <c r="XBI280" s="1"/>
      <c r="XBJ280" s="1"/>
      <c r="XBK280" s="1"/>
      <c r="XBL280" s="1"/>
      <c r="XBM280" s="1"/>
      <c r="XBN280" s="1"/>
      <c r="XBO280" s="1"/>
      <c r="XBP280" s="1"/>
      <c r="XBQ280" s="1"/>
      <c r="XBR280" s="1"/>
      <c r="XBS280" s="1"/>
      <c r="XBT280" s="1"/>
      <c r="XBU280" s="1"/>
      <c r="XBV280" s="1"/>
      <c r="XBW280" s="1"/>
      <c r="XBX280" s="1"/>
      <c r="XBY280" s="1"/>
      <c r="XBZ280" s="1"/>
      <c r="XCA280" s="1"/>
      <c r="XCB280" s="1"/>
      <c r="XCC280" s="1"/>
      <c r="XCD280" s="1"/>
      <c r="XCE280" s="1"/>
      <c r="XCF280" s="1"/>
      <c r="XCG280" s="1"/>
      <c r="XCH280" s="1"/>
      <c r="XCI280" s="1"/>
      <c r="XCJ280" s="1"/>
      <c r="XCK280" s="1"/>
      <c r="XCL280" s="1"/>
      <c r="XCM280" s="1"/>
      <c r="XCN280" s="1"/>
      <c r="XCO280" s="1"/>
      <c r="XCP280" s="1"/>
      <c r="XCQ280" s="1"/>
      <c r="XCR280" s="1"/>
      <c r="XCS280" s="1"/>
      <c r="XCT280" s="1"/>
      <c r="XCU280" s="1"/>
      <c r="XCV280" s="1"/>
      <c r="XCW280" s="1"/>
      <c r="XCX280" s="1"/>
      <c r="XCY280" s="1"/>
      <c r="XCZ280" s="1"/>
      <c r="XDA280" s="1"/>
      <c r="XDB280" s="1"/>
      <c r="XDC280" s="1"/>
      <c r="XDD280" s="1"/>
      <c r="XDE280" s="1"/>
      <c r="XDF280" s="1"/>
      <c r="XDG280" s="1"/>
      <c r="XDH280" s="1"/>
      <c r="XDI280" s="1"/>
      <c r="XDJ280" s="1"/>
      <c r="XDK280" s="1"/>
      <c r="XDL280" s="1"/>
      <c r="XDM280" s="1"/>
      <c r="XDN280" s="1"/>
      <c r="XDO280" s="1"/>
      <c r="XDP280" s="1"/>
      <c r="XDQ280" s="1"/>
      <c r="XDR280" s="1"/>
      <c r="XDS280" s="1"/>
      <c r="XDT280" s="1"/>
      <c r="XDU280" s="1"/>
      <c r="XDV280" s="1"/>
      <c r="XDW280" s="1"/>
      <c r="XDX280" s="1"/>
      <c r="XDY280" s="1"/>
      <c r="XDZ280" s="1"/>
      <c r="XEA280" s="1"/>
      <c r="XEB280" s="1"/>
      <c r="XEC280" s="1"/>
      <c r="XED280" s="1"/>
      <c r="XEE280" s="1"/>
      <c r="XEF280" s="1"/>
      <c r="XEG280" s="1"/>
      <c r="XEH280" s="1"/>
      <c r="XEI280" s="1"/>
      <c r="XEJ280" s="1"/>
      <c r="XEK280" s="1"/>
      <c r="XEL280" s="1"/>
      <c r="XEM280" s="1"/>
      <c r="XEN280" s="1"/>
      <c r="XEO280" s="1"/>
      <c r="XEP280" s="1"/>
      <c r="XEQ280" s="1"/>
      <c r="XER280" s="1"/>
      <c r="XES280" s="1"/>
      <c r="XET280" s="1"/>
      <c r="XEU280" s="1"/>
      <c r="XEV280" s="1"/>
      <c r="XEW280" s="1"/>
      <c r="XEX280" s="1"/>
      <c r="XEY280" s="1"/>
      <c r="XEZ280" s="1"/>
      <c r="XFA280" s="1"/>
      <c r="XFB280" s="1"/>
      <c r="XFC280" s="1"/>
    </row>
    <row r="281" spans="1:150 16226:16383" s="3" customFormat="1" ht="20.25" hidden="1" customHeight="1" x14ac:dyDescent="0.25">
      <c r="A281" s="135">
        <f t="shared" si="22"/>
        <v>13</v>
      </c>
      <c r="B281" s="136"/>
      <c r="C281" s="61"/>
      <c r="D281" s="61"/>
      <c r="E281" s="88"/>
      <c r="F281" s="87"/>
      <c r="G281" s="87"/>
      <c r="H281" s="87">
        <f t="shared" si="23"/>
        <v>0</v>
      </c>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WZB281" s="1"/>
      <c r="WZC281" s="1"/>
      <c r="WZD281" s="1"/>
      <c r="WZE281" s="1"/>
      <c r="WZF281" s="1"/>
      <c r="WZG281" s="1"/>
      <c r="WZH281" s="1"/>
      <c r="WZI281" s="1"/>
      <c r="WZJ281" s="1"/>
      <c r="WZK281" s="1"/>
      <c r="WZL281" s="1"/>
      <c r="WZM281" s="1"/>
      <c r="WZN281" s="1"/>
      <c r="WZO281" s="1"/>
      <c r="WZP281" s="1"/>
      <c r="WZQ281" s="1"/>
      <c r="WZR281" s="1"/>
      <c r="WZS281" s="1"/>
      <c r="WZT281" s="1"/>
      <c r="WZU281" s="1"/>
      <c r="WZV281" s="1"/>
      <c r="WZW281" s="1"/>
      <c r="WZX281" s="1"/>
      <c r="WZY281" s="1"/>
      <c r="WZZ281" s="1"/>
      <c r="XAA281" s="1"/>
      <c r="XAB281" s="1"/>
      <c r="XAC281" s="1"/>
      <c r="XAD281" s="1"/>
      <c r="XAE281" s="1"/>
      <c r="XAF281" s="1"/>
      <c r="XAG281" s="1"/>
      <c r="XAH281" s="1"/>
      <c r="XAI281" s="1"/>
      <c r="XAJ281" s="1"/>
      <c r="XAK281" s="1"/>
      <c r="XAL281" s="1"/>
      <c r="XAM281" s="1"/>
      <c r="XAN281" s="1"/>
      <c r="XAO281" s="1"/>
      <c r="XAP281" s="1"/>
      <c r="XAQ281" s="1"/>
      <c r="XAR281" s="1"/>
      <c r="XAS281" s="1"/>
      <c r="XAT281" s="1"/>
      <c r="XAU281" s="1"/>
      <c r="XAV281" s="1"/>
      <c r="XAW281" s="1"/>
      <c r="XAX281" s="1"/>
      <c r="XAY281" s="1"/>
      <c r="XAZ281" s="1"/>
      <c r="XBA281" s="1"/>
      <c r="XBB281" s="1"/>
      <c r="XBC281" s="1"/>
      <c r="XBD281" s="1"/>
      <c r="XBE281" s="1"/>
      <c r="XBF281" s="1"/>
      <c r="XBG281" s="1"/>
      <c r="XBH281" s="1"/>
      <c r="XBI281" s="1"/>
      <c r="XBJ281" s="1"/>
      <c r="XBK281" s="1"/>
      <c r="XBL281" s="1"/>
      <c r="XBM281" s="1"/>
      <c r="XBN281" s="1"/>
      <c r="XBO281" s="1"/>
      <c r="XBP281" s="1"/>
      <c r="XBQ281" s="1"/>
      <c r="XBR281" s="1"/>
      <c r="XBS281" s="1"/>
      <c r="XBT281" s="1"/>
      <c r="XBU281" s="1"/>
      <c r="XBV281" s="1"/>
      <c r="XBW281" s="1"/>
      <c r="XBX281" s="1"/>
      <c r="XBY281" s="1"/>
      <c r="XBZ281" s="1"/>
      <c r="XCA281" s="1"/>
      <c r="XCB281" s="1"/>
      <c r="XCC281" s="1"/>
      <c r="XCD281" s="1"/>
      <c r="XCE281" s="1"/>
      <c r="XCF281" s="1"/>
      <c r="XCG281" s="1"/>
      <c r="XCH281" s="1"/>
      <c r="XCI281" s="1"/>
      <c r="XCJ281" s="1"/>
      <c r="XCK281" s="1"/>
      <c r="XCL281" s="1"/>
      <c r="XCM281" s="1"/>
      <c r="XCN281" s="1"/>
      <c r="XCO281" s="1"/>
      <c r="XCP281" s="1"/>
      <c r="XCQ281" s="1"/>
      <c r="XCR281" s="1"/>
      <c r="XCS281" s="1"/>
      <c r="XCT281" s="1"/>
      <c r="XCU281" s="1"/>
      <c r="XCV281" s="1"/>
      <c r="XCW281" s="1"/>
      <c r="XCX281" s="1"/>
      <c r="XCY281" s="1"/>
      <c r="XCZ281" s="1"/>
      <c r="XDA281" s="1"/>
      <c r="XDB281" s="1"/>
      <c r="XDC281" s="1"/>
      <c r="XDD281" s="1"/>
      <c r="XDE281" s="1"/>
      <c r="XDF281" s="1"/>
      <c r="XDG281" s="1"/>
      <c r="XDH281" s="1"/>
      <c r="XDI281" s="1"/>
      <c r="XDJ281" s="1"/>
      <c r="XDK281" s="1"/>
      <c r="XDL281" s="1"/>
      <c r="XDM281" s="1"/>
      <c r="XDN281" s="1"/>
      <c r="XDO281" s="1"/>
      <c r="XDP281" s="1"/>
      <c r="XDQ281" s="1"/>
      <c r="XDR281" s="1"/>
      <c r="XDS281" s="1"/>
      <c r="XDT281" s="1"/>
      <c r="XDU281" s="1"/>
      <c r="XDV281" s="1"/>
      <c r="XDW281" s="1"/>
      <c r="XDX281" s="1"/>
      <c r="XDY281" s="1"/>
      <c r="XDZ281" s="1"/>
      <c r="XEA281" s="1"/>
      <c r="XEB281" s="1"/>
      <c r="XEC281" s="1"/>
      <c r="XED281" s="1"/>
      <c r="XEE281" s="1"/>
      <c r="XEF281" s="1"/>
      <c r="XEG281" s="1"/>
      <c r="XEH281" s="1"/>
      <c r="XEI281" s="1"/>
      <c r="XEJ281" s="1"/>
      <c r="XEK281" s="1"/>
      <c r="XEL281" s="1"/>
      <c r="XEM281" s="1"/>
      <c r="XEN281" s="1"/>
      <c r="XEO281" s="1"/>
      <c r="XEP281" s="1"/>
      <c r="XEQ281" s="1"/>
      <c r="XER281" s="1"/>
      <c r="XES281" s="1"/>
      <c r="XET281" s="1"/>
      <c r="XEU281" s="1"/>
      <c r="XEV281" s="1"/>
      <c r="XEW281" s="1"/>
      <c r="XEX281" s="1"/>
      <c r="XEY281" s="1"/>
      <c r="XEZ281" s="1"/>
      <c r="XFA281" s="1"/>
      <c r="XFB281" s="1"/>
      <c r="XFC281" s="1"/>
    </row>
    <row r="282" spans="1:150 16226:16383" s="3" customFormat="1" ht="20.25" hidden="1" customHeight="1" x14ac:dyDescent="0.25">
      <c r="A282" s="135">
        <f t="shared" si="22"/>
        <v>14</v>
      </c>
      <c r="B282" s="136"/>
      <c r="C282" s="61"/>
      <c r="D282" s="61"/>
      <c r="E282" s="88"/>
      <c r="F282" s="87"/>
      <c r="G282" s="87"/>
      <c r="H282" s="87">
        <f t="shared" ref="H282:H283" si="24">E282+F282+(IF(G282&lt;101,G282,IF(G282&lt;201,G282/2,IF(G282&lt;=301,G282/3,G282/4))))</f>
        <v>0</v>
      </c>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WZB282" s="1"/>
      <c r="WZC282" s="1"/>
      <c r="WZD282" s="1"/>
      <c r="WZE282" s="1"/>
      <c r="WZF282" s="1"/>
      <c r="WZG282" s="1"/>
      <c r="WZH282" s="1"/>
      <c r="WZI282" s="1"/>
      <c r="WZJ282" s="1"/>
      <c r="WZK282" s="1"/>
      <c r="WZL282" s="1"/>
      <c r="WZM282" s="1"/>
      <c r="WZN282" s="1"/>
      <c r="WZO282" s="1"/>
      <c r="WZP282" s="1"/>
      <c r="WZQ282" s="1"/>
      <c r="WZR282" s="1"/>
      <c r="WZS282" s="1"/>
      <c r="WZT282" s="1"/>
      <c r="WZU282" s="1"/>
      <c r="WZV282" s="1"/>
      <c r="WZW282" s="1"/>
      <c r="WZX282" s="1"/>
      <c r="WZY282" s="1"/>
      <c r="WZZ282" s="1"/>
      <c r="XAA282" s="1"/>
      <c r="XAB282" s="1"/>
      <c r="XAC282" s="1"/>
      <c r="XAD282" s="1"/>
      <c r="XAE282" s="1"/>
      <c r="XAF282" s="1"/>
      <c r="XAG282" s="1"/>
      <c r="XAH282" s="1"/>
      <c r="XAI282" s="1"/>
      <c r="XAJ282" s="1"/>
      <c r="XAK282" s="1"/>
      <c r="XAL282" s="1"/>
      <c r="XAM282" s="1"/>
      <c r="XAN282" s="1"/>
      <c r="XAO282" s="1"/>
      <c r="XAP282" s="1"/>
      <c r="XAQ282" s="1"/>
      <c r="XAR282" s="1"/>
      <c r="XAS282" s="1"/>
      <c r="XAT282" s="1"/>
      <c r="XAU282" s="1"/>
      <c r="XAV282" s="1"/>
      <c r="XAW282" s="1"/>
      <c r="XAX282" s="1"/>
      <c r="XAY282" s="1"/>
      <c r="XAZ282" s="1"/>
      <c r="XBA282" s="1"/>
      <c r="XBB282" s="1"/>
      <c r="XBC282" s="1"/>
      <c r="XBD282" s="1"/>
      <c r="XBE282" s="1"/>
      <c r="XBF282" s="1"/>
      <c r="XBG282" s="1"/>
      <c r="XBH282" s="1"/>
      <c r="XBI282" s="1"/>
      <c r="XBJ282" s="1"/>
      <c r="XBK282" s="1"/>
      <c r="XBL282" s="1"/>
      <c r="XBM282" s="1"/>
      <c r="XBN282" s="1"/>
      <c r="XBO282" s="1"/>
      <c r="XBP282" s="1"/>
      <c r="XBQ282" s="1"/>
      <c r="XBR282" s="1"/>
      <c r="XBS282" s="1"/>
      <c r="XBT282" s="1"/>
      <c r="XBU282" s="1"/>
      <c r="XBV282" s="1"/>
      <c r="XBW282" s="1"/>
      <c r="XBX282" s="1"/>
      <c r="XBY282" s="1"/>
      <c r="XBZ282" s="1"/>
      <c r="XCA282" s="1"/>
      <c r="XCB282" s="1"/>
      <c r="XCC282" s="1"/>
      <c r="XCD282" s="1"/>
      <c r="XCE282" s="1"/>
      <c r="XCF282" s="1"/>
      <c r="XCG282" s="1"/>
      <c r="XCH282" s="1"/>
      <c r="XCI282" s="1"/>
      <c r="XCJ282" s="1"/>
      <c r="XCK282" s="1"/>
      <c r="XCL282" s="1"/>
      <c r="XCM282" s="1"/>
      <c r="XCN282" s="1"/>
      <c r="XCO282" s="1"/>
      <c r="XCP282" s="1"/>
      <c r="XCQ282" s="1"/>
      <c r="XCR282" s="1"/>
      <c r="XCS282" s="1"/>
      <c r="XCT282" s="1"/>
      <c r="XCU282" s="1"/>
      <c r="XCV282" s="1"/>
      <c r="XCW282" s="1"/>
      <c r="XCX282" s="1"/>
      <c r="XCY282" s="1"/>
      <c r="XCZ282" s="1"/>
      <c r="XDA282" s="1"/>
      <c r="XDB282" s="1"/>
      <c r="XDC282" s="1"/>
      <c r="XDD282" s="1"/>
      <c r="XDE282" s="1"/>
      <c r="XDF282" s="1"/>
      <c r="XDG282" s="1"/>
      <c r="XDH282" s="1"/>
      <c r="XDI282" s="1"/>
      <c r="XDJ282" s="1"/>
      <c r="XDK282" s="1"/>
      <c r="XDL282" s="1"/>
      <c r="XDM282" s="1"/>
      <c r="XDN282" s="1"/>
      <c r="XDO282" s="1"/>
      <c r="XDP282" s="1"/>
      <c r="XDQ282" s="1"/>
      <c r="XDR282" s="1"/>
      <c r="XDS282" s="1"/>
      <c r="XDT282" s="1"/>
      <c r="XDU282" s="1"/>
      <c r="XDV282" s="1"/>
      <c r="XDW282" s="1"/>
      <c r="XDX282" s="1"/>
      <c r="XDY282" s="1"/>
      <c r="XDZ282" s="1"/>
      <c r="XEA282" s="1"/>
      <c r="XEB282" s="1"/>
      <c r="XEC282" s="1"/>
      <c r="XED282" s="1"/>
      <c r="XEE282" s="1"/>
      <c r="XEF282" s="1"/>
      <c r="XEG282" s="1"/>
      <c r="XEH282" s="1"/>
      <c r="XEI282" s="1"/>
      <c r="XEJ282" s="1"/>
      <c r="XEK282" s="1"/>
      <c r="XEL282" s="1"/>
      <c r="XEM282" s="1"/>
      <c r="XEN282" s="1"/>
      <c r="XEO282" s="1"/>
      <c r="XEP282" s="1"/>
      <c r="XEQ282" s="1"/>
      <c r="XER282" s="1"/>
      <c r="XES282" s="1"/>
      <c r="XET282" s="1"/>
      <c r="XEU282" s="1"/>
      <c r="XEV282" s="1"/>
      <c r="XEW282" s="1"/>
      <c r="XEX282" s="1"/>
      <c r="XEY282" s="1"/>
      <c r="XEZ282" s="1"/>
      <c r="XFA282" s="1"/>
      <c r="XFB282" s="1"/>
      <c r="XFC282" s="1"/>
    </row>
    <row r="283" spans="1:150 16226:16383" s="3" customFormat="1" ht="20.25" hidden="1" customHeight="1" x14ac:dyDescent="0.25">
      <c r="A283" s="135">
        <f t="shared" si="22"/>
        <v>15</v>
      </c>
      <c r="B283" s="136"/>
      <c r="C283" s="61"/>
      <c r="D283" s="61"/>
      <c r="E283" s="88"/>
      <c r="F283" s="87"/>
      <c r="G283" s="87"/>
      <c r="H283" s="87">
        <f t="shared" si="24"/>
        <v>0</v>
      </c>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WZB283" s="1"/>
      <c r="WZC283" s="1"/>
      <c r="WZD283" s="1"/>
      <c r="WZE283" s="1"/>
      <c r="WZF283" s="1"/>
      <c r="WZG283" s="1"/>
      <c r="WZH283" s="1"/>
      <c r="WZI283" s="1"/>
      <c r="WZJ283" s="1"/>
      <c r="WZK283" s="1"/>
      <c r="WZL283" s="1"/>
      <c r="WZM283" s="1"/>
      <c r="WZN283" s="1"/>
      <c r="WZO283" s="1"/>
      <c r="WZP283" s="1"/>
      <c r="WZQ283" s="1"/>
      <c r="WZR283" s="1"/>
      <c r="WZS283" s="1"/>
      <c r="WZT283" s="1"/>
      <c r="WZU283" s="1"/>
      <c r="WZV283" s="1"/>
      <c r="WZW283" s="1"/>
      <c r="WZX283" s="1"/>
      <c r="WZY283" s="1"/>
      <c r="WZZ283" s="1"/>
      <c r="XAA283" s="1"/>
      <c r="XAB283" s="1"/>
      <c r="XAC283" s="1"/>
      <c r="XAD283" s="1"/>
      <c r="XAE283" s="1"/>
      <c r="XAF283" s="1"/>
      <c r="XAG283" s="1"/>
      <c r="XAH283" s="1"/>
      <c r="XAI283" s="1"/>
      <c r="XAJ283" s="1"/>
      <c r="XAK283" s="1"/>
      <c r="XAL283" s="1"/>
      <c r="XAM283" s="1"/>
      <c r="XAN283" s="1"/>
      <c r="XAO283" s="1"/>
      <c r="XAP283" s="1"/>
      <c r="XAQ283" s="1"/>
      <c r="XAR283" s="1"/>
      <c r="XAS283" s="1"/>
      <c r="XAT283" s="1"/>
      <c r="XAU283" s="1"/>
      <c r="XAV283" s="1"/>
      <c r="XAW283" s="1"/>
      <c r="XAX283" s="1"/>
      <c r="XAY283" s="1"/>
      <c r="XAZ283" s="1"/>
      <c r="XBA283" s="1"/>
      <c r="XBB283" s="1"/>
      <c r="XBC283" s="1"/>
      <c r="XBD283" s="1"/>
      <c r="XBE283" s="1"/>
      <c r="XBF283" s="1"/>
      <c r="XBG283" s="1"/>
      <c r="XBH283" s="1"/>
      <c r="XBI283" s="1"/>
      <c r="XBJ283" s="1"/>
      <c r="XBK283" s="1"/>
      <c r="XBL283" s="1"/>
      <c r="XBM283" s="1"/>
      <c r="XBN283" s="1"/>
      <c r="XBO283" s="1"/>
      <c r="XBP283" s="1"/>
      <c r="XBQ283" s="1"/>
      <c r="XBR283" s="1"/>
      <c r="XBS283" s="1"/>
      <c r="XBT283" s="1"/>
      <c r="XBU283" s="1"/>
      <c r="XBV283" s="1"/>
      <c r="XBW283" s="1"/>
      <c r="XBX283" s="1"/>
      <c r="XBY283" s="1"/>
      <c r="XBZ283" s="1"/>
      <c r="XCA283" s="1"/>
      <c r="XCB283" s="1"/>
      <c r="XCC283" s="1"/>
      <c r="XCD283" s="1"/>
      <c r="XCE283" s="1"/>
      <c r="XCF283" s="1"/>
      <c r="XCG283" s="1"/>
      <c r="XCH283" s="1"/>
      <c r="XCI283" s="1"/>
      <c r="XCJ283" s="1"/>
      <c r="XCK283" s="1"/>
      <c r="XCL283" s="1"/>
      <c r="XCM283" s="1"/>
      <c r="XCN283" s="1"/>
      <c r="XCO283" s="1"/>
      <c r="XCP283" s="1"/>
      <c r="XCQ283" s="1"/>
      <c r="XCR283" s="1"/>
      <c r="XCS283" s="1"/>
      <c r="XCT283" s="1"/>
      <c r="XCU283" s="1"/>
      <c r="XCV283" s="1"/>
      <c r="XCW283" s="1"/>
      <c r="XCX283" s="1"/>
      <c r="XCY283" s="1"/>
      <c r="XCZ283" s="1"/>
      <c r="XDA283" s="1"/>
      <c r="XDB283" s="1"/>
      <c r="XDC283" s="1"/>
      <c r="XDD283" s="1"/>
      <c r="XDE283" s="1"/>
      <c r="XDF283" s="1"/>
      <c r="XDG283" s="1"/>
      <c r="XDH283" s="1"/>
      <c r="XDI283" s="1"/>
      <c r="XDJ283" s="1"/>
      <c r="XDK283" s="1"/>
      <c r="XDL283" s="1"/>
      <c r="XDM283" s="1"/>
      <c r="XDN283" s="1"/>
      <c r="XDO283" s="1"/>
      <c r="XDP283" s="1"/>
      <c r="XDQ283" s="1"/>
      <c r="XDR283" s="1"/>
      <c r="XDS283" s="1"/>
      <c r="XDT283" s="1"/>
      <c r="XDU283" s="1"/>
      <c r="XDV283" s="1"/>
      <c r="XDW283" s="1"/>
      <c r="XDX283" s="1"/>
      <c r="XDY283" s="1"/>
      <c r="XDZ283" s="1"/>
      <c r="XEA283" s="1"/>
      <c r="XEB283" s="1"/>
      <c r="XEC283" s="1"/>
      <c r="XED283" s="1"/>
      <c r="XEE283" s="1"/>
      <c r="XEF283" s="1"/>
      <c r="XEG283" s="1"/>
      <c r="XEH283" s="1"/>
      <c r="XEI283" s="1"/>
      <c r="XEJ283" s="1"/>
      <c r="XEK283" s="1"/>
      <c r="XEL283" s="1"/>
      <c r="XEM283" s="1"/>
      <c r="XEN283" s="1"/>
      <c r="XEO283" s="1"/>
      <c r="XEP283" s="1"/>
      <c r="XEQ283" s="1"/>
      <c r="XER283" s="1"/>
      <c r="XES283" s="1"/>
      <c r="XET283" s="1"/>
      <c r="XEU283" s="1"/>
      <c r="XEV283" s="1"/>
      <c r="XEW283" s="1"/>
      <c r="XEX283" s="1"/>
      <c r="XEY283" s="1"/>
      <c r="XEZ283" s="1"/>
      <c r="XFA283" s="1"/>
      <c r="XFB283" s="1"/>
      <c r="XFC283" s="1"/>
    </row>
    <row r="284" spans="1:150 16226:16383" s="3" customFormat="1" ht="20.25" hidden="1" x14ac:dyDescent="0.25">
      <c r="A284" s="152" t="s">
        <v>129</v>
      </c>
      <c r="B284" s="153"/>
      <c r="C284" s="153"/>
      <c r="D284" s="153"/>
      <c r="E284" s="153"/>
      <c r="F284" s="153"/>
      <c r="G284" s="153"/>
      <c r="H284" s="154"/>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WZB284" s="1"/>
      <c r="WZC284" s="1"/>
      <c r="WZD284" s="1"/>
      <c r="WZE284" s="1"/>
      <c r="WZF284" s="1"/>
      <c r="WZG284" s="1"/>
      <c r="WZH284" s="1"/>
      <c r="WZI284" s="1"/>
      <c r="WZJ284" s="1"/>
      <c r="WZK284" s="1"/>
      <c r="WZL284" s="1"/>
      <c r="WZM284" s="1"/>
      <c r="WZN284" s="1"/>
      <c r="WZO284" s="1"/>
      <c r="WZP284" s="1"/>
      <c r="WZQ284" s="1"/>
      <c r="WZR284" s="1"/>
      <c r="WZS284" s="1"/>
      <c r="WZT284" s="1"/>
      <c r="WZU284" s="1"/>
      <c r="WZV284" s="1"/>
      <c r="WZW284" s="1"/>
      <c r="WZX284" s="1"/>
      <c r="WZY284" s="1"/>
      <c r="WZZ284" s="1"/>
      <c r="XAA284" s="1"/>
      <c r="XAB284" s="1"/>
      <c r="XAC284" s="1"/>
      <c r="XAD284" s="1"/>
      <c r="XAE284" s="1"/>
      <c r="XAF284" s="1"/>
      <c r="XAG284" s="1"/>
      <c r="XAH284" s="1"/>
      <c r="XAI284" s="1"/>
      <c r="XAJ284" s="1"/>
      <c r="XAK284" s="1"/>
      <c r="XAL284" s="1"/>
      <c r="XAM284" s="1"/>
      <c r="XAN284" s="1"/>
      <c r="XAO284" s="1"/>
      <c r="XAP284" s="1"/>
      <c r="XAQ284" s="1"/>
      <c r="XAR284" s="1"/>
      <c r="XAS284" s="1"/>
      <c r="XAT284" s="1"/>
      <c r="XAU284" s="1"/>
      <c r="XAV284" s="1"/>
      <c r="XAW284" s="1"/>
      <c r="XAX284" s="1"/>
      <c r="XAY284" s="1"/>
      <c r="XAZ284" s="1"/>
      <c r="XBA284" s="1"/>
      <c r="XBB284" s="1"/>
      <c r="XBC284" s="1"/>
      <c r="XBD284" s="1"/>
      <c r="XBE284" s="1"/>
      <c r="XBF284" s="1"/>
      <c r="XBG284" s="1"/>
      <c r="XBH284" s="1"/>
      <c r="XBI284" s="1"/>
      <c r="XBJ284" s="1"/>
      <c r="XBK284" s="1"/>
      <c r="XBL284" s="1"/>
      <c r="XBM284" s="1"/>
      <c r="XBN284" s="1"/>
      <c r="XBO284" s="1"/>
      <c r="XBP284" s="1"/>
      <c r="XBQ284" s="1"/>
      <c r="XBR284" s="1"/>
      <c r="XBS284" s="1"/>
      <c r="XBT284" s="1"/>
      <c r="XBU284" s="1"/>
      <c r="XBV284" s="1"/>
      <c r="XBW284" s="1"/>
      <c r="XBX284" s="1"/>
      <c r="XBY284" s="1"/>
      <c r="XBZ284" s="1"/>
      <c r="XCA284" s="1"/>
      <c r="XCB284" s="1"/>
      <c r="XCC284" s="1"/>
      <c r="XCD284" s="1"/>
      <c r="XCE284" s="1"/>
      <c r="XCF284" s="1"/>
      <c r="XCG284" s="1"/>
      <c r="XCH284" s="1"/>
      <c r="XCI284" s="1"/>
      <c r="XCJ284" s="1"/>
      <c r="XCK284" s="1"/>
      <c r="XCL284" s="1"/>
      <c r="XCM284" s="1"/>
      <c r="XCN284" s="1"/>
      <c r="XCO284" s="1"/>
      <c r="XCP284" s="1"/>
      <c r="XCQ284" s="1"/>
      <c r="XCR284" s="1"/>
      <c r="XCS284" s="1"/>
      <c r="XCT284" s="1"/>
      <c r="XCU284" s="1"/>
      <c r="XCV284" s="1"/>
      <c r="XCW284" s="1"/>
      <c r="XCX284" s="1"/>
      <c r="XCY284" s="1"/>
      <c r="XCZ284" s="1"/>
      <c r="XDA284" s="1"/>
      <c r="XDB284" s="1"/>
      <c r="XDC284" s="1"/>
      <c r="XDD284" s="1"/>
      <c r="XDE284" s="1"/>
      <c r="XDF284" s="1"/>
      <c r="XDG284" s="1"/>
      <c r="XDH284" s="1"/>
      <c r="XDI284" s="1"/>
      <c r="XDJ284" s="1"/>
      <c r="XDK284" s="1"/>
      <c r="XDL284" s="1"/>
      <c r="XDM284" s="1"/>
      <c r="XDN284" s="1"/>
      <c r="XDO284" s="1"/>
      <c r="XDP284" s="1"/>
      <c r="XDQ284" s="1"/>
      <c r="XDR284" s="1"/>
      <c r="XDS284" s="1"/>
      <c r="XDT284" s="1"/>
      <c r="XDU284" s="1"/>
      <c r="XDV284" s="1"/>
      <c r="XDW284" s="1"/>
      <c r="XDX284" s="1"/>
      <c r="XDY284" s="1"/>
      <c r="XDZ284" s="1"/>
      <c r="XEA284" s="1"/>
      <c r="XEB284" s="1"/>
      <c r="XEC284" s="1"/>
      <c r="XED284" s="1"/>
      <c r="XEE284" s="1"/>
      <c r="XEF284" s="1"/>
      <c r="XEG284" s="1"/>
      <c r="XEH284" s="1"/>
      <c r="XEI284" s="1"/>
      <c r="XEJ284" s="1"/>
      <c r="XEK284" s="1"/>
      <c r="XEL284" s="1"/>
      <c r="XEM284" s="1"/>
      <c r="XEN284" s="1"/>
      <c r="XEO284" s="1"/>
      <c r="XEP284" s="1"/>
      <c r="XEQ284" s="1"/>
      <c r="XER284" s="1"/>
      <c r="XES284" s="1"/>
      <c r="XET284" s="1"/>
      <c r="XEU284" s="1"/>
      <c r="XEV284" s="1"/>
      <c r="XEW284" s="1"/>
      <c r="XEX284" s="1"/>
      <c r="XEY284" s="1"/>
      <c r="XEZ284" s="1"/>
      <c r="XFA284" s="1"/>
      <c r="XFB284" s="1"/>
      <c r="XFC284" s="1"/>
    </row>
    <row r="285" spans="1:150 16226:16383" s="3" customFormat="1" ht="20.25" hidden="1" customHeight="1" x14ac:dyDescent="0.25">
      <c r="A285" s="139" t="str">
        <f ca="1">T285</f>
        <v>201,..,901</v>
      </c>
      <c r="B285" s="139"/>
      <c r="C285" s="61"/>
      <c r="D285" s="61"/>
      <c r="E285" s="39">
        <v>0</v>
      </c>
      <c r="F285" s="38">
        <v>0</v>
      </c>
      <c r="G285" s="38">
        <v>0</v>
      </c>
      <c r="H285" s="38">
        <f>E285+F285+(IF(G285&lt;101,G285,IF(G285&lt;201,G285/2,IF(G285&lt;=301,G285/3,G285/4))))</f>
        <v>0</v>
      </c>
      <c r="I285" s="1"/>
      <c r="J285" s="1"/>
      <c r="K285" s="1"/>
      <c r="L285" s="1"/>
      <c r="M285" s="1"/>
      <c r="N285" s="1"/>
      <c r="O285" s="1"/>
      <c r="P285" s="1"/>
      <c r="Q285" s="1"/>
      <c r="R285" s="1"/>
      <c r="S285" s="1"/>
      <c r="T285" s="23" t="str">
        <f t="shared" ref="T285:T292" ca="1" si="25">U285&amp;""&amp;",..,"&amp;""&amp;V285</f>
        <v>201,..,901</v>
      </c>
      <c r="U285" s="23">
        <f ca="1">(SUMPRODUCT(MID(0&amp;(LEFT(A284,SUM(LEN(A284)-LEN(SUBSTITUTE(A284,{"0","1","2","3"},""))))), LARGE(INDEX(ISNUMBER(--MID((LEFT(A284,SUM(LEN(A284)-LEN(SUBSTITUTE(A284,{"0","1","2","3"},""))))), ROW(INDIRECT("1:"&amp;LEN((LEFT(A284,SUM(LEN(A284)-LEN(SUBSTITUTE(A284,{"0","1","2","3"},"")))))))), 1)) * ROW(INDIRECT("1:"&amp;LEN((LEFT(A284,SUM(LEN(A284)-LEN(SUBSTITUTE(A284,{"0","1","2","3"},"")))))))), 0), ROW(INDIRECT("1:"&amp;LEN((LEFT(A284,SUM(LEN(A284)-LEN(SUBSTITUTE(A284,{"0","1","2","3"},"")))))))))+1, 1) * 10^ROW(INDIRECT("1:"&amp;LEN((LEFT(A284,SUM(LEN(A284)-LEN(SUBSTITUTE(A284,{"0","1","2","3"},""))))))))/10))*100+1</f>
        <v>201</v>
      </c>
      <c r="V285" s="23">
        <f ca="1">(SUMPRODUCT(MID(0&amp;(--TRIM(RIGHT(SUBSTITUTE(LEFT(A284,_xlfn.AGGREGATE(16,6,FIND({0,1,2,3,4,5,6,7,8,9},A284,ROW(INDIRECT("1:"&amp;LEN(A284)))),1))," ",REPT(" ",LEN(A284))),LEN(A284)))), LARGE(INDEX(ISNUMBER(--MID((--TRIM(RIGHT(SUBSTITUTE(LEFT(A284,_xlfn.AGGREGATE(16,6,FIND({0,1,2,3,4,5,6,7,8,9},A284,ROW(INDIRECT("1:"&amp;LEN(A284)))),1))," ",REPT(" ",LEN(A284))),LEN(A284)))), ROW(INDIRECT("1:"&amp;LEN((--TRIM(RIGHT(SUBSTITUTE(LEFT(A284,_xlfn.AGGREGATE(16,6,FIND({0,1,2,3,4,5,6,7,8,9},A284,ROW(INDIRECT("1:"&amp;LEN(A284)))),1))," ",REPT(" ",LEN(A284))),LEN(A284))))))), 1)) * ROW(INDIRECT("1:"&amp;LEN((--TRIM(RIGHT(SUBSTITUTE(LEFT(A284,_xlfn.AGGREGATE(16,6,FIND({0,1,2,3,4,5,6,7,8,9},A284,ROW(INDIRECT("1:"&amp;LEN(A284)))),1))," ",REPT(" ",LEN(A284))),LEN(A284))))))), 0), ROW(INDIRECT("1:"&amp;LEN((--TRIM(RIGHT(SUBSTITUTE(LEFT(A284,_xlfn.AGGREGATE(16,6,FIND({0,1,2,3,4,5,6,7,8,9},A284,ROW(INDIRECT("1:"&amp;LEN(A284)))),1))," ",REPT(" ",LEN(A284))),LEN(A284))))))))+1, 1) * 10^ROW(INDIRECT("1:"&amp;LEN((--TRIM(RIGHT(SUBSTITUTE(LEFT(A284,_xlfn.AGGREGATE(16,6,FIND({0,1,2,3,4,5,6,7,8,9},A284,ROW(INDIRECT("1:"&amp;LEN(A284)))),1))," ",REPT(" ",LEN(A284))),LEN(A284)))))))/10))*100+1</f>
        <v>901</v>
      </c>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WZB285" s="1"/>
      <c r="WZC285" s="1"/>
      <c r="WZD285" s="1"/>
      <c r="WZE285" s="1"/>
      <c r="WZF285" s="1"/>
      <c r="WZG285" s="1"/>
      <c r="WZH285" s="1"/>
      <c r="WZI285" s="1"/>
      <c r="WZJ285" s="1"/>
      <c r="WZK285" s="1"/>
      <c r="WZL285" s="1"/>
      <c r="WZM285" s="1"/>
      <c r="WZN285" s="1"/>
      <c r="WZO285" s="1"/>
      <c r="WZP285" s="1"/>
      <c r="WZQ285" s="1"/>
      <c r="WZR285" s="1"/>
      <c r="WZS285" s="1"/>
      <c r="WZT285" s="1"/>
      <c r="WZU285" s="1"/>
      <c r="WZV285" s="1"/>
      <c r="WZW285" s="1"/>
      <c r="WZX285" s="1"/>
      <c r="WZY285" s="1"/>
      <c r="WZZ285" s="1"/>
      <c r="XAA285" s="1"/>
      <c r="XAB285" s="1"/>
      <c r="XAC285" s="1"/>
      <c r="XAD285" s="1"/>
      <c r="XAE285" s="1"/>
      <c r="XAF285" s="1"/>
      <c r="XAG285" s="1"/>
      <c r="XAH285" s="1"/>
      <c r="XAI285" s="1"/>
      <c r="XAJ285" s="1"/>
      <c r="XAK285" s="1"/>
      <c r="XAL285" s="1"/>
      <c r="XAM285" s="1"/>
      <c r="XAN285" s="1"/>
      <c r="XAO285" s="1"/>
      <c r="XAP285" s="1"/>
      <c r="XAQ285" s="1"/>
      <c r="XAR285" s="1"/>
      <c r="XAS285" s="1"/>
      <c r="XAT285" s="1"/>
      <c r="XAU285" s="1"/>
      <c r="XAV285" s="1"/>
      <c r="XAW285" s="1"/>
      <c r="XAX285" s="1"/>
      <c r="XAY285" s="1"/>
      <c r="XAZ285" s="1"/>
      <c r="XBA285" s="1"/>
      <c r="XBB285" s="1"/>
      <c r="XBC285" s="1"/>
      <c r="XBD285" s="1"/>
      <c r="XBE285" s="1"/>
      <c r="XBF285" s="1"/>
      <c r="XBG285" s="1"/>
      <c r="XBH285" s="1"/>
      <c r="XBI285" s="1"/>
      <c r="XBJ285" s="1"/>
      <c r="XBK285" s="1"/>
      <c r="XBL285" s="1"/>
      <c r="XBM285" s="1"/>
      <c r="XBN285" s="1"/>
      <c r="XBO285" s="1"/>
      <c r="XBP285" s="1"/>
      <c r="XBQ285" s="1"/>
      <c r="XBR285" s="1"/>
      <c r="XBS285" s="1"/>
      <c r="XBT285" s="1"/>
      <c r="XBU285" s="1"/>
      <c r="XBV285" s="1"/>
      <c r="XBW285" s="1"/>
      <c r="XBX285" s="1"/>
      <c r="XBY285" s="1"/>
      <c r="XBZ285" s="1"/>
      <c r="XCA285" s="1"/>
      <c r="XCB285" s="1"/>
      <c r="XCC285" s="1"/>
      <c r="XCD285" s="1"/>
      <c r="XCE285" s="1"/>
      <c r="XCF285" s="1"/>
      <c r="XCG285" s="1"/>
      <c r="XCH285" s="1"/>
      <c r="XCI285" s="1"/>
      <c r="XCJ285" s="1"/>
      <c r="XCK285" s="1"/>
      <c r="XCL285" s="1"/>
      <c r="XCM285" s="1"/>
      <c r="XCN285" s="1"/>
      <c r="XCO285" s="1"/>
      <c r="XCP285" s="1"/>
      <c r="XCQ285" s="1"/>
      <c r="XCR285" s="1"/>
      <c r="XCS285" s="1"/>
      <c r="XCT285" s="1"/>
      <c r="XCU285" s="1"/>
      <c r="XCV285" s="1"/>
      <c r="XCW285" s="1"/>
      <c r="XCX285" s="1"/>
      <c r="XCY285" s="1"/>
      <c r="XCZ285" s="1"/>
      <c r="XDA285" s="1"/>
      <c r="XDB285" s="1"/>
      <c r="XDC285" s="1"/>
      <c r="XDD285" s="1"/>
      <c r="XDE285" s="1"/>
      <c r="XDF285" s="1"/>
      <c r="XDG285" s="1"/>
      <c r="XDH285" s="1"/>
      <c r="XDI285" s="1"/>
      <c r="XDJ285" s="1"/>
      <c r="XDK285" s="1"/>
      <c r="XDL285" s="1"/>
      <c r="XDM285" s="1"/>
      <c r="XDN285" s="1"/>
      <c r="XDO285" s="1"/>
      <c r="XDP285" s="1"/>
      <c r="XDQ285" s="1"/>
      <c r="XDR285" s="1"/>
      <c r="XDS285" s="1"/>
      <c r="XDT285" s="1"/>
      <c r="XDU285" s="1"/>
      <c r="XDV285" s="1"/>
      <c r="XDW285" s="1"/>
      <c r="XDX285" s="1"/>
      <c r="XDY285" s="1"/>
      <c r="XDZ285" s="1"/>
      <c r="XEA285" s="1"/>
      <c r="XEB285" s="1"/>
      <c r="XEC285" s="1"/>
      <c r="XED285" s="1"/>
      <c r="XEE285" s="1"/>
      <c r="XEF285" s="1"/>
      <c r="XEG285" s="1"/>
      <c r="XEH285" s="1"/>
      <c r="XEI285" s="1"/>
      <c r="XEJ285" s="1"/>
      <c r="XEK285" s="1"/>
      <c r="XEL285" s="1"/>
      <c r="XEM285" s="1"/>
      <c r="XEN285" s="1"/>
      <c r="XEO285" s="1"/>
      <c r="XEP285" s="1"/>
      <c r="XEQ285" s="1"/>
      <c r="XER285" s="1"/>
      <c r="XES285" s="1"/>
      <c r="XET285" s="1"/>
      <c r="XEU285" s="1"/>
      <c r="XEV285" s="1"/>
      <c r="XEW285" s="1"/>
      <c r="XEX285" s="1"/>
      <c r="XEY285" s="1"/>
      <c r="XEZ285" s="1"/>
      <c r="XFA285" s="1"/>
      <c r="XFB285" s="1"/>
      <c r="XFC285" s="1"/>
    </row>
    <row r="286" spans="1:150 16226:16383" s="3" customFormat="1" ht="20.25" hidden="1" customHeight="1" x14ac:dyDescent="0.25">
      <c r="A286" s="139" t="str">
        <f t="shared" ref="A286:A292" ca="1" si="26">T286</f>
        <v>202,..,902</v>
      </c>
      <c r="B286" s="139"/>
      <c r="C286" s="61"/>
      <c r="D286" s="61"/>
      <c r="E286" s="39"/>
      <c r="F286" s="38"/>
      <c r="G286" s="38"/>
      <c r="H286" s="38">
        <f t="shared" ref="H286:H292" si="27">E286+F286+(IF(G286&lt;101,G286,IF(G286&lt;201,G286/2,IF(G286&lt;=301,G286/3,G286/4))))</f>
        <v>0</v>
      </c>
      <c r="I286" s="1"/>
      <c r="J286" s="1"/>
      <c r="K286" s="1"/>
      <c r="L286" s="1"/>
      <c r="M286" s="1"/>
      <c r="N286" s="1"/>
      <c r="O286" s="1"/>
      <c r="P286" s="1"/>
      <c r="Q286" s="1"/>
      <c r="R286" s="1"/>
      <c r="S286" s="1"/>
      <c r="T286" s="23" t="str">
        <f t="shared" ca="1" si="25"/>
        <v>202,..,902</v>
      </c>
      <c r="U286" s="23">
        <f ca="1">U285+1</f>
        <v>202</v>
      </c>
      <c r="V286" s="23">
        <f ca="1">V285+1</f>
        <v>902</v>
      </c>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WZB286" s="1"/>
      <c r="WZC286" s="1"/>
      <c r="WZD286" s="1"/>
      <c r="WZE286" s="1"/>
      <c r="WZF286" s="1"/>
      <c r="WZG286" s="1"/>
      <c r="WZH286" s="1"/>
      <c r="WZI286" s="1"/>
      <c r="WZJ286" s="1"/>
      <c r="WZK286" s="1"/>
      <c r="WZL286" s="1"/>
      <c r="WZM286" s="1"/>
      <c r="WZN286" s="1"/>
      <c r="WZO286" s="1"/>
      <c r="WZP286" s="1"/>
      <c r="WZQ286" s="1"/>
      <c r="WZR286" s="1"/>
      <c r="WZS286" s="1"/>
      <c r="WZT286" s="1"/>
      <c r="WZU286" s="1"/>
      <c r="WZV286" s="1"/>
      <c r="WZW286" s="1"/>
      <c r="WZX286" s="1"/>
      <c r="WZY286" s="1"/>
      <c r="WZZ286" s="1"/>
      <c r="XAA286" s="1"/>
      <c r="XAB286" s="1"/>
      <c r="XAC286" s="1"/>
      <c r="XAD286" s="1"/>
      <c r="XAE286" s="1"/>
      <c r="XAF286" s="1"/>
      <c r="XAG286" s="1"/>
      <c r="XAH286" s="1"/>
      <c r="XAI286" s="1"/>
      <c r="XAJ286" s="1"/>
      <c r="XAK286" s="1"/>
      <c r="XAL286" s="1"/>
      <c r="XAM286" s="1"/>
      <c r="XAN286" s="1"/>
      <c r="XAO286" s="1"/>
      <c r="XAP286" s="1"/>
      <c r="XAQ286" s="1"/>
      <c r="XAR286" s="1"/>
      <c r="XAS286" s="1"/>
      <c r="XAT286" s="1"/>
      <c r="XAU286" s="1"/>
      <c r="XAV286" s="1"/>
      <c r="XAW286" s="1"/>
      <c r="XAX286" s="1"/>
      <c r="XAY286" s="1"/>
      <c r="XAZ286" s="1"/>
      <c r="XBA286" s="1"/>
      <c r="XBB286" s="1"/>
      <c r="XBC286" s="1"/>
      <c r="XBD286" s="1"/>
      <c r="XBE286" s="1"/>
      <c r="XBF286" s="1"/>
      <c r="XBG286" s="1"/>
      <c r="XBH286" s="1"/>
      <c r="XBI286" s="1"/>
      <c r="XBJ286" s="1"/>
      <c r="XBK286" s="1"/>
      <c r="XBL286" s="1"/>
      <c r="XBM286" s="1"/>
      <c r="XBN286" s="1"/>
      <c r="XBO286" s="1"/>
      <c r="XBP286" s="1"/>
      <c r="XBQ286" s="1"/>
      <c r="XBR286" s="1"/>
      <c r="XBS286" s="1"/>
      <c r="XBT286" s="1"/>
      <c r="XBU286" s="1"/>
      <c r="XBV286" s="1"/>
      <c r="XBW286" s="1"/>
      <c r="XBX286" s="1"/>
      <c r="XBY286" s="1"/>
      <c r="XBZ286" s="1"/>
      <c r="XCA286" s="1"/>
      <c r="XCB286" s="1"/>
      <c r="XCC286" s="1"/>
      <c r="XCD286" s="1"/>
      <c r="XCE286" s="1"/>
      <c r="XCF286" s="1"/>
      <c r="XCG286" s="1"/>
      <c r="XCH286" s="1"/>
      <c r="XCI286" s="1"/>
      <c r="XCJ286" s="1"/>
      <c r="XCK286" s="1"/>
      <c r="XCL286" s="1"/>
      <c r="XCM286" s="1"/>
      <c r="XCN286" s="1"/>
      <c r="XCO286" s="1"/>
      <c r="XCP286" s="1"/>
      <c r="XCQ286" s="1"/>
      <c r="XCR286" s="1"/>
      <c r="XCS286" s="1"/>
      <c r="XCT286" s="1"/>
      <c r="XCU286" s="1"/>
      <c r="XCV286" s="1"/>
      <c r="XCW286" s="1"/>
      <c r="XCX286" s="1"/>
      <c r="XCY286" s="1"/>
      <c r="XCZ286" s="1"/>
      <c r="XDA286" s="1"/>
      <c r="XDB286" s="1"/>
      <c r="XDC286" s="1"/>
      <c r="XDD286" s="1"/>
      <c r="XDE286" s="1"/>
      <c r="XDF286" s="1"/>
      <c r="XDG286" s="1"/>
      <c r="XDH286" s="1"/>
      <c r="XDI286" s="1"/>
      <c r="XDJ286" s="1"/>
      <c r="XDK286" s="1"/>
      <c r="XDL286" s="1"/>
      <c r="XDM286" s="1"/>
      <c r="XDN286" s="1"/>
      <c r="XDO286" s="1"/>
      <c r="XDP286" s="1"/>
      <c r="XDQ286" s="1"/>
      <c r="XDR286" s="1"/>
      <c r="XDS286" s="1"/>
      <c r="XDT286" s="1"/>
      <c r="XDU286" s="1"/>
      <c r="XDV286" s="1"/>
      <c r="XDW286" s="1"/>
      <c r="XDX286" s="1"/>
      <c r="XDY286" s="1"/>
      <c r="XDZ286" s="1"/>
      <c r="XEA286" s="1"/>
      <c r="XEB286" s="1"/>
      <c r="XEC286" s="1"/>
      <c r="XED286" s="1"/>
      <c r="XEE286" s="1"/>
      <c r="XEF286" s="1"/>
      <c r="XEG286" s="1"/>
      <c r="XEH286" s="1"/>
      <c r="XEI286" s="1"/>
      <c r="XEJ286" s="1"/>
      <c r="XEK286" s="1"/>
      <c r="XEL286" s="1"/>
      <c r="XEM286" s="1"/>
      <c r="XEN286" s="1"/>
      <c r="XEO286" s="1"/>
      <c r="XEP286" s="1"/>
      <c r="XEQ286" s="1"/>
      <c r="XER286" s="1"/>
      <c r="XES286" s="1"/>
      <c r="XET286" s="1"/>
      <c r="XEU286" s="1"/>
      <c r="XEV286" s="1"/>
      <c r="XEW286" s="1"/>
      <c r="XEX286" s="1"/>
      <c r="XEY286" s="1"/>
      <c r="XEZ286" s="1"/>
      <c r="XFA286" s="1"/>
      <c r="XFB286" s="1"/>
      <c r="XFC286" s="1"/>
    </row>
    <row r="287" spans="1:150 16226:16383" s="3" customFormat="1" ht="20.25" hidden="1" customHeight="1" x14ac:dyDescent="0.25">
      <c r="A287" s="139" t="str">
        <f t="shared" ca="1" si="26"/>
        <v>203,..,903</v>
      </c>
      <c r="B287" s="139"/>
      <c r="C287" s="61"/>
      <c r="D287" s="61"/>
      <c r="E287" s="39"/>
      <c r="F287" s="38"/>
      <c r="G287" s="38"/>
      <c r="H287" s="38">
        <f t="shared" si="27"/>
        <v>0</v>
      </c>
      <c r="I287" s="1"/>
      <c r="J287" s="1"/>
      <c r="K287" s="1"/>
      <c r="L287" s="1"/>
      <c r="M287" s="1"/>
      <c r="N287" s="1"/>
      <c r="O287" s="1"/>
      <c r="P287" s="1"/>
      <c r="Q287" s="1"/>
      <c r="R287" s="1"/>
      <c r="S287" s="1"/>
      <c r="T287" s="23" t="str">
        <f t="shared" ca="1" si="25"/>
        <v>203,..,903</v>
      </c>
      <c r="U287" s="23">
        <f t="shared" ref="U287:U292" ca="1" si="28">U286+1</f>
        <v>203</v>
      </c>
      <c r="V287" s="23">
        <f t="shared" ref="V287:V292" ca="1" si="29">V286+1</f>
        <v>903</v>
      </c>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WZB287" s="1"/>
      <c r="WZC287" s="1"/>
      <c r="WZD287" s="1"/>
      <c r="WZE287" s="1"/>
      <c r="WZF287" s="1"/>
      <c r="WZG287" s="1"/>
      <c r="WZH287" s="1"/>
      <c r="WZI287" s="1"/>
      <c r="WZJ287" s="1"/>
      <c r="WZK287" s="1"/>
      <c r="WZL287" s="1"/>
      <c r="WZM287" s="1"/>
      <c r="WZN287" s="1"/>
      <c r="WZO287" s="1"/>
      <c r="WZP287" s="1"/>
      <c r="WZQ287" s="1"/>
      <c r="WZR287" s="1"/>
      <c r="WZS287" s="1"/>
      <c r="WZT287" s="1"/>
      <c r="WZU287" s="1"/>
      <c r="WZV287" s="1"/>
      <c r="WZW287" s="1"/>
      <c r="WZX287" s="1"/>
      <c r="WZY287" s="1"/>
      <c r="WZZ287" s="1"/>
      <c r="XAA287" s="1"/>
      <c r="XAB287" s="1"/>
      <c r="XAC287" s="1"/>
      <c r="XAD287" s="1"/>
      <c r="XAE287" s="1"/>
      <c r="XAF287" s="1"/>
      <c r="XAG287" s="1"/>
      <c r="XAH287" s="1"/>
      <c r="XAI287" s="1"/>
      <c r="XAJ287" s="1"/>
      <c r="XAK287" s="1"/>
      <c r="XAL287" s="1"/>
      <c r="XAM287" s="1"/>
      <c r="XAN287" s="1"/>
      <c r="XAO287" s="1"/>
      <c r="XAP287" s="1"/>
      <c r="XAQ287" s="1"/>
      <c r="XAR287" s="1"/>
      <c r="XAS287" s="1"/>
      <c r="XAT287" s="1"/>
      <c r="XAU287" s="1"/>
      <c r="XAV287" s="1"/>
      <c r="XAW287" s="1"/>
      <c r="XAX287" s="1"/>
      <c r="XAY287" s="1"/>
      <c r="XAZ287" s="1"/>
      <c r="XBA287" s="1"/>
      <c r="XBB287" s="1"/>
      <c r="XBC287" s="1"/>
      <c r="XBD287" s="1"/>
      <c r="XBE287" s="1"/>
      <c r="XBF287" s="1"/>
      <c r="XBG287" s="1"/>
      <c r="XBH287" s="1"/>
      <c r="XBI287" s="1"/>
      <c r="XBJ287" s="1"/>
      <c r="XBK287" s="1"/>
      <c r="XBL287" s="1"/>
      <c r="XBM287" s="1"/>
      <c r="XBN287" s="1"/>
      <c r="XBO287" s="1"/>
      <c r="XBP287" s="1"/>
      <c r="XBQ287" s="1"/>
      <c r="XBR287" s="1"/>
      <c r="XBS287" s="1"/>
      <c r="XBT287" s="1"/>
      <c r="XBU287" s="1"/>
      <c r="XBV287" s="1"/>
      <c r="XBW287" s="1"/>
      <c r="XBX287" s="1"/>
      <c r="XBY287" s="1"/>
      <c r="XBZ287" s="1"/>
      <c r="XCA287" s="1"/>
      <c r="XCB287" s="1"/>
      <c r="XCC287" s="1"/>
      <c r="XCD287" s="1"/>
      <c r="XCE287" s="1"/>
      <c r="XCF287" s="1"/>
      <c r="XCG287" s="1"/>
      <c r="XCH287" s="1"/>
      <c r="XCI287" s="1"/>
      <c r="XCJ287" s="1"/>
      <c r="XCK287" s="1"/>
      <c r="XCL287" s="1"/>
      <c r="XCM287" s="1"/>
      <c r="XCN287" s="1"/>
      <c r="XCO287" s="1"/>
      <c r="XCP287" s="1"/>
      <c r="XCQ287" s="1"/>
      <c r="XCR287" s="1"/>
      <c r="XCS287" s="1"/>
      <c r="XCT287" s="1"/>
      <c r="XCU287" s="1"/>
      <c r="XCV287" s="1"/>
      <c r="XCW287" s="1"/>
      <c r="XCX287" s="1"/>
      <c r="XCY287" s="1"/>
      <c r="XCZ287" s="1"/>
      <c r="XDA287" s="1"/>
      <c r="XDB287" s="1"/>
      <c r="XDC287" s="1"/>
      <c r="XDD287" s="1"/>
      <c r="XDE287" s="1"/>
      <c r="XDF287" s="1"/>
      <c r="XDG287" s="1"/>
      <c r="XDH287" s="1"/>
      <c r="XDI287" s="1"/>
      <c r="XDJ287" s="1"/>
      <c r="XDK287" s="1"/>
      <c r="XDL287" s="1"/>
      <c r="XDM287" s="1"/>
      <c r="XDN287" s="1"/>
      <c r="XDO287" s="1"/>
      <c r="XDP287" s="1"/>
      <c r="XDQ287" s="1"/>
      <c r="XDR287" s="1"/>
      <c r="XDS287" s="1"/>
      <c r="XDT287" s="1"/>
      <c r="XDU287" s="1"/>
      <c r="XDV287" s="1"/>
      <c r="XDW287" s="1"/>
      <c r="XDX287" s="1"/>
      <c r="XDY287" s="1"/>
      <c r="XDZ287" s="1"/>
      <c r="XEA287" s="1"/>
      <c r="XEB287" s="1"/>
      <c r="XEC287" s="1"/>
      <c r="XED287" s="1"/>
      <c r="XEE287" s="1"/>
      <c r="XEF287" s="1"/>
      <c r="XEG287" s="1"/>
      <c r="XEH287" s="1"/>
      <c r="XEI287" s="1"/>
      <c r="XEJ287" s="1"/>
      <c r="XEK287" s="1"/>
      <c r="XEL287" s="1"/>
      <c r="XEM287" s="1"/>
      <c r="XEN287" s="1"/>
      <c r="XEO287" s="1"/>
      <c r="XEP287" s="1"/>
      <c r="XEQ287" s="1"/>
      <c r="XER287" s="1"/>
      <c r="XES287" s="1"/>
      <c r="XET287" s="1"/>
      <c r="XEU287" s="1"/>
      <c r="XEV287" s="1"/>
      <c r="XEW287" s="1"/>
      <c r="XEX287" s="1"/>
      <c r="XEY287" s="1"/>
      <c r="XEZ287" s="1"/>
      <c r="XFA287" s="1"/>
      <c r="XFB287" s="1"/>
      <c r="XFC287" s="1"/>
    </row>
    <row r="288" spans="1:150 16226:16383" s="3" customFormat="1" ht="20.25" hidden="1" customHeight="1" x14ac:dyDescent="0.25">
      <c r="A288" s="139" t="str">
        <f t="shared" ca="1" si="26"/>
        <v>204,..,904</v>
      </c>
      <c r="B288" s="139"/>
      <c r="C288" s="61"/>
      <c r="D288" s="61"/>
      <c r="E288" s="39"/>
      <c r="F288" s="38"/>
      <c r="G288" s="38"/>
      <c r="H288" s="38">
        <f t="shared" si="27"/>
        <v>0</v>
      </c>
      <c r="I288" s="1"/>
      <c r="J288" s="1"/>
      <c r="K288" s="1"/>
      <c r="L288" s="1"/>
      <c r="M288" s="1"/>
      <c r="N288" s="1"/>
      <c r="O288" s="1"/>
      <c r="P288" s="1"/>
      <c r="Q288" s="1"/>
      <c r="R288" s="1"/>
      <c r="S288" s="1"/>
      <c r="T288" s="23" t="str">
        <f t="shared" ca="1" si="25"/>
        <v>204,..,904</v>
      </c>
      <c r="U288" s="23">
        <f t="shared" ca="1" si="28"/>
        <v>204</v>
      </c>
      <c r="V288" s="23">
        <f t="shared" ca="1" si="29"/>
        <v>904</v>
      </c>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WZB288" s="1"/>
      <c r="WZC288" s="1"/>
      <c r="WZD288" s="1"/>
      <c r="WZE288" s="1"/>
      <c r="WZF288" s="1"/>
      <c r="WZG288" s="1"/>
      <c r="WZH288" s="1"/>
      <c r="WZI288" s="1"/>
      <c r="WZJ288" s="1"/>
      <c r="WZK288" s="1"/>
      <c r="WZL288" s="1"/>
      <c r="WZM288" s="1"/>
      <c r="WZN288" s="1"/>
      <c r="WZO288" s="1"/>
      <c r="WZP288" s="1"/>
      <c r="WZQ288" s="1"/>
      <c r="WZR288" s="1"/>
      <c r="WZS288" s="1"/>
      <c r="WZT288" s="1"/>
      <c r="WZU288" s="1"/>
      <c r="WZV288" s="1"/>
      <c r="WZW288" s="1"/>
      <c r="WZX288" s="1"/>
      <c r="WZY288" s="1"/>
      <c r="WZZ288" s="1"/>
      <c r="XAA288" s="1"/>
      <c r="XAB288" s="1"/>
      <c r="XAC288" s="1"/>
      <c r="XAD288" s="1"/>
      <c r="XAE288" s="1"/>
      <c r="XAF288" s="1"/>
      <c r="XAG288" s="1"/>
      <c r="XAH288" s="1"/>
      <c r="XAI288" s="1"/>
      <c r="XAJ288" s="1"/>
      <c r="XAK288" s="1"/>
      <c r="XAL288" s="1"/>
      <c r="XAM288" s="1"/>
      <c r="XAN288" s="1"/>
      <c r="XAO288" s="1"/>
      <c r="XAP288" s="1"/>
      <c r="XAQ288" s="1"/>
      <c r="XAR288" s="1"/>
      <c r="XAS288" s="1"/>
      <c r="XAT288" s="1"/>
      <c r="XAU288" s="1"/>
      <c r="XAV288" s="1"/>
      <c r="XAW288" s="1"/>
      <c r="XAX288" s="1"/>
      <c r="XAY288" s="1"/>
      <c r="XAZ288" s="1"/>
      <c r="XBA288" s="1"/>
      <c r="XBB288" s="1"/>
      <c r="XBC288" s="1"/>
      <c r="XBD288" s="1"/>
      <c r="XBE288" s="1"/>
      <c r="XBF288" s="1"/>
      <c r="XBG288" s="1"/>
      <c r="XBH288" s="1"/>
      <c r="XBI288" s="1"/>
      <c r="XBJ288" s="1"/>
      <c r="XBK288" s="1"/>
      <c r="XBL288" s="1"/>
      <c r="XBM288" s="1"/>
      <c r="XBN288" s="1"/>
      <c r="XBO288" s="1"/>
      <c r="XBP288" s="1"/>
      <c r="XBQ288" s="1"/>
      <c r="XBR288" s="1"/>
      <c r="XBS288" s="1"/>
      <c r="XBT288" s="1"/>
      <c r="XBU288" s="1"/>
      <c r="XBV288" s="1"/>
      <c r="XBW288" s="1"/>
      <c r="XBX288" s="1"/>
      <c r="XBY288" s="1"/>
      <c r="XBZ288" s="1"/>
      <c r="XCA288" s="1"/>
      <c r="XCB288" s="1"/>
      <c r="XCC288" s="1"/>
      <c r="XCD288" s="1"/>
      <c r="XCE288" s="1"/>
      <c r="XCF288" s="1"/>
      <c r="XCG288" s="1"/>
      <c r="XCH288" s="1"/>
      <c r="XCI288" s="1"/>
      <c r="XCJ288" s="1"/>
      <c r="XCK288" s="1"/>
      <c r="XCL288" s="1"/>
      <c r="XCM288" s="1"/>
      <c r="XCN288" s="1"/>
      <c r="XCO288" s="1"/>
      <c r="XCP288" s="1"/>
      <c r="XCQ288" s="1"/>
      <c r="XCR288" s="1"/>
      <c r="XCS288" s="1"/>
      <c r="XCT288" s="1"/>
      <c r="XCU288" s="1"/>
      <c r="XCV288" s="1"/>
      <c r="XCW288" s="1"/>
      <c r="XCX288" s="1"/>
      <c r="XCY288" s="1"/>
      <c r="XCZ288" s="1"/>
      <c r="XDA288" s="1"/>
      <c r="XDB288" s="1"/>
      <c r="XDC288" s="1"/>
      <c r="XDD288" s="1"/>
      <c r="XDE288" s="1"/>
      <c r="XDF288" s="1"/>
      <c r="XDG288" s="1"/>
      <c r="XDH288" s="1"/>
      <c r="XDI288" s="1"/>
      <c r="XDJ288" s="1"/>
      <c r="XDK288" s="1"/>
      <c r="XDL288" s="1"/>
      <c r="XDM288" s="1"/>
      <c r="XDN288" s="1"/>
      <c r="XDO288" s="1"/>
      <c r="XDP288" s="1"/>
      <c r="XDQ288" s="1"/>
      <c r="XDR288" s="1"/>
      <c r="XDS288" s="1"/>
      <c r="XDT288" s="1"/>
      <c r="XDU288" s="1"/>
      <c r="XDV288" s="1"/>
      <c r="XDW288" s="1"/>
      <c r="XDX288" s="1"/>
      <c r="XDY288" s="1"/>
      <c r="XDZ288" s="1"/>
      <c r="XEA288" s="1"/>
      <c r="XEB288" s="1"/>
      <c r="XEC288" s="1"/>
      <c r="XED288" s="1"/>
      <c r="XEE288" s="1"/>
      <c r="XEF288" s="1"/>
      <c r="XEG288" s="1"/>
      <c r="XEH288" s="1"/>
      <c r="XEI288" s="1"/>
      <c r="XEJ288" s="1"/>
      <c r="XEK288" s="1"/>
      <c r="XEL288" s="1"/>
      <c r="XEM288" s="1"/>
      <c r="XEN288" s="1"/>
      <c r="XEO288" s="1"/>
      <c r="XEP288" s="1"/>
      <c r="XEQ288" s="1"/>
      <c r="XER288" s="1"/>
      <c r="XES288" s="1"/>
      <c r="XET288" s="1"/>
      <c r="XEU288" s="1"/>
      <c r="XEV288" s="1"/>
      <c r="XEW288" s="1"/>
      <c r="XEX288" s="1"/>
      <c r="XEY288" s="1"/>
      <c r="XEZ288" s="1"/>
      <c r="XFA288" s="1"/>
      <c r="XFB288" s="1"/>
      <c r="XFC288" s="1"/>
    </row>
    <row r="289" spans="1:150 16226:16383" s="3" customFormat="1" ht="20.25" hidden="1" customHeight="1" x14ac:dyDescent="0.25">
      <c r="A289" s="139" t="str">
        <f t="shared" ca="1" si="26"/>
        <v>205,..,905</v>
      </c>
      <c r="B289" s="139"/>
      <c r="C289" s="61"/>
      <c r="D289" s="61"/>
      <c r="E289" s="39"/>
      <c r="F289" s="38"/>
      <c r="G289" s="38"/>
      <c r="H289" s="38">
        <f t="shared" si="27"/>
        <v>0</v>
      </c>
      <c r="I289" s="1"/>
      <c r="J289" s="1"/>
      <c r="K289" s="1"/>
      <c r="L289" s="1"/>
      <c r="M289" s="1"/>
      <c r="N289" s="1"/>
      <c r="O289" s="1"/>
      <c r="P289" s="1"/>
      <c r="Q289" s="1"/>
      <c r="R289" s="1"/>
      <c r="S289" s="1"/>
      <c r="T289" s="23" t="str">
        <f t="shared" ca="1" si="25"/>
        <v>205,..,905</v>
      </c>
      <c r="U289" s="23">
        <f t="shared" ca="1" si="28"/>
        <v>205</v>
      </c>
      <c r="V289" s="23">
        <f t="shared" ca="1" si="29"/>
        <v>905</v>
      </c>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WZB289" s="1"/>
      <c r="WZC289" s="1"/>
      <c r="WZD289" s="1"/>
      <c r="WZE289" s="1"/>
      <c r="WZF289" s="1"/>
      <c r="WZG289" s="1"/>
      <c r="WZH289" s="1"/>
      <c r="WZI289" s="1"/>
      <c r="WZJ289" s="1"/>
      <c r="WZK289" s="1"/>
      <c r="WZL289" s="1"/>
      <c r="WZM289" s="1"/>
      <c r="WZN289" s="1"/>
      <c r="WZO289" s="1"/>
      <c r="WZP289" s="1"/>
      <c r="WZQ289" s="1"/>
      <c r="WZR289" s="1"/>
      <c r="WZS289" s="1"/>
      <c r="WZT289" s="1"/>
      <c r="WZU289" s="1"/>
      <c r="WZV289" s="1"/>
      <c r="WZW289" s="1"/>
      <c r="WZX289" s="1"/>
      <c r="WZY289" s="1"/>
      <c r="WZZ289" s="1"/>
      <c r="XAA289" s="1"/>
      <c r="XAB289" s="1"/>
      <c r="XAC289" s="1"/>
      <c r="XAD289" s="1"/>
      <c r="XAE289" s="1"/>
      <c r="XAF289" s="1"/>
      <c r="XAG289" s="1"/>
      <c r="XAH289" s="1"/>
      <c r="XAI289" s="1"/>
      <c r="XAJ289" s="1"/>
      <c r="XAK289" s="1"/>
      <c r="XAL289" s="1"/>
      <c r="XAM289" s="1"/>
      <c r="XAN289" s="1"/>
      <c r="XAO289" s="1"/>
      <c r="XAP289" s="1"/>
      <c r="XAQ289" s="1"/>
      <c r="XAR289" s="1"/>
      <c r="XAS289" s="1"/>
      <c r="XAT289" s="1"/>
      <c r="XAU289" s="1"/>
      <c r="XAV289" s="1"/>
      <c r="XAW289" s="1"/>
      <c r="XAX289" s="1"/>
      <c r="XAY289" s="1"/>
      <c r="XAZ289" s="1"/>
      <c r="XBA289" s="1"/>
      <c r="XBB289" s="1"/>
      <c r="XBC289" s="1"/>
      <c r="XBD289" s="1"/>
      <c r="XBE289" s="1"/>
      <c r="XBF289" s="1"/>
      <c r="XBG289" s="1"/>
      <c r="XBH289" s="1"/>
      <c r="XBI289" s="1"/>
      <c r="XBJ289" s="1"/>
      <c r="XBK289" s="1"/>
      <c r="XBL289" s="1"/>
      <c r="XBM289" s="1"/>
      <c r="XBN289" s="1"/>
      <c r="XBO289" s="1"/>
      <c r="XBP289" s="1"/>
      <c r="XBQ289" s="1"/>
      <c r="XBR289" s="1"/>
      <c r="XBS289" s="1"/>
      <c r="XBT289" s="1"/>
      <c r="XBU289" s="1"/>
      <c r="XBV289" s="1"/>
      <c r="XBW289" s="1"/>
      <c r="XBX289" s="1"/>
      <c r="XBY289" s="1"/>
      <c r="XBZ289" s="1"/>
      <c r="XCA289" s="1"/>
      <c r="XCB289" s="1"/>
      <c r="XCC289" s="1"/>
      <c r="XCD289" s="1"/>
      <c r="XCE289" s="1"/>
      <c r="XCF289" s="1"/>
      <c r="XCG289" s="1"/>
      <c r="XCH289" s="1"/>
      <c r="XCI289" s="1"/>
      <c r="XCJ289" s="1"/>
      <c r="XCK289" s="1"/>
      <c r="XCL289" s="1"/>
      <c r="XCM289" s="1"/>
      <c r="XCN289" s="1"/>
      <c r="XCO289" s="1"/>
      <c r="XCP289" s="1"/>
      <c r="XCQ289" s="1"/>
      <c r="XCR289" s="1"/>
      <c r="XCS289" s="1"/>
      <c r="XCT289" s="1"/>
      <c r="XCU289" s="1"/>
      <c r="XCV289" s="1"/>
      <c r="XCW289" s="1"/>
      <c r="XCX289" s="1"/>
      <c r="XCY289" s="1"/>
      <c r="XCZ289" s="1"/>
      <c r="XDA289" s="1"/>
      <c r="XDB289" s="1"/>
      <c r="XDC289" s="1"/>
      <c r="XDD289" s="1"/>
      <c r="XDE289" s="1"/>
      <c r="XDF289" s="1"/>
      <c r="XDG289" s="1"/>
      <c r="XDH289" s="1"/>
      <c r="XDI289" s="1"/>
      <c r="XDJ289" s="1"/>
      <c r="XDK289" s="1"/>
      <c r="XDL289" s="1"/>
      <c r="XDM289" s="1"/>
      <c r="XDN289" s="1"/>
      <c r="XDO289" s="1"/>
      <c r="XDP289" s="1"/>
      <c r="XDQ289" s="1"/>
      <c r="XDR289" s="1"/>
      <c r="XDS289" s="1"/>
      <c r="XDT289" s="1"/>
      <c r="XDU289" s="1"/>
      <c r="XDV289" s="1"/>
      <c r="XDW289" s="1"/>
      <c r="XDX289" s="1"/>
      <c r="XDY289" s="1"/>
      <c r="XDZ289" s="1"/>
      <c r="XEA289" s="1"/>
      <c r="XEB289" s="1"/>
      <c r="XEC289" s="1"/>
      <c r="XED289" s="1"/>
      <c r="XEE289" s="1"/>
      <c r="XEF289" s="1"/>
      <c r="XEG289" s="1"/>
      <c r="XEH289" s="1"/>
      <c r="XEI289" s="1"/>
      <c r="XEJ289" s="1"/>
      <c r="XEK289" s="1"/>
      <c r="XEL289" s="1"/>
      <c r="XEM289" s="1"/>
      <c r="XEN289" s="1"/>
      <c r="XEO289" s="1"/>
      <c r="XEP289" s="1"/>
      <c r="XEQ289" s="1"/>
      <c r="XER289" s="1"/>
      <c r="XES289" s="1"/>
      <c r="XET289" s="1"/>
      <c r="XEU289" s="1"/>
      <c r="XEV289" s="1"/>
      <c r="XEW289" s="1"/>
      <c r="XEX289" s="1"/>
      <c r="XEY289" s="1"/>
      <c r="XEZ289" s="1"/>
      <c r="XFA289" s="1"/>
      <c r="XFB289" s="1"/>
      <c r="XFC289" s="1"/>
    </row>
    <row r="290" spans="1:150 16226:16383" s="3" customFormat="1" ht="20.25" hidden="1" customHeight="1" x14ac:dyDescent="0.25">
      <c r="A290" s="139" t="str">
        <f t="shared" ca="1" si="26"/>
        <v>206,..,906</v>
      </c>
      <c r="B290" s="139"/>
      <c r="C290" s="61"/>
      <c r="D290" s="61"/>
      <c r="E290" s="39"/>
      <c r="F290" s="38"/>
      <c r="G290" s="38"/>
      <c r="H290" s="38">
        <f t="shared" si="27"/>
        <v>0</v>
      </c>
      <c r="I290" s="1"/>
      <c r="J290" s="1"/>
      <c r="K290" s="1"/>
      <c r="L290" s="1"/>
      <c r="M290" s="1"/>
      <c r="N290" s="1"/>
      <c r="O290" s="1"/>
      <c r="P290" s="1"/>
      <c r="Q290" s="1"/>
      <c r="R290" s="1"/>
      <c r="S290" s="1"/>
      <c r="T290" s="23" t="str">
        <f t="shared" ca="1" si="25"/>
        <v>206,..,906</v>
      </c>
      <c r="U290" s="23">
        <f t="shared" ca="1" si="28"/>
        <v>206</v>
      </c>
      <c r="V290" s="23">
        <f t="shared" ca="1" si="29"/>
        <v>906</v>
      </c>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WZB290" s="1"/>
      <c r="WZC290" s="1"/>
      <c r="WZD290" s="1"/>
      <c r="WZE290" s="1"/>
      <c r="WZF290" s="1"/>
      <c r="WZG290" s="1"/>
      <c r="WZH290" s="1"/>
      <c r="WZI290" s="1"/>
      <c r="WZJ290" s="1"/>
      <c r="WZK290" s="1"/>
      <c r="WZL290" s="1"/>
      <c r="WZM290" s="1"/>
      <c r="WZN290" s="1"/>
      <c r="WZO290" s="1"/>
      <c r="WZP290" s="1"/>
      <c r="WZQ290" s="1"/>
      <c r="WZR290" s="1"/>
      <c r="WZS290" s="1"/>
      <c r="WZT290" s="1"/>
      <c r="WZU290" s="1"/>
      <c r="WZV290" s="1"/>
      <c r="WZW290" s="1"/>
      <c r="WZX290" s="1"/>
      <c r="WZY290" s="1"/>
      <c r="WZZ290" s="1"/>
      <c r="XAA290" s="1"/>
      <c r="XAB290" s="1"/>
      <c r="XAC290" s="1"/>
      <c r="XAD290" s="1"/>
      <c r="XAE290" s="1"/>
      <c r="XAF290" s="1"/>
      <c r="XAG290" s="1"/>
      <c r="XAH290" s="1"/>
      <c r="XAI290" s="1"/>
      <c r="XAJ290" s="1"/>
      <c r="XAK290" s="1"/>
      <c r="XAL290" s="1"/>
      <c r="XAM290" s="1"/>
      <c r="XAN290" s="1"/>
      <c r="XAO290" s="1"/>
      <c r="XAP290" s="1"/>
      <c r="XAQ290" s="1"/>
      <c r="XAR290" s="1"/>
      <c r="XAS290" s="1"/>
      <c r="XAT290" s="1"/>
      <c r="XAU290" s="1"/>
      <c r="XAV290" s="1"/>
      <c r="XAW290" s="1"/>
      <c r="XAX290" s="1"/>
      <c r="XAY290" s="1"/>
      <c r="XAZ290" s="1"/>
      <c r="XBA290" s="1"/>
      <c r="XBB290" s="1"/>
      <c r="XBC290" s="1"/>
      <c r="XBD290" s="1"/>
      <c r="XBE290" s="1"/>
      <c r="XBF290" s="1"/>
      <c r="XBG290" s="1"/>
      <c r="XBH290" s="1"/>
      <c r="XBI290" s="1"/>
      <c r="XBJ290" s="1"/>
      <c r="XBK290" s="1"/>
      <c r="XBL290" s="1"/>
      <c r="XBM290" s="1"/>
      <c r="XBN290" s="1"/>
      <c r="XBO290" s="1"/>
      <c r="XBP290" s="1"/>
      <c r="XBQ290" s="1"/>
      <c r="XBR290" s="1"/>
      <c r="XBS290" s="1"/>
      <c r="XBT290" s="1"/>
      <c r="XBU290" s="1"/>
      <c r="XBV290" s="1"/>
      <c r="XBW290" s="1"/>
      <c r="XBX290" s="1"/>
      <c r="XBY290" s="1"/>
      <c r="XBZ290" s="1"/>
      <c r="XCA290" s="1"/>
      <c r="XCB290" s="1"/>
      <c r="XCC290" s="1"/>
      <c r="XCD290" s="1"/>
      <c r="XCE290" s="1"/>
      <c r="XCF290" s="1"/>
      <c r="XCG290" s="1"/>
      <c r="XCH290" s="1"/>
      <c r="XCI290" s="1"/>
      <c r="XCJ290" s="1"/>
      <c r="XCK290" s="1"/>
      <c r="XCL290" s="1"/>
      <c r="XCM290" s="1"/>
      <c r="XCN290" s="1"/>
      <c r="XCO290" s="1"/>
      <c r="XCP290" s="1"/>
      <c r="XCQ290" s="1"/>
      <c r="XCR290" s="1"/>
      <c r="XCS290" s="1"/>
      <c r="XCT290" s="1"/>
      <c r="XCU290" s="1"/>
      <c r="XCV290" s="1"/>
      <c r="XCW290" s="1"/>
      <c r="XCX290" s="1"/>
      <c r="XCY290" s="1"/>
      <c r="XCZ290" s="1"/>
      <c r="XDA290" s="1"/>
      <c r="XDB290" s="1"/>
      <c r="XDC290" s="1"/>
      <c r="XDD290" s="1"/>
      <c r="XDE290" s="1"/>
      <c r="XDF290" s="1"/>
      <c r="XDG290" s="1"/>
      <c r="XDH290" s="1"/>
      <c r="XDI290" s="1"/>
      <c r="XDJ290" s="1"/>
      <c r="XDK290" s="1"/>
      <c r="XDL290" s="1"/>
      <c r="XDM290" s="1"/>
      <c r="XDN290" s="1"/>
      <c r="XDO290" s="1"/>
      <c r="XDP290" s="1"/>
      <c r="XDQ290" s="1"/>
      <c r="XDR290" s="1"/>
      <c r="XDS290" s="1"/>
      <c r="XDT290" s="1"/>
      <c r="XDU290" s="1"/>
      <c r="XDV290" s="1"/>
      <c r="XDW290" s="1"/>
      <c r="XDX290" s="1"/>
      <c r="XDY290" s="1"/>
      <c r="XDZ290" s="1"/>
      <c r="XEA290" s="1"/>
      <c r="XEB290" s="1"/>
      <c r="XEC290" s="1"/>
      <c r="XED290" s="1"/>
      <c r="XEE290" s="1"/>
      <c r="XEF290" s="1"/>
      <c r="XEG290" s="1"/>
      <c r="XEH290" s="1"/>
      <c r="XEI290" s="1"/>
      <c r="XEJ290" s="1"/>
      <c r="XEK290" s="1"/>
      <c r="XEL290" s="1"/>
      <c r="XEM290" s="1"/>
      <c r="XEN290" s="1"/>
      <c r="XEO290" s="1"/>
      <c r="XEP290" s="1"/>
      <c r="XEQ290" s="1"/>
      <c r="XER290" s="1"/>
      <c r="XES290" s="1"/>
      <c r="XET290" s="1"/>
      <c r="XEU290" s="1"/>
      <c r="XEV290" s="1"/>
      <c r="XEW290" s="1"/>
      <c r="XEX290" s="1"/>
      <c r="XEY290" s="1"/>
      <c r="XEZ290" s="1"/>
      <c r="XFA290" s="1"/>
      <c r="XFB290" s="1"/>
      <c r="XFC290" s="1"/>
    </row>
    <row r="291" spans="1:150 16226:16383" s="3" customFormat="1" ht="20.25" hidden="1" customHeight="1" x14ac:dyDescent="0.25">
      <c r="A291" s="139" t="str">
        <f t="shared" ca="1" si="26"/>
        <v>207,..,907</v>
      </c>
      <c r="B291" s="139"/>
      <c r="C291" s="61"/>
      <c r="D291" s="61"/>
      <c r="E291" s="39"/>
      <c r="F291" s="38"/>
      <c r="G291" s="38"/>
      <c r="H291" s="38">
        <f t="shared" si="27"/>
        <v>0</v>
      </c>
      <c r="I291" s="1"/>
      <c r="J291" s="1"/>
      <c r="K291" s="1"/>
      <c r="L291" s="1"/>
      <c r="M291" s="1"/>
      <c r="N291" s="1"/>
      <c r="O291" s="1"/>
      <c r="P291" s="1"/>
      <c r="Q291" s="1"/>
      <c r="R291" s="1"/>
      <c r="S291" s="1"/>
      <c r="T291" s="23" t="str">
        <f t="shared" ca="1" si="25"/>
        <v>207,..,907</v>
      </c>
      <c r="U291" s="23">
        <f t="shared" ca="1" si="28"/>
        <v>207</v>
      </c>
      <c r="V291" s="23">
        <f t="shared" ca="1" si="29"/>
        <v>907</v>
      </c>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WZB291" s="1"/>
      <c r="WZC291" s="1"/>
      <c r="WZD291" s="1"/>
      <c r="WZE291" s="1"/>
      <c r="WZF291" s="1"/>
      <c r="WZG291" s="1"/>
      <c r="WZH291" s="1"/>
      <c r="WZI291" s="1"/>
      <c r="WZJ291" s="1"/>
      <c r="WZK291" s="1"/>
      <c r="WZL291" s="1"/>
      <c r="WZM291" s="1"/>
      <c r="WZN291" s="1"/>
      <c r="WZO291" s="1"/>
      <c r="WZP291" s="1"/>
      <c r="WZQ291" s="1"/>
      <c r="WZR291" s="1"/>
      <c r="WZS291" s="1"/>
      <c r="WZT291" s="1"/>
      <c r="WZU291" s="1"/>
      <c r="WZV291" s="1"/>
      <c r="WZW291" s="1"/>
      <c r="WZX291" s="1"/>
      <c r="WZY291" s="1"/>
      <c r="WZZ291" s="1"/>
      <c r="XAA291" s="1"/>
      <c r="XAB291" s="1"/>
      <c r="XAC291" s="1"/>
      <c r="XAD291" s="1"/>
      <c r="XAE291" s="1"/>
      <c r="XAF291" s="1"/>
      <c r="XAG291" s="1"/>
      <c r="XAH291" s="1"/>
      <c r="XAI291" s="1"/>
      <c r="XAJ291" s="1"/>
      <c r="XAK291" s="1"/>
      <c r="XAL291" s="1"/>
      <c r="XAM291" s="1"/>
      <c r="XAN291" s="1"/>
      <c r="XAO291" s="1"/>
      <c r="XAP291" s="1"/>
      <c r="XAQ291" s="1"/>
      <c r="XAR291" s="1"/>
      <c r="XAS291" s="1"/>
      <c r="XAT291" s="1"/>
      <c r="XAU291" s="1"/>
      <c r="XAV291" s="1"/>
      <c r="XAW291" s="1"/>
      <c r="XAX291" s="1"/>
      <c r="XAY291" s="1"/>
      <c r="XAZ291" s="1"/>
      <c r="XBA291" s="1"/>
      <c r="XBB291" s="1"/>
      <c r="XBC291" s="1"/>
      <c r="XBD291" s="1"/>
      <c r="XBE291" s="1"/>
      <c r="XBF291" s="1"/>
      <c r="XBG291" s="1"/>
      <c r="XBH291" s="1"/>
      <c r="XBI291" s="1"/>
      <c r="XBJ291" s="1"/>
      <c r="XBK291" s="1"/>
      <c r="XBL291" s="1"/>
      <c r="XBM291" s="1"/>
      <c r="XBN291" s="1"/>
      <c r="XBO291" s="1"/>
      <c r="XBP291" s="1"/>
      <c r="XBQ291" s="1"/>
      <c r="XBR291" s="1"/>
      <c r="XBS291" s="1"/>
      <c r="XBT291" s="1"/>
      <c r="XBU291" s="1"/>
      <c r="XBV291" s="1"/>
      <c r="XBW291" s="1"/>
      <c r="XBX291" s="1"/>
      <c r="XBY291" s="1"/>
      <c r="XBZ291" s="1"/>
      <c r="XCA291" s="1"/>
      <c r="XCB291" s="1"/>
      <c r="XCC291" s="1"/>
      <c r="XCD291" s="1"/>
      <c r="XCE291" s="1"/>
      <c r="XCF291" s="1"/>
      <c r="XCG291" s="1"/>
      <c r="XCH291" s="1"/>
      <c r="XCI291" s="1"/>
      <c r="XCJ291" s="1"/>
      <c r="XCK291" s="1"/>
      <c r="XCL291" s="1"/>
      <c r="XCM291" s="1"/>
      <c r="XCN291" s="1"/>
      <c r="XCO291" s="1"/>
      <c r="XCP291" s="1"/>
      <c r="XCQ291" s="1"/>
      <c r="XCR291" s="1"/>
      <c r="XCS291" s="1"/>
      <c r="XCT291" s="1"/>
      <c r="XCU291" s="1"/>
      <c r="XCV291" s="1"/>
      <c r="XCW291" s="1"/>
      <c r="XCX291" s="1"/>
      <c r="XCY291" s="1"/>
      <c r="XCZ291" s="1"/>
      <c r="XDA291" s="1"/>
      <c r="XDB291" s="1"/>
      <c r="XDC291" s="1"/>
      <c r="XDD291" s="1"/>
      <c r="XDE291" s="1"/>
      <c r="XDF291" s="1"/>
      <c r="XDG291" s="1"/>
      <c r="XDH291" s="1"/>
      <c r="XDI291" s="1"/>
      <c r="XDJ291" s="1"/>
      <c r="XDK291" s="1"/>
      <c r="XDL291" s="1"/>
      <c r="XDM291" s="1"/>
      <c r="XDN291" s="1"/>
      <c r="XDO291" s="1"/>
      <c r="XDP291" s="1"/>
      <c r="XDQ291" s="1"/>
      <c r="XDR291" s="1"/>
      <c r="XDS291" s="1"/>
      <c r="XDT291" s="1"/>
      <c r="XDU291" s="1"/>
      <c r="XDV291" s="1"/>
      <c r="XDW291" s="1"/>
      <c r="XDX291" s="1"/>
      <c r="XDY291" s="1"/>
      <c r="XDZ291" s="1"/>
      <c r="XEA291" s="1"/>
      <c r="XEB291" s="1"/>
      <c r="XEC291" s="1"/>
      <c r="XED291" s="1"/>
      <c r="XEE291" s="1"/>
      <c r="XEF291" s="1"/>
      <c r="XEG291" s="1"/>
      <c r="XEH291" s="1"/>
      <c r="XEI291" s="1"/>
      <c r="XEJ291" s="1"/>
      <c r="XEK291" s="1"/>
      <c r="XEL291" s="1"/>
      <c r="XEM291" s="1"/>
      <c r="XEN291" s="1"/>
      <c r="XEO291" s="1"/>
      <c r="XEP291" s="1"/>
      <c r="XEQ291" s="1"/>
      <c r="XER291" s="1"/>
      <c r="XES291" s="1"/>
      <c r="XET291" s="1"/>
      <c r="XEU291" s="1"/>
      <c r="XEV291" s="1"/>
      <c r="XEW291" s="1"/>
      <c r="XEX291" s="1"/>
      <c r="XEY291" s="1"/>
      <c r="XEZ291" s="1"/>
      <c r="XFA291" s="1"/>
      <c r="XFB291" s="1"/>
      <c r="XFC291" s="1"/>
    </row>
    <row r="292" spans="1:150 16226:16383" s="3" customFormat="1" ht="20.25" hidden="1" customHeight="1" x14ac:dyDescent="0.25">
      <c r="A292" s="139" t="str">
        <f t="shared" ca="1" si="26"/>
        <v>208,..,908</v>
      </c>
      <c r="B292" s="139"/>
      <c r="C292" s="61"/>
      <c r="D292" s="61"/>
      <c r="E292" s="39"/>
      <c r="F292" s="38"/>
      <c r="G292" s="38"/>
      <c r="H292" s="38">
        <f t="shared" si="27"/>
        <v>0</v>
      </c>
      <c r="I292" s="1"/>
      <c r="J292" s="1"/>
      <c r="K292" s="1"/>
      <c r="L292" s="1"/>
      <c r="M292" s="1"/>
      <c r="N292" s="1"/>
      <c r="O292" s="1"/>
      <c r="P292" s="1"/>
      <c r="Q292" s="1"/>
      <c r="R292" s="1"/>
      <c r="S292" s="1"/>
      <c r="T292" s="23" t="str">
        <f t="shared" ca="1" si="25"/>
        <v>208,..,908</v>
      </c>
      <c r="U292" s="23">
        <f t="shared" ca="1" si="28"/>
        <v>208</v>
      </c>
      <c r="V292" s="23">
        <f t="shared" ca="1" si="29"/>
        <v>908</v>
      </c>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WZB292" s="1"/>
      <c r="WZC292" s="1"/>
      <c r="WZD292" s="1"/>
      <c r="WZE292" s="1"/>
      <c r="WZF292" s="1"/>
      <c r="WZG292" s="1"/>
      <c r="WZH292" s="1"/>
      <c r="WZI292" s="1"/>
      <c r="WZJ292" s="1"/>
      <c r="WZK292" s="1"/>
      <c r="WZL292" s="1"/>
      <c r="WZM292" s="1"/>
      <c r="WZN292" s="1"/>
      <c r="WZO292" s="1"/>
      <c r="WZP292" s="1"/>
      <c r="WZQ292" s="1"/>
      <c r="WZR292" s="1"/>
      <c r="WZS292" s="1"/>
      <c r="WZT292" s="1"/>
      <c r="WZU292" s="1"/>
      <c r="WZV292" s="1"/>
      <c r="WZW292" s="1"/>
      <c r="WZX292" s="1"/>
      <c r="WZY292" s="1"/>
      <c r="WZZ292" s="1"/>
      <c r="XAA292" s="1"/>
      <c r="XAB292" s="1"/>
      <c r="XAC292" s="1"/>
      <c r="XAD292" s="1"/>
      <c r="XAE292" s="1"/>
      <c r="XAF292" s="1"/>
      <c r="XAG292" s="1"/>
      <c r="XAH292" s="1"/>
      <c r="XAI292" s="1"/>
      <c r="XAJ292" s="1"/>
      <c r="XAK292" s="1"/>
      <c r="XAL292" s="1"/>
      <c r="XAM292" s="1"/>
      <c r="XAN292" s="1"/>
      <c r="XAO292" s="1"/>
      <c r="XAP292" s="1"/>
      <c r="XAQ292" s="1"/>
      <c r="XAR292" s="1"/>
      <c r="XAS292" s="1"/>
      <c r="XAT292" s="1"/>
      <c r="XAU292" s="1"/>
      <c r="XAV292" s="1"/>
      <c r="XAW292" s="1"/>
      <c r="XAX292" s="1"/>
      <c r="XAY292" s="1"/>
      <c r="XAZ292" s="1"/>
      <c r="XBA292" s="1"/>
      <c r="XBB292" s="1"/>
      <c r="XBC292" s="1"/>
      <c r="XBD292" s="1"/>
      <c r="XBE292" s="1"/>
      <c r="XBF292" s="1"/>
      <c r="XBG292" s="1"/>
      <c r="XBH292" s="1"/>
      <c r="XBI292" s="1"/>
      <c r="XBJ292" s="1"/>
      <c r="XBK292" s="1"/>
      <c r="XBL292" s="1"/>
      <c r="XBM292" s="1"/>
      <c r="XBN292" s="1"/>
      <c r="XBO292" s="1"/>
      <c r="XBP292" s="1"/>
      <c r="XBQ292" s="1"/>
      <c r="XBR292" s="1"/>
      <c r="XBS292" s="1"/>
      <c r="XBT292" s="1"/>
      <c r="XBU292" s="1"/>
      <c r="XBV292" s="1"/>
      <c r="XBW292" s="1"/>
      <c r="XBX292" s="1"/>
      <c r="XBY292" s="1"/>
      <c r="XBZ292" s="1"/>
      <c r="XCA292" s="1"/>
      <c r="XCB292" s="1"/>
      <c r="XCC292" s="1"/>
      <c r="XCD292" s="1"/>
      <c r="XCE292" s="1"/>
      <c r="XCF292" s="1"/>
      <c r="XCG292" s="1"/>
      <c r="XCH292" s="1"/>
      <c r="XCI292" s="1"/>
      <c r="XCJ292" s="1"/>
      <c r="XCK292" s="1"/>
      <c r="XCL292" s="1"/>
      <c r="XCM292" s="1"/>
      <c r="XCN292" s="1"/>
      <c r="XCO292" s="1"/>
      <c r="XCP292" s="1"/>
      <c r="XCQ292" s="1"/>
      <c r="XCR292" s="1"/>
      <c r="XCS292" s="1"/>
      <c r="XCT292" s="1"/>
      <c r="XCU292" s="1"/>
      <c r="XCV292" s="1"/>
      <c r="XCW292" s="1"/>
      <c r="XCX292" s="1"/>
      <c r="XCY292" s="1"/>
      <c r="XCZ292" s="1"/>
      <c r="XDA292" s="1"/>
      <c r="XDB292" s="1"/>
      <c r="XDC292" s="1"/>
      <c r="XDD292" s="1"/>
      <c r="XDE292" s="1"/>
      <c r="XDF292" s="1"/>
      <c r="XDG292" s="1"/>
      <c r="XDH292" s="1"/>
      <c r="XDI292" s="1"/>
      <c r="XDJ292" s="1"/>
      <c r="XDK292" s="1"/>
      <c r="XDL292" s="1"/>
      <c r="XDM292" s="1"/>
      <c r="XDN292" s="1"/>
      <c r="XDO292" s="1"/>
      <c r="XDP292" s="1"/>
      <c r="XDQ292" s="1"/>
      <c r="XDR292" s="1"/>
      <c r="XDS292" s="1"/>
      <c r="XDT292" s="1"/>
      <c r="XDU292" s="1"/>
      <c r="XDV292" s="1"/>
      <c r="XDW292" s="1"/>
      <c r="XDX292" s="1"/>
      <c r="XDY292" s="1"/>
      <c r="XDZ292" s="1"/>
      <c r="XEA292" s="1"/>
      <c r="XEB292" s="1"/>
      <c r="XEC292" s="1"/>
      <c r="XED292" s="1"/>
      <c r="XEE292" s="1"/>
      <c r="XEF292" s="1"/>
      <c r="XEG292" s="1"/>
      <c r="XEH292" s="1"/>
      <c r="XEI292" s="1"/>
      <c r="XEJ292" s="1"/>
      <c r="XEK292" s="1"/>
      <c r="XEL292" s="1"/>
      <c r="XEM292" s="1"/>
      <c r="XEN292" s="1"/>
      <c r="XEO292" s="1"/>
      <c r="XEP292" s="1"/>
      <c r="XEQ292" s="1"/>
      <c r="XER292" s="1"/>
      <c r="XES292" s="1"/>
      <c r="XET292" s="1"/>
      <c r="XEU292" s="1"/>
      <c r="XEV292" s="1"/>
      <c r="XEW292" s="1"/>
      <c r="XEX292" s="1"/>
      <c r="XEY292" s="1"/>
      <c r="XEZ292" s="1"/>
      <c r="XFA292" s="1"/>
      <c r="XFB292" s="1"/>
      <c r="XFC292" s="1"/>
    </row>
    <row r="293" spans="1:150 16226:16383" s="3" customFormat="1" ht="20.25" hidden="1" x14ac:dyDescent="0.25">
      <c r="A293" s="152" t="s">
        <v>130</v>
      </c>
      <c r="B293" s="153"/>
      <c r="C293" s="153"/>
      <c r="D293" s="153"/>
      <c r="E293" s="153"/>
      <c r="F293" s="153"/>
      <c r="G293" s="153"/>
      <c r="H293" s="154"/>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WZB293" s="1"/>
      <c r="WZC293" s="1"/>
      <c r="WZD293" s="1"/>
      <c r="WZE293" s="1"/>
      <c r="WZF293" s="1"/>
      <c r="WZG293" s="1"/>
      <c r="WZH293" s="1"/>
      <c r="WZI293" s="1"/>
      <c r="WZJ293" s="1"/>
      <c r="WZK293" s="1"/>
      <c r="WZL293" s="1"/>
      <c r="WZM293" s="1"/>
      <c r="WZN293" s="1"/>
      <c r="WZO293" s="1"/>
      <c r="WZP293" s="1"/>
      <c r="WZQ293" s="1"/>
      <c r="WZR293" s="1"/>
      <c r="WZS293" s="1"/>
      <c r="WZT293" s="1"/>
      <c r="WZU293" s="1"/>
      <c r="WZV293" s="1"/>
      <c r="WZW293" s="1"/>
      <c r="WZX293" s="1"/>
      <c r="WZY293" s="1"/>
      <c r="WZZ293" s="1"/>
      <c r="XAA293" s="1"/>
      <c r="XAB293" s="1"/>
      <c r="XAC293" s="1"/>
      <c r="XAD293" s="1"/>
      <c r="XAE293" s="1"/>
      <c r="XAF293" s="1"/>
      <c r="XAG293" s="1"/>
      <c r="XAH293" s="1"/>
      <c r="XAI293" s="1"/>
      <c r="XAJ293" s="1"/>
      <c r="XAK293" s="1"/>
      <c r="XAL293" s="1"/>
      <c r="XAM293" s="1"/>
      <c r="XAN293" s="1"/>
      <c r="XAO293" s="1"/>
      <c r="XAP293" s="1"/>
      <c r="XAQ293" s="1"/>
      <c r="XAR293" s="1"/>
      <c r="XAS293" s="1"/>
      <c r="XAT293" s="1"/>
      <c r="XAU293" s="1"/>
      <c r="XAV293" s="1"/>
      <c r="XAW293" s="1"/>
      <c r="XAX293" s="1"/>
      <c r="XAY293" s="1"/>
      <c r="XAZ293" s="1"/>
      <c r="XBA293" s="1"/>
      <c r="XBB293" s="1"/>
      <c r="XBC293" s="1"/>
      <c r="XBD293" s="1"/>
      <c r="XBE293" s="1"/>
      <c r="XBF293" s="1"/>
      <c r="XBG293" s="1"/>
      <c r="XBH293" s="1"/>
      <c r="XBI293" s="1"/>
      <c r="XBJ293" s="1"/>
      <c r="XBK293" s="1"/>
      <c r="XBL293" s="1"/>
      <c r="XBM293" s="1"/>
      <c r="XBN293" s="1"/>
      <c r="XBO293" s="1"/>
      <c r="XBP293" s="1"/>
      <c r="XBQ293" s="1"/>
      <c r="XBR293" s="1"/>
      <c r="XBS293" s="1"/>
      <c r="XBT293" s="1"/>
      <c r="XBU293" s="1"/>
      <c r="XBV293" s="1"/>
      <c r="XBW293" s="1"/>
      <c r="XBX293" s="1"/>
      <c r="XBY293" s="1"/>
      <c r="XBZ293" s="1"/>
      <c r="XCA293" s="1"/>
      <c r="XCB293" s="1"/>
      <c r="XCC293" s="1"/>
      <c r="XCD293" s="1"/>
      <c r="XCE293" s="1"/>
      <c r="XCF293" s="1"/>
      <c r="XCG293" s="1"/>
      <c r="XCH293" s="1"/>
      <c r="XCI293" s="1"/>
      <c r="XCJ293" s="1"/>
      <c r="XCK293" s="1"/>
      <c r="XCL293" s="1"/>
      <c r="XCM293" s="1"/>
      <c r="XCN293" s="1"/>
      <c r="XCO293" s="1"/>
      <c r="XCP293" s="1"/>
      <c r="XCQ293" s="1"/>
      <c r="XCR293" s="1"/>
      <c r="XCS293" s="1"/>
      <c r="XCT293" s="1"/>
      <c r="XCU293" s="1"/>
      <c r="XCV293" s="1"/>
      <c r="XCW293" s="1"/>
      <c r="XCX293" s="1"/>
      <c r="XCY293" s="1"/>
      <c r="XCZ293" s="1"/>
      <c r="XDA293" s="1"/>
      <c r="XDB293" s="1"/>
      <c r="XDC293" s="1"/>
      <c r="XDD293" s="1"/>
      <c r="XDE293" s="1"/>
      <c r="XDF293" s="1"/>
      <c r="XDG293" s="1"/>
      <c r="XDH293" s="1"/>
      <c r="XDI293" s="1"/>
      <c r="XDJ293" s="1"/>
      <c r="XDK293" s="1"/>
      <c r="XDL293" s="1"/>
      <c r="XDM293" s="1"/>
      <c r="XDN293" s="1"/>
      <c r="XDO293" s="1"/>
      <c r="XDP293" s="1"/>
      <c r="XDQ293" s="1"/>
      <c r="XDR293" s="1"/>
      <c r="XDS293" s="1"/>
      <c r="XDT293" s="1"/>
      <c r="XDU293" s="1"/>
      <c r="XDV293" s="1"/>
      <c r="XDW293" s="1"/>
      <c r="XDX293" s="1"/>
      <c r="XDY293" s="1"/>
      <c r="XDZ293" s="1"/>
      <c r="XEA293" s="1"/>
      <c r="XEB293" s="1"/>
      <c r="XEC293" s="1"/>
      <c r="XED293" s="1"/>
      <c r="XEE293" s="1"/>
      <c r="XEF293" s="1"/>
      <c r="XEG293" s="1"/>
      <c r="XEH293" s="1"/>
      <c r="XEI293" s="1"/>
      <c r="XEJ293" s="1"/>
      <c r="XEK293" s="1"/>
      <c r="XEL293" s="1"/>
      <c r="XEM293" s="1"/>
      <c r="XEN293" s="1"/>
      <c r="XEO293" s="1"/>
      <c r="XEP293" s="1"/>
      <c r="XEQ293" s="1"/>
      <c r="XER293" s="1"/>
      <c r="XES293" s="1"/>
      <c r="XET293" s="1"/>
      <c r="XEU293" s="1"/>
      <c r="XEV293" s="1"/>
      <c r="XEW293" s="1"/>
      <c r="XEX293" s="1"/>
      <c r="XEY293" s="1"/>
      <c r="XEZ293" s="1"/>
      <c r="XFA293" s="1"/>
      <c r="XFB293" s="1"/>
      <c r="XFC293" s="1"/>
    </row>
    <row r="294" spans="1:150 16226:16383" s="3" customFormat="1" ht="20.25" hidden="1" customHeight="1" x14ac:dyDescent="0.25">
      <c r="A294" s="139" t="str">
        <f ca="1">T294</f>
        <v>201 to 501</v>
      </c>
      <c r="B294" s="139"/>
      <c r="C294" s="61"/>
      <c r="D294" s="61"/>
      <c r="E294" s="39">
        <v>0</v>
      </c>
      <c r="F294" s="38">
        <v>0</v>
      </c>
      <c r="G294" s="38">
        <v>0</v>
      </c>
      <c r="H294" s="38">
        <f>E294+F294+(IF(G294&lt;101,G294,IF(G294&lt;201,G294/2,IF(G294&lt;=301,G294/3,G294/4))))</f>
        <v>0</v>
      </c>
      <c r="I294" s="1"/>
      <c r="J294" s="1"/>
      <c r="K294" s="1"/>
      <c r="L294" s="1"/>
      <c r="M294" s="1"/>
      <c r="N294" s="1"/>
      <c r="O294" s="1"/>
      <c r="P294" s="1"/>
      <c r="Q294" s="1"/>
      <c r="R294" s="1"/>
      <c r="S294" s="1"/>
      <c r="T294" s="23" t="str">
        <f ca="1">U294&amp;""&amp;" to "&amp;""&amp;V294</f>
        <v>201 to 501</v>
      </c>
      <c r="U294" s="23">
        <f ca="1">(SUMPRODUCT(MID(0&amp;(LEFT(A293,SUM(LEN(A293)-LEN(SUBSTITUTE(A293,{"0","1","2","3"},""))))), LARGE(INDEX(ISNUMBER(--MID((LEFT(A293,SUM(LEN(A293)-LEN(SUBSTITUTE(A293,{"0","1","2","3"},""))))), ROW(INDIRECT("1:"&amp;LEN((LEFT(A293,SUM(LEN(A293)-LEN(SUBSTITUTE(A293,{"0","1","2","3"},"")))))))), 1)) * ROW(INDIRECT("1:"&amp;LEN((LEFT(A293,SUM(LEN(A293)-LEN(SUBSTITUTE(A293,{"0","1","2","3"},"")))))))), 0), ROW(INDIRECT("1:"&amp;LEN((LEFT(A293,SUM(LEN(A293)-LEN(SUBSTITUTE(A293,{"0","1","2","3"},"")))))))))+1, 1) * 10^ROW(INDIRECT("1:"&amp;LEN((LEFT(A293,SUM(LEN(A293)-LEN(SUBSTITUTE(A293,{"0","1","2","3"},""))))))))/10))*100+1</f>
        <v>201</v>
      </c>
      <c r="V294" s="23">
        <f ca="1">(SUMPRODUCT(MID(0&amp;(--TRIM(RIGHT(SUBSTITUTE(LEFT(A293,_xlfn.AGGREGATE(16,6,FIND({0,1,2,3,4,5,6,7,8,9},A293,ROW(INDIRECT("1:"&amp;LEN(A293)))),1))," ",REPT(" ",LEN(A293))),LEN(A293)))), LARGE(INDEX(ISNUMBER(--MID((--TRIM(RIGHT(SUBSTITUTE(LEFT(A293,_xlfn.AGGREGATE(16,6,FIND({0,1,2,3,4,5,6,7,8,9},A293,ROW(INDIRECT("1:"&amp;LEN(A293)))),1))," ",REPT(" ",LEN(A293))),LEN(A293)))), ROW(INDIRECT("1:"&amp;LEN((--TRIM(RIGHT(SUBSTITUTE(LEFT(A293,_xlfn.AGGREGATE(16,6,FIND({0,1,2,3,4,5,6,7,8,9},A293,ROW(INDIRECT("1:"&amp;LEN(A293)))),1))," ",REPT(" ",LEN(A293))),LEN(A293))))))), 1)) * ROW(INDIRECT("1:"&amp;LEN((--TRIM(RIGHT(SUBSTITUTE(LEFT(A293,_xlfn.AGGREGATE(16,6,FIND({0,1,2,3,4,5,6,7,8,9},A293,ROW(INDIRECT("1:"&amp;LEN(A293)))),1))," ",REPT(" ",LEN(A293))),LEN(A293))))))), 0), ROW(INDIRECT("1:"&amp;LEN((--TRIM(RIGHT(SUBSTITUTE(LEFT(A293,_xlfn.AGGREGATE(16,6,FIND({0,1,2,3,4,5,6,7,8,9},A293,ROW(INDIRECT("1:"&amp;LEN(A293)))),1))," ",REPT(" ",LEN(A293))),LEN(A293))))))))+1, 1) * 10^ROW(INDIRECT("1:"&amp;LEN((--TRIM(RIGHT(SUBSTITUTE(LEFT(A293,_xlfn.AGGREGATE(16,6,FIND({0,1,2,3,4,5,6,7,8,9},A293,ROW(INDIRECT("1:"&amp;LEN(A293)))),1))," ",REPT(" ",LEN(A293))),LEN(A293)))))))/10))*100+1</f>
        <v>501</v>
      </c>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WZB294" s="1"/>
      <c r="WZC294" s="1"/>
      <c r="WZD294" s="1"/>
      <c r="WZE294" s="1"/>
      <c r="WZF294" s="1"/>
      <c r="WZG294" s="1"/>
      <c r="WZH294" s="1"/>
      <c r="WZI294" s="1"/>
      <c r="WZJ294" s="1"/>
      <c r="WZK294" s="1"/>
      <c r="WZL294" s="1"/>
      <c r="WZM294" s="1"/>
      <c r="WZN294" s="1"/>
      <c r="WZO294" s="1"/>
      <c r="WZP294" s="1"/>
      <c r="WZQ294" s="1"/>
      <c r="WZR294" s="1"/>
      <c r="WZS294" s="1"/>
      <c r="WZT294" s="1"/>
      <c r="WZU294" s="1"/>
      <c r="WZV294" s="1"/>
      <c r="WZW294" s="1"/>
      <c r="WZX294" s="1"/>
      <c r="WZY294" s="1"/>
      <c r="WZZ294" s="1"/>
      <c r="XAA294" s="1"/>
      <c r="XAB294" s="1"/>
      <c r="XAC294" s="1"/>
      <c r="XAD294" s="1"/>
      <c r="XAE294" s="1"/>
      <c r="XAF294" s="1"/>
      <c r="XAG294" s="1"/>
      <c r="XAH294" s="1"/>
      <c r="XAI294" s="1"/>
      <c r="XAJ294" s="1"/>
      <c r="XAK294" s="1"/>
      <c r="XAL294" s="1"/>
      <c r="XAM294" s="1"/>
      <c r="XAN294" s="1"/>
      <c r="XAO294" s="1"/>
      <c r="XAP294" s="1"/>
      <c r="XAQ294" s="1"/>
      <c r="XAR294" s="1"/>
      <c r="XAS294" s="1"/>
      <c r="XAT294" s="1"/>
      <c r="XAU294" s="1"/>
      <c r="XAV294" s="1"/>
      <c r="XAW294" s="1"/>
      <c r="XAX294" s="1"/>
      <c r="XAY294" s="1"/>
      <c r="XAZ294" s="1"/>
      <c r="XBA294" s="1"/>
      <c r="XBB294" s="1"/>
      <c r="XBC294" s="1"/>
      <c r="XBD294" s="1"/>
      <c r="XBE294" s="1"/>
      <c r="XBF294" s="1"/>
      <c r="XBG294" s="1"/>
      <c r="XBH294" s="1"/>
      <c r="XBI294" s="1"/>
      <c r="XBJ294" s="1"/>
      <c r="XBK294" s="1"/>
      <c r="XBL294" s="1"/>
      <c r="XBM294" s="1"/>
      <c r="XBN294" s="1"/>
      <c r="XBO294" s="1"/>
      <c r="XBP294" s="1"/>
      <c r="XBQ294" s="1"/>
      <c r="XBR294" s="1"/>
      <c r="XBS294" s="1"/>
      <c r="XBT294" s="1"/>
      <c r="XBU294" s="1"/>
      <c r="XBV294" s="1"/>
      <c r="XBW294" s="1"/>
      <c r="XBX294" s="1"/>
      <c r="XBY294" s="1"/>
      <c r="XBZ294" s="1"/>
      <c r="XCA294" s="1"/>
      <c r="XCB294" s="1"/>
      <c r="XCC294" s="1"/>
      <c r="XCD294" s="1"/>
      <c r="XCE294" s="1"/>
      <c r="XCF294" s="1"/>
      <c r="XCG294" s="1"/>
      <c r="XCH294" s="1"/>
      <c r="XCI294" s="1"/>
      <c r="XCJ294" s="1"/>
      <c r="XCK294" s="1"/>
      <c r="XCL294" s="1"/>
      <c r="XCM294" s="1"/>
      <c r="XCN294" s="1"/>
      <c r="XCO294" s="1"/>
      <c r="XCP294" s="1"/>
      <c r="XCQ294" s="1"/>
      <c r="XCR294" s="1"/>
      <c r="XCS294" s="1"/>
      <c r="XCT294" s="1"/>
      <c r="XCU294" s="1"/>
      <c r="XCV294" s="1"/>
      <c r="XCW294" s="1"/>
      <c r="XCX294" s="1"/>
      <c r="XCY294" s="1"/>
      <c r="XCZ294" s="1"/>
      <c r="XDA294" s="1"/>
      <c r="XDB294" s="1"/>
      <c r="XDC294" s="1"/>
      <c r="XDD294" s="1"/>
      <c r="XDE294" s="1"/>
      <c r="XDF294" s="1"/>
      <c r="XDG294" s="1"/>
      <c r="XDH294" s="1"/>
      <c r="XDI294" s="1"/>
      <c r="XDJ294" s="1"/>
      <c r="XDK294" s="1"/>
      <c r="XDL294" s="1"/>
      <c r="XDM294" s="1"/>
      <c r="XDN294" s="1"/>
      <c r="XDO294" s="1"/>
      <c r="XDP294" s="1"/>
      <c r="XDQ294" s="1"/>
      <c r="XDR294" s="1"/>
      <c r="XDS294" s="1"/>
      <c r="XDT294" s="1"/>
      <c r="XDU294" s="1"/>
      <c r="XDV294" s="1"/>
      <c r="XDW294" s="1"/>
      <c r="XDX294" s="1"/>
      <c r="XDY294" s="1"/>
      <c r="XDZ294" s="1"/>
      <c r="XEA294" s="1"/>
      <c r="XEB294" s="1"/>
      <c r="XEC294" s="1"/>
      <c r="XED294" s="1"/>
      <c r="XEE294" s="1"/>
      <c r="XEF294" s="1"/>
      <c r="XEG294" s="1"/>
      <c r="XEH294" s="1"/>
      <c r="XEI294" s="1"/>
      <c r="XEJ294" s="1"/>
      <c r="XEK294" s="1"/>
      <c r="XEL294" s="1"/>
      <c r="XEM294" s="1"/>
      <c r="XEN294" s="1"/>
      <c r="XEO294" s="1"/>
      <c r="XEP294" s="1"/>
      <c r="XEQ294" s="1"/>
      <c r="XER294" s="1"/>
      <c r="XES294" s="1"/>
      <c r="XET294" s="1"/>
      <c r="XEU294" s="1"/>
      <c r="XEV294" s="1"/>
      <c r="XEW294" s="1"/>
      <c r="XEX294" s="1"/>
      <c r="XEY294" s="1"/>
      <c r="XEZ294" s="1"/>
      <c r="XFA294" s="1"/>
      <c r="XFB294" s="1"/>
      <c r="XFC294" s="1"/>
    </row>
    <row r="295" spans="1:150 16226:16383" s="3" customFormat="1" ht="20.25" hidden="1" customHeight="1" x14ac:dyDescent="0.25">
      <c r="A295" s="139" t="str">
        <f t="shared" ref="A295:A301" ca="1" si="30">T295</f>
        <v>202 to 502</v>
      </c>
      <c r="B295" s="139"/>
      <c r="C295" s="61"/>
      <c r="D295" s="61"/>
      <c r="E295" s="39"/>
      <c r="F295" s="38"/>
      <c r="G295" s="38"/>
      <c r="H295" s="38">
        <f t="shared" ref="H295:H301" si="31">E295+F295+(IF(G295&lt;101,G295,IF(G295&lt;201,G295/2,IF(G295&lt;=301,G295/3,G295/4))))</f>
        <v>0</v>
      </c>
      <c r="I295" s="1"/>
      <c r="J295" s="1"/>
      <c r="K295" s="1"/>
      <c r="L295" s="1"/>
      <c r="M295" s="1"/>
      <c r="N295" s="1"/>
      <c r="O295" s="1"/>
      <c r="P295" s="1"/>
      <c r="Q295" s="1"/>
      <c r="R295" s="1"/>
      <c r="S295" s="1"/>
      <c r="T295" s="23" t="str">
        <f t="shared" ref="T295:T301" ca="1" si="32">U295&amp;""&amp;" to "&amp;""&amp;V295</f>
        <v>202 to 502</v>
      </c>
      <c r="U295" s="23">
        <f ca="1">U294+1</f>
        <v>202</v>
      </c>
      <c r="V295" s="23">
        <f ca="1">V294+1</f>
        <v>502</v>
      </c>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WZB295" s="1"/>
      <c r="WZC295" s="1"/>
      <c r="WZD295" s="1"/>
      <c r="WZE295" s="1"/>
      <c r="WZF295" s="1"/>
      <c r="WZG295" s="1"/>
      <c r="WZH295" s="1"/>
      <c r="WZI295" s="1"/>
      <c r="WZJ295" s="1"/>
      <c r="WZK295" s="1"/>
      <c r="WZL295" s="1"/>
      <c r="WZM295" s="1"/>
      <c r="WZN295" s="1"/>
      <c r="WZO295" s="1"/>
      <c r="WZP295" s="1"/>
      <c r="WZQ295" s="1"/>
      <c r="WZR295" s="1"/>
      <c r="WZS295" s="1"/>
      <c r="WZT295" s="1"/>
      <c r="WZU295" s="1"/>
      <c r="WZV295" s="1"/>
      <c r="WZW295" s="1"/>
      <c r="WZX295" s="1"/>
      <c r="WZY295" s="1"/>
      <c r="WZZ295" s="1"/>
      <c r="XAA295" s="1"/>
      <c r="XAB295" s="1"/>
      <c r="XAC295" s="1"/>
      <c r="XAD295" s="1"/>
      <c r="XAE295" s="1"/>
      <c r="XAF295" s="1"/>
      <c r="XAG295" s="1"/>
      <c r="XAH295" s="1"/>
      <c r="XAI295" s="1"/>
      <c r="XAJ295" s="1"/>
      <c r="XAK295" s="1"/>
      <c r="XAL295" s="1"/>
      <c r="XAM295" s="1"/>
      <c r="XAN295" s="1"/>
      <c r="XAO295" s="1"/>
      <c r="XAP295" s="1"/>
      <c r="XAQ295" s="1"/>
      <c r="XAR295" s="1"/>
      <c r="XAS295" s="1"/>
      <c r="XAT295" s="1"/>
      <c r="XAU295" s="1"/>
      <c r="XAV295" s="1"/>
      <c r="XAW295" s="1"/>
      <c r="XAX295" s="1"/>
      <c r="XAY295" s="1"/>
      <c r="XAZ295" s="1"/>
      <c r="XBA295" s="1"/>
      <c r="XBB295" s="1"/>
      <c r="XBC295" s="1"/>
      <c r="XBD295" s="1"/>
      <c r="XBE295" s="1"/>
      <c r="XBF295" s="1"/>
      <c r="XBG295" s="1"/>
      <c r="XBH295" s="1"/>
      <c r="XBI295" s="1"/>
      <c r="XBJ295" s="1"/>
      <c r="XBK295" s="1"/>
      <c r="XBL295" s="1"/>
      <c r="XBM295" s="1"/>
      <c r="XBN295" s="1"/>
      <c r="XBO295" s="1"/>
      <c r="XBP295" s="1"/>
      <c r="XBQ295" s="1"/>
      <c r="XBR295" s="1"/>
      <c r="XBS295" s="1"/>
      <c r="XBT295" s="1"/>
      <c r="XBU295" s="1"/>
      <c r="XBV295" s="1"/>
      <c r="XBW295" s="1"/>
      <c r="XBX295" s="1"/>
      <c r="XBY295" s="1"/>
      <c r="XBZ295" s="1"/>
      <c r="XCA295" s="1"/>
      <c r="XCB295" s="1"/>
      <c r="XCC295" s="1"/>
      <c r="XCD295" s="1"/>
      <c r="XCE295" s="1"/>
      <c r="XCF295" s="1"/>
      <c r="XCG295" s="1"/>
      <c r="XCH295" s="1"/>
      <c r="XCI295" s="1"/>
      <c r="XCJ295" s="1"/>
      <c r="XCK295" s="1"/>
      <c r="XCL295" s="1"/>
      <c r="XCM295" s="1"/>
      <c r="XCN295" s="1"/>
      <c r="XCO295" s="1"/>
      <c r="XCP295" s="1"/>
      <c r="XCQ295" s="1"/>
      <c r="XCR295" s="1"/>
      <c r="XCS295" s="1"/>
      <c r="XCT295" s="1"/>
      <c r="XCU295" s="1"/>
      <c r="XCV295" s="1"/>
      <c r="XCW295" s="1"/>
      <c r="XCX295" s="1"/>
      <c r="XCY295" s="1"/>
      <c r="XCZ295" s="1"/>
      <c r="XDA295" s="1"/>
      <c r="XDB295" s="1"/>
      <c r="XDC295" s="1"/>
      <c r="XDD295" s="1"/>
      <c r="XDE295" s="1"/>
      <c r="XDF295" s="1"/>
      <c r="XDG295" s="1"/>
      <c r="XDH295" s="1"/>
      <c r="XDI295" s="1"/>
      <c r="XDJ295" s="1"/>
      <c r="XDK295" s="1"/>
      <c r="XDL295" s="1"/>
      <c r="XDM295" s="1"/>
      <c r="XDN295" s="1"/>
      <c r="XDO295" s="1"/>
      <c r="XDP295" s="1"/>
      <c r="XDQ295" s="1"/>
      <c r="XDR295" s="1"/>
      <c r="XDS295" s="1"/>
      <c r="XDT295" s="1"/>
      <c r="XDU295" s="1"/>
      <c r="XDV295" s="1"/>
      <c r="XDW295" s="1"/>
      <c r="XDX295" s="1"/>
      <c r="XDY295" s="1"/>
      <c r="XDZ295" s="1"/>
      <c r="XEA295" s="1"/>
      <c r="XEB295" s="1"/>
      <c r="XEC295" s="1"/>
      <c r="XED295" s="1"/>
      <c r="XEE295" s="1"/>
      <c r="XEF295" s="1"/>
      <c r="XEG295" s="1"/>
      <c r="XEH295" s="1"/>
      <c r="XEI295" s="1"/>
      <c r="XEJ295" s="1"/>
      <c r="XEK295" s="1"/>
      <c r="XEL295" s="1"/>
      <c r="XEM295" s="1"/>
      <c r="XEN295" s="1"/>
      <c r="XEO295" s="1"/>
      <c r="XEP295" s="1"/>
      <c r="XEQ295" s="1"/>
      <c r="XER295" s="1"/>
      <c r="XES295" s="1"/>
      <c r="XET295" s="1"/>
      <c r="XEU295" s="1"/>
      <c r="XEV295" s="1"/>
      <c r="XEW295" s="1"/>
      <c r="XEX295" s="1"/>
      <c r="XEY295" s="1"/>
      <c r="XEZ295" s="1"/>
      <c r="XFA295" s="1"/>
      <c r="XFB295" s="1"/>
      <c r="XFC295" s="1"/>
    </row>
    <row r="296" spans="1:150 16226:16383" s="3" customFormat="1" ht="20.25" hidden="1" customHeight="1" x14ac:dyDescent="0.25">
      <c r="A296" s="139" t="str">
        <f t="shared" ca="1" si="30"/>
        <v>203 to 503</v>
      </c>
      <c r="B296" s="139"/>
      <c r="C296" s="61"/>
      <c r="D296" s="61"/>
      <c r="E296" s="39"/>
      <c r="F296" s="38"/>
      <c r="G296" s="38"/>
      <c r="H296" s="38">
        <f t="shared" si="31"/>
        <v>0</v>
      </c>
      <c r="I296" s="1"/>
      <c r="J296" s="1"/>
      <c r="K296" s="1"/>
      <c r="L296" s="1"/>
      <c r="M296" s="1"/>
      <c r="N296" s="1"/>
      <c r="O296" s="1"/>
      <c r="P296" s="1"/>
      <c r="Q296" s="1"/>
      <c r="R296" s="1"/>
      <c r="S296" s="1"/>
      <c r="T296" s="23" t="str">
        <f t="shared" ca="1" si="32"/>
        <v>203 to 503</v>
      </c>
      <c r="U296" s="23">
        <f t="shared" ref="U296:U301" ca="1" si="33">U295+1</f>
        <v>203</v>
      </c>
      <c r="V296" s="23">
        <f t="shared" ref="V296:V301" ca="1" si="34">V295+1</f>
        <v>503</v>
      </c>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WZB296" s="1"/>
      <c r="WZC296" s="1"/>
      <c r="WZD296" s="1"/>
      <c r="WZE296" s="1"/>
      <c r="WZF296" s="1"/>
      <c r="WZG296" s="1"/>
      <c r="WZH296" s="1"/>
      <c r="WZI296" s="1"/>
      <c r="WZJ296" s="1"/>
      <c r="WZK296" s="1"/>
      <c r="WZL296" s="1"/>
      <c r="WZM296" s="1"/>
      <c r="WZN296" s="1"/>
      <c r="WZO296" s="1"/>
      <c r="WZP296" s="1"/>
      <c r="WZQ296" s="1"/>
      <c r="WZR296" s="1"/>
      <c r="WZS296" s="1"/>
      <c r="WZT296" s="1"/>
      <c r="WZU296" s="1"/>
      <c r="WZV296" s="1"/>
      <c r="WZW296" s="1"/>
      <c r="WZX296" s="1"/>
      <c r="WZY296" s="1"/>
      <c r="WZZ296" s="1"/>
      <c r="XAA296" s="1"/>
      <c r="XAB296" s="1"/>
      <c r="XAC296" s="1"/>
      <c r="XAD296" s="1"/>
      <c r="XAE296" s="1"/>
      <c r="XAF296" s="1"/>
      <c r="XAG296" s="1"/>
      <c r="XAH296" s="1"/>
      <c r="XAI296" s="1"/>
      <c r="XAJ296" s="1"/>
      <c r="XAK296" s="1"/>
      <c r="XAL296" s="1"/>
      <c r="XAM296" s="1"/>
      <c r="XAN296" s="1"/>
      <c r="XAO296" s="1"/>
      <c r="XAP296" s="1"/>
      <c r="XAQ296" s="1"/>
      <c r="XAR296" s="1"/>
      <c r="XAS296" s="1"/>
      <c r="XAT296" s="1"/>
      <c r="XAU296" s="1"/>
      <c r="XAV296" s="1"/>
      <c r="XAW296" s="1"/>
      <c r="XAX296" s="1"/>
      <c r="XAY296" s="1"/>
      <c r="XAZ296" s="1"/>
      <c r="XBA296" s="1"/>
      <c r="XBB296" s="1"/>
      <c r="XBC296" s="1"/>
      <c r="XBD296" s="1"/>
      <c r="XBE296" s="1"/>
      <c r="XBF296" s="1"/>
      <c r="XBG296" s="1"/>
      <c r="XBH296" s="1"/>
      <c r="XBI296" s="1"/>
      <c r="XBJ296" s="1"/>
      <c r="XBK296" s="1"/>
      <c r="XBL296" s="1"/>
      <c r="XBM296" s="1"/>
      <c r="XBN296" s="1"/>
      <c r="XBO296" s="1"/>
      <c r="XBP296" s="1"/>
      <c r="XBQ296" s="1"/>
      <c r="XBR296" s="1"/>
      <c r="XBS296" s="1"/>
      <c r="XBT296" s="1"/>
      <c r="XBU296" s="1"/>
      <c r="XBV296" s="1"/>
      <c r="XBW296" s="1"/>
      <c r="XBX296" s="1"/>
      <c r="XBY296" s="1"/>
      <c r="XBZ296" s="1"/>
      <c r="XCA296" s="1"/>
      <c r="XCB296" s="1"/>
      <c r="XCC296" s="1"/>
      <c r="XCD296" s="1"/>
      <c r="XCE296" s="1"/>
      <c r="XCF296" s="1"/>
      <c r="XCG296" s="1"/>
      <c r="XCH296" s="1"/>
      <c r="XCI296" s="1"/>
      <c r="XCJ296" s="1"/>
      <c r="XCK296" s="1"/>
      <c r="XCL296" s="1"/>
      <c r="XCM296" s="1"/>
      <c r="XCN296" s="1"/>
      <c r="XCO296" s="1"/>
      <c r="XCP296" s="1"/>
      <c r="XCQ296" s="1"/>
      <c r="XCR296" s="1"/>
      <c r="XCS296" s="1"/>
      <c r="XCT296" s="1"/>
      <c r="XCU296" s="1"/>
      <c r="XCV296" s="1"/>
      <c r="XCW296" s="1"/>
      <c r="XCX296" s="1"/>
      <c r="XCY296" s="1"/>
      <c r="XCZ296" s="1"/>
      <c r="XDA296" s="1"/>
      <c r="XDB296" s="1"/>
      <c r="XDC296" s="1"/>
      <c r="XDD296" s="1"/>
      <c r="XDE296" s="1"/>
      <c r="XDF296" s="1"/>
      <c r="XDG296" s="1"/>
      <c r="XDH296" s="1"/>
      <c r="XDI296" s="1"/>
      <c r="XDJ296" s="1"/>
      <c r="XDK296" s="1"/>
      <c r="XDL296" s="1"/>
      <c r="XDM296" s="1"/>
      <c r="XDN296" s="1"/>
      <c r="XDO296" s="1"/>
      <c r="XDP296" s="1"/>
      <c r="XDQ296" s="1"/>
      <c r="XDR296" s="1"/>
      <c r="XDS296" s="1"/>
      <c r="XDT296" s="1"/>
      <c r="XDU296" s="1"/>
      <c r="XDV296" s="1"/>
      <c r="XDW296" s="1"/>
      <c r="XDX296" s="1"/>
      <c r="XDY296" s="1"/>
      <c r="XDZ296" s="1"/>
      <c r="XEA296" s="1"/>
      <c r="XEB296" s="1"/>
      <c r="XEC296" s="1"/>
      <c r="XED296" s="1"/>
      <c r="XEE296" s="1"/>
      <c r="XEF296" s="1"/>
      <c r="XEG296" s="1"/>
      <c r="XEH296" s="1"/>
      <c r="XEI296" s="1"/>
      <c r="XEJ296" s="1"/>
      <c r="XEK296" s="1"/>
      <c r="XEL296" s="1"/>
      <c r="XEM296" s="1"/>
      <c r="XEN296" s="1"/>
      <c r="XEO296" s="1"/>
      <c r="XEP296" s="1"/>
      <c r="XEQ296" s="1"/>
      <c r="XER296" s="1"/>
      <c r="XES296" s="1"/>
      <c r="XET296" s="1"/>
      <c r="XEU296" s="1"/>
      <c r="XEV296" s="1"/>
      <c r="XEW296" s="1"/>
      <c r="XEX296" s="1"/>
      <c r="XEY296" s="1"/>
      <c r="XEZ296" s="1"/>
      <c r="XFA296" s="1"/>
      <c r="XFB296" s="1"/>
      <c r="XFC296" s="1"/>
    </row>
    <row r="297" spans="1:150 16226:16383" s="3" customFormat="1" ht="20.25" hidden="1" customHeight="1" x14ac:dyDescent="0.25">
      <c r="A297" s="139" t="str">
        <f t="shared" ca="1" si="30"/>
        <v>204 to 504</v>
      </c>
      <c r="B297" s="139"/>
      <c r="C297" s="61"/>
      <c r="D297" s="61"/>
      <c r="E297" s="39"/>
      <c r="F297" s="38"/>
      <c r="G297" s="38"/>
      <c r="H297" s="38">
        <f t="shared" si="31"/>
        <v>0</v>
      </c>
      <c r="I297" s="1"/>
      <c r="J297" s="1"/>
      <c r="K297" s="1"/>
      <c r="L297" s="1"/>
      <c r="M297" s="1"/>
      <c r="N297" s="1"/>
      <c r="O297" s="1"/>
      <c r="P297" s="1"/>
      <c r="Q297" s="1"/>
      <c r="R297" s="1"/>
      <c r="S297" s="1"/>
      <c r="T297" s="23" t="str">
        <f t="shared" ca="1" si="32"/>
        <v>204 to 504</v>
      </c>
      <c r="U297" s="23">
        <f t="shared" ca="1" si="33"/>
        <v>204</v>
      </c>
      <c r="V297" s="23">
        <f t="shared" ca="1" si="34"/>
        <v>504</v>
      </c>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WZB297" s="1"/>
      <c r="WZC297" s="1"/>
      <c r="WZD297" s="1"/>
      <c r="WZE297" s="1"/>
      <c r="WZF297" s="1"/>
      <c r="WZG297" s="1"/>
      <c r="WZH297" s="1"/>
      <c r="WZI297" s="1"/>
      <c r="WZJ297" s="1"/>
      <c r="WZK297" s="1"/>
      <c r="WZL297" s="1"/>
      <c r="WZM297" s="1"/>
      <c r="WZN297" s="1"/>
      <c r="WZO297" s="1"/>
      <c r="WZP297" s="1"/>
      <c r="WZQ297" s="1"/>
      <c r="WZR297" s="1"/>
      <c r="WZS297" s="1"/>
      <c r="WZT297" s="1"/>
      <c r="WZU297" s="1"/>
      <c r="WZV297" s="1"/>
      <c r="WZW297" s="1"/>
      <c r="WZX297" s="1"/>
      <c r="WZY297" s="1"/>
      <c r="WZZ297" s="1"/>
      <c r="XAA297" s="1"/>
      <c r="XAB297" s="1"/>
      <c r="XAC297" s="1"/>
      <c r="XAD297" s="1"/>
      <c r="XAE297" s="1"/>
      <c r="XAF297" s="1"/>
      <c r="XAG297" s="1"/>
      <c r="XAH297" s="1"/>
      <c r="XAI297" s="1"/>
      <c r="XAJ297" s="1"/>
      <c r="XAK297" s="1"/>
      <c r="XAL297" s="1"/>
      <c r="XAM297" s="1"/>
      <c r="XAN297" s="1"/>
      <c r="XAO297" s="1"/>
      <c r="XAP297" s="1"/>
      <c r="XAQ297" s="1"/>
      <c r="XAR297" s="1"/>
      <c r="XAS297" s="1"/>
      <c r="XAT297" s="1"/>
      <c r="XAU297" s="1"/>
      <c r="XAV297" s="1"/>
      <c r="XAW297" s="1"/>
      <c r="XAX297" s="1"/>
      <c r="XAY297" s="1"/>
      <c r="XAZ297" s="1"/>
      <c r="XBA297" s="1"/>
      <c r="XBB297" s="1"/>
      <c r="XBC297" s="1"/>
      <c r="XBD297" s="1"/>
      <c r="XBE297" s="1"/>
      <c r="XBF297" s="1"/>
      <c r="XBG297" s="1"/>
      <c r="XBH297" s="1"/>
      <c r="XBI297" s="1"/>
      <c r="XBJ297" s="1"/>
      <c r="XBK297" s="1"/>
      <c r="XBL297" s="1"/>
      <c r="XBM297" s="1"/>
      <c r="XBN297" s="1"/>
      <c r="XBO297" s="1"/>
      <c r="XBP297" s="1"/>
      <c r="XBQ297" s="1"/>
      <c r="XBR297" s="1"/>
      <c r="XBS297" s="1"/>
      <c r="XBT297" s="1"/>
      <c r="XBU297" s="1"/>
      <c r="XBV297" s="1"/>
      <c r="XBW297" s="1"/>
      <c r="XBX297" s="1"/>
      <c r="XBY297" s="1"/>
      <c r="XBZ297" s="1"/>
      <c r="XCA297" s="1"/>
      <c r="XCB297" s="1"/>
      <c r="XCC297" s="1"/>
      <c r="XCD297" s="1"/>
      <c r="XCE297" s="1"/>
      <c r="XCF297" s="1"/>
      <c r="XCG297" s="1"/>
      <c r="XCH297" s="1"/>
      <c r="XCI297" s="1"/>
      <c r="XCJ297" s="1"/>
      <c r="XCK297" s="1"/>
      <c r="XCL297" s="1"/>
      <c r="XCM297" s="1"/>
      <c r="XCN297" s="1"/>
      <c r="XCO297" s="1"/>
      <c r="XCP297" s="1"/>
      <c r="XCQ297" s="1"/>
      <c r="XCR297" s="1"/>
      <c r="XCS297" s="1"/>
      <c r="XCT297" s="1"/>
      <c r="XCU297" s="1"/>
      <c r="XCV297" s="1"/>
      <c r="XCW297" s="1"/>
      <c r="XCX297" s="1"/>
      <c r="XCY297" s="1"/>
      <c r="XCZ297" s="1"/>
      <c r="XDA297" s="1"/>
      <c r="XDB297" s="1"/>
      <c r="XDC297" s="1"/>
      <c r="XDD297" s="1"/>
      <c r="XDE297" s="1"/>
      <c r="XDF297" s="1"/>
      <c r="XDG297" s="1"/>
      <c r="XDH297" s="1"/>
      <c r="XDI297" s="1"/>
      <c r="XDJ297" s="1"/>
      <c r="XDK297" s="1"/>
      <c r="XDL297" s="1"/>
      <c r="XDM297" s="1"/>
      <c r="XDN297" s="1"/>
      <c r="XDO297" s="1"/>
      <c r="XDP297" s="1"/>
      <c r="XDQ297" s="1"/>
      <c r="XDR297" s="1"/>
      <c r="XDS297" s="1"/>
      <c r="XDT297" s="1"/>
      <c r="XDU297" s="1"/>
      <c r="XDV297" s="1"/>
      <c r="XDW297" s="1"/>
      <c r="XDX297" s="1"/>
      <c r="XDY297" s="1"/>
      <c r="XDZ297" s="1"/>
      <c r="XEA297" s="1"/>
      <c r="XEB297" s="1"/>
      <c r="XEC297" s="1"/>
      <c r="XED297" s="1"/>
      <c r="XEE297" s="1"/>
      <c r="XEF297" s="1"/>
      <c r="XEG297" s="1"/>
      <c r="XEH297" s="1"/>
      <c r="XEI297" s="1"/>
      <c r="XEJ297" s="1"/>
      <c r="XEK297" s="1"/>
      <c r="XEL297" s="1"/>
      <c r="XEM297" s="1"/>
      <c r="XEN297" s="1"/>
      <c r="XEO297" s="1"/>
      <c r="XEP297" s="1"/>
      <c r="XEQ297" s="1"/>
      <c r="XER297" s="1"/>
      <c r="XES297" s="1"/>
      <c r="XET297" s="1"/>
      <c r="XEU297" s="1"/>
      <c r="XEV297" s="1"/>
      <c r="XEW297" s="1"/>
      <c r="XEX297" s="1"/>
      <c r="XEY297" s="1"/>
      <c r="XEZ297" s="1"/>
      <c r="XFA297" s="1"/>
      <c r="XFB297" s="1"/>
      <c r="XFC297" s="1"/>
    </row>
    <row r="298" spans="1:150 16226:16383" s="3" customFormat="1" ht="20.25" hidden="1" customHeight="1" x14ac:dyDescent="0.25">
      <c r="A298" s="139" t="str">
        <f t="shared" ca="1" si="30"/>
        <v>205 to 505</v>
      </c>
      <c r="B298" s="139"/>
      <c r="C298" s="61"/>
      <c r="D298" s="61"/>
      <c r="E298" s="39"/>
      <c r="F298" s="38"/>
      <c r="G298" s="38"/>
      <c r="H298" s="38">
        <f t="shared" si="31"/>
        <v>0</v>
      </c>
      <c r="I298" s="1"/>
      <c r="J298" s="1"/>
      <c r="K298" s="1"/>
      <c r="L298" s="1"/>
      <c r="M298" s="1"/>
      <c r="N298" s="1"/>
      <c r="O298" s="1"/>
      <c r="P298" s="1"/>
      <c r="Q298" s="1"/>
      <c r="R298" s="1"/>
      <c r="S298" s="1"/>
      <c r="T298" s="23" t="str">
        <f t="shared" ca="1" si="32"/>
        <v>205 to 505</v>
      </c>
      <c r="U298" s="23">
        <f t="shared" ca="1" si="33"/>
        <v>205</v>
      </c>
      <c r="V298" s="23">
        <f t="shared" ca="1" si="34"/>
        <v>505</v>
      </c>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WZB298" s="1"/>
      <c r="WZC298" s="1"/>
      <c r="WZD298" s="1"/>
      <c r="WZE298" s="1"/>
      <c r="WZF298" s="1"/>
      <c r="WZG298" s="1"/>
      <c r="WZH298" s="1"/>
      <c r="WZI298" s="1"/>
      <c r="WZJ298" s="1"/>
      <c r="WZK298" s="1"/>
      <c r="WZL298" s="1"/>
      <c r="WZM298" s="1"/>
      <c r="WZN298" s="1"/>
      <c r="WZO298" s="1"/>
      <c r="WZP298" s="1"/>
      <c r="WZQ298" s="1"/>
      <c r="WZR298" s="1"/>
      <c r="WZS298" s="1"/>
      <c r="WZT298" s="1"/>
      <c r="WZU298" s="1"/>
      <c r="WZV298" s="1"/>
      <c r="WZW298" s="1"/>
      <c r="WZX298" s="1"/>
      <c r="WZY298" s="1"/>
      <c r="WZZ298" s="1"/>
      <c r="XAA298" s="1"/>
      <c r="XAB298" s="1"/>
      <c r="XAC298" s="1"/>
      <c r="XAD298" s="1"/>
      <c r="XAE298" s="1"/>
      <c r="XAF298" s="1"/>
      <c r="XAG298" s="1"/>
      <c r="XAH298" s="1"/>
      <c r="XAI298" s="1"/>
      <c r="XAJ298" s="1"/>
      <c r="XAK298" s="1"/>
      <c r="XAL298" s="1"/>
      <c r="XAM298" s="1"/>
      <c r="XAN298" s="1"/>
      <c r="XAO298" s="1"/>
      <c r="XAP298" s="1"/>
      <c r="XAQ298" s="1"/>
      <c r="XAR298" s="1"/>
      <c r="XAS298" s="1"/>
      <c r="XAT298" s="1"/>
      <c r="XAU298" s="1"/>
      <c r="XAV298" s="1"/>
      <c r="XAW298" s="1"/>
      <c r="XAX298" s="1"/>
      <c r="XAY298" s="1"/>
      <c r="XAZ298" s="1"/>
      <c r="XBA298" s="1"/>
      <c r="XBB298" s="1"/>
      <c r="XBC298" s="1"/>
      <c r="XBD298" s="1"/>
      <c r="XBE298" s="1"/>
      <c r="XBF298" s="1"/>
      <c r="XBG298" s="1"/>
      <c r="XBH298" s="1"/>
      <c r="XBI298" s="1"/>
      <c r="XBJ298" s="1"/>
      <c r="XBK298" s="1"/>
      <c r="XBL298" s="1"/>
      <c r="XBM298" s="1"/>
      <c r="XBN298" s="1"/>
      <c r="XBO298" s="1"/>
      <c r="XBP298" s="1"/>
      <c r="XBQ298" s="1"/>
      <c r="XBR298" s="1"/>
      <c r="XBS298" s="1"/>
      <c r="XBT298" s="1"/>
      <c r="XBU298" s="1"/>
      <c r="XBV298" s="1"/>
      <c r="XBW298" s="1"/>
      <c r="XBX298" s="1"/>
      <c r="XBY298" s="1"/>
      <c r="XBZ298" s="1"/>
      <c r="XCA298" s="1"/>
      <c r="XCB298" s="1"/>
      <c r="XCC298" s="1"/>
      <c r="XCD298" s="1"/>
      <c r="XCE298" s="1"/>
      <c r="XCF298" s="1"/>
      <c r="XCG298" s="1"/>
      <c r="XCH298" s="1"/>
      <c r="XCI298" s="1"/>
      <c r="XCJ298" s="1"/>
      <c r="XCK298" s="1"/>
      <c r="XCL298" s="1"/>
      <c r="XCM298" s="1"/>
      <c r="XCN298" s="1"/>
      <c r="XCO298" s="1"/>
      <c r="XCP298" s="1"/>
      <c r="XCQ298" s="1"/>
      <c r="XCR298" s="1"/>
      <c r="XCS298" s="1"/>
      <c r="XCT298" s="1"/>
      <c r="XCU298" s="1"/>
      <c r="XCV298" s="1"/>
      <c r="XCW298" s="1"/>
      <c r="XCX298" s="1"/>
      <c r="XCY298" s="1"/>
      <c r="XCZ298" s="1"/>
      <c r="XDA298" s="1"/>
      <c r="XDB298" s="1"/>
      <c r="XDC298" s="1"/>
      <c r="XDD298" s="1"/>
      <c r="XDE298" s="1"/>
      <c r="XDF298" s="1"/>
      <c r="XDG298" s="1"/>
      <c r="XDH298" s="1"/>
      <c r="XDI298" s="1"/>
      <c r="XDJ298" s="1"/>
      <c r="XDK298" s="1"/>
      <c r="XDL298" s="1"/>
      <c r="XDM298" s="1"/>
      <c r="XDN298" s="1"/>
      <c r="XDO298" s="1"/>
      <c r="XDP298" s="1"/>
      <c r="XDQ298" s="1"/>
      <c r="XDR298" s="1"/>
      <c r="XDS298" s="1"/>
      <c r="XDT298" s="1"/>
      <c r="XDU298" s="1"/>
      <c r="XDV298" s="1"/>
      <c r="XDW298" s="1"/>
      <c r="XDX298" s="1"/>
      <c r="XDY298" s="1"/>
      <c r="XDZ298" s="1"/>
      <c r="XEA298" s="1"/>
      <c r="XEB298" s="1"/>
      <c r="XEC298" s="1"/>
      <c r="XED298" s="1"/>
      <c r="XEE298" s="1"/>
      <c r="XEF298" s="1"/>
      <c r="XEG298" s="1"/>
      <c r="XEH298" s="1"/>
      <c r="XEI298" s="1"/>
      <c r="XEJ298" s="1"/>
      <c r="XEK298" s="1"/>
      <c r="XEL298" s="1"/>
      <c r="XEM298" s="1"/>
      <c r="XEN298" s="1"/>
      <c r="XEO298" s="1"/>
      <c r="XEP298" s="1"/>
      <c r="XEQ298" s="1"/>
      <c r="XER298" s="1"/>
      <c r="XES298" s="1"/>
      <c r="XET298" s="1"/>
      <c r="XEU298" s="1"/>
      <c r="XEV298" s="1"/>
      <c r="XEW298" s="1"/>
      <c r="XEX298" s="1"/>
      <c r="XEY298" s="1"/>
      <c r="XEZ298" s="1"/>
      <c r="XFA298" s="1"/>
      <c r="XFB298" s="1"/>
      <c r="XFC298" s="1"/>
    </row>
    <row r="299" spans="1:150 16226:16383" s="3" customFormat="1" ht="20.25" hidden="1" customHeight="1" x14ac:dyDescent="0.25">
      <c r="A299" s="139" t="str">
        <f t="shared" ca="1" si="30"/>
        <v>206 to 506</v>
      </c>
      <c r="B299" s="139"/>
      <c r="C299" s="61"/>
      <c r="D299" s="61"/>
      <c r="E299" s="39"/>
      <c r="F299" s="38"/>
      <c r="G299" s="38"/>
      <c r="H299" s="38">
        <f t="shared" si="31"/>
        <v>0</v>
      </c>
      <c r="I299" s="1"/>
      <c r="J299" s="1"/>
      <c r="K299" s="1"/>
      <c r="L299" s="1"/>
      <c r="M299" s="1"/>
      <c r="N299" s="1"/>
      <c r="O299" s="1"/>
      <c r="P299" s="1"/>
      <c r="Q299" s="1"/>
      <c r="R299" s="1"/>
      <c r="S299" s="1"/>
      <c r="T299" s="23" t="str">
        <f t="shared" ca="1" si="32"/>
        <v>206 to 506</v>
      </c>
      <c r="U299" s="23">
        <f t="shared" ca="1" si="33"/>
        <v>206</v>
      </c>
      <c r="V299" s="23">
        <f t="shared" ca="1" si="34"/>
        <v>506</v>
      </c>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WZB299" s="1"/>
      <c r="WZC299" s="1"/>
      <c r="WZD299" s="1"/>
      <c r="WZE299" s="1"/>
      <c r="WZF299" s="1"/>
      <c r="WZG299" s="1"/>
      <c r="WZH299" s="1"/>
      <c r="WZI299" s="1"/>
      <c r="WZJ299" s="1"/>
      <c r="WZK299" s="1"/>
      <c r="WZL299" s="1"/>
      <c r="WZM299" s="1"/>
      <c r="WZN299" s="1"/>
      <c r="WZO299" s="1"/>
      <c r="WZP299" s="1"/>
      <c r="WZQ299" s="1"/>
      <c r="WZR299" s="1"/>
      <c r="WZS299" s="1"/>
      <c r="WZT299" s="1"/>
      <c r="WZU299" s="1"/>
      <c r="WZV299" s="1"/>
      <c r="WZW299" s="1"/>
      <c r="WZX299" s="1"/>
      <c r="WZY299" s="1"/>
      <c r="WZZ299" s="1"/>
      <c r="XAA299" s="1"/>
      <c r="XAB299" s="1"/>
      <c r="XAC299" s="1"/>
      <c r="XAD299" s="1"/>
      <c r="XAE299" s="1"/>
      <c r="XAF299" s="1"/>
      <c r="XAG299" s="1"/>
      <c r="XAH299" s="1"/>
      <c r="XAI299" s="1"/>
      <c r="XAJ299" s="1"/>
      <c r="XAK299" s="1"/>
      <c r="XAL299" s="1"/>
      <c r="XAM299" s="1"/>
      <c r="XAN299" s="1"/>
      <c r="XAO299" s="1"/>
      <c r="XAP299" s="1"/>
      <c r="XAQ299" s="1"/>
      <c r="XAR299" s="1"/>
      <c r="XAS299" s="1"/>
      <c r="XAT299" s="1"/>
      <c r="XAU299" s="1"/>
      <c r="XAV299" s="1"/>
      <c r="XAW299" s="1"/>
      <c r="XAX299" s="1"/>
      <c r="XAY299" s="1"/>
      <c r="XAZ299" s="1"/>
      <c r="XBA299" s="1"/>
      <c r="XBB299" s="1"/>
      <c r="XBC299" s="1"/>
      <c r="XBD299" s="1"/>
      <c r="XBE299" s="1"/>
      <c r="XBF299" s="1"/>
      <c r="XBG299" s="1"/>
      <c r="XBH299" s="1"/>
      <c r="XBI299" s="1"/>
      <c r="XBJ299" s="1"/>
      <c r="XBK299" s="1"/>
      <c r="XBL299" s="1"/>
      <c r="XBM299" s="1"/>
      <c r="XBN299" s="1"/>
      <c r="XBO299" s="1"/>
      <c r="XBP299" s="1"/>
      <c r="XBQ299" s="1"/>
      <c r="XBR299" s="1"/>
      <c r="XBS299" s="1"/>
      <c r="XBT299" s="1"/>
      <c r="XBU299" s="1"/>
      <c r="XBV299" s="1"/>
      <c r="XBW299" s="1"/>
      <c r="XBX299" s="1"/>
      <c r="XBY299" s="1"/>
      <c r="XBZ299" s="1"/>
      <c r="XCA299" s="1"/>
      <c r="XCB299" s="1"/>
      <c r="XCC299" s="1"/>
      <c r="XCD299" s="1"/>
      <c r="XCE299" s="1"/>
      <c r="XCF299" s="1"/>
      <c r="XCG299" s="1"/>
      <c r="XCH299" s="1"/>
      <c r="XCI299" s="1"/>
      <c r="XCJ299" s="1"/>
      <c r="XCK299" s="1"/>
      <c r="XCL299" s="1"/>
      <c r="XCM299" s="1"/>
      <c r="XCN299" s="1"/>
      <c r="XCO299" s="1"/>
      <c r="XCP299" s="1"/>
      <c r="XCQ299" s="1"/>
      <c r="XCR299" s="1"/>
      <c r="XCS299" s="1"/>
      <c r="XCT299" s="1"/>
      <c r="XCU299" s="1"/>
      <c r="XCV299" s="1"/>
      <c r="XCW299" s="1"/>
      <c r="XCX299" s="1"/>
      <c r="XCY299" s="1"/>
      <c r="XCZ299" s="1"/>
      <c r="XDA299" s="1"/>
      <c r="XDB299" s="1"/>
      <c r="XDC299" s="1"/>
      <c r="XDD299" s="1"/>
      <c r="XDE299" s="1"/>
      <c r="XDF299" s="1"/>
      <c r="XDG299" s="1"/>
      <c r="XDH299" s="1"/>
      <c r="XDI299" s="1"/>
      <c r="XDJ299" s="1"/>
      <c r="XDK299" s="1"/>
      <c r="XDL299" s="1"/>
      <c r="XDM299" s="1"/>
      <c r="XDN299" s="1"/>
      <c r="XDO299" s="1"/>
      <c r="XDP299" s="1"/>
      <c r="XDQ299" s="1"/>
      <c r="XDR299" s="1"/>
      <c r="XDS299" s="1"/>
      <c r="XDT299" s="1"/>
      <c r="XDU299" s="1"/>
      <c r="XDV299" s="1"/>
      <c r="XDW299" s="1"/>
      <c r="XDX299" s="1"/>
      <c r="XDY299" s="1"/>
      <c r="XDZ299" s="1"/>
      <c r="XEA299" s="1"/>
      <c r="XEB299" s="1"/>
      <c r="XEC299" s="1"/>
      <c r="XED299" s="1"/>
      <c r="XEE299" s="1"/>
      <c r="XEF299" s="1"/>
      <c r="XEG299" s="1"/>
      <c r="XEH299" s="1"/>
      <c r="XEI299" s="1"/>
      <c r="XEJ299" s="1"/>
      <c r="XEK299" s="1"/>
      <c r="XEL299" s="1"/>
      <c r="XEM299" s="1"/>
      <c r="XEN299" s="1"/>
      <c r="XEO299" s="1"/>
      <c r="XEP299" s="1"/>
      <c r="XEQ299" s="1"/>
      <c r="XER299" s="1"/>
      <c r="XES299" s="1"/>
      <c r="XET299" s="1"/>
      <c r="XEU299" s="1"/>
      <c r="XEV299" s="1"/>
      <c r="XEW299" s="1"/>
      <c r="XEX299" s="1"/>
      <c r="XEY299" s="1"/>
      <c r="XEZ299" s="1"/>
      <c r="XFA299" s="1"/>
      <c r="XFB299" s="1"/>
      <c r="XFC299" s="1"/>
    </row>
    <row r="300" spans="1:150 16226:16383" s="3" customFormat="1" ht="20.25" hidden="1" customHeight="1" x14ac:dyDescent="0.25">
      <c r="A300" s="139" t="str">
        <f t="shared" ca="1" si="30"/>
        <v>207 to 507</v>
      </c>
      <c r="B300" s="139"/>
      <c r="C300" s="61"/>
      <c r="D300" s="61"/>
      <c r="E300" s="39"/>
      <c r="F300" s="38"/>
      <c r="G300" s="38"/>
      <c r="H300" s="38">
        <f t="shared" si="31"/>
        <v>0</v>
      </c>
      <c r="I300" s="1"/>
      <c r="J300" s="1"/>
      <c r="K300" s="1"/>
      <c r="L300" s="1"/>
      <c r="M300" s="1"/>
      <c r="N300" s="1"/>
      <c r="O300" s="1"/>
      <c r="P300" s="1"/>
      <c r="Q300" s="1"/>
      <c r="R300" s="1"/>
      <c r="S300" s="1"/>
      <c r="T300" s="23" t="str">
        <f t="shared" ca="1" si="32"/>
        <v>207 to 507</v>
      </c>
      <c r="U300" s="23">
        <f t="shared" ca="1" si="33"/>
        <v>207</v>
      </c>
      <c r="V300" s="23">
        <f t="shared" ca="1" si="34"/>
        <v>507</v>
      </c>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WZB300" s="1"/>
      <c r="WZC300" s="1"/>
      <c r="WZD300" s="1"/>
      <c r="WZE300" s="1"/>
      <c r="WZF300" s="1"/>
      <c r="WZG300" s="1"/>
      <c r="WZH300" s="1"/>
      <c r="WZI300" s="1"/>
      <c r="WZJ300" s="1"/>
      <c r="WZK300" s="1"/>
      <c r="WZL300" s="1"/>
      <c r="WZM300" s="1"/>
      <c r="WZN300" s="1"/>
      <c r="WZO300" s="1"/>
      <c r="WZP300" s="1"/>
      <c r="WZQ300" s="1"/>
      <c r="WZR300" s="1"/>
      <c r="WZS300" s="1"/>
      <c r="WZT300" s="1"/>
      <c r="WZU300" s="1"/>
      <c r="WZV300" s="1"/>
      <c r="WZW300" s="1"/>
      <c r="WZX300" s="1"/>
      <c r="WZY300" s="1"/>
      <c r="WZZ300" s="1"/>
      <c r="XAA300" s="1"/>
      <c r="XAB300" s="1"/>
      <c r="XAC300" s="1"/>
      <c r="XAD300" s="1"/>
      <c r="XAE300" s="1"/>
      <c r="XAF300" s="1"/>
      <c r="XAG300" s="1"/>
      <c r="XAH300" s="1"/>
      <c r="XAI300" s="1"/>
      <c r="XAJ300" s="1"/>
      <c r="XAK300" s="1"/>
      <c r="XAL300" s="1"/>
      <c r="XAM300" s="1"/>
      <c r="XAN300" s="1"/>
      <c r="XAO300" s="1"/>
      <c r="XAP300" s="1"/>
      <c r="XAQ300" s="1"/>
      <c r="XAR300" s="1"/>
      <c r="XAS300" s="1"/>
      <c r="XAT300" s="1"/>
      <c r="XAU300" s="1"/>
      <c r="XAV300" s="1"/>
      <c r="XAW300" s="1"/>
      <c r="XAX300" s="1"/>
      <c r="XAY300" s="1"/>
      <c r="XAZ300" s="1"/>
      <c r="XBA300" s="1"/>
      <c r="XBB300" s="1"/>
      <c r="XBC300" s="1"/>
      <c r="XBD300" s="1"/>
      <c r="XBE300" s="1"/>
      <c r="XBF300" s="1"/>
      <c r="XBG300" s="1"/>
      <c r="XBH300" s="1"/>
      <c r="XBI300" s="1"/>
      <c r="XBJ300" s="1"/>
      <c r="XBK300" s="1"/>
      <c r="XBL300" s="1"/>
      <c r="XBM300" s="1"/>
      <c r="XBN300" s="1"/>
      <c r="XBO300" s="1"/>
      <c r="XBP300" s="1"/>
      <c r="XBQ300" s="1"/>
      <c r="XBR300" s="1"/>
      <c r="XBS300" s="1"/>
      <c r="XBT300" s="1"/>
      <c r="XBU300" s="1"/>
      <c r="XBV300" s="1"/>
      <c r="XBW300" s="1"/>
      <c r="XBX300" s="1"/>
      <c r="XBY300" s="1"/>
      <c r="XBZ300" s="1"/>
      <c r="XCA300" s="1"/>
      <c r="XCB300" s="1"/>
      <c r="XCC300" s="1"/>
      <c r="XCD300" s="1"/>
      <c r="XCE300" s="1"/>
      <c r="XCF300" s="1"/>
      <c r="XCG300" s="1"/>
      <c r="XCH300" s="1"/>
      <c r="XCI300" s="1"/>
      <c r="XCJ300" s="1"/>
      <c r="XCK300" s="1"/>
      <c r="XCL300" s="1"/>
      <c r="XCM300" s="1"/>
      <c r="XCN300" s="1"/>
      <c r="XCO300" s="1"/>
      <c r="XCP300" s="1"/>
      <c r="XCQ300" s="1"/>
      <c r="XCR300" s="1"/>
      <c r="XCS300" s="1"/>
      <c r="XCT300" s="1"/>
      <c r="XCU300" s="1"/>
      <c r="XCV300" s="1"/>
      <c r="XCW300" s="1"/>
      <c r="XCX300" s="1"/>
      <c r="XCY300" s="1"/>
      <c r="XCZ300" s="1"/>
      <c r="XDA300" s="1"/>
      <c r="XDB300" s="1"/>
      <c r="XDC300" s="1"/>
      <c r="XDD300" s="1"/>
      <c r="XDE300" s="1"/>
      <c r="XDF300" s="1"/>
      <c r="XDG300" s="1"/>
      <c r="XDH300" s="1"/>
      <c r="XDI300" s="1"/>
      <c r="XDJ300" s="1"/>
      <c r="XDK300" s="1"/>
      <c r="XDL300" s="1"/>
      <c r="XDM300" s="1"/>
      <c r="XDN300" s="1"/>
      <c r="XDO300" s="1"/>
      <c r="XDP300" s="1"/>
      <c r="XDQ300" s="1"/>
      <c r="XDR300" s="1"/>
      <c r="XDS300" s="1"/>
      <c r="XDT300" s="1"/>
      <c r="XDU300" s="1"/>
      <c r="XDV300" s="1"/>
      <c r="XDW300" s="1"/>
      <c r="XDX300" s="1"/>
      <c r="XDY300" s="1"/>
      <c r="XDZ300" s="1"/>
      <c r="XEA300" s="1"/>
      <c r="XEB300" s="1"/>
      <c r="XEC300" s="1"/>
      <c r="XED300" s="1"/>
      <c r="XEE300" s="1"/>
      <c r="XEF300" s="1"/>
      <c r="XEG300" s="1"/>
      <c r="XEH300" s="1"/>
      <c r="XEI300" s="1"/>
      <c r="XEJ300" s="1"/>
      <c r="XEK300" s="1"/>
      <c r="XEL300" s="1"/>
      <c r="XEM300" s="1"/>
      <c r="XEN300" s="1"/>
      <c r="XEO300" s="1"/>
      <c r="XEP300" s="1"/>
      <c r="XEQ300" s="1"/>
      <c r="XER300" s="1"/>
      <c r="XES300" s="1"/>
      <c r="XET300" s="1"/>
      <c r="XEU300" s="1"/>
      <c r="XEV300" s="1"/>
      <c r="XEW300" s="1"/>
      <c r="XEX300" s="1"/>
      <c r="XEY300" s="1"/>
      <c r="XEZ300" s="1"/>
      <c r="XFA300" s="1"/>
      <c r="XFB300" s="1"/>
      <c r="XFC300" s="1"/>
    </row>
    <row r="301" spans="1:150 16226:16383" s="3" customFormat="1" ht="20.25" hidden="1" customHeight="1" x14ac:dyDescent="0.25">
      <c r="A301" s="139" t="str">
        <f t="shared" ca="1" si="30"/>
        <v>208 to 508</v>
      </c>
      <c r="B301" s="139"/>
      <c r="C301" s="61"/>
      <c r="D301" s="61"/>
      <c r="E301" s="39"/>
      <c r="F301" s="38"/>
      <c r="G301" s="38"/>
      <c r="H301" s="38">
        <f t="shared" si="31"/>
        <v>0</v>
      </c>
      <c r="I301" s="1"/>
      <c r="J301" s="1"/>
      <c r="K301" s="1"/>
      <c r="L301" s="1"/>
      <c r="M301" s="1"/>
      <c r="N301" s="1"/>
      <c r="O301" s="1"/>
      <c r="P301" s="1"/>
      <c r="Q301" s="1"/>
      <c r="R301" s="1"/>
      <c r="S301" s="1"/>
      <c r="T301" s="23" t="str">
        <f t="shared" ca="1" si="32"/>
        <v>208 to 508</v>
      </c>
      <c r="U301" s="23">
        <f t="shared" ca="1" si="33"/>
        <v>208</v>
      </c>
      <c r="V301" s="23">
        <f t="shared" ca="1" si="34"/>
        <v>508</v>
      </c>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WZB301" s="1"/>
      <c r="WZC301" s="1"/>
      <c r="WZD301" s="1"/>
      <c r="WZE301" s="1"/>
      <c r="WZF301" s="1"/>
      <c r="WZG301" s="1"/>
      <c r="WZH301" s="1"/>
      <c r="WZI301" s="1"/>
      <c r="WZJ301" s="1"/>
      <c r="WZK301" s="1"/>
      <c r="WZL301" s="1"/>
      <c r="WZM301" s="1"/>
      <c r="WZN301" s="1"/>
      <c r="WZO301" s="1"/>
      <c r="WZP301" s="1"/>
      <c r="WZQ301" s="1"/>
      <c r="WZR301" s="1"/>
      <c r="WZS301" s="1"/>
      <c r="WZT301" s="1"/>
      <c r="WZU301" s="1"/>
      <c r="WZV301" s="1"/>
      <c r="WZW301" s="1"/>
      <c r="WZX301" s="1"/>
      <c r="WZY301" s="1"/>
      <c r="WZZ301" s="1"/>
      <c r="XAA301" s="1"/>
      <c r="XAB301" s="1"/>
      <c r="XAC301" s="1"/>
      <c r="XAD301" s="1"/>
      <c r="XAE301" s="1"/>
      <c r="XAF301" s="1"/>
      <c r="XAG301" s="1"/>
      <c r="XAH301" s="1"/>
      <c r="XAI301" s="1"/>
      <c r="XAJ301" s="1"/>
      <c r="XAK301" s="1"/>
      <c r="XAL301" s="1"/>
      <c r="XAM301" s="1"/>
      <c r="XAN301" s="1"/>
      <c r="XAO301" s="1"/>
      <c r="XAP301" s="1"/>
      <c r="XAQ301" s="1"/>
      <c r="XAR301" s="1"/>
      <c r="XAS301" s="1"/>
      <c r="XAT301" s="1"/>
      <c r="XAU301" s="1"/>
      <c r="XAV301" s="1"/>
      <c r="XAW301" s="1"/>
      <c r="XAX301" s="1"/>
      <c r="XAY301" s="1"/>
      <c r="XAZ301" s="1"/>
      <c r="XBA301" s="1"/>
      <c r="XBB301" s="1"/>
      <c r="XBC301" s="1"/>
      <c r="XBD301" s="1"/>
      <c r="XBE301" s="1"/>
      <c r="XBF301" s="1"/>
      <c r="XBG301" s="1"/>
      <c r="XBH301" s="1"/>
      <c r="XBI301" s="1"/>
      <c r="XBJ301" s="1"/>
      <c r="XBK301" s="1"/>
      <c r="XBL301" s="1"/>
      <c r="XBM301" s="1"/>
      <c r="XBN301" s="1"/>
      <c r="XBO301" s="1"/>
      <c r="XBP301" s="1"/>
      <c r="XBQ301" s="1"/>
      <c r="XBR301" s="1"/>
      <c r="XBS301" s="1"/>
      <c r="XBT301" s="1"/>
      <c r="XBU301" s="1"/>
      <c r="XBV301" s="1"/>
      <c r="XBW301" s="1"/>
      <c r="XBX301" s="1"/>
      <c r="XBY301" s="1"/>
      <c r="XBZ301" s="1"/>
      <c r="XCA301" s="1"/>
      <c r="XCB301" s="1"/>
      <c r="XCC301" s="1"/>
      <c r="XCD301" s="1"/>
      <c r="XCE301" s="1"/>
      <c r="XCF301" s="1"/>
      <c r="XCG301" s="1"/>
      <c r="XCH301" s="1"/>
      <c r="XCI301" s="1"/>
      <c r="XCJ301" s="1"/>
      <c r="XCK301" s="1"/>
      <c r="XCL301" s="1"/>
      <c r="XCM301" s="1"/>
      <c r="XCN301" s="1"/>
      <c r="XCO301" s="1"/>
      <c r="XCP301" s="1"/>
      <c r="XCQ301" s="1"/>
      <c r="XCR301" s="1"/>
      <c r="XCS301" s="1"/>
      <c r="XCT301" s="1"/>
      <c r="XCU301" s="1"/>
      <c r="XCV301" s="1"/>
      <c r="XCW301" s="1"/>
      <c r="XCX301" s="1"/>
      <c r="XCY301" s="1"/>
      <c r="XCZ301" s="1"/>
      <c r="XDA301" s="1"/>
      <c r="XDB301" s="1"/>
      <c r="XDC301" s="1"/>
      <c r="XDD301" s="1"/>
      <c r="XDE301" s="1"/>
      <c r="XDF301" s="1"/>
      <c r="XDG301" s="1"/>
      <c r="XDH301" s="1"/>
      <c r="XDI301" s="1"/>
      <c r="XDJ301" s="1"/>
      <c r="XDK301" s="1"/>
      <c r="XDL301" s="1"/>
      <c r="XDM301" s="1"/>
      <c r="XDN301" s="1"/>
      <c r="XDO301" s="1"/>
      <c r="XDP301" s="1"/>
      <c r="XDQ301" s="1"/>
      <c r="XDR301" s="1"/>
      <c r="XDS301" s="1"/>
      <c r="XDT301" s="1"/>
      <c r="XDU301" s="1"/>
      <c r="XDV301" s="1"/>
      <c r="XDW301" s="1"/>
      <c r="XDX301" s="1"/>
      <c r="XDY301" s="1"/>
      <c r="XDZ301" s="1"/>
      <c r="XEA301" s="1"/>
      <c r="XEB301" s="1"/>
      <c r="XEC301" s="1"/>
      <c r="XED301" s="1"/>
      <c r="XEE301" s="1"/>
      <c r="XEF301" s="1"/>
      <c r="XEG301" s="1"/>
      <c r="XEH301" s="1"/>
      <c r="XEI301" s="1"/>
      <c r="XEJ301" s="1"/>
      <c r="XEK301" s="1"/>
      <c r="XEL301" s="1"/>
      <c r="XEM301" s="1"/>
      <c r="XEN301" s="1"/>
      <c r="XEO301" s="1"/>
      <c r="XEP301" s="1"/>
      <c r="XEQ301" s="1"/>
      <c r="XER301" s="1"/>
      <c r="XES301" s="1"/>
      <c r="XET301" s="1"/>
      <c r="XEU301" s="1"/>
      <c r="XEV301" s="1"/>
      <c r="XEW301" s="1"/>
      <c r="XEX301" s="1"/>
      <c r="XEY301" s="1"/>
      <c r="XEZ301" s="1"/>
      <c r="XFA301" s="1"/>
      <c r="XFB301" s="1"/>
      <c r="XFC301" s="1"/>
    </row>
    <row r="302" spans="1:150 16226:16383" s="3" customFormat="1" ht="20.25" hidden="1" x14ac:dyDescent="0.25">
      <c r="A302" s="152" t="s">
        <v>131</v>
      </c>
      <c r="B302" s="153"/>
      <c r="C302" s="153"/>
      <c r="D302" s="153"/>
      <c r="E302" s="153"/>
      <c r="F302" s="153"/>
      <c r="G302" s="153"/>
      <c r="H302" s="154"/>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WZB302" s="1"/>
      <c r="WZC302" s="1"/>
      <c r="WZD302" s="1"/>
      <c r="WZE302" s="1"/>
      <c r="WZF302" s="1"/>
      <c r="WZG302" s="1"/>
      <c r="WZH302" s="1"/>
      <c r="WZI302" s="1"/>
      <c r="WZJ302" s="1"/>
      <c r="WZK302" s="1"/>
      <c r="WZL302" s="1"/>
      <c r="WZM302" s="1"/>
      <c r="WZN302" s="1"/>
      <c r="WZO302" s="1"/>
      <c r="WZP302" s="1"/>
      <c r="WZQ302" s="1"/>
      <c r="WZR302" s="1"/>
      <c r="WZS302" s="1"/>
      <c r="WZT302" s="1"/>
      <c r="WZU302" s="1"/>
      <c r="WZV302" s="1"/>
      <c r="WZW302" s="1"/>
      <c r="WZX302" s="1"/>
      <c r="WZY302" s="1"/>
      <c r="WZZ302" s="1"/>
      <c r="XAA302" s="1"/>
      <c r="XAB302" s="1"/>
      <c r="XAC302" s="1"/>
      <c r="XAD302" s="1"/>
      <c r="XAE302" s="1"/>
      <c r="XAF302" s="1"/>
      <c r="XAG302" s="1"/>
      <c r="XAH302" s="1"/>
      <c r="XAI302" s="1"/>
      <c r="XAJ302" s="1"/>
      <c r="XAK302" s="1"/>
      <c r="XAL302" s="1"/>
      <c r="XAM302" s="1"/>
      <c r="XAN302" s="1"/>
      <c r="XAO302" s="1"/>
      <c r="XAP302" s="1"/>
      <c r="XAQ302" s="1"/>
      <c r="XAR302" s="1"/>
      <c r="XAS302" s="1"/>
      <c r="XAT302" s="1"/>
      <c r="XAU302" s="1"/>
      <c r="XAV302" s="1"/>
      <c r="XAW302" s="1"/>
      <c r="XAX302" s="1"/>
      <c r="XAY302" s="1"/>
      <c r="XAZ302" s="1"/>
      <c r="XBA302" s="1"/>
      <c r="XBB302" s="1"/>
      <c r="XBC302" s="1"/>
      <c r="XBD302" s="1"/>
      <c r="XBE302" s="1"/>
      <c r="XBF302" s="1"/>
      <c r="XBG302" s="1"/>
      <c r="XBH302" s="1"/>
      <c r="XBI302" s="1"/>
      <c r="XBJ302" s="1"/>
      <c r="XBK302" s="1"/>
      <c r="XBL302" s="1"/>
      <c r="XBM302" s="1"/>
      <c r="XBN302" s="1"/>
      <c r="XBO302" s="1"/>
      <c r="XBP302" s="1"/>
      <c r="XBQ302" s="1"/>
      <c r="XBR302" s="1"/>
      <c r="XBS302" s="1"/>
      <c r="XBT302" s="1"/>
      <c r="XBU302" s="1"/>
      <c r="XBV302" s="1"/>
      <c r="XBW302" s="1"/>
      <c r="XBX302" s="1"/>
      <c r="XBY302" s="1"/>
      <c r="XBZ302" s="1"/>
      <c r="XCA302" s="1"/>
      <c r="XCB302" s="1"/>
      <c r="XCC302" s="1"/>
      <c r="XCD302" s="1"/>
      <c r="XCE302" s="1"/>
      <c r="XCF302" s="1"/>
      <c r="XCG302" s="1"/>
      <c r="XCH302" s="1"/>
      <c r="XCI302" s="1"/>
      <c r="XCJ302" s="1"/>
      <c r="XCK302" s="1"/>
      <c r="XCL302" s="1"/>
      <c r="XCM302" s="1"/>
      <c r="XCN302" s="1"/>
      <c r="XCO302" s="1"/>
      <c r="XCP302" s="1"/>
      <c r="XCQ302" s="1"/>
      <c r="XCR302" s="1"/>
      <c r="XCS302" s="1"/>
      <c r="XCT302" s="1"/>
      <c r="XCU302" s="1"/>
      <c r="XCV302" s="1"/>
      <c r="XCW302" s="1"/>
      <c r="XCX302" s="1"/>
      <c r="XCY302" s="1"/>
      <c r="XCZ302" s="1"/>
      <c r="XDA302" s="1"/>
      <c r="XDB302" s="1"/>
      <c r="XDC302" s="1"/>
      <c r="XDD302" s="1"/>
      <c r="XDE302" s="1"/>
      <c r="XDF302" s="1"/>
      <c r="XDG302" s="1"/>
      <c r="XDH302" s="1"/>
      <c r="XDI302" s="1"/>
      <c r="XDJ302" s="1"/>
      <c r="XDK302" s="1"/>
      <c r="XDL302" s="1"/>
      <c r="XDM302" s="1"/>
      <c r="XDN302" s="1"/>
      <c r="XDO302" s="1"/>
      <c r="XDP302" s="1"/>
      <c r="XDQ302" s="1"/>
      <c r="XDR302" s="1"/>
      <c r="XDS302" s="1"/>
      <c r="XDT302" s="1"/>
      <c r="XDU302" s="1"/>
      <c r="XDV302" s="1"/>
      <c r="XDW302" s="1"/>
      <c r="XDX302" s="1"/>
      <c r="XDY302" s="1"/>
      <c r="XDZ302" s="1"/>
      <c r="XEA302" s="1"/>
      <c r="XEB302" s="1"/>
      <c r="XEC302" s="1"/>
      <c r="XED302" s="1"/>
      <c r="XEE302" s="1"/>
      <c r="XEF302" s="1"/>
      <c r="XEG302" s="1"/>
      <c r="XEH302" s="1"/>
      <c r="XEI302" s="1"/>
      <c r="XEJ302" s="1"/>
      <c r="XEK302" s="1"/>
      <c r="XEL302" s="1"/>
      <c r="XEM302" s="1"/>
      <c r="XEN302" s="1"/>
      <c r="XEO302" s="1"/>
      <c r="XEP302" s="1"/>
      <c r="XEQ302" s="1"/>
      <c r="XER302" s="1"/>
      <c r="XES302" s="1"/>
      <c r="XET302" s="1"/>
      <c r="XEU302" s="1"/>
      <c r="XEV302" s="1"/>
      <c r="XEW302" s="1"/>
      <c r="XEX302" s="1"/>
      <c r="XEY302" s="1"/>
      <c r="XEZ302" s="1"/>
      <c r="XFA302" s="1"/>
      <c r="XFB302" s="1"/>
      <c r="XFC302" s="1"/>
    </row>
    <row r="303" spans="1:150 16226:16383" s="3" customFormat="1" ht="20.25" hidden="1" customHeight="1" x14ac:dyDescent="0.25">
      <c r="A303" s="139" t="str">
        <f ca="1">T303</f>
        <v>201 &amp; 501</v>
      </c>
      <c r="B303" s="139"/>
      <c r="C303" s="61"/>
      <c r="D303" s="61"/>
      <c r="E303" s="39">
        <v>0</v>
      </c>
      <c r="F303" s="38">
        <v>0</v>
      </c>
      <c r="G303" s="38">
        <v>0</v>
      </c>
      <c r="H303" s="38">
        <f>E303+F303+(IF(G303&lt;101,G303,IF(G303&lt;201,G303/2,IF(G303&lt;=301,G303/3,G303/4))))</f>
        <v>0</v>
      </c>
      <c r="I303" s="1"/>
      <c r="J303" s="1"/>
      <c r="K303" s="1"/>
      <c r="L303" s="1"/>
      <c r="M303" s="1"/>
      <c r="N303" s="1"/>
      <c r="O303" s="1"/>
      <c r="P303" s="1"/>
      <c r="Q303" s="1"/>
      <c r="R303" s="1"/>
      <c r="S303" s="1"/>
      <c r="T303" s="23" t="str">
        <f ca="1">U303&amp;""&amp;" &amp; "&amp;""&amp;V303</f>
        <v>201 &amp; 501</v>
      </c>
      <c r="U303" s="23">
        <f ca="1">(SUMPRODUCT(MID(0&amp;(LEFT(A302,SUM(LEN(A302)-LEN(SUBSTITUTE(A302,{"0","1","2","3"},""))))), LARGE(INDEX(ISNUMBER(--MID((LEFT(A302,SUM(LEN(A302)-LEN(SUBSTITUTE(A302,{"0","1","2","3"},""))))), ROW(INDIRECT("1:"&amp;LEN((LEFT(A302,SUM(LEN(A302)-LEN(SUBSTITUTE(A302,{"0","1","2","3"},"")))))))), 1)) * ROW(INDIRECT("1:"&amp;LEN((LEFT(A302,SUM(LEN(A302)-LEN(SUBSTITUTE(A302,{"0","1","2","3"},"")))))))), 0), ROW(INDIRECT("1:"&amp;LEN((LEFT(A302,SUM(LEN(A302)-LEN(SUBSTITUTE(A302,{"0","1","2","3"},"")))))))))+1, 1) * 10^ROW(INDIRECT("1:"&amp;LEN((LEFT(A302,SUM(LEN(A302)-LEN(SUBSTITUTE(A302,{"0","1","2","3"},""))))))))/10))*100+1</f>
        <v>201</v>
      </c>
      <c r="V303" s="23">
        <f ca="1">(SUMPRODUCT(MID(0&amp;(--TRIM(RIGHT(SUBSTITUTE(LEFT(A302,_xlfn.AGGREGATE(16,6,FIND({0,1,2,3,4,5,6,7,8,9},A302,ROW(INDIRECT("1:"&amp;LEN(A302)))),1))," ",REPT(" ",LEN(A302))),LEN(A302)))), LARGE(INDEX(ISNUMBER(--MID((--TRIM(RIGHT(SUBSTITUTE(LEFT(A302,_xlfn.AGGREGATE(16,6,FIND({0,1,2,3,4,5,6,7,8,9},A302,ROW(INDIRECT("1:"&amp;LEN(A302)))),1))," ",REPT(" ",LEN(A302))),LEN(A302)))), ROW(INDIRECT("1:"&amp;LEN((--TRIM(RIGHT(SUBSTITUTE(LEFT(A302,_xlfn.AGGREGATE(16,6,FIND({0,1,2,3,4,5,6,7,8,9},A302,ROW(INDIRECT("1:"&amp;LEN(A302)))),1))," ",REPT(" ",LEN(A302))),LEN(A302))))))), 1)) * ROW(INDIRECT("1:"&amp;LEN((--TRIM(RIGHT(SUBSTITUTE(LEFT(A302,_xlfn.AGGREGATE(16,6,FIND({0,1,2,3,4,5,6,7,8,9},A302,ROW(INDIRECT("1:"&amp;LEN(A302)))),1))," ",REPT(" ",LEN(A302))),LEN(A302))))))), 0), ROW(INDIRECT("1:"&amp;LEN((--TRIM(RIGHT(SUBSTITUTE(LEFT(A302,_xlfn.AGGREGATE(16,6,FIND({0,1,2,3,4,5,6,7,8,9},A302,ROW(INDIRECT("1:"&amp;LEN(A302)))),1))," ",REPT(" ",LEN(A302))),LEN(A302))))))))+1, 1) * 10^ROW(INDIRECT("1:"&amp;LEN((--TRIM(RIGHT(SUBSTITUTE(LEFT(A302,_xlfn.AGGREGATE(16,6,FIND({0,1,2,3,4,5,6,7,8,9},A302,ROW(INDIRECT("1:"&amp;LEN(A302)))),1))," ",REPT(" ",LEN(A302))),LEN(A302)))))))/10))*100+1</f>
        <v>501</v>
      </c>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WZB303" s="1"/>
      <c r="WZC303" s="1"/>
      <c r="WZD303" s="1"/>
      <c r="WZE303" s="1"/>
      <c r="WZF303" s="1"/>
      <c r="WZG303" s="1"/>
      <c r="WZH303" s="1"/>
      <c r="WZI303" s="1"/>
      <c r="WZJ303" s="1"/>
      <c r="WZK303" s="1"/>
      <c r="WZL303" s="1"/>
      <c r="WZM303" s="1"/>
      <c r="WZN303" s="1"/>
      <c r="WZO303" s="1"/>
      <c r="WZP303" s="1"/>
      <c r="WZQ303" s="1"/>
      <c r="WZR303" s="1"/>
      <c r="WZS303" s="1"/>
      <c r="WZT303" s="1"/>
      <c r="WZU303" s="1"/>
      <c r="WZV303" s="1"/>
      <c r="WZW303" s="1"/>
      <c r="WZX303" s="1"/>
      <c r="WZY303" s="1"/>
      <c r="WZZ303" s="1"/>
      <c r="XAA303" s="1"/>
      <c r="XAB303" s="1"/>
      <c r="XAC303" s="1"/>
      <c r="XAD303" s="1"/>
      <c r="XAE303" s="1"/>
      <c r="XAF303" s="1"/>
      <c r="XAG303" s="1"/>
      <c r="XAH303" s="1"/>
      <c r="XAI303" s="1"/>
      <c r="XAJ303" s="1"/>
      <c r="XAK303" s="1"/>
      <c r="XAL303" s="1"/>
      <c r="XAM303" s="1"/>
      <c r="XAN303" s="1"/>
      <c r="XAO303" s="1"/>
      <c r="XAP303" s="1"/>
      <c r="XAQ303" s="1"/>
      <c r="XAR303" s="1"/>
      <c r="XAS303" s="1"/>
      <c r="XAT303" s="1"/>
      <c r="XAU303" s="1"/>
      <c r="XAV303" s="1"/>
      <c r="XAW303" s="1"/>
      <c r="XAX303" s="1"/>
      <c r="XAY303" s="1"/>
      <c r="XAZ303" s="1"/>
      <c r="XBA303" s="1"/>
      <c r="XBB303" s="1"/>
      <c r="XBC303" s="1"/>
      <c r="XBD303" s="1"/>
      <c r="XBE303" s="1"/>
      <c r="XBF303" s="1"/>
      <c r="XBG303" s="1"/>
      <c r="XBH303" s="1"/>
      <c r="XBI303" s="1"/>
      <c r="XBJ303" s="1"/>
      <c r="XBK303" s="1"/>
      <c r="XBL303" s="1"/>
      <c r="XBM303" s="1"/>
      <c r="XBN303" s="1"/>
      <c r="XBO303" s="1"/>
      <c r="XBP303" s="1"/>
      <c r="XBQ303" s="1"/>
      <c r="XBR303" s="1"/>
      <c r="XBS303" s="1"/>
      <c r="XBT303" s="1"/>
      <c r="XBU303" s="1"/>
      <c r="XBV303" s="1"/>
      <c r="XBW303" s="1"/>
      <c r="XBX303" s="1"/>
      <c r="XBY303" s="1"/>
      <c r="XBZ303" s="1"/>
      <c r="XCA303" s="1"/>
      <c r="XCB303" s="1"/>
      <c r="XCC303" s="1"/>
      <c r="XCD303" s="1"/>
      <c r="XCE303" s="1"/>
      <c r="XCF303" s="1"/>
      <c r="XCG303" s="1"/>
      <c r="XCH303" s="1"/>
      <c r="XCI303" s="1"/>
      <c r="XCJ303" s="1"/>
      <c r="XCK303" s="1"/>
      <c r="XCL303" s="1"/>
      <c r="XCM303" s="1"/>
      <c r="XCN303" s="1"/>
      <c r="XCO303" s="1"/>
      <c r="XCP303" s="1"/>
      <c r="XCQ303" s="1"/>
      <c r="XCR303" s="1"/>
      <c r="XCS303" s="1"/>
      <c r="XCT303" s="1"/>
      <c r="XCU303" s="1"/>
      <c r="XCV303" s="1"/>
      <c r="XCW303" s="1"/>
      <c r="XCX303" s="1"/>
      <c r="XCY303" s="1"/>
      <c r="XCZ303" s="1"/>
      <c r="XDA303" s="1"/>
      <c r="XDB303" s="1"/>
      <c r="XDC303" s="1"/>
      <c r="XDD303" s="1"/>
      <c r="XDE303" s="1"/>
      <c r="XDF303" s="1"/>
      <c r="XDG303" s="1"/>
      <c r="XDH303" s="1"/>
      <c r="XDI303" s="1"/>
      <c r="XDJ303" s="1"/>
      <c r="XDK303" s="1"/>
      <c r="XDL303" s="1"/>
      <c r="XDM303" s="1"/>
      <c r="XDN303" s="1"/>
      <c r="XDO303" s="1"/>
      <c r="XDP303" s="1"/>
      <c r="XDQ303" s="1"/>
      <c r="XDR303" s="1"/>
      <c r="XDS303" s="1"/>
      <c r="XDT303" s="1"/>
      <c r="XDU303" s="1"/>
      <c r="XDV303" s="1"/>
      <c r="XDW303" s="1"/>
      <c r="XDX303" s="1"/>
      <c r="XDY303" s="1"/>
      <c r="XDZ303" s="1"/>
      <c r="XEA303" s="1"/>
      <c r="XEB303" s="1"/>
      <c r="XEC303" s="1"/>
      <c r="XED303" s="1"/>
      <c r="XEE303" s="1"/>
      <c r="XEF303" s="1"/>
      <c r="XEG303" s="1"/>
      <c r="XEH303" s="1"/>
      <c r="XEI303" s="1"/>
      <c r="XEJ303" s="1"/>
      <c r="XEK303" s="1"/>
      <c r="XEL303" s="1"/>
      <c r="XEM303" s="1"/>
      <c r="XEN303" s="1"/>
      <c r="XEO303" s="1"/>
      <c r="XEP303" s="1"/>
      <c r="XEQ303" s="1"/>
      <c r="XER303" s="1"/>
      <c r="XES303" s="1"/>
      <c r="XET303" s="1"/>
      <c r="XEU303" s="1"/>
      <c r="XEV303" s="1"/>
      <c r="XEW303" s="1"/>
      <c r="XEX303" s="1"/>
      <c r="XEY303" s="1"/>
      <c r="XEZ303" s="1"/>
      <c r="XFA303" s="1"/>
      <c r="XFB303" s="1"/>
      <c r="XFC303" s="1"/>
    </row>
    <row r="304" spans="1:150 16226:16383" s="3" customFormat="1" ht="20.25" hidden="1" customHeight="1" x14ac:dyDescent="0.25">
      <c r="A304" s="139" t="str">
        <f t="shared" ref="A304:A310" ca="1" si="35">T304</f>
        <v>202 &amp; 502</v>
      </c>
      <c r="B304" s="139"/>
      <c r="C304" s="61"/>
      <c r="D304" s="61"/>
      <c r="E304" s="39"/>
      <c r="F304" s="38"/>
      <c r="G304" s="38"/>
      <c r="H304" s="38">
        <f t="shared" ref="H304:H310" si="36">E304+F304+(IF(G304&lt;101,G304,IF(G304&lt;201,G304/2,IF(G304&lt;=301,G304/3,G304/4))))</f>
        <v>0</v>
      </c>
      <c r="I304" s="1"/>
      <c r="J304" s="1"/>
      <c r="K304" s="1"/>
      <c r="L304" s="1"/>
      <c r="M304" s="1"/>
      <c r="N304" s="1"/>
      <c r="O304" s="1"/>
      <c r="P304" s="1"/>
      <c r="Q304" s="1"/>
      <c r="R304" s="1"/>
      <c r="S304" s="1"/>
      <c r="T304" s="23" t="str">
        <f t="shared" ref="T304:T310" ca="1" si="37">U304&amp;""&amp;" &amp; "&amp;""&amp;V304</f>
        <v>202 &amp; 502</v>
      </c>
      <c r="U304" s="23">
        <f ca="1">U303+1</f>
        <v>202</v>
      </c>
      <c r="V304" s="23">
        <f ca="1">V303+1</f>
        <v>502</v>
      </c>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WZB304" s="1"/>
      <c r="WZC304" s="1"/>
      <c r="WZD304" s="1"/>
      <c r="WZE304" s="1"/>
      <c r="WZF304" s="1"/>
      <c r="WZG304" s="1"/>
      <c r="WZH304" s="1"/>
      <c r="WZI304" s="1"/>
      <c r="WZJ304" s="1"/>
      <c r="WZK304" s="1"/>
      <c r="WZL304" s="1"/>
      <c r="WZM304" s="1"/>
      <c r="WZN304" s="1"/>
      <c r="WZO304" s="1"/>
      <c r="WZP304" s="1"/>
      <c r="WZQ304" s="1"/>
      <c r="WZR304" s="1"/>
      <c r="WZS304" s="1"/>
      <c r="WZT304" s="1"/>
      <c r="WZU304" s="1"/>
      <c r="WZV304" s="1"/>
      <c r="WZW304" s="1"/>
      <c r="WZX304" s="1"/>
      <c r="WZY304" s="1"/>
      <c r="WZZ304" s="1"/>
      <c r="XAA304" s="1"/>
      <c r="XAB304" s="1"/>
      <c r="XAC304" s="1"/>
      <c r="XAD304" s="1"/>
      <c r="XAE304" s="1"/>
      <c r="XAF304" s="1"/>
      <c r="XAG304" s="1"/>
      <c r="XAH304" s="1"/>
      <c r="XAI304" s="1"/>
      <c r="XAJ304" s="1"/>
      <c r="XAK304" s="1"/>
      <c r="XAL304" s="1"/>
      <c r="XAM304" s="1"/>
      <c r="XAN304" s="1"/>
      <c r="XAO304" s="1"/>
      <c r="XAP304" s="1"/>
      <c r="XAQ304" s="1"/>
      <c r="XAR304" s="1"/>
      <c r="XAS304" s="1"/>
      <c r="XAT304" s="1"/>
      <c r="XAU304" s="1"/>
      <c r="XAV304" s="1"/>
      <c r="XAW304" s="1"/>
      <c r="XAX304" s="1"/>
      <c r="XAY304" s="1"/>
      <c r="XAZ304" s="1"/>
      <c r="XBA304" s="1"/>
      <c r="XBB304" s="1"/>
      <c r="XBC304" s="1"/>
      <c r="XBD304" s="1"/>
      <c r="XBE304" s="1"/>
      <c r="XBF304" s="1"/>
      <c r="XBG304" s="1"/>
      <c r="XBH304" s="1"/>
      <c r="XBI304" s="1"/>
      <c r="XBJ304" s="1"/>
      <c r="XBK304" s="1"/>
      <c r="XBL304" s="1"/>
      <c r="XBM304" s="1"/>
      <c r="XBN304" s="1"/>
      <c r="XBO304" s="1"/>
      <c r="XBP304" s="1"/>
      <c r="XBQ304" s="1"/>
      <c r="XBR304" s="1"/>
      <c r="XBS304" s="1"/>
      <c r="XBT304" s="1"/>
      <c r="XBU304" s="1"/>
      <c r="XBV304" s="1"/>
      <c r="XBW304" s="1"/>
      <c r="XBX304" s="1"/>
      <c r="XBY304" s="1"/>
      <c r="XBZ304" s="1"/>
      <c r="XCA304" s="1"/>
      <c r="XCB304" s="1"/>
      <c r="XCC304" s="1"/>
      <c r="XCD304" s="1"/>
      <c r="XCE304" s="1"/>
      <c r="XCF304" s="1"/>
      <c r="XCG304" s="1"/>
      <c r="XCH304" s="1"/>
      <c r="XCI304" s="1"/>
      <c r="XCJ304" s="1"/>
      <c r="XCK304" s="1"/>
      <c r="XCL304" s="1"/>
      <c r="XCM304" s="1"/>
      <c r="XCN304" s="1"/>
      <c r="XCO304" s="1"/>
      <c r="XCP304" s="1"/>
      <c r="XCQ304" s="1"/>
      <c r="XCR304" s="1"/>
      <c r="XCS304" s="1"/>
      <c r="XCT304" s="1"/>
      <c r="XCU304" s="1"/>
      <c r="XCV304" s="1"/>
      <c r="XCW304" s="1"/>
      <c r="XCX304" s="1"/>
      <c r="XCY304" s="1"/>
      <c r="XCZ304" s="1"/>
      <c r="XDA304" s="1"/>
      <c r="XDB304" s="1"/>
      <c r="XDC304" s="1"/>
      <c r="XDD304" s="1"/>
      <c r="XDE304" s="1"/>
      <c r="XDF304" s="1"/>
      <c r="XDG304" s="1"/>
      <c r="XDH304" s="1"/>
      <c r="XDI304" s="1"/>
      <c r="XDJ304" s="1"/>
      <c r="XDK304" s="1"/>
      <c r="XDL304" s="1"/>
      <c r="XDM304" s="1"/>
      <c r="XDN304" s="1"/>
      <c r="XDO304" s="1"/>
      <c r="XDP304" s="1"/>
      <c r="XDQ304" s="1"/>
      <c r="XDR304" s="1"/>
      <c r="XDS304" s="1"/>
      <c r="XDT304" s="1"/>
      <c r="XDU304" s="1"/>
      <c r="XDV304" s="1"/>
      <c r="XDW304" s="1"/>
      <c r="XDX304" s="1"/>
      <c r="XDY304" s="1"/>
      <c r="XDZ304" s="1"/>
      <c r="XEA304" s="1"/>
      <c r="XEB304" s="1"/>
      <c r="XEC304" s="1"/>
      <c r="XED304" s="1"/>
      <c r="XEE304" s="1"/>
      <c r="XEF304" s="1"/>
      <c r="XEG304" s="1"/>
      <c r="XEH304" s="1"/>
      <c r="XEI304" s="1"/>
      <c r="XEJ304" s="1"/>
      <c r="XEK304" s="1"/>
      <c r="XEL304" s="1"/>
      <c r="XEM304" s="1"/>
      <c r="XEN304" s="1"/>
      <c r="XEO304" s="1"/>
      <c r="XEP304" s="1"/>
      <c r="XEQ304" s="1"/>
      <c r="XER304" s="1"/>
      <c r="XES304" s="1"/>
      <c r="XET304" s="1"/>
      <c r="XEU304" s="1"/>
      <c r="XEV304" s="1"/>
      <c r="XEW304" s="1"/>
      <c r="XEX304" s="1"/>
      <c r="XEY304" s="1"/>
      <c r="XEZ304" s="1"/>
      <c r="XFA304" s="1"/>
      <c r="XFB304" s="1"/>
      <c r="XFC304" s="1"/>
    </row>
    <row r="305" spans="1:150 16226:16383" s="3" customFormat="1" ht="20.25" hidden="1" customHeight="1" x14ac:dyDescent="0.25">
      <c r="A305" s="139" t="str">
        <f t="shared" ca="1" si="35"/>
        <v>203 &amp; 503</v>
      </c>
      <c r="B305" s="139"/>
      <c r="C305" s="61"/>
      <c r="D305" s="61"/>
      <c r="E305" s="39"/>
      <c r="F305" s="38"/>
      <c r="G305" s="38"/>
      <c r="H305" s="38">
        <f t="shared" si="36"/>
        <v>0</v>
      </c>
      <c r="I305" s="1"/>
      <c r="J305" s="1"/>
      <c r="K305" s="1"/>
      <c r="L305" s="1"/>
      <c r="M305" s="1"/>
      <c r="N305" s="1"/>
      <c r="O305" s="1"/>
      <c r="P305" s="1"/>
      <c r="Q305" s="1"/>
      <c r="R305" s="1"/>
      <c r="S305" s="1"/>
      <c r="T305" s="23" t="str">
        <f t="shared" ca="1" si="37"/>
        <v>203 &amp; 503</v>
      </c>
      <c r="U305" s="23">
        <f t="shared" ref="U305:U310" ca="1" si="38">U304+1</f>
        <v>203</v>
      </c>
      <c r="V305" s="23">
        <f t="shared" ref="V305:V310" ca="1" si="39">V304+1</f>
        <v>503</v>
      </c>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WZB305" s="1"/>
      <c r="WZC305" s="1"/>
      <c r="WZD305" s="1"/>
      <c r="WZE305" s="1"/>
      <c r="WZF305" s="1"/>
      <c r="WZG305" s="1"/>
      <c r="WZH305" s="1"/>
      <c r="WZI305" s="1"/>
      <c r="WZJ305" s="1"/>
      <c r="WZK305" s="1"/>
      <c r="WZL305" s="1"/>
      <c r="WZM305" s="1"/>
      <c r="WZN305" s="1"/>
      <c r="WZO305" s="1"/>
      <c r="WZP305" s="1"/>
      <c r="WZQ305" s="1"/>
      <c r="WZR305" s="1"/>
      <c r="WZS305" s="1"/>
      <c r="WZT305" s="1"/>
      <c r="WZU305" s="1"/>
      <c r="WZV305" s="1"/>
      <c r="WZW305" s="1"/>
      <c r="WZX305" s="1"/>
      <c r="WZY305" s="1"/>
      <c r="WZZ305" s="1"/>
      <c r="XAA305" s="1"/>
      <c r="XAB305" s="1"/>
      <c r="XAC305" s="1"/>
      <c r="XAD305" s="1"/>
      <c r="XAE305" s="1"/>
      <c r="XAF305" s="1"/>
      <c r="XAG305" s="1"/>
      <c r="XAH305" s="1"/>
      <c r="XAI305" s="1"/>
      <c r="XAJ305" s="1"/>
      <c r="XAK305" s="1"/>
      <c r="XAL305" s="1"/>
      <c r="XAM305" s="1"/>
      <c r="XAN305" s="1"/>
      <c r="XAO305" s="1"/>
      <c r="XAP305" s="1"/>
      <c r="XAQ305" s="1"/>
      <c r="XAR305" s="1"/>
      <c r="XAS305" s="1"/>
      <c r="XAT305" s="1"/>
      <c r="XAU305" s="1"/>
      <c r="XAV305" s="1"/>
      <c r="XAW305" s="1"/>
      <c r="XAX305" s="1"/>
      <c r="XAY305" s="1"/>
      <c r="XAZ305" s="1"/>
      <c r="XBA305" s="1"/>
      <c r="XBB305" s="1"/>
      <c r="XBC305" s="1"/>
      <c r="XBD305" s="1"/>
      <c r="XBE305" s="1"/>
      <c r="XBF305" s="1"/>
      <c r="XBG305" s="1"/>
      <c r="XBH305" s="1"/>
      <c r="XBI305" s="1"/>
      <c r="XBJ305" s="1"/>
      <c r="XBK305" s="1"/>
      <c r="XBL305" s="1"/>
      <c r="XBM305" s="1"/>
      <c r="XBN305" s="1"/>
      <c r="XBO305" s="1"/>
      <c r="XBP305" s="1"/>
      <c r="XBQ305" s="1"/>
      <c r="XBR305" s="1"/>
      <c r="XBS305" s="1"/>
      <c r="XBT305" s="1"/>
      <c r="XBU305" s="1"/>
      <c r="XBV305" s="1"/>
      <c r="XBW305" s="1"/>
      <c r="XBX305" s="1"/>
      <c r="XBY305" s="1"/>
      <c r="XBZ305" s="1"/>
      <c r="XCA305" s="1"/>
      <c r="XCB305" s="1"/>
      <c r="XCC305" s="1"/>
      <c r="XCD305" s="1"/>
      <c r="XCE305" s="1"/>
      <c r="XCF305" s="1"/>
      <c r="XCG305" s="1"/>
      <c r="XCH305" s="1"/>
      <c r="XCI305" s="1"/>
      <c r="XCJ305" s="1"/>
      <c r="XCK305" s="1"/>
      <c r="XCL305" s="1"/>
      <c r="XCM305" s="1"/>
      <c r="XCN305" s="1"/>
      <c r="XCO305" s="1"/>
      <c r="XCP305" s="1"/>
      <c r="XCQ305" s="1"/>
      <c r="XCR305" s="1"/>
      <c r="XCS305" s="1"/>
      <c r="XCT305" s="1"/>
      <c r="XCU305" s="1"/>
      <c r="XCV305" s="1"/>
      <c r="XCW305" s="1"/>
      <c r="XCX305" s="1"/>
      <c r="XCY305" s="1"/>
      <c r="XCZ305" s="1"/>
      <c r="XDA305" s="1"/>
      <c r="XDB305" s="1"/>
      <c r="XDC305" s="1"/>
      <c r="XDD305" s="1"/>
      <c r="XDE305" s="1"/>
      <c r="XDF305" s="1"/>
      <c r="XDG305" s="1"/>
      <c r="XDH305" s="1"/>
      <c r="XDI305" s="1"/>
      <c r="XDJ305" s="1"/>
      <c r="XDK305" s="1"/>
      <c r="XDL305" s="1"/>
      <c r="XDM305" s="1"/>
      <c r="XDN305" s="1"/>
      <c r="XDO305" s="1"/>
      <c r="XDP305" s="1"/>
      <c r="XDQ305" s="1"/>
      <c r="XDR305" s="1"/>
      <c r="XDS305" s="1"/>
      <c r="XDT305" s="1"/>
      <c r="XDU305" s="1"/>
      <c r="XDV305" s="1"/>
      <c r="XDW305" s="1"/>
      <c r="XDX305" s="1"/>
      <c r="XDY305" s="1"/>
      <c r="XDZ305" s="1"/>
      <c r="XEA305" s="1"/>
      <c r="XEB305" s="1"/>
      <c r="XEC305" s="1"/>
      <c r="XED305" s="1"/>
      <c r="XEE305" s="1"/>
      <c r="XEF305" s="1"/>
      <c r="XEG305" s="1"/>
      <c r="XEH305" s="1"/>
      <c r="XEI305" s="1"/>
      <c r="XEJ305" s="1"/>
      <c r="XEK305" s="1"/>
      <c r="XEL305" s="1"/>
      <c r="XEM305" s="1"/>
      <c r="XEN305" s="1"/>
      <c r="XEO305" s="1"/>
      <c r="XEP305" s="1"/>
      <c r="XEQ305" s="1"/>
      <c r="XER305" s="1"/>
      <c r="XES305" s="1"/>
      <c r="XET305" s="1"/>
      <c r="XEU305" s="1"/>
      <c r="XEV305" s="1"/>
      <c r="XEW305" s="1"/>
      <c r="XEX305" s="1"/>
      <c r="XEY305" s="1"/>
      <c r="XEZ305" s="1"/>
      <c r="XFA305" s="1"/>
      <c r="XFB305" s="1"/>
      <c r="XFC305" s="1"/>
    </row>
    <row r="306" spans="1:150 16226:16383" s="3" customFormat="1" ht="20.25" hidden="1" customHeight="1" x14ac:dyDescent="0.25">
      <c r="A306" s="139" t="str">
        <f t="shared" ca="1" si="35"/>
        <v>204 &amp; 504</v>
      </c>
      <c r="B306" s="139"/>
      <c r="C306" s="61"/>
      <c r="D306" s="61"/>
      <c r="E306" s="39"/>
      <c r="F306" s="38"/>
      <c r="G306" s="38"/>
      <c r="H306" s="38">
        <f t="shared" si="36"/>
        <v>0</v>
      </c>
      <c r="I306" s="1"/>
      <c r="J306" s="1"/>
      <c r="K306" s="1"/>
      <c r="L306" s="1"/>
      <c r="M306" s="1"/>
      <c r="N306" s="1"/>
      <c r="O306" s="1"/>
      <c r="P306" s="1"/>
      <c r="Q306" s="1"/>
      <c r="R306" s="1"/>
      <c r="S306" s="1"/>
      <c r="T306" s="23" t="str">
        <f t="shared" ca="1" si="37"/>
        <v>204 &amp; 504</v>
      </c>
      <c r="U306" s="23">
        <f t="shared" ca="1" si="38"/>
        <v>204</v>
      </c>
      <c r="V306" s="23">
        <f t="shared" ca="1" si="39"/>
        <v>504</v>
      </c>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WZB306" s="1"/>
      <c r="WZC306" s="1"/>
      <c r="WZD306" s="1"/>
      <c r="WZE306" s="1"/>
      <c r="WZF306" s="1"/>
      <c r="WZG306" s="1"/>
      <c r="WZH306" s="1"/>
      <c r="WZI306" s="1"/>
      <c r="WZJ306" s="1"/>
      <c r="WZK306" s="1"/>
      <c r="WZL306" s="1"/>
      <c r="WZM306" s="1"/>
      <c r="WZN306" s="1"/>
      <c r="WZO306" s="1"/>
      <c r="WZP306" s="1"/>
      <c r="WZQ306" s="1"/>
      <c r="WZR306" s="1"/>
      <c r="WZS306" s="1"/>
      <c r="WZT306" s="1"/>
      <c r="WZU306" s="1"/>
      <c r="WZV306" s="1"/>
      <c r="WZW306" s="1"/>
      <c r="WZX306" s="1"/>
      <c r="WZY306" s="1"/>
      <c r="WZZ306" s="1"/>
      <c r="XAA306" s="1"/>
      <c r="XAB306" s="1"/>
      <c r="XAC306" s="1"/>
      <c r="XAD306" s="1"/>
      <c r="XAE306" s="1"/>
      <c r="XAF306" s="1"/>
      <c r="XAG306" s="1"/>
      <c r="XAH306" s="1"/>
      <c r="XAI306" s="1"/>
      <c r="XAJ306" s="1"/>
      <c r="XAK306" s="1"/>
      <c r="XAL306" s="1"/>
      <c r="XAM306" s="1"/>
      <c r="XAN306" s="1"/>
      <c r="XAO306" s="1"/>
      <c r="XAP306" s="1"/>
      <c r="XAQ306" s="1"/>
      <c r="XAR306" s="1"/>
      <c r="XAS306" s="1"/>
      <c r="XAT306" s="1"/>
      <c r="XAU306" s="1"/>
      <c r="XAV306" s="1"/>
      <c r="XAW306" s="1"/>
      <c r="XAX306" s="1"/>
      <c r="XAY306" s="1"/>
      <c r="XAZ306" s="1"/>
      <c r="XBA306" s="1"/>
      <c r="XBB306" s="1"/>
      <c r="XBC306" s="1"/>
      <c r="XBD306" s="1"/>
      <c r="XBE306" s="1"/>
      <c r="XBF306" s="1"/>
      <c r="XBG306" s="1"/>
      <c r="XBH306" s="1"/>
      <c r="XBI306" s="1"/>
      <c r="XBJ306" s="1"/>
      <c r="XBK306" s="1"/>
      <c r="XBL306" s="1"/>
      <c r="XBM306" s="1"/>
      <c r="XBN306" s="1"/>
      <c r="XBO306" s="1"/>
      <c r="XBP306" s="1"/>
      <c r="XBQ306" s="1"/>
      <c r="XBR306" s="1"/>
      <c r="XBS306" s="1"/>
      <c r="XBT306" s="1"/>
      <c r="XBU306" s="1"/>
      <c r="XBV306" s="1"/>
      <c r="XBW306" s="1"/>
      <c r="XBX306" s="1"/>
      <c r="XBY306" s="1"/>
      <c r="XBZ306" s="1"/>
      <c r="XCA306" s="1"/>
      <c r="XCB306" s="1"/>
      <c r="XCC306" s="1"/>
      <c r="XCD306" s="1"/>
      <c r="XCE306" s="1"/>
      <c r="XCF306" s="1"/>
      <c r="XCG306" s="1"/>
      <c r="XCH306" s="1"/>
      <c r="XCI306" s="1"/>
      <c r="XCJ306" s="1"/>
      <c r="XCK306" s="1"/>
      <c r="XCL306" s="1"/>
      <c r="XCM306" s="1"/>
      <c r="XCN306" s="1"/>
      <c r="XCO306" s="1"/>
      <c r="XCP306" s="1"/>
      <c r="XCQ306" s="1"/>
      <c r="XCR306" s="1"/>
      <c r="XCS306" s="1"/>
      <c r="XCT306" s="1"/>
      <c r="XCU306" s="1"/>
      <c r="XCV306" s="1"/>
      <c r="XCW306" s="1"/>
      <c r="XCX306" s="1"/>
      <c r="XCY306" s="1"/>
      <c r="XCZ306" s="1"/>
      <c r="XDA306" s="1"/>
      <c r="XDB306" s="1"/>
      <c r="XDC306" s="1"/>
      <c r="XDD306" s="1"/>
      <c r="XDE306" s="1"/>
      <c r="XDF306" s="1"/>
      <c r="XDG306" s="1"/>
      <c r="XDH306" s="1"/>
      <c r="XDI306" s="1"/>
      <c r="XDJ306" s="1"/>
      <c r="XDK306" s="1"/>
      <c r="XDL306" s="1"/>
      <c r="XDM306" s="1"/>
      <c r="XDN306" s="1"/>
      <c r="XDO306" s="1"/>
      <c r="XDP306" s="1"/>
      <c r="XDQ306" s="1"/>
      <c r="XDR306" s="1"/>
      <c r="XDS306" s="1"/>
      <c r="XDT306" s="1"/>
      <c r="XDU306" s="1"/>
      <c r="XDV306" s="1"/>
      <c r="XDW306" s="1"/>
      <c r="XDX306" s="1"/>
      <c r="XDY306" s="1"/>
      <c r="XDZ306" s="1"/>
      <c r="XEA306" s="1"/>
      <c r="XEB306" s="1"/>
      <c r="XEC306" s="1"/>
      <c r="XED306" s="1"/>
      <c r="XEE306" s="1"/>
      <c r="XEF306" s="1"/>
      <c r="XEG306" s="1"/>
      <c r="XEH306" s="1"/>
      <c r="XEI306" s="1"/>
      <c r="XEJ306" s="1"/>
      <c r="XEK306" s="1"/>
      <c r="XEL306" s="1"/>
      <c r="XEM306" s="1"/>
      <c r="XEN306" s="1"/>
      <c r="XEO306" s="1"/>
      <c r="XEP306" s="1"/>
      <c r="XEQ306" s="1"/>
      <c r="XER306" s="1"/>
      <c r="XES306" s="1"/>
      <c r="XET306" s="1"/>
      <c r="XEU306" s="1"/>
      <c r="XEV306" s="1"/>
      <c r="XEW306" s="1"/>
      <c r="XEX306" s="1"/>
      <c r="XEY306" s="1"/>
      <c r="XEZ306" s="1"/>
      <c r="XFA306" s="1"/>
      <c r="XFB306" s="1"/>
      <c r="XFC306" s="1"/>
    </row>
    <row r="307" spans="1:150 16226:16383" s="3" customFormat="1" ht="20.25" hidden="1" customHeight="1" x14ac:dyDescent="0.25">
      <c r="A307" s="139" t="str">
        <f t="shared" ca="1" si="35"/>
        <v>205 &amp; 505</v>
      </c>
      <c r="B307" s="139"/>
      <c r="C307" s="61"/>
      <c r="D307" s="61"/>
      <c r="E307" s="39"/>
      <c r="F307" s="38"/>
      <c r="G307" s="38"/>
      <c r="H307" s="38">
        <f t="shared" si="36"/>
        <v>0</v>
      </c>
      <c r="I307" s="1"/>
      <c r="J307" s="1"/>
      <c r="K307" s="1"/>
      <c r="L307" s="1"/>
      <c r="M307" s="1"/>
      <c r="N307" s="1"/>
      <c r="O307" s="1"/>
      <c r="P307" s="1"/>
      <c r="Q307" s="1"/>
      <c r="R307" s="1"/>
      <c r="S307" s="1"/>
      <c r="T307" s="23" t="str">
        <f t="shared" ca="1" si="37"/>
        <v>205 &amp; 505</v>
      </c>
      <c r="U307" s="23">
        <f t="shared" ca="1" si="38"/>
        <v>205</v>
      </c>
      <c r="V307" s="23">
        <f t="shared" ca="1" si="39"/>
        <v>505</v>
      </c>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WZB307" s="1"/>
      <c r="WZC307" s="1"/>
      <c r="WZD307" s="1"/>
      <c r="WZE307" s="1"/>
      <c r="WZF307" s="1"/>
      <c r="WZG307" s="1"/>
      <c r="WZH307" s="1"/>
      <c r="WZI307" s="1"/>
      <c r="WZJ307" s="1"/>
      <c r="WZK307" s="1"/>
      <c r="WZL307" s="1"/>
      <c r="WZM307" s="1"/>
      <c r="WZN307" s="1"/>
      <c r="WZO307" s="1"/>
      <c r="WZP307" s="1"/>
      <c r="WZQ307" s="1"/>
      <c r="WZR307" s="1"/>
      <c r="WZS307" s="1"/>
      <c r="WZT307" s="1"/>
      <c r="WZU307" s="1"/>
      <c r="WZV307" s="1"/>
      <c r="WZW307" s="1"/>
      <c r="WZX307" s="1"/>
      <c r="WZY307" s="1"/>
      <c r="WZZ307" s="1"/>
      <c r="XAA307" s="1"/>
      <c r="XAB307" s="1"/>
      <c r="XAC307" s="1"/>
      <c r="XAD307" s="1"/>
      <c r="XAE307" s="1"/>
      <c r="XAF307" s="1"/>
      <c r="XAG307" s="1"/>
      <c r="XAH307" s="1"/>
      <c r="XAI307" s="1"/>
      <c r="XAJ307" s="1"/>
      <c r="XAK307" s="1"/>
      <c r="XAL307" s="1"/>
      <c r="XAM307" s="1"/>
      <c r="XAN307" s="1"/>
      <c r="XAO307" s="1"/>
      <c r="XAP307" s="1"/>
      <c r="XAQ307" s="1"/>
      <c r="XAR307" s="1"/>
      <c r="XAS307" s="1"/>
      <c r="XAT307" s="1"/>
      <c r="XAU307" s="1"/>
      <c r="XAV307" s="1"/>
      <c r="XAW307" s="1"/>
      <c r="XAX307" s="1"/>
      <c r="XAY307" s="1"/>
      <c r="XAZ307" s="1"/>
      <c r="XBA307" s="1"/>
      <c r="XBB307" s="1"/>
      <c r="XBC307" s="1"/>
      <c r="XBD307" s="1"/>
      <c r="XBE307" s="1"/>
      <c r="XBF307" s="1"/>
      <c r="XBG307" s="1"/>
      <c r="XBH307" s="1"/>
      <c r="XBI307" s="1"/>
      <c r="XBJ307" s="1"/>
      <c r="XBK307" s="1"/>
      <c r="XBL307" s="1"/>
      <c r="XBM307" s="1"/>
      <c r="XBN307" s="1"/>
      <c r="XBO307" s="1"/>
      <c r="XBP307" s="1"/>
      <c r="XBQ307" s="1"/>
      <c r="XBR307" s="1"/>
      <c r="XBS307" s="1"/>
      <c r="XBT307" s="1"/>
      <c r="XBU307" s="1"/>
      <c r="XBV307" s="1"/>
      <c r="XBW307" s="1"/>
      <c r="XBX307" s="1"/>
      <c r="XBY307" s="1"/>
      <c r="XBZ307" s="1"/>
      <c r="XCA307" s="1"/>
      <c r="XCB307" s="1"/>
      <c r="XCC307" s="1"/>
      <c r="XCD307" s="1"/>
      <c r="XCE307" s="1"/>
      <c r="XCF307" s="1"/>
      <c r="XCG307" s="1"/>
      <c r="XCH307" s="1"/>
      <c r="XCI307" s="1"/>
      <c r="XCJ307" s="1"/>
      <c r="XCK307" s="1"/>
      <c r="XCL307" s="1"/>
      <c r="XCM307" s="1"/>
      <c r="XCN307" s="1"/>
      <c r="XCO307" s="1"/>
      <c r="XCP307" s="1"/>
      <c r="XCQ307" s="1"/>
      <c r="XCR307" s="1"/>
      <c r="XCS307" s="1"/>
      <c r="XCT307" s="1"/>
      <c r="XCU307" s="1"/>
      <c r="XCV307" s="1"/>
      <c r="XCW307" s="1"/>
      <c r="XCX307" s="1"/>
      <c r="XCY307" s="1"/>
      <c r="XCZ307" s="1"/>
      <c r="XDA307" s="1"/>
      <c r="XDB307" s="1"/>
      <c r="XDC307" s="1"/>
      <c r="XDD307" s="1"/>
      <c r="XDE307" s="1"/>
      <c r="XDF307" s="1"/>
      <c r="XDG307" s="1"/>
      <c r="XDH307" s="1"/>
      <c r="XDI307" s="1"/>
      <c r="XDJ307" s="1"/>
      <c r="XDK307" s="1"/>
      <c r="XDL307" s="1"/>
      <c r="XDM307" s="1"/>
      <c r="XDN307" s="1"/>
      <c r="XDO307" s="1"/>
      <c r="XDP307" s="1"/>
      <c r="XDQ307" s="1"/>
      <c r="XDR307" s="1"/>
      <c r="XDS307" s="1"/>
      <c r="XDT307" s="1"/>
      <c r="XDU307" s="1"/>
      <c r="XDV307" s="1"/>
      <c r="XDW307" s="1"/>
      <c r="XDX307" s="1"/>
      <c r="XDY307" s="1"/>
      <c r="XDZ307" s="1"/>
      <c r="XEA307" s="1"/>
      <c r="XEB307" s="1"/>
      <c r="XEC307" s="1"/>
      <c r="XED307" s="1"/>
      <c r="XEE307" s="1"/>
      <c r="XEF307" s="1"/>
      <c r="XEG307" s="1"/>
      <c r="XEH307" s="1"/>
      <c r="XEI307" s="1"/>
      <c r="XEJ307" s="1"/>
      <c r="XEK307" s="1"/>
      <c r="XEL307" s="1"/>
      <c r="XEM307" s="1"/>
      <c r="XEN307" s="1"/>
      <c r="XEO307" s="1"/>
      <c r="XEP307" s="1"/>
      <c r="XEQ307" s="1"/>
      <c r="XER307" s="1"/>
      <c r="XES307" s="1"/>
      <c r="XET307" s="1"/>
      <c r="XEU307" s="1"/>
      <c r="XEV307" s="1"/>
      <c r="XEW307" s="1"/>
      <c r="XEX307" s="1"/>
      <c r="XEY307" s="1"/>
      <c r="XEZ307" s="1"/>
      <c r="XFA307" s="1"/>
      <c r="XFB307" s="1"/>
      <c r="XFC307" s="1"/>
    </row>
    <row r="308" spans="1:150 16226:16383" s="3" customFormat="1" ht="20.25" hidden="1" customHeight="1" x14ac:dyDescent="0.25">
      <c r="A308" s="139" t="str">
        <f t="shared" ca="1" si="35"/>
        <v>206 &amp; 506</v>
      </c>
      <c r="B308" s="139"/>
      <c r="C308" s="61"/>
      <c r="D308" s="61"/>
      <c r="E308" s="39"/>
      <c r="F308" s="38"/>
      <c r="G308" s="38"/>
      <c r="H308" s="38">
        <f t="shared" si="36"/>
        <v>0</v>
      </c>
      <c r="I308" s="1"/>
      <c r="J308" s="1"/>
      <c r="K308" s="1"/>
      <c r="L308" s="1"/>
      <c r="M308" s="1"/>
      <c r="N308" s="1"/>
      <c r="O308" s="1"/>
      <c r="P308" s="1"/>
      <c r="Q308" s="1"/>
      <c r="R308" s="1"/>
      <c r="S308" s="1"/>
      <c r="T308" s="23" t="str">
        <f t="shared" ca="1" si="37"/>
        <v>206 &amp; 506</v>
      </c>
      <c r="U308" s="23">
        <f t="shared" ca="1" si="38"/>
        <v>206</v>
      </c>
      <c r="V308" s="23">
        <f t="shared" ca="1" si="39"/>
        <v>506</v>
      </c>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WZB308" s="1"/>
      <c r="WZC308" s="1"/>
      <c r="WZD308" s="1"/>
      <c r="WZE308" s="1"/>
      <c r="WZF308" s="1"/>
      <c r="WZG308" s="1"/>
      <c r="WZH308" s="1"/>
      <c r="WZI308" s="1"/>
      <c r="WZJ308" s="1"/>
      <c r="WZK308" s="1"/>
      <c r="WZL308" s="1"/>
      <c r="WZM308" s="1"/>
      <c r="WZN308" s="1"/>
      <c r="WZO308" s="1"/>
      <c r="WZP308" s="1"/>
      <c r="WZQ308" s="1"/>
      <c r="WZR308" s="1"/>
      <c r="WZS308" s="1"/>
      <c r="WZT308" s="1"/>
      <c r="WZU308" s="1"/>
      <c r="WZV308" s="1"/>
      <c r="WZW308" s="1"/>
      <c r="WZX308" s="1"/>
      <c r="WZY308" s="1"/>
      <c r="WZZ308" s="1"/>
      <c r="XAA308" s="1"/>
      <c r="XAB308" s="1"/>
      <c r="XAC308" s="1"/>
      <c r="XAD308" s="1"/>
      <c r="XAE308" s="1"/>
      <c r="XAF308" s="1"/>
      <c r="XAG308" s="1"/>
      <c r="XAH308" s="1"/>
      <c r="XAI308" s="1"/>
      <c r="XAJ308" s="1"/>
      <c r="XAK308" s="1"/>
      <c r="XAL308" s="1"/>
      <c r="XAM308" s="1"/>
      <c r="XAN308" s="1"/>
      <c r="XAO308" s="1"/>
      <c r="XAP308" s="1"/>
      <c r="XAQ308" s="1"/>
      <c r="XAR308" s="1"/>
      <c r="XAS308" s="1"/>
      <c r="XAT308" s="1"/>
      <c r="XAU308" s="1"/>
      <c r="XAV308" s="1"/>
      <c r="XAW308" s="1"/>
      <c r="XAX308" s="1"/>
      <c r="XAY308" s="1"/>
      <c r="XAZ308" s="1"/>
      <c r="XBA308" s="1"/>
      <c r="XBB308" s="1"/>
      <c r="XBC308" s="1"/>
      <c r="XBD308" s="1"/>
      <c r="XBE308" s="1"/>
      <c r="XBF308" s="1"/>
      <c r="XBG308" s="1"/>
      <c r="XBH308" s="1"/>
      <c r="XBI308" s="1"/>
      <c r="XBJ308" s="1"/>
      <c r="XBK308" s="1"/>
      <c r="XBL308" s="1"/>
      <c r="XBM308" s="1"/>
      <c r="XBN308" s="1"/>
      <c r="XBO308" s="1"/>
      <c r="XBP308" s="1"/>
      <c r="XBQ308" s="1"/>
      <c r="XBR308" s="1"/>
      <c r="XBS308" s="1"/>
      <c r="XBT308" s="1"/>
      <c r="XBU308" s="1"/>
      <c r="XBV308" s="1"/>
      <c r="XBW308" s="1"/>
      <c r="XBX308" s="1"/>
      <c r="XBY308" s="1"/>
      <c r="XBZ308" s="1"/>
      <c r="XCA308" s="1"/>
      <c r="XCB308" s="1"/>
      <c r="XCC308" s="1"/>
      <c r="XCD308" s="1"/>
      <c r="XCE308" s="1"/>
      <c r="XCF308" s="1"/>
      <c r="XCG308" s="1"/>
      <c r="XCH308" s="1"/>
      <c r="XCI308" s="1"/>
      <c r="XCJ308" s="1"/>
      <c r="XCK308" s="1"/>
      <c r="XCL308" s="1"/>
      <c r="XCM308" s="1"/>
      <c r="XCN308" s="1"/>
      <c r="XCO308" s="1"/>
      <c r="XCP308" s="1"/>
      <c r="XCQ308" s="1"/>
      <c r="XCR308" s="1"/>
      <c r="XCS308" s="1"/>
      <c r="XCT308" s="1"/>
      <c r="XCU308" s="1"/>
      <c r="XCV308" s="1"/>
      <c r="XCW308" s="1"/>
      <c r="XCX308" s="1"/>
      <c r="XCY308" s="1"/>
      <c r="XCZ308" s="1"/>
      <c r="XDA308" s="1"/>
      <c r="XDB308" s="1"/>
      <c r="XDC308" s="1"/>
      <c r="XDD308" s="1"/>
      <c r="XDE308" s="1"/>
      <c r="XDF308" s="1"/>
      <c r="XDG308" s="1"/>
      <c r="XDH308" s="1"/>
      <c r="XDI308" s="1"/>
      <c r="XDJ308" s="1"/>
      <c r="XDK308" s="1"/>
      <c r="XDL308" s="1"/>
      <c r="XDM308" s="1"/>
      <c r="XDN308" s="1"/>
      <c r="XDO308" s="1"/>
      <c r="XDP308" s="1"/>
      <c r="XDQ308" s="1"/>
      <c r="XDR308" s="1"/>
      <c r="XDS308" s="1"/>
      <c r="XDT308" s="1"/>
      <c r="XDU308" s="1"/>
      <c r="XDV308" s="1"/>
      <c r="XDW308" s="1"/>
      <c r="XDX308" s="1"/>
      <c r="XDY308" s="1"/>
      <c r="XDZ308" s="1"/>
      <c r="XEA308" s="1"/>
      <c r="XEB308" s="1"/>
      <c r="XEC308" s="1"/>
      <c r="XED308" s="1"/>
      <c r="XEE308" s="1"/>
      <c r="XEF308" s="1"/>
      <c r="XEG308" s="1"/>
      <c r="XEH308" s="1"/>
      <c r="XEI308" s="1"/>
      <c r="XEJ308" s="1"/>
      <c r="XEK308" s="1"/>
      <c r="XEL308" s="1"/>
      <c r="XEM308" s="1"/>
      <c r="XEN308" s="1"/>
      <c r="XEO308" s="1"/>
      <c r="XEP308" s="1"/>
      <c r="XEQ308" s="1"/>
      <c r="XER308" s="1"/>
      <c r="XES308" s="1"/>
      <c r="XET308" s="1"/>
      <c r="XEU308" s="1"/>
      <c r="XEV308" s="1"/>
      <c r="XEW308" s="1"/>
      <c r="XEX308" s="1"/>
      <c r="XEY308" s="1"/>
      <c r="XEZ308" s="1"/>
      <c r="XFA308" s="1"/>
      <c r="XFB308" s="1"/>
      <c r="XFC308" s="1"/>
    </row>
    <row r="309" spans="1:150 16226:16383" s="3" customFormat="1" ht="20.25" hidden="1" customHeight="1" x14ac:dyDescent="0.25">
      <c r="A309" s="139" t="str">
        <f t="shared" ca="1" si="35"/>
        <v>207 &amp; 507</v>
      </c>
      <c r="B309" s="139"/>
      <c r="C309" s="61"/>
      <c r="D309" s="61"/>
      <c r="E309" s="39"/>
      <c r="F309" s="38"/>
      <c r="G309" s="38"/>
      <c r="H309" s="38">
        <f t="shared" si="36"/>
        <v>0</v>
      </c>
      <c r="I309" s="1"/>
      <c r="J309" s="1"/>
      <c r="K309" s="1"/>
      <c r="L309" s="1"/>
      <c r="M309" s="1"/>
      <c r="N309" s="1"/>
      <c r="O309" s="1"/>
      <c r="P309" s="1"/>
      <c r="Q309" s="1"/>
      <c r="R309" s="1"/>
      <c r="S309" s="1"/>
      <c r="T309" s="23" t="str">
        <f t="shared" ca="1" si="37"/>
        <v>207 &amp; 507</v>
      </c>
      <c r="U309" s="23">
        <f t="shared" ca="1" si="38"/>
        <v>207</v>
      </c>
      <c r="V309" s="23">
        <f t="shared" ca="1" si="39"/>
        <v>507</v>
      </c>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WZB309" s="1"/>
      <c r="WZC309" s="1"/>
      <c r="WZD309" s="1"/>
      <c r="WZE309" s="1"/>
      <c r="WZF309" s="1"/>
      <c r="WZG309" s="1"/>
      <c r="WZH309" s="1"/>
      <c r="WZI309" s="1"/>
      <c r="WZJ309" s="1"/>
      <c r="WZK309" s="1"/>
      <c r="WZL309" s="1"/>
      <c r="WZM309" s="1"/>
      <c r="WZN309" s="1"/>
      <c r="WZO309" s="1"/>
      <c r="WZP309" s="1"/>
      <c r="WZQ309" s="1"/>
      <c r="WZR309" s="1"/>
      <c r="WZS309" s="1"/>
      <c r="WZT309" s="1"/>
      <c r="WZU309" s="1"/>
      <c r="WZV309" s="1"/>
      <c r="WZW309" s="1"/>
      <c r="WZX309" s="1"/>
      <c r="WZY309" s="1"/>
      <c r="WZZ309" s="1"/>
      <c r="XAA309" s="1"/>
      <c r="XAB309" s="1"/>
      <c r="XAC309" s="1"/>
      <c r="XAD309" s="1"/>
      <c r="XAE309" s="1"/>
      <c r="XAF309" s="1"/>
      <c r="XAG309" s="1"/>
      <c r="XAH309" s="1"/>
      <c r="XAI309" s="1"/>
      <c r="XAJ309" s="1"/>
      <c r="XAK309" s="1"/>
      <c r="XAL309" s="1"/>
      <c r="XAM309" s="1"/>
      <c r="XAN309" s="1"/>
      <c r="XAO309" s="1"/>
      <c r="XAP309" s="1"/>
      <c r="XAQ309" s="1"/>
      <c r="XAR309" s="1"/>
      <c r="XAS309" s="1"/>
      <c r="XAT309" s="1"/>
      <c r="XAU309" s="1"/>
      <c r="XAV309" s="1"/>
      <c r="XAW309" s="1"/>
      <c r="XAX309" s="1"/>
      <c r="XAY309" s="1"/>
      <c r="XAZ309" s="1"/>
      <c r="XBA309" s="1"/>
      <c r="XBB309" s="1"/>
      <c r="XBC309" s="1"/>
      <c r="XBD309" s="1"/>
      <c r="XBE309" s="1"/>
      <c r="XBF309" s="1"/>
      <c r="XBG309" s="1"/>
      <c r="XBH309" s="1"/>
      <c r="XBI309" s="1"/>
      <c r="XBJ309" s="1"/>
      <c r="XBK309" s="1"/>
      <c r="XBL309" s="1"/>
      <c r="XBM309" s="1"/>
      <c r="XBN309" s="1"/>
      <c r="XBO309" s="1"/>
      <c r="XBP309" s="1"/>
      <c r="XBQ309" s="1"/>
      <c r="XBR309" s="1"/>
      <c r="XBS309" s="1"/>
      <c r="XBT309" s="1"/>
      <c r="XBU309" s="1"/>
      <c r="XBV309" s="1"/>
      <c r="XBW309" s="1"/>
      <c r="XBX309" s="1"/>
      <c r="XBY309" s="1"/>
      <c r="XBZ309" s="1"/>
      <c r="XCA309" s="1"/>
      <c r="XCB309" s="1"/>
      <c r="XCC309" s="1"/>
      <c r="XCD309" s="1"/>
      <c r="XCE309" s="1"/>
      <c r="XCF309" s="1"/>
      <c r="XCG309" s="1"/>
      <c r="XCH309" s="1"/>
      <c r="XCI309" s="1"/>
      <c r="XCJ309" s="1"/>
      <c r="XCK309" s="1"/>
      <c r="XCL309" s="1"/>
      <c r="XCM309" s="1"/>
      <c r="XCN309" s="1"/>
      <c r="XCO309" s="1"/>
      <c r="XCP309" s="1"/>
      <c r="XCQ309" s="1"/>
      <c r="XCR309" s="1"/>
      <c r="XCS309" s="1"/>
      <c r="XCT309" s="1"/>
      <c r="XCU309" s="1"/>
      <c r="XCV309" s="1"/>
      <c r="XCW309" s="1"/>
      <c r="XCX309" s="1"/>
      <c r="XCY309" s="1"/>
      <c r="XCZ309" s="1"/>
      <c r="XDA309" s="1"/>
      <c r="XDB309" s="1"/>
      <c r="XDC309" s="1"/>
      <c r="XDD309" s="1"/>
      <c r="XDE309" s="1"/>
      <c r="XDF309" s="1"/>
      <c r="XDG309" s="1"/>
      <c r="XDH309" s="1"/>
      <c r="XDI309" s="1"/>
      <c r="XDJ309" s="1"/>
      <c r="XDK309" s="1"/>
      <c r="XDL309" s="1"/>
      <c r="XDM309" s="1"/>
      <c r="XDN309" s="1"/>
      <c r="XDO309" s="1"/>
      <c r="XDP309" s="1"/>
      <c r="XDQ309" s="1"/>
      <c r="XDR309" s="1"/>
      <c r="XDS309" s="1"/>
      <c r="XDT309" s="1"/>
      <c r="XDU309" s="1"/>
      <c r="XDV309" s="1"/>
      <c r="XDW309" s="1"/>
      <c r="XDX309" s="1"/>
      <c r="XDY309" s="1"/>
      <c r="XDZ309" s="1"/>
      <c r="XEA309" s="1"/>
      <c r="XEB309" s="1"/>
      <c r="XEC309" s="1"/>
      <c r="XED309" s="1"/>
      <c r="XEE309" s="1"/>
      <c r="XEF309" s="1"/>
      <c r="XEG309" s="1"/>
      <c r="XEH309" s="1"/>
      <c r="XEI309" s="1"/>
      <c r="XEJ309" s="1"/>
      <c r="XEK309" s="1"/>
      <c r="XEL309" s="1"/>
      <c r="XEM309" s="1"/>
      <c r="XEN309" s="1"/>
      <c r="XEO309" s="1"/>
      <c r="XEP309" s="1"/>
      <c r="XEQ309" s="1"/>
      <c r="XER309" s="1"/>
      <c r="XES309" s="1"/>
      <c r="XET309" s="1"/>
      <c r="XEU309" s="1"/>
      <c r="XEV309" s="1"/>
      <c r="XEW309" s="1"/>
      <c r="XEX309" s="1"/>
      <c r="XEY309" s="1"/>
      <c r="XEZ309" s="1"/>
      <c r="XFA309" s="1"/>
      <c r="XFB309" s="1"/>
      <c r="XFC309" s="1"/>
    </row>
    <row r="310" spans="1:150 16226:16383" s="3" customFormat="1" ht="20.25" hidden="1" customHeight="1" x14ac:dyDescent="0.25">
      <c r="A310" s="139" t="str">
        <f t="shared" ca="1" si="35"/>
        <v>208 &amp; 508</v>
      </c>
      <c r="B310" s="139"/>
      <c r="C310" s="61"/>
      <c r="D310" s="61"/>
      <c r="E310" s="39"/>
      <c r="F310" s="38"/>
      <c r="G310" s="38"/>
      <c r="H310" s="38">
        <f t="shared" si="36"/>
        <v>0</v>
      </c>
      <c r="I310" s="1"/>
      <c r="J310" s="1"/>
      <c r="K310" s="1"/>
      <c r="L310" s="1"/>
      <c r="M310" s="1"/>
      <c r="N310" s="1"/>
      <c r="O310" s="1"/>
      <c r="P310" s="1"/>
      <c r="Q310" s="1"/>
      <c r="R310" s="1"/>
      <c r="S310" s="1"/>
      <c r="T310" s="23" t="str">
        <f t="shared" ca="1" si="37"/>
        <v>208 &amp; 508</v>
      </c>
      <c r="U310" s="23">
        <f t="shared" ca="1" si="38"/>
        <v>208</v>
      </c>
      <c r="V310" s="23">
        <f t="shared" ca="1" si="39"/>
        <v>508</v>
      </c>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WZB310" s="1"/>
      <c r="WZC310" s="1"/>
      <c r="WZD310" s="1"/>
      <c r="WZE310" s="1"/>
      <c r="WZF310" s="1"/>
      <c r="WZG310" s="1"/>
      <c r="WZH310" s="1"/>
      <c r="WZI310" s="1"/>
      <c r="WZJ310" s="1"/>
      <c r="WZK310" s="1"/>
      <c r="WZL310" s="1"/>
      <c r="WZM310" s="1"/>
      <c r="WZN310" s="1"/>
      <c r="WZO310" s="1"/>
      <c r="WZP310" s="1"/>
      <c r="WZQ310" s="1"/>
      <c r="WZR310" s="1"/>
      <c r="WZS310" s="1"/>
      <c r="WZT310" s="1"/>
      <c r="WZU310" s="1"/>
      <c r="WZV310" s="1"/>
      <c r="WZW310" s="1"/>
      <c r="WZX310" s="1"/>
      <c r="WZY310" s="1"/>
      <c r="WZZ310" s="1"/>
      <c r="XAA310" s="1"/>
      <c r="XAB310" s="1"/>
      <c r="XAC310" s="1"/>
      <c r="XAD310" s="1"/>
      <c r="XAE310" s="1"/>
      <c r="XAF310" s="1"/>
      <c r="XAG310" s="1"/>
      <c r="XAH310" s="1"/>
      <c r="XAI310" s="1"/>
      <c r="XAJ310" s="1"/>
      <c r="XAK310" s="1"/>
      <c r="XAL310" s="1"/>
      <c r="XAM310" s="1"/>
      <c r="XAN310" s="1"/>
      <c r="XAO310" s="1"/>
      <c r="XAP310" s="1"/>
      <c r="XAQ310" s="1"/>
      <c r="XAR310" s="1"/>
      <c r="XAS310" s="1"/>
      <c r="XAT310" s="1"/>
      <c r="XAU310" s="1"/>
      <c r="XAV310" s="1"/>
      <c r="XAW310" s="1"/>
      <c r="XAX310" s="1"/>
      <c r="XAY310" s="1"/>
      <c r="XAZ310" s="1"/>
      <c r="XBA310" s="1"/>
      <c r="XBB310" s="1"/>
      <c r="XBC310" s="1"/>
      <c r="XBD310" s="1"/>
      <c r="XBE310" s="1"/>
      <c r="XBF310" s="1"/>
      <c r="XBG310" s="1"/>
      <c r="XBH310" s="1"/>
      <c r="XBI310" s="1"/>
      <c r="XBJ310" s="1"/>
      <c r="XBK310" s="1"/>
      <c r="XBL310" s="1"/>
      <c r="XBM310" s="1"/>
      <c r="XBN310" s="1"/>
      <c r="XBO310" s="1"/>
      <c r="XBP310" s="1"/>
      <c r="XBQ310" s="1"/>
      <c r="XBR310" s="1"/>
      <c r="XBS310" s="1"/>
      <c r="XBT310" s="1"/>
      <c r="XBU310" s="1"/>
      <c r="XBV310" s="1"/>
      <c r="XBW310" s="1"/>
      <c r="XBX310" s="1"/>
      <c r="XBY310" s="1"/>
      <c r="XBZ310" s="1"/>
      <c r="XCA310" s="1"/>
      <c r="XCB310" s="1"/>
      <c r="XCC310" s="1"/>
      <c r="XCD310" s="1"/>
      <c r="XCE310" s="1"/>
      <c r="XCF310" s="1"/>
      <c r="XCG310" s="1"/>
      <c r="XCH310" s="1"/>
      <c r="XCI310" s="1"/>
      <c r="XCJ310" s="1"/>
      <c r="XCK310" s="1"/>
      <c r="XCL310" s="1"/>
      <c r="XCM310" s="1"/>
      <c r="XCN310" s="1"/>
      <c r="XCO310" s="1"/>
      <c r="XCP310" s="1"/>
      <c r="XCQ310" s="1"/>
      <c r="XCR310" s="1"/>
      <c r="XCS310" s="1"/>
      <c r="XCT310" s="1"/>
      <c r="XCU310" s="1"/>
      <c r="XCV310" s="1"/>
      <c r="XCW310" s="1"/>
      <c r="XCX310" s="1"/>
      <c r="XCY310" s="1"/>
      <c r="XCZ310" s="1"/>
      <c r="XDA310" s="1"/>
      <c r="XDB310" s="1"/>
      <c r="XDC310" s="1"/>
      <c r="XDD310" s="1"/>
      <c r="XDE310" s="1"/>
      <c r="XDF310" s="1"/>
      <c r="XDG310" s="1"/>
      <c r="XDH310" s="1"/>
      <c r="XDI310" s="1"/>
      <c r="XDJ310" s="1"/>
      <c r="XDK310" s="1"/>
      <c r="XDL310" s="1"/>
      <c r="XDM310" s="1"/>
      <c r="XDN310" s="1"/>
      <c r="XDO310" s="1"/>
      <c r="XDP310" s="1"/>
      <c r="XDQ310" s="1"/>
      <c r="XDR310" s="1"/>
      <c r="XDS310" s="1"/>
      <c r="XDT310" s="1"/>
      <c r="XDU310" s="1"/>
      <c r="XDV310" s="1"/>
      <c r="XDW310" s="1"/>
      <c r="XDX310" s="1"/>
      <c r="XDY310" s="1"/>
      <c r="XDZ310" s="1"/>
      <c r="XEA310" s="1"/>
      <c r="XEB310" s="1"/>
      <c r="XEC310" s="1"/>
      <c r="XED310" s="1"/>
      <c r="XEE310" s="1"/>
      <c r="XEF310" s="1"/>
      <c r="XEG310" s="1"/>
      <c r="XEH310" s="1"/>
      <c r="XEI310" s="1"/>
      <c r="XEJ310" s="1"/>
      <c r="XEK310" s="1"/>
      <c r="XEL310" s="1"/>
      <c r="XEM310" s="1"/>
      <c r="XEN310" s="1"/>
      <c r="XEO310" s="1"/>
      <c r="XEP310" s="1"/>
      <c r="XEQ310" s="1"/>
      <c r="XER310" s="1"/>
      <c r="XES310" s="1"/>
      <c r="XET310" s="1"/>
      <c r="XEU310" s="1"/>
      <c r="XEV310" s="1"/>
      <c r="XEW310" s="1"/>
      <c r="XEX310" s="1"/>
      <c r="XEY310" s="1"/>
      <c r="XEZ310" s="1"/>
      <c r="XFA310" s="1"/>
      <c r="XFB310" s="1"/>
      <c r="XFC310" s="1"/>
    </row>
    <row r="311" spans="1:150 16226:16383" ht="20.25" x14ac:dyDescent="0.25">
      <c r="A311" s="121" t="s">
        <v>69</v>
      </c>
      <c r="B311" s="121"/>
      <c r="C311" s="121"/>
      <c r="D311" s="121"/>
      <c r="E311" s="121"/>
      <c r="F311" s="121"/>
      <c r="G311" s="121"/>
      <c r="H311" s="121"/>
    </row>
    <row r="312" spans="1:150 16226:16383" ht="67.5" customHeight="1" x14ac:dyDescent="0.25">
      <c r="A312" s="44" t="s">
        <v>236</v>
      </c>
      <c r="B312" s="192" t="s">
        <v>373</v>
      </c>
      <c r="C312" s="193"/>
      <c r="D312" s="193"/>
      <c r="E312" s="193"/>
      <c r="F312" s="193"/>
      <c r="G312" s="193"/>
      <c r="H312" s="194"/>
    </row>
    <row r="313" spans="1:150 16226:16383" ht="20.25" x14ac:dyDescent="0.25">
      <c r="A313" s="44" t="s">
        <v>236</v>
      </c>
      <c r="B313" s="165" t="s">
        <v>237</v>
      </c>
      <c r="C313" s="166"/>
      <c r="D313" s="166"/>
      <c r="E313" s="166"/>
      <c r="F313" s="166"/>
      <c r="G313" s="166"/>
      <c r="H313" s="167"/>
    </row>
    <row r="314" spans="1:150 16226:16383" ht="20.25" x14ac:dyDescent="0.25">
      <c r="A314" s="44" t="s">
        <v>236</v>
      </c>
      <c r="B314" s="165" t="s">
        <v>367</v>
      </c>
      <c r="C314" s="166"/>
      <c r="D314" s="166"/>
      <c r="E314" s="166"/>
      <c r="F314" s="166"/>
      <c r="G314" s="166"/>
      <c r="H314" s="167"/>
    </row>
    <row r="315" spans="1:150 16226:16383" ht="20.25" x14ac:dyDescent="0.25">
      <c r="A315" s="44" t="s">
        <v>236</v>
      </c>
      <c r="B315" s="165" t="s">
        <v>238</v>
      </c>
      <c r="C315" s="166"/>
      <c r="D315" s="166"/>
      <c r="E315" s="166"/>
      <c r="F315" s="166"/>
      <c r="G315" s="166"/>
      <c r="H315" s="167"/>
    </row>
    <row r="316" spans="1:150 16226:16383" ht="20.25" x14ac:dyDescent="0.25">
      <c r="A316" s="44" t="s">
        <v>236</v>
      </c>
      <c r="B316" s="165" t="s">
        <v>239</v>
      </c>
      <c r="C316" s="166"/>
      <c r="D316" s="166"/>
      <c r="E316" s="166"/>
      <c r="F316" s="166"/>
      <c r="G316" s="166"/>
      <c r="H316" s="167"/>
    </row>
    <row r="317" spans="1:150 16226:16383" ht="24.75" hidden="1" customHeight="1" x14ac:dyDescent="0.25">
      <c r="A317" s="44" t="s">
        <v>236</v>
      </c>
      <c r="B317" s="191" t="s">
        <v>241</v>
      </c>
      <c r="C317" s="166"/>
      <c r="D317" s="166"/>
      <c r="E317" s="166"/>
      <c r="F317" s="166"/>
      <c r="G317" s="166"/>
      <c r="H317" s="167"/>
    </row>
    <row r="318" spans="1:150 16226:16383" ht="46.5" hidden="1" customHeight="1" x14ac:dyDescent="0.25">
      <c r="A318" s="2" t="s">
        <v>236</v>
      </c>
      <c r="B318" s="191" t="s">
        <v>240</v>
      </c>
      <c r="C318" s="166"/>
      <c r="D318" s="166"/>
      <c r="E318" s="166"/>
      <c r="F318" s="166"/>
      <c r="G318" s="166"/>
      <c r="H318" s="167"/>
    </row>
    <row r="319" spans="1:150 16226:16383" ht="20.25" x14ac:dyDescent="0.25">
      <c r="A319" s="164" t="s">
        <v>75</v>
      </c>
      <c r="B319" s="164"/>
      <c r="C319" s="164"/>
      <c r="D319" s="164"/>
      <c r="E319" s="164"/>
      <c r="F319" s="164"/>
      <c r="G319" s="164"/>
      <c r="H319" s="164"/>
    </row>
    <row r="320" spans="1:150 16226:16383" ht="20.25" x14ac:dyDescent="0.25">
      <c r="A320" s="134" t="s">
        <v>70</v>
      </c>
      <c r="B320" s="134"/>
      <c r="C320" s="134"/>
      <c r="D320" s="165" t="str">
        <f>C3</f>
        <v>Shreeji Milestone</v>
      </c>
      <c r="E320" s="166"/>
      <c r="F320" s="166"/>
      <c r="G320" s="166"/>
      <c r="H320" s="167"/>
    </row>
    <row r="321" spans="1:8" ht="40.5" customHeight="1" x14ac:dyDescent="0.25">
      <c r="A321" s="134" t="s">
        <v>104</v>
      </c>
      <c r="B321" s="134"/>
      <c r="C321" s="134"/>
      <c r="D321" s="165" t="str">
        <f>C9</f>
        <v>Shreeji Milestone, Survey No. 48, Plot No. 0 1 At Badlapur (M Cl), Ambarnath, Thane, 421503</v>
      </c>
      <c r="E321" s="166"/>
      <c r="F321" s="166"/>
      <c r="G321" s="166"/>
      <c r="H321" s="167"/>
    </row>
    <row r="322" spans="1:8" ht="20.25" customHeight="1" x14ac:dyDescent="0.25">
      <c r="A322" s="177" t="s">
        <v>110</v>
      </c>
      <c r="B322" s="177"/>
      <c r="C322" s="177"/>
      <c r="D322" s="165" t="str">
        <f>G3</f>
        <v>05/07/2025 at 02:56PM</v>
      </c>
      <c r="E322" s="166"/>
      <c r="F322" s="166"/>
      <c r="G322" s="166"/>
      <c r="H322" s="167"/>
    </row>
    <row r="323" spans="1:8" ht="20.25" x14ac:dyDescent="0.25">
      <c r="A323" s="10"/>
      <c r="B323" s="11"/>
      <c r="C323" s="11"/>
      <c r="D323" s="11"/>
      <c r="E323" s="11"/>
      <c r="F323" s="11"/>
      <c r="G323" s="11"/>
      <c r="H323" s="7"/>
    </row>
    <row r="324" spans="1:8" ht="20.25" x14ac:dyDescent="0.25">
      <c r="A324" s="12"/>
      <c r="B324" s="13"/>
      <c r="C324" s="13"/>
      <c r="D324" s="13"/>
      <c r="E324" s="13"/>
      <c r="F324" s="13"/>
      <c r="G324" s="13"/>
      <c r="H324" s="8"/>
    </row>
    <row r="325" spans="1:8" ht="20.25" x14ac:dyDescent="0.25">
      <c r="A325" s="12"/>
      <c r="B325" s="13"/>
      <c r="C325" s="13"/>
      <c r="D325" s="13"/>
      <c r="E325" s="13"/>
      <c r="F325" s="13"/>
      <c r="G325" s="13"/>
      <c r="H325" s="8"/>
    </row>
    <row r="326" spans="1:8" ht="20.25" x14ac:dyDescent="0.25">
      <c r="A326" s="12"/>
      <c r="B326" s="13"/>
      <c r="C326" s="13"/>
      <c r="D326" s="13"/>
      <c r="E326" s="13"/>
      <c r="F326" s="13"/>
      <c r="G326" s="13"/>
      <c r="H326" s="8"/>
    </row>
    <row r="327" spans="1:8" ht="20.25" x14ac:dyDescent="0.25">
      <c r="A327" s="12"/>
      <c r="B327" s="13"/>
      <c r="C327" s="13"/>
      <c r="D327" s="13"/>
      <c r="E327" s="13"/>
      <c r="F327" s="13"/>
      <c r="G327" s="13"/>
      <c r="H327" s="8"/>
    </row>
    <row r="328" spans="1:8" ht="20.25" x14ac:dyDescent="0.25">
      <c r="A328" s="12"/>
      <c r="B328" s="13"/>
      <c r="C328" s="13"/>
      <c r="D328" s="13"/>
      <c r="E328" s="13"/>
      <c r="F328" s="13"/>
      <c r="G328" s="13"/>
      <c r="H328" s="8"/>
    </row>
    <row r="329" spans="1:8" ht="20.25" x14ac:dyDescent="0.25">
      <c r="A329" s="12"/>
      <c r="B329" s="13"/>
      <c r="C329" s="13"/>
      <c r="D329" s="13"/>
      <c r="E329" s="13"/>
      <c r="F329" s="13"/>
      <c r="G329" s="13"/>
      <c r="H329" s="8"/>
    </row>
    <row r="330" spans="1:8" ht="20.25" x14ac:dyDescent="0.25">
      <c r="A330" s="12"/>
      <c r="B330" s="13"/>
      <c r="C330" s="13"/>
      <c r="D330" s="13"/>
      <c r="E330" s="13"/>
      <c r="F330" s="13"/>
      <c r="G330" s="13"/>
      <c r="H330" s="8"/>
    </row>
    <row r="331" spans="1:8" ht="20.25" x14ac:dyDescent="0.25">
      <c r="A331" s="12"/>
      <c r="B331" s="13"/>
      <c r="C331" s="13"/>
      <c r="D331" s="13"/>
      <c r="E331" s="13"/>
      <c r="F331" s="13"/>
      <c r="G331" s="13"/>
      <c r="H331" s="8"/>
    </row>
    <row r="332" spans="1:8" ht="20.25" x14ac:dyDescent="0.25">
      <c r="A332" s="12"/>
      <c r="B332" s="13"/>
      <c r="C332" s="13"/>
      <c r="D332" s="13"/>
      <c r="E332" s="13"/>
      <c r="F332" s="13"/>
      <c r="G332" s="13"/>
      <c r="H332" s="8"/>
    </row>
    <row r="333" spans="1:8" ht="20.25" x14ac:dyDescent="0.25">
      <c r="A333" s="12"/>
      <c r="B333" s="13"/>
      <c r="C333" s="13"/>
      <c r="D333" s="13"/>
      <c r="E333" s="13"/>
      <c r="F333" s="13"/>
      <c r="G333" s="13"/>
      <c r="H333" s="8"/>
    </row>
    <row r="334" spans="1:8" ht="20.25" x14ac:dyDescent="0.25">
      <c r="A334" s="12"/>
      <c r="B334" s="13"/>
      <c r="C334" s="13"/>
      <c r="D334" s="13"/>
      <c r="E334" s="13"/>
      <c r="F334" s="13"/>
      <c r="G334" s="13"/>
      <c r="H334" s="8"/>
    </row>
    <row r="335" spans="1:8" ht="20.25" x14ac:dyDescent="0.25">
      <c r="A335" s="12"/>
      <c r="B335" s="13"/>
      <c r="C335" s="13"/>
      <c r="D335" s="13"/>
      <c r="E335" s="13"/>
      <c r="F335" s="13"/>
      <c r="G335" s="13"/>
      <c r="H335" s="8"/>
    </row>
    <row r="336" spans="1:8" ht="20.25" x14ac:dyDescent="0.25">
      <c r="A336" s="12"/>
      <c r="B336" s="13"/>
      <c r="C336" s="13"/>
      <c r="D336" s="13"/>
      <c r="E336" s="13"/>
      <c r="F336" s="13"/>
      <c r="G336" s="13"/>
      <c r="H336" s="8"/>
    </row>
    <row r="337" spans="1:8" ht="20.25" x14ac:dyDescent="0.25">
      <c r="A337" s="12"/>
      <c r="B337" s="13"/>
      <c r="C337" s="13"/>
      <c r="D337" s="13"/>
      <c r="E337" s="13"/>
      <c r="F337" s="13"/>
      <c r="G337" s="13"/>
      <c r="H337" s="8"/>
    </row>
    <row r="338" spans="1:8" ht="20.25" x14ac:dyDescent="0.25">
      <c r="A338" s="12"/>
      <c r="B338" s="13"/>
      <c r="C338" s="13"/>
      <c r="D338" s="13"/>
      <c r="E338" s="13"/>
      <c r="F338" s="13"/>
      <c r="G338" s="13"/>
      <c r="H338" s="8"/>
    </row>
    <row r="339" spans="1:8" ht="20.25" x14ac:dyDescent="0.25">
      <c r="A339" s="12"/>
      <c r="B339" s="13"/>
      <c r="C339" s="13"/>
      <c r="D339" s="13"/>
      <c r="E339" s="13"/>
      <c r="F339" s="13"/>
      <c r="G339" s="13"/>
      <c r="H339" s="8"/>
    </row>
    <row r="340" spans="1:8" ht="20.25" x14ac:dyDescent="0.25">
      <c r="A340" s="12"/>
      <c r="B340" s="13"/>
      <c r="C340" s="13"/>
      <c r="D340" s="13"/>
      <c r="E340" s="13"/>
      <c r="F340" s="13"/>
      <c r="G340" s="13"/>
      <c r="H340" s="8"/>
    </row>
    <row r="341" spans="1:8" ht="20.25" x14ac:dyDescent="0.25">
      <c r="A341" s="12"/>
      <c r="B341" s="13"/>
      <c r="C341" s="13"/>
      <c r="D341" s="13"/>
      <c r="E341" s="13"/>
      <c r="F341" s="13"/>
      <c r="G341" s="13"/>
      <c r="H341" s="8"/>
    </row>
    <row r="342" spans="1:8" ht="20.25" x14ac:dyDescent="0.25">
      <c r="A342" s="12"/>
      <c r="B342" s="13"/>
      <c r="C342" s="13"/>
      <c r="D342" s="13"/>
      <c r="E342" s="13"/>
      <c r="F342" s="13"/>
      <c r="G342" s="13"/>
      <c r="H342" s="8"/>
    </row>
    <row r="343" spans="1:8" ht="20.25" x14ac:dyDescent="0.25">
      <c r="A343" s="12"/>
      <c r="B343" s="13"/>
      <c r="C343" s="13"/>
      <c r="D343" s="13"/>
      <c r="E343" s="13"/>
      <c r="F343" s="13"/>
      <c r="G343" s="13"/>
      <c r="H343" s="8"/>
    </row>
    <row r="344" spans="1:8" ht="20.25" x14ac:dyDescent="0.25">
      <c r="A344" s="12"/>
      <c r="B344" s="13"/>
      <c r="C344" s="13"/>
      <c r="D344" s="13"/>
      <c r="E344" s="13"/>
      <c r="F344" s="13"/>
      <c r="G344" s="13"/>
      <c r="H344" s="8"/>
    </row>
    <row r="345" spans="1:8" ht="20.25" x14ac:dyDescent="0.25">
      <c r="A345" s="12"/>
      <c r="B345" s="13"/>
      <c r="C345" s="13"/>
      <c r="D345" s="13"/>
      <c r="E345" s="13"/>
      <c r="F345" s="13"/>
      <c r="G345" s="13"/>
      <c r="H345" s="8"/>
    </row>
    <row r="346" spans="1:8" ht="20.25" x14ac:dyDescent="0.25">
      <c r="A346" s="12"/>
      <c r="B346" s="13"/>
      <c r="C346" s="13"/>
      <c r="D346" s="13"/>
      <c r="E346" s="13"/>
      <c r="F346" s="13"/>
      <c r="G346" s="13"/>
      <c r="H346" s="8"/>
    </row>
    <row r="347" spans="1:8" ht="20.25" x14ac:dyDescent="0.25">
      <c r="A347" s="12"/>
      <c r="B347" s="13"/>
      <c r="C347" s="13"/>
      <c r="D347" s="13"/>
      <c r="E347" s="13"/>
      <c r="F347" s="13"/>
      <c r="G347" s="13"/>
      <c r="H347" s="8"/>
    </row>
    <row r="348" spans="1:8" ht="20.25" x14ac:dyDescent="0.25">
      <c r="A348" s="12"/>
      <c r="B348" s="13"/>
      <c r="C348" s="13"/>
      <c r="D348" s="13"/>
      <c r="E348" s="13"/>
      <c r="F348" s="13"/>
      <c r="G348" s="13"/>
      <c r="H348" s="8"/>
    </row>
    <row r="349" spans="1:8" ht="20.25" x14ac:dyDescent="0.25">
      <c r="A349" s="12"/>
      <c r="B349" s="13"/>
      <c r="C349" s="13"/>
      <c r="D349" s="13"/>
      <c r="E349" s="13"/>
      <c r="F349" s="13"/>
      <c r="G349" s="13"/>
      <c r="H349" s="8"/>
    </row>
    <row r="350" spans="1:8" ht="20.25" x14ac:dyDescent="0.25">
      <c r="A350" s="12"/>
      <c r="B350" s="13"/>
      <c r="C350" s="13"/>
      <c r="D350" s="13"/>
      <c r="E350" s="13"/>
      <c r="F350" s="13"/>
      <c r="G350" s="13"/>
      <c r="H350" s="8"/>
    </row>
    <row r="351" spans="1:8" ht="20.25" x14ac:dyDescent="0.25">
      <c r="A351" s="12"/>
      <c r="B351" s="13"/>
      <c r="C351" s="13"/>
      <c r="D351" s="13"/>
      <c r="E351" s="13"/>
      <c r="F351" s="13"/>
      <c r="G351" s="13"/>
      <c r="H351" s="8"/>
    </row>
    <row r="352" spans="1:8" ht="20.25" x14ac:dyDescent="0.25">
      <c r="A352" s="12"/>
      <c r="B352" s="13"/>
      <c r="C352" s="13"/>
      <c r="D352" s="13"/>
      <c r="E352" s="13"/>
      <c r="F352" s="13"/>
      <c r="G352" s="13"/>
      <c r="H352" s="8"/>
    </row>
    <row r="353" spans="1:8" ht="20.25" x14ac:dyDescent="0.25">
      <c r="A353" s="12"/>
      <c r="B353" s="13"/>
      <c r="C353" s="13"/>
      <c r="D353" s="13"/>
      <c r="E353" s="13"/>
      <c r="F353" s="13"/>
      <c r="G353" s="13"/>
      <c r="H353" s="8"/>
    </row>
    <row r="354" spans="1:8" ht="20.25" x14ac:dyDescent="0.25">
      <c r="A354" s="12"/>
      <c r="B354" s="13"/>
      <c r="C354" s="13"/>
      <c r="D354" s="13"/>
      <c r="E354" s="13"/>
      <c r="F354" s="13"/>
      <c r="G354" s="13"/>
      <c r="H354" s="8"/>
    </row>
    <row r="355" spans="1:8" ht="20.25" x14ac:dyDescent="0.25">
      <c r="A355" s="12"/>
      <c r="B355" s="13"/>
      <c r="C355" s="13"/>
      <c r="D355" s="13"/>
      <c r="E355" s="13"/>
      <c r="F355" s="13"/>
      <c r="G355" s="13"/>
      <c r="H355" s="8"/>
    </row>
    <row r="356" spans="1:8" ht="20.25" x14ac:dyDescent="0.25">
      <c r="A356" s="12"/>
      <c r="B356" s="13"/>
      <c r="C356" s="13"/>
      <c r="D356" s="13"/>
      <c r="E356" s="13"/>
      <c r="F356" s="13"/>
      <c r="G356" s="13"/>
      <c r="H356" s="8"/>
    </row>
    <row r="357" spans="1:8" ht="20.25" x14ac:dyDescent="0.25">
      <c r="A357" s="12"/>
      <c r="B357" s="13"/>
      <c r="C357" s="13"/>
      <c r="D357" s="13"/>
      <c r="E357" s="13"/>
      <c r="F357" s="13"/>
      <c r="G357" s="13"/>
      <c r="H357" s="8"/>
    </row>
    <row r="358" spans="1:8" ht="20.25" x14ac:dyDescent="0.25">
      <c r="A358" s="12"/>
      <c r="B358" s="13"/>
      <c r="C358" s="13"/>
      <c r="D358" s="13"/>
      <c r="E358" s="13"/>
      <c r="F358" s="13"/>
      <c r="G358" s="13"/>
      <c r="H358" s="8"/>
    </row>
    <row r="359" spans="1:8" ht="20.25" x14ac:dyDescent="0.25">
      <c r="A359" s="12"/>
      <c r="B359" s="13"/>
      <c r="C359" s="13"/>
      <c r="D359" s="13"/>
      <c r="E359" s="13"/>
      <c r="F359" s="13"/>
      <c r="G359" s="13"/>
      <c r="H359" s="8"/>
    </row>
    <row r="360" spans="1:8" ht="20.25" x14ac:dyDescent="0.25">
      <c r="A360" s="12"/>
      <c r="B360" s="13"/>
      <c r="C360" s="13"/>
      <c r="D360" s="13"/>
      <c r="E360" s="13"/>
      <c r="F360" s="13"/>
      <c r="G360" s="13"/>
      <c r="H360" s="8"/>
    </row>
    <row r="361" spans="1:8" ht="20.25" x14ac:dyDescent="0.25">
      <c r="A361" s="12"/>
      <c r="B361" s="13"/>
      <c r="C361" s="13"/>
      <c r="D361" s="13"/>
      <c r="E361" s="13"/>
      <c r="F361" s="13"/>
      <c r="G361" s="13"/>
      <c r="H361" s="8"/>
    </row>
    <row r="362" spans="1:8" ht="20.25" x14ac:dyDescent="0.25">
      <c r="A362" s="12"/>
      <c r="B362" s="13"/>
      <c r="C362" s="13"/>
      <c r="D362" s="13"/>
      <c r="E362" s="13"/>
      <c r="F362" s="13"/>
      <c r="G362" s="13"/>
      <c r="H362" s="8"/>
    </row>
    <row r="363" spans="1:8" ht="20.25" x14ac:dyDescent="0.25">
      <c r="A363" s="12"/>
      <c r="B363" s="13"/>
      <c r="C363" s="13"/>
      <c r="D363" s="13"/>
      <c r="E363" s="13"/>
      <c r="F363" s="13"/>
      <c r="G363" s="13"/>
      <c r="H363" s="8"/>
    </row>
    <row r="364" spans="1:8" ht="20.25" x14ac:dyDescent="0.25">
      <c r="A364" s="12"/>
      <c r="B364" s="13"/>
      <c r="C364" s="13"/>
      <c r="D364" s="13"/>
      <c r="E364" s="13"/>
      <c r="F364" s="13"/>
      <c r="G364" s="13"/>
      <c r="H364" s="8"/>
    </row>
    <row r="365" spans="1:8" ht="20.25" x14ac:dyDescent="0.25">
      <c r="A365" s="12"/>
      <c r="B365" s="13"/>
      <c r="C365" s="13"/>
      <c r="D365" s="13"/>
      <c r="E365" s="13"/>
      <c r="F365" s="13"/>
      <c r="G365" s="13"/>
      <c r="H365" s="8"/>
    </row>
    <row r="366" spans="1:8" ht="20.25" x14ac:dyDescent="0.25">
      <c r="A366" s="14"/>
      <c r="B366" s="15"/>
      <c r="C366" s="15"/>
      <c r="D366" s="15"/>
      <c r="E366" s="15"/>
      <c r="F366" s="15"/>
      <c r="G366" s="15"/>
      <c r="H366" s="9"/>
    </row>
    <row r="367" spans="1:8" ht="20.25" x14ac:dyDescent="0.25">
      <c r="A367" s="121" t="s">
        <v>160</v>
      </c>
      <c r="B367" s="121"/>
      <c r="C367" s="121"/>
      <c r="D367" s="121"/>
      <c r="E367" s="121"/>
      <c r="F367" s="121"/>
      <c r="G367" s="121"/>
      <c r="H367" s="121"/>
    </row>
    <row r="368" spans="1:8" ht="20.25" x14ac:dyDescent="0.25">
      <c r="A368" s="10"/>
      <c r="B368" s="11"/>
      <c r="C368" s="11"/>
      <c r="D368" s="11"/>
      <c r="E368" s="11"/>
      <c r="F368" s="11"/>
      <c r="G368" s="11"/>
      <c r="H368" s="7"/>
    </row>
    <row r="369" spans="1:8" ht="20.25" x14ac:dyDescent="0.25">
      <c r="A369" s="12"/>
      <c r="B369" s="62"/>
      <c r="C369" s="62"/>
      <c r="D369" s="62"/>
      <c r="E369" s="62"/>
      <c r="F369" s="62"/>
      <c r="G369" s="62"/>
      <c r="H369" s="8"/>
    </row>
    <row r="370" spans="1:8" ht="20.25" x14ac:dyDescent="0.25">
      <c r="A370" s="12"/>
      <c r="B370" s="62"/>
      <c r="C370" s="62"/>
      <c r="D370" s="62"/>
      <c r="E370" s="62"/>
      <c r="F370" s="62"/>
      <c r="G370" s="62"/>
      <c r="H370" s="8"/>
    </row>
    <row r="371" spans="1:8" ht="20.25" x14ac:dyDescent="0.25">
      <c r="A371" s="12"/>
      <c r="B371" s="62"/>
      <c r="C371" s="62"/>
      <c r="D371" s="62"/>
      <c r="E371" s="62"/>
      <c r="F371" s="62"/>
      <c r="G371" s="62"/>
      <c r="H371" s="8"/>
    </row>
    <row r="372" spans="1:8" ht="20.25" x14ac:dyDescent="0.25">
      <c r="A372" s="12"/>
      <c r="B372" s="62"/>
      <c r="C372" s="62"/>
      <c r="D372" s="62"/>
      <c r="E372" s="62"/>
      <c r="F372" s="62"/>
      <c r="G372" s="62"/>
      <c r="H372" s="8"/>
    </row>
    <row r="373" spans="1:8" ht="20.25" x14ac:dyDescent="0.25">
      <c r="A373" s="12"/>
      <c r="B373" s="62"/>
      <c r="C373" s="62"/>
      <c r="D373" s="62"/>
      <c r="E373" s="62"/>
      <c r="F373" s="62"/>
      <c r="G373" s="62"/>
      <c r="H373" s="8"/>
    </row>
    <row r="374" spans="1:8" ht="20.25" x14ac:dyDescent="0.25">
      <c r="A374" s="12"/>
      <c r="B374" s="62"/>
      <c r="C374" s="62"/>
      <c r="D374" s="62"/>
      <c r="E374" s="62"/>
      <c r="F374" s="62"/>
      <c r="G374" s="62"/>
      <c r="H374" s="8"/>
    </row>
    <row r="375" spans="1:8" ht="20.25" x14ac:dyDescent="0.25">
      <c r="A375" s="12"/>
      <c r="B375" s="62"/>
      <c r="C375" s="62"/>
      <c r="D375" s="62"/>
      <c r="E375" s="62"/>
      <c r="F375" s="62"/>
      <c r="G375" s="62"/>
      <c r="H375" s="8"/>
    </row>
    <row r="376" spans="1:8" ht="20.25" x14ac:dyDescent="0.25">
      <c r="A376" s="12"/>
      <c r="B376" s="62"/>
      <c r="C376" s="62"/>
      <c r="D376" s="62"/>
      <c r="E376" s="62"/>
      <c r="F376" s="62"/>
      <c r="G376" s="62"/>
      <c r="H376" s="8"/>
    </row>
    <row r="377" spans="1:8" ht="20.25" x14ac:dyDescent="0.25">
      <c r="A377" s="12"/>
      <c r="B377" s="62"/>
      <c r="C377" s="62"/>
      <c r="D377" s="62"/>
      <c r="E377" s="62"/>
      <c r="F377" s="62"/>
      <c r="G377" s="62"/>
      <c r="H377" s="8"/>
    </row>
    <row r="378" spans="1:8" ht="20.25" x14ac:dyDescent="0.25">
      <c r="A378" s="12"/>
      <c r="B378" s="62"/>
      <c r="C378" s="62"/>
      <c r="D378" s="62"/>
      <c r="E378" s="62"/>
      <c r="F378" s="62"/>
      <c r="G378" s="62"/>
      <c r="H378" s="8"/>
    </row>
    <row r="379" spans="1:8" ht="20.25" x14ac:dyDescent="0.25">
      <c r="A379" s="12"/>
      <c r="B379" s="62"/>
      <c r="C379" s="62"/>
      <c r="D379" s="62"/>
      <c r="E379" s="62"/>
      <c r="F379" s="62"/>
      <c r="G379" s="62"/>
      <c r="H379" s="8"/>
    </row>
    <row r="380" spans="1:8" ht="20.25" x14ac:dyDescent="0.25">
      <c r="A380" s="12"/>
      <c r="B380" s="62"/>
      <c r="C380" s="62"/>
      <c r="D380" s="62"/>
      <c r="E380" s="62"/>
      <c r="F380" s="62"/>
      <c r="G380" s="62"/>
      <c r="H380" s="8"/>
    </row>
    <row r="381" spans="1:8" ht="20.25" x14ac:dyDescent="0.25">
      <c r="A381" s="12"/>
      <c r="B381" s="62"/>
      <c r="C381" s="62"/>
      <c r="D381" s="62"/>
      <c r="E381" s="62"/>
      <c r="F381" s="62"/>
      <c r="G381" s="62"/>
      <c r="H381" s="8"/>
    </row>
    <row r="382" spans="1:8" ht="20.25" x14ac:dyDescent="0.25">
      <c r="A382" s="12"/>
      <c r="B382" s="62"/>
      <c r="C382" s="62"/>
      <c r="D382" s="62"/>
      <c r="E382" s="62"/>
      <c r="F382" s="62"/>
      <c r="G382" s="62"/>
      <c r="H382" s="8"/>
    </row>
    <row r="383" spans="1:8" ht="20.25" x14ac:dyDescent="0.25">
      <c r="A383" s="12"/>
      <c r="B383" s="62"/>
      <c r="C383" s="62"/>
      <c r="D383" s="62"/>
      <c r="E383" s="62"/>
      <c r="F383" s="62"/>
      <c r="G383" s="62"/>
      <c r="H383" s="8"/>
    </row>
    <row r="384" spans="1:8" ht="20.25" x14ac:dyDescent="0.25">
      <c r="A384" s="12"/>
      <c r="B384" s="62"/>
      <c r="C384" s="62"/>
      <c r="D384" s="62"/>
      <c r="E384" s="62"/>
      <c r="F384" s="62"/>
      <c r="G384" s="62"/>
      <c r="H384" s="8"/>
    </row>
    <row r="385" spans="1:8" ht="20.25" x14ac:dyDescent="0.25">
      <c r="A385" s="12"/>
      <c r="B385" s="62"/>
      <c r="C385" s="62"/>
      <c r="D385" s="62"/>
      <c r="E385" s="62"/>
      <c r="F385" s="62"/>
      <c r="G385" s="62"/>
      <c r="H385" s="8"/>
    </row>
    <row r="386" spans="1:8" ht="20.25" x14ac:dyDescent="0.25">
      <c r="A386" s="12"/>
      <c r="B386" s="62"/>
      <c r="C386" s="62"/>
      <c r="D386" s="62"/>
      <c r="E386" s="62"/>
      <c r="F386" s="62"/>
      <c r="G386" s="62"/>
      <c r="H386" s="8"/>
    </row>
    <row r="387" spans="1:8" ht="20.25" x14ac:dyDescent="0.25">
      <c r="A387" s="12"/>
      <c r="B387" s="62"/>
      <c r="C387" s="62"/>
      <c r="D387" s="62"/>
      <c r="E387" s="62"/>
      <c r="F387" s="62"/>
      <c r="G387" s="62"/>
      <c r="H387" s="8"/>
    </row>
    <row r="388" spans="1:8" ht="20.25" x14ac:dyDescent="0.25">
      <c r="A388" s="12"/>
      <c r="B388" s="62"/>
      <c r="C388" s="62"/>
      <c r="D388" s="62"/>
      <c r="E388" s="62"/>
      <c r="F388" s="62"/>
      <c r="G388" s="62"/>
      <c r="H388" s="8"/>
    </row>
    <row r="389" spans="1:8" ht="20.25" x14ac:dyDescent="0.25">
      <c r="A389" s="12"/>
      <c r="B389" s="62"/>
      <c r="C389" s="62"/>
      <c r="D389" s="62"/>
      <c r="E389" s="62"/>
      <c r="F389" s="62"/>
      <c r="G389" s="62"/>
      <c r="H389" s="8"/>
    </row>
    <row r="390" spans="1:8" ht="20.25" x14ac:dyDescent="0.25">
      <c r="A390" s="12"/>
      <c r="B390" s="62"/>
      <c r="C390" s="62"/>
      <c r="D390" s="62"/>
      <c r="E390" s="62"/>
      <c r="F390" s="62"/>
      <c r="G390" s="62"/>
      <c r="H390" s="8"/>
    </row>
    <row r="391" spans="1:8" ht="20.25" x14ac:dyDescent="0.25">
      <c r="A391" s="12"/>
      <c r="B391" s="62"/>
      <c r="C391" s="62"/>
      <c r="D391" s="62"/>
      <c r="E391" s="62"/>
      <c r="F391" s="62"/>
      <c r="G391" s="62"/>
      <c r="H391" s="8"/>
    </row>
    <row r="392" spans="1:8" ht="20.25" x14ac:dyDescent="0.25">
      <c r="A392" s="12"/>
      <c r="B392" s="62"/>
      <c r="C392" s="62"/>
      <c r="D392" s="62"/>
      <c r="E392" s="62"/>
      <c r="F392" s="62"/>
      <c r="G392" s="62"/>
      <c r="H392" s="8"/>
    </row>
    <row r="393" spans="1:8" ht="20.25" x14ac:dyDescent="0.25">
      <c r="A393" s="12"/>
      <c r="B393" s="62"/>
      <c r="C393" s="62"/>
      <c r="D393" s="62"/>
      <c r="E393" s="62"/>
      <c r="F393" s="62"/>
      <c r="G393" s="62"/>
      <c r="H393" s="8"/>
    </row>
    <row r="394" spans="1:8" ht="20.25" x14ac:dyDescent="0.25">
      <c r="A394" s="12"/>
      <c r="B394" s="62"/>
      <c r="C394" s="62"/>
      <c r="D394" s="62"/>
      <c r="E394" s="62"/>
      <c r="F394" s="62"/>
      <c r="G394" s="62"/>
      <c r="H394" s="8"/>
    </row>
    <row r="395" spans="1:8" ht="20.25" x14ac:dyDescent="0.25">
      <c r="A395" s="12"/>
      <c r="B395" s="62"/>
      <c r="C395" s="62"/>
      <c r="D395" s="62"/>
      <c r="E395" s="62"/>
      <c r="F395" s="62"/>
      <c r="G395" s="62"/>
      <c r="H395" s="8"/>
    </row>
    <row r="396" spans="1:8" ht="20.25" x14ac:dyDescent="0.25">
      <c r="A396" s="12"/>
      <c r="B396" s="62"/>
      <c r="C396" s="62"/>
      <c r="D396" s="62"/>
      <c r="E396" s="62"/>
      <c r="F396" s="62"/>
      <c r="G396" s="62"/>
      <c r="H396" s="8"/>
    </row>
    <row r="397" spans="1:8" ht="20.25" x14ac:dyDescent="0.25">
      <c r="A397" s="12"/>
      <c r="B397" s="62"/>
      <c r="C397" s="62"/>
      <c r="D397" s="62"/>
      <c r="E397" s="62"/>
      <c r="F397" s="62"/>
      <c r="G397" s="62"/>
      <c r="H397" s="8"/>
    </row>
    <row r="398" spans="1:8" ht="20.25" x14ac:dyDescent="0.25">
      <c r="A398" s="12"/>
      <c r="B398" s="62"/>
      <c r="C398" s="62"/>
      <c r="D398" s="62"/>
      <c r="E398" s="62"/>
      <c r="F398" s="62"/>
      <c r="G398" s="62"/>
      <c r="H398" s="8"/>
    </row>
    <row r="399" spans="1:8" ht="20.25" x14ac:dyDescent="0.25">
      <c r="A399" s="12"/>
      <c r="B399" s="62"/>
      <c r="C399" s="62"/>
      <c r="D399" s="62"/>
      <c r="E399" s="62"/>
      <c r="F399" s="62"/>
      <c r="G399" s="62"/>
      <c r="H399" s="8"/>
    </row>
    <row r="400" spans="1:8" ht="20.25" x14ac:dyDescent="0.25">
      <c r="A400" s="12"/>
      <c r="B400" s="62"/>
      <c r="C400" s="62"/>
      <c r="D400" s="62"/>
      <c r="E400" s="62"/>
      <c r="F400" s="62"/>
      <c r="G400" s="62"/>
      <c r="H400" s="8"/>
    </row>
    <row r="401" spans="1:8" ht="20.25" x14ac:dyDescent="0.25">
      <c r="A401" s="12"/>
      <c r="B401" s="62"/>
      <c r="C401" s="62"/>
      <c r="D401" s="62"/>
      <c r="E401" s="62"/>
      <c r="F401" s="62"/>
      <c r="G401" s="62"/>
      <c r="H401" s="8"/>
    </row>
    <row r="402" spans="1:8" ht="20.25" x14ac:dyDescent="0.25">
      <c r="A402" s="12"/>
      <c r="B402" s="62"/>
      <c r="C402" s="62"/>
      <c r="D402" s="62"/>
      <c r="E402" s="62"/>
      <c r="F402" s="62"/>
      <c r="G402" s="62"/>
      <c r="H402" s="8"/>
    </row>
    <row r="403" spans="1:8" ht="20.25" x14ac:dyDescent="0.25">
      <c r="A403" s="12"/>
      <c r="B403" s="62"/>
      <c r="C403" s="62"/>
      <c r="D403" s="62"/>
      <c r="E403" s="62"/>
      <c r="F403" s="62"/>
      <c r="G403" s="62"/>
      <c r="H403" s="8"/>
    </row>
    <row r="404" spans="1:8" ht="20.25" x14ac:dyDescent="0.25">
      <c r="A404" s="12"/>
      <c r="B404" s="62"/>
      <c r="C404" s="62"/>
      <c r="D404" s="62"/>
      <c r="E404" s="62"/>
      <c r="F404" s="62"/>
      <c r="G404" s="62"/>
      <c r="H404" s="8"/>
    </row>
    <row r="405" spans="1:8" ht="20.25" x14ac:dyDescent="0.25">
      <c r="A405" s="12"/>
      <c r="B405" s="62"/>
      <c r="C405" s="62"/>
      <c r="D405" s="62"/>
      <c r="E405" s="62"/>
      <c r="F405" s="62"/>
      <c r="G405" s="62"/>
      <c r="H405" s="8"/>
    </row>
    <row r="406" spans="1:8" ht="20.25" x14ac:dyDescent="0.25">
      <c r="A406" s="12"/>
      <c r="B406" s="62"/>
      <c r="C406" s="62"/>
      <c r="D406" s="62"/>
      <c r="E406" s="62"/>
      <c r="F406" s="62"/>
      <c r="G406" s="62"/>
      <c r="H406" s="8"/>
    </row>
    <row r="407" spans="1:8" ht="20.25" x14ac:dyDescent="0.25">
      <c r="A407" s="12"/>
      <c r="B407" s="62"/>
      <c r="C407" s="62"/>
      <c r="D407" s="62"/>
      <c r="E407" s="62"/>
      <c r="F407" s="62"/>
      <c r="G407" s="62"/>
      <c r="H407" s="8"/>
    </row>
    <row r="408" spans="1:8" ht="20.25" x14ac:dyDescent="0.25">
      <c r="A408" s="12"/>
      <c r="B408" s="62"/>
      <c r="C408" s="62"/>
      <c r="D408" s="62"/>
      <c r="E408" s="62"/>
      <c r="F408" s="62"/>
      <c r="G408" s="62"/>
      <c r="H408" s="8"/>
    </row>
    <row r="409" spans="1:8" ht="20.25" x14ac:dyDescent="0.25">
      <c r="A409" s="12"/>
      <c r="B409" s="62"/>
      <c r="C409" s="62"/>
      <c r="D409" s="62"/>
      <c r="E409" s="62"/>
      <c r="F409" s="62"/>
      <c r="G409" s="62"/>
      <c r="H409" s="8"/>
    </row>
    <row r="410" spans="1:8" ht="20.25" x14ac:dyDescent="0.25">
      <c r="A410" s="12"/>
      <c r="B410" s="62"/>
      <c r="C410" s="62"/>
      <c r="D410" s="62"/>
      <c r="E410" s="62"/>
      <c r="F410" s="62"/>
      <c r="G410" s="62"/>
      <c r="H410" s="8"/>
    </row>
    <row r="411" spans="1:8" ht="20.25" x14ac:dyDescent="0.25">
      <c r="A411" s="12"/>
      <c r="B411" s="62"/>
      <c r="C411" s="62"/>
      <c r="D411" s="62"/>
      <c r="E411" s="62"/>
      <c r="F411" s="62"/>
      <c r="G411" s="62"/>
      <c r="H411" s="8"/>
    </row>
    <row r="412" spans="1:8" ht="20.25" x14ac:dyDescent="0.25">
      <c r="A412" s="12"/>
      <c r="B412" s="62"/>
      <c r="C412" s="62"/>
      <c r="D412" s="62"/>
      <c r="E412" s="62"/>
      <c r="F412" s="62"/>
      <c r="G412" s="62"/>
      <c r="H412" s="8"/>
    </row>
    <row r="413" spans="1:8" ht="20.25" x14ac:dyDescent="0.25">
      <c r="A413" s="12"/>
      <c r="B413" s="62"/>
      <c r="C413" s="62"/>
      <c r="D413" s="62"/>
      <c r="E413" s="62"/>
      <c r="F413" s="62"/>
      <c r="G413" s="62"/>
      <c r="H413" s="8"/>
    </row>
    <row r="414" spans="1:8" ht="20.25" x14ac:dyDescent="0.25">
      <c r="A414" s="12"/>
      <c r="B414" s="62"/>
      <c r="C414" s="62"/>
      <c r="D414" s="62"/>
      <c r="E414" s="62"/>
      <c r="F414" s="62"/>
      <c r="G414" s="62"/>
      <c r="H414" s="8"/>
    </row>
    <row r="415" spans="1:8" ht="20.25" x14ac:dyDescent="0.25">
      <c r="A415" s="12"/>
      <c r="B415" s="62"/>
      <c r="C415" s="62"/>
      <c r="D415" s="62"/>
      <c r="E415" s="62"/>
      <c r="F415" s="62"/>
      <c r="G415" s="62"/>
      <c r="H415" s="8"/>
    </row>
    <row r="416" spans="1:8" ht="20.25" x14ac:dyDescent="0.25">
      <c r="A416" s="14"/>
      <c r="B416" s="15"/>
      <c r="C416" s="15"/>
      <c r="D416" s="15"/>
      <c r="E416" s="15"/>
      <c r="F416" s="15"/>
      <c r="G416" s="15"/>
      <c r="H416" s="9"/>
    </row>
    <row r="417" spans="1:8" ht="20.25" x14ac:dyDescent="0.25">
      <c r="A417" s="156" t="s">
        <v>76</v>
      </c>
      <c r="B417" s="157"/>
      <c r="C417" s="157"/>
      <c r="D417" s="157"/>
      <c r="E417" s="157"/>
      <c r="F417" s="157"/>
      <c r="G417" s="157"/>
      <c r="H417" s="158"/>
    </row>
    <row r="418" spans="1:8" ht="20.25" x14ac:dyDescent="0.25">
      <c r="A418" s="10"/>
      <c r="B418" s="11"/>
      <c r="C418" s="11"/>
      <c r="D418" s="11"/>
      <c r="E418" s="11"/>
      <c r="F418" s="11"/>
      <c r="G418" s="11"/>
      <c r="H418" s="7"/>
    </row>
    <row r="419" spans="1:8" ht="20.25" x14ac:dyDescent="0.25">
      <c r="A419" s="12"/>
      <c r="B419" s="13"/>
      <c r="C419" s="13"/>
      <c r="D419" s="13"/>
      <c r="E419" s="13"/>
      <c r="F419" s="13"/>
      <c r="G419" s="13"/>
      <c r="H419" s="8"/>
    </row>
    <row r="420" spans="1:8" ht="20.25" x14ac:dyDescent="0.25">
      <c r="A420" s="12"/>
      <c r="B420" s="13"/>
      <c r="C420" s="13"/>
      <c r="D420" s="13"/>
      <c r="E420" s="13"/>
      <c r="F420" s="13"/>
      <c r="G420" s="13"/>
      <c r="H420" s="8"/>
    </row>
    <row r="421" spans="1:8" ht="20.25" x14ac:dyDescent="0.25">
      <c r="A421" s="12"/>
      <c r="B421" s="13"/>
      <c r="C421" s="13"/>
      <c r="D421" s="13"/>
      <c r="E421" s="13"/>
      <c r="F421" s="13"/>
      <c r="G421" s="13"/>
      <c r="H421" s="8"/>
    </row>
    <row r="422" spans="1:8" ht="20.25" x14ac:dyDescent="0.25">
      <c r="A422" s="12"/>
      <c r="B422" s="13"/>
      <c r="C422" s="13"/>
      <c r="D422" s="13"/>
      <c r="E422" s="13"/>
      <c r="F422" s="13"/>
      <c r="G422" s="13"/>
      <c r="H422" s="8"/>
    </row>
    <row r="423" spans="1:8" ht="20.25" x14ac:dyDescent="0.25">
      <c r="A423" s="12"/>
      <c r="B423" s="13"/>
      <c r="C423" s="13"/>
      <c r="D423" s="13"/>
      <c r="E423" s="13"/>
      <c r="F423" s="13"/>
      <c r="G423" s="13"/>
      <c r="H423" s="8"/>
    </row>
    <row r="424" spans="1:8" ht="20.25" x14ac:dyDescent="0.25">
      <c r="A424" s="12"/>
      <c r="B424" s="13"/>
      <c r="C424" s="13"/>
      <c r="D424" s="13"/>
      <c r="E424" s="13"/>
      <c r="F424" s="13"/>
      <c r="G424" s="13"/>
      <c r="H424" s="8"/>
    </row>
    <row r="425" spans="1:8" ht="20.25" x14ac:dyDescent="0.25">
      <c r="A425" s="12"/>
      <c r="B425" s="13"/>
      <c r="C425" s="13"/>
      <c r="D425" s="13"/>
      <c r="E425" s="13"/>
      <c r="F425" s="13"/>
      <c r="G425" s="13"/>
      <c r="H425" s="8"/>
    </row>
    <row r="426" spans="1:8" ht="20.25" x14ac:dyDescent="0.25">
      <c r="A426" s="12"/>
      <c r="B426" s="13"/>
      <c r="C426" s="13"/>
      <c r="D426" s="13"/>
      <c r="E426" s="13"/>
      <c r="F426" s="13"/>
      <c r="G426" s="13"/>
      <c r="H426" s="8"/>
    </row>
    <row r="427" spans="1:8" ht="20.25" x14ac:dyDescent="0.25">
      <c r="A427" s="12"/>
      <c r="B427" s="13"/>
      <c r="C427" s="13"/>
      <c r="D427" s="13"/>
      <c r="E427" s="13"/>
      <c r="F427" s="13"/>
      <c r="G427" s="13"/>
      <c r="H427" s="8"/>
    </row>
    <row r="428" spans="1:8" ht="20.25" x14ac:dyDescent="0.25">
      <c r="A428" s="12"/>
      <c r="B428" s="13"/>
      <c r="C428" s="13"/>
      <c r="D428" s="13"/>
      <c r="E428" s="13"/>
      <c r="F428" s="13"/>
      <c r="G428" s="13"/>
      <c r="H428" s="8"/>
    </row>
    <row r="429" spans="1:8" ht="20.25" x14ac:dyDescent="0.25">
      <c r="A429" s="12"/>
      <c r="B429" s="13"/>
      <c r="C429" s="13"/>
      <c r="D429" s="13"/>
      <c r="E429" s="13"/>
      <c r="F429" s="13"/>
      <c r="G429" s="13"/>
      <c r="H429" s="8"/>
    </row>
    <row r="430" spans="1:8" ht="20.25" x14ac:dyDescent="0.25">
      <c r="A430" s="12"/>
      <c r="B430" s="13"/>
      <c r="C430" s="13"/>
      <c r="D430" s="13"/>
      <c r="E430" s="13"/>
      <c r="F430" s="13"/>
      <c r="G430" s="13"/>
      <c r="H430" s="8"/>
    </row>
    <row r="431" spans="1:8" ht="20.25" x14ac:dyDescent="0.25">
      <c r="A431" s="12"/>
      <c r="B431" s="13"/>
      <c r="C431" s="13"/>
      <c r="D431" s="13"/>
      <c r="E431" s="13"/>
      <c r="F431" s="13"/>
      <c r="G431" s="13"/>
      <c r="H431" s="8"/>
    </row>
    <row r="432" spans="1:8" ht="20.25" x14ac:dyDescent="0.25">
      <c r="A432" s="12"/>
      <c r="B432" s="13"/>
      <c r="C432" s="13"/>
      <c r="D432" s="13"/>
      <c r="E432" s="13"/>
      <c r="F432" s="13"/>
      <c r="G432" s="13"/>
      <c r="H432" s="8"/>
    </row>
    <row r="433" spans="1:8" ht="20.25" x14ac:dyDescent="0.25">
      <c r="A433" s="12"/>
      <c r="B433" s="13"/>
      <c r="C433" s="13"/>
      <c r="D433" s="13"/>
      <c r="E433" s="13"/>
      <c r="F433" s="13"/>
      <c r="G433" s="13"/>
      <c r="H433" s="8"/>
    </row>
    <row r="434" spans="1:8" ht="20.25" x14ac:dyDescent="0.25">
      <c r="A434" s="12"/>
      <c r="B434" s="13"/>
      <c r="C434" s="13"/>
      <c r="D434" s="13"/>
      <c r="E434" s="13"/>
      <c r="F434" s="13"/>
      <c r="G434" s="13"/>
      <c r="H434" s="8"/>
    </row>
    <row r="435" spans="1:8" ht="20.25" x14ac:dyDescent="0.25">
      <c r="A435" s="12"/>
      <c r="B435" s="13"/>
      <c r="C435" s="13"/>
      <c r="D435" s="13"/>
      <c r="E435" s="13"/>
      <c r="F435" s="13"/>
      <c r="G435" s="13"/>
      <c r="H435" s="8"/>
    </row>
    <row r="436" spans="1:8" ht="20.25" x14ac:dyDescent="0.25">
      <c r="A436" s="12"/>
      <c r="B436" s="13"/>
      <c r="C436" s="13"/>
      <c r="D436" s="13"/>
      <c r="E436" s="13"/>
      <c r="F436" s="13"/>
      <c r="G436" s="13"/>
      <c r="H436" s="8"/>
    </row>
    <row r="437" spans="1:8" ht="20.25" x14ac:dyDescent="0.25">
      <c r="A437" s="12"/>
      <c r="B437" s="13"/>
      <c r="C437" s="13"/>
      <c r="D437" s="13"/>
      <c r="E437" s="13"/>
      <c r="F437" s="13"/>
      <c r="G437" s="13"/>
      <c r="H437" s="8"/>
    </row>
    <row r="438" spans="1:8" ht="20.25" x14ac:dyDescent="0.25">
      <c r="A438" s="12"/>
      <c r="B438" s="13"/>
      <c r="C438" s="13"/>
      <c r="D438" s="13"/>
      <c r="E438" s="13"/>
      <c r="F438" s="13"/>
      <c r="G438" s="13"/>
      <c r="H438" s="8"/>
    </row>
    <row r="439" spans="1:8" ht="20.25" x14ac:dyDescent="0.25">
      <c r="A439" s="12"/>
      <c r="B439" s="13"/>
      <c r="C439" s="13"/>
      <c r="D439" s="13"/>
      <c r="E439" s="13"/>
      <c r="F439" s="13"/>
      <c r="G439" s="13"/>
      <c r="H439" s="8"/>
    </row>
    <row r="440" spans="1:8" ht="20.25" x14ac:dyDescent="0.25">
      <c r="A440" s="12"/>
      <c r="B440" s="13"/>
      <c r="C440" s="13"/>
      <c r="D440" s="13"/>
      <c r="E440" s="13"/>
      <c r="F440" s="13"/>
      <c r="G440" s="13"/>
      <c r="H440" s="8"/>
    </row>
    <row r="441" spans="1:8" ht="20.25" x14ac:dyDescent="0.25">
      <c r="A441" s="12"/>
      <c r="B441" s="13"/>
      <c r="C441" s="13"/>
      <c r="D441" s="13"/>
      <c r="E441" s="13"/>
      <c r="F441" s="13"/>
      <c r="G441" s="13"/>
      <c r="H441" s="8"/>
    </row>
    <row r="442" spans="1:8" ht="20.25" x14ac:dyDescent="0.25">
      <c r="A442" s="12"/>
      <c r="B442" s="13"/>
      <c r="C442" s="13"/>
      <c r="D442" s="13"/>
      <c r="E442" s="13"/>
      <c r="F442" s="13"/>
      <c r="G442" s="13"/>
      <c r="H442" s="8"/>
    </row>
    <row r="443" spans="1:8" ht="20.25" x14ac:dyDescent="0.25">
      <c r="A443" s="12"/>
      <c r="B443" s="13"/>
      <c r="C443" s="13"/>
      <c r="D443" s="13"/>
      <c r="E443" s="13"/>
      <c r="F443" s="13"/>
      <c r="G443" s="13"/>
      <c r="H443" s="8"/>
    </row>
    <row r="444" spans="1:8" ht="20.25" x14ac:dyDescent="0.25">
      <c r="A444" s="12"/>
      <c r="B444" s="13"/>
      <c r="C444" s="13"/>
      <c r="D444" s="13"/>
      <c r="E444" s="13"/>
      <c r="F444" s="13"/>
      <c r="G444" s="13"/>
      <c r="H444" s="8"/>
    </row>
    <row r="445" spans="1:8" ht="20.25" x14ac:dyDescent="0.25">
      <c r="A445" s="12"/>
      <c r="B445" s="13"/>
      <c r="C445" s="13"/>
      <c r="D445" s="13"/>
      <c r="E445" s="13"/>
      <c r="F445" s="13"/>
      <c r="G445" s="13"/>
      <c r="H445" s="8"/>
    </row>
    <row r="446" spans="1:8" ht="20.25" x14ac:dyDescent="0.25">
      <c r="A446" s="12"/>
      <c r="B446" s="13"/>
      <c r="C446" s="13"/>
      <c r="D446" s="13"/>
      <c r="E446" s="13"/>
      <c r="F446" s="13"/>
      <c r="G446" s="13"/>
      <c r="H446" s="8"/>
    </row>
    <row r="447" spans="1:8" ht="20.25" x14ac:dyDescent="0.25">
      <c r="A447" s="12"/>
      <c r="B447" s="13"/>
      <c r="C447" s="13"/>
      <c r="D447" s="13"/>
      <c r="E447" s="13"/>
      <c r="F447" s="13"/>
      <c r="G447" s="13"/>
      <c r="H447" s="8"/>
    </row>
    <row r="448" spans="1:8" ht="20.25" x14ac:dyDescent="0.25">
      <c r="A448" s="121" t="s">
        <v>24</v>
      </c>
      <c r="B448" s="121"/>
      <c r="C448" s="121"/>
      <c r="D448" s="121"/>
      <c r="E448" s="121"/>
      <c r="F448" s="121"/>
      <c r="G448" s="121"/>
      <c r="H448" s="121"/>
    </row>
    <row r="449" spans="1:8" ht="20.25" x14ac:dyDescent="0.25">
      <c r="A449" s="168" t="s">
        <v>77</v>
      </c>
      <c r="B449" s="169"/>
      <c r="C449" s="169"/>
      <c r="D449" s="169"/>
      <c r="E449" s="169"/>
      <c r="F449" s="169"/>
      <c r="G449" s="169"/>
      <c r="H449" s="170"/>
    </row>
    <row r="450" spans="1:8" ht="20.25" x14ac:dyDescent="0.25">
      <c r="A450" s="171" t="s">
        <v>78</v>
      </c>
      <c r="B450" s="172"/>
      <c r="C450" s="172"/>
      <c r="D450" s="172"/>
      <c r="E450" s="172"/>
      <c r="F450" s="172"/>
      <c r="G450" s="172"/>
      <c r="H450" s="173"/>
    </row>
    <row r="451" spans="1:8" ht="45" customHeight="1" x14ac:dyDescent="0.25">
      <c r="A451" s="171" t="s">
        <v>79</v>
      </c>
      <c r="B451" s="172"/>
      <c r="C451" s="172"/>
      <c r="D451" s="172"/>
      <c r="E451" s="172"/>
      <c r="F451" s="172"/>
      <c r="G451" s="172"/>
      <c r="H451" s="173"/>
    </row>
    <row r="452" spans="1:8" ht="42.75" customHeight="1" x14ac:dyDescent="0.25">
      <c r="A452" s="171" t="s">
        <v>80</v>
      </c>
      <c r="B452" s="172"/>
      <c r="C452" s="172"/>
      <c r="D452" s="172"/>
      <c r="E452" s="172"/>
      <c r="F452" s="172"/>
      <c r="G452" s="172"/>
      <c r="H452" s="173"/>
    </row>
    <row r="453" spans="1:8" ht="20.25" x14ac:dyDescent="0.25">
      <c r="A453" s="171" t="s">
        <v>81</v>
      </c>
      <c r="B453" s="172"/>
      <c r="C453" s="172"/>
      <c r="D453" s="172"/>
      <c r="E453" s="172"/>
      <c r="F453" s="172"/>
      <c r="G453" s="172"/>
      <c r="H453" s="173"/>
    </row>
    <row r="454" spans="1:8" ht="20.25" x14ac:dyDescent="0.25">
      <c r="A454" s="171" t="s">
        <v>82</v>
      </c>
      <c r="B454" s="172"/>
      <c r="C454" s="172"/>
      <c r="D454" s="172"/>
      <c r="E454" s="172"/>
      <c r="F454" s="172"/>
      <c r="G454" s="172"/>
      <c r="H454" s="173"/>
    </row>
    <row r="455" spans="1:8" ht="45" customHeight="1" x14ac:dyDescent="0.25">
      <c r="A455" s="171" t="s">
        <v>83</v>
      </c>
      <c r="B455" s="172"/>
      <c r="C455" s="172"/>
      <c r="D455" s="172"/>
      <c r="E455" s="172"/>
      <c r="F455" s="172"/>
      <c r="G455" s="172"/>
      <c r="H455" s="173"/>
    </row>
    <row r="456" spans="1:8" ht="45" customHeight="1" x14ac:dyDescent="0.25">
      <c r="A456" s="171" t="s">
        <v>84</v>
      </c>
      <c r="B456" s="172"/>
      <c r="C456" s="172"/>
      <c r="D456" s="172"/>
      <c r="E456" s="172"/>
      <c r="F456" s="172"/>
      <c r="G456" s="172"/>
      <c r="H456" s="173"/>
    </row>
    <row r="457" spans="1:8" ht="20.25" x14ac:dyDescent="0.25">
      <c r="A457" s="174" t="s">
        <v>85</v>
      </c>
      <c r="B457" s="175"/>
      <c r="C457" s="175"/>
      <c r="D457" s="175"/>
      <c r="E457" s="175"/>
      <c r="F457" s="175"/>
      <c r="G457" s="175"/>
      <c r="H457" s="176"/>
    </row>
    <row r="458" spans="1:8" ht="105.75" customHeight="1" x14ac:dyDescent="0.25">
      <c r="A458" s="178" t="s">
        <v>30</v>
      </c>
      <c r="B458" s="179"/>
      <c r="C458" s="180" t="s">
        <v>356</v>
      </c>
      <c r="D458" s="181"/>
      <c r="E458" s="178" t="s">
        <v>9</v>
      </c>
      <c r="F458" s="179"/>
      <c r="G458" s="163"/>
      <c r="H458" s="163"/>
    </row>
  </sheetData>
  <mergeCells count="511">
    <mergeCell ref="A262:B262"/>
    <mergeCell ref="A263:B263"/>
    <mergeCell ref="A264:B264"/>
    <mergeCell ref="A265:B265"/>
    <mergeCell ref="A266:B266"/>
    <mergeCell ref="A267:B267"/>
    <mergeCell ref="A261:B261"/>
    <mergeCell ref="C261:H261"/>
    <mergeCell ref="A251:B251"/>
    <mergeCell ref="A252:B252"/>
    <mergeCell ref="A253:B253"/>
    <mergeCell ref="A254:B254"/>
    <mergeCell ref="A255:B255"/>
    <mergeCell ref="A256:H256"/>
    <mergeCell ref="A141:B141"/>
    <mergeCell ref="C141:D141"/>
    <mergeCell ref="E141:F141"/>
    <mergeCell ref="G141:H141"/>
    <mergeCell ref="A142:B142"/>
    <mergeCell ref="C142:D142"/>
    <mergeCell ref="E142:F142"/>
    <mergeCell ref="G142:H142"/>
    <mergeCell ref="A260:B260"/>
    <mergeCell ref="A257:B257"/>
    <mergeCell ref="A258:B258"/>
    <mergeCell ref="A259:B259"/>
    <mergeCell ref="C238:H238"/>
    <mergeCell ref="A243:H243"/>
    <mergeCell ref="A244:H244"/>
    <mergeCell ref="A245:H245"/>
    <mergeCell ref="A246:B246"/>
    <mergeCell ref="A247:B247"/>
    <mergeCell ref="A248:B248"/>
    <mergeCell ref="A249:B249"/>
    <mergeCell ref="A250:B250"/>
    <mergeCell ref="A238:B238"/>
    <mergeCell ref="A239:B239"/>
    <mergeCell ref="A240:B240"/>
    <mergeCell ref="A241:B241"/>
    <mergeCell ref="A242:B242"/>
    <mergeCell ref="A226:B226"/>
    <mergeCell ref="A227:B227"/>
    <mergeCell ref="A228:B228"/>
    <mergeCell ref="A229:B229"/>
    <mergeCell ref="A230:B230"/>
    <mergeCell ref="A231:B231"/>
    <mergeCell ref="A232:B232"/>
    <mergeCell ref="A233:B233"/>
    <mergeCell ref="A234:H234"/>
    <mergeCell ref="A221:B221"/>
    <mergeCell ref="A222:B222"/>
    <mergeCell ref="C214:H214"/>
    <mergeCell ref="A223:H223"/>
    <mergeCell ref="A224:H224"/>
    <mergeCell ref="A225:H225"/>
    <mergeCell ref="A235:B235"/>
    <mergeCell ref="A236:B236"/>
    <mergeCell ref="A237:B237"/>
    <mergeCell ref="A212:B212"/>
    <mergeCell ref="A213:B213"/>
    <mergeCell ref="A214:B214"/>
    <mergeCell ref="A215:B215"/>
    <mergeCell ref="A216:B216"/>
    <mergeCell ref="A217:B217"/>
    <mergeCell ref="A218:B218"/>
    <mergeCell ref="A219:B219"/>
    <mergeCell ref="A220:B220"/>
    <mergeCell ref="A203:B203"/>
    <mergeCell ref="A204:B204"/>
    <mergeCell ref="A205:B205"/>
    <mergeCell ref="A206:B206"/>
    <mergeCell ref="A207:B207"/>
    <mergeCell ref="A208:B208"/>
    <mergeCell ref="A209:B209"/>
    <mergeCell ref="A210:H210"/>
    <mergeCell ref="A211:B211"/>
    <mergeCell ref="C186:H186"/>
    <mergeCell ref="A195:H195"/>
    <mergeCell ref="A196:H196"/>
    <mergeCell ref="A197:H197"/>
    <mergeCell ref="A198:B198"/>
    <mergeCell ref="A199:B199"/>
    <mergeCell ref="A200:B200"/>
    <mergeCell ref="A201:B201"/>
    <mergeCell ref="A202:B202"/>
    <mergeCell ref="A186:B186"/>
    <mergeCell ref="A187:B187"/>
    <mergeCell ref="A188:B188"/>
    <mergeCell ref="A189:B189"/>
    <mergeCell ref="A190:B190"/>
    <mergeCell ref="A191:B191"/>
    <mergeCell ref="A192:B192"/>
    <mergeCell ref="A193:B193"/>
    <mergeCell ref="A194:B194"/>
    <mergeCell ref="A177:B177"/>
    <mergeCell ref="A178:B178"/>
    <mergeCell ref="A179:B179"/>
    <mergeCell ref="A180:B180"/>
    <mergeCell ref="A181:B181"/>
    <mergeCell ref="A182:B182"/>
    <mergeCell ref="A183:B183"/>
    <mergeCell ref="A184:B184"/>
    <mergeCell ref="A185:H185"/>
    <mergeCell ref="A167:B167"/>
    <mergeCell ref="A168:B168"/>
    <mergeCell ref="A169:B169"/>
    <mergeCell ref="A170:B170"/>
    <mergeCell ref="A171:B171"/>
    <mergeCell ref="A172:B172"/>
    <mergeCell ref="A174:B174"/>
    <mergeCell ref="A175:H175"/>
    <mergeCell ref="A176:B176"/>
    <mergeCell ref="A59:B59"/>
    <mergeCell ref="C59:F59"/>
    <mergeCell ref="A109:H109"/>
    <mergeCell ref="A110:C111"/>
    <mergeCell ref="E110:F110"/>
    <mergeCell ref="E111:F111"/>
    <mergeCell ref="A112:B112"/>
    <mergeCell ref="E112:F112"/>
    <mergeCell ref="A113:B113"/>
    <mergeCell ref="E113:F124"/>
    <mergeCell ref="G113:H124"/>
    <mergeCell ref="A114:B114"/>
    <mergeCell ref="A115:B115"/>
    <mergeCell ref="A116:B116"/>
    <mergeCell ref="A117:B117"/>
    <mergeCell ref="A118:B118"/>
    <mergeCell ref="A119:B119"/>
    <mergeCell ref="A120:B120"/>
    <mergeCell ref="A121:B121"/>
    <mergeCell ref="A122:B122"/>
    <mergeCell ref="A123:B123"/>
    <mergeCell ref="A124:B124"/>
    <mergeCell ref="A96:B96"/>
    <mergeCell ref="E96:F96"/>
    <mergeCell ref="A127:B127"/>
    <mergeCell ref="C127:D127"/>
    <mergeCell ref="C128:D128"/>
    <mergeCell ref="C129:D129"/>
    <mergeCell ref="E129:F129"/>
    <mergeCell ref="A131:F131"/>
    <mergeCell ref="A132:F132"/>
    <mergeCell ref="A133:F133"/>
    <mergeCell ref="A128:B128"/>
    <mergeCell ref="A97:B97"/>
    <mergeCell ref="E97:F108"/>
    <mergeCell ref="G97:H108"/>
    <mergeCell ref="A98:B98"/>
    <mergeCell ref="A99:B99"/>
    <mergeCell ref="A100:B100"/>
    <mergeCell ref="A101:B101"/>
    <mergeCell ref="A102:B102"/>
    <mergeCell ref="A103:B103"/>
    <mergeCell ref="A104:B104"/>
    <mergeCell ref="A105:B105"/>
    <mergeCell ref="A106:B106"/>
    <mergeCell ref="A107:B107"/>
    <mergeCell ref="A108:B108"/>
    <mergeCell ref="G48:H48"/>
    <mergeCell ref="A49:B49"/>
    <mergeCell ref="D49:F49"/>
    <mergeCell ref="G49:H49"/>
    <mergeCell ref="A51:B51"/>
    <mergeCell ref="A53:B53"/>
    <mergeCell ref="A56:B56"/>
    <mergeCell ref="A57:B57"/>
    <mergeCell ref="A52:B52"/>
    <mergeCell ref="C51:H51"/>
    <mergeCell ref="C52:F52"/>
    <mergeCell ref="C53:F53"/>
    <mergeCell ref="C54:F54"/>
    <mergeCell ref="A54:B55"/>
    <mergeCell ref="C55:H55"/>
    <mergeCell ref="J38:K38"/>
    <mergeCell ref="M38:N38"/>
    <mergeCell ref="C38:E38"/>
    <mergeCell ref="F38:H38"/>
    <mergeCell ref="C39:E39"/>
    <mergeCell ref="F39:H39"/>
    <mergeCell ref="F40:H40"/>
    <mergeCell ref="C40:E40"/>
    <mergeCell ref="A41:B41"/>
    <mergeCell ref="C41:E41"/>
    <mergeCell ref="F41:H41"/>
    <mergeCell ref="A39:B39"/>
    <mergeCell ref="A40:B40"/>
    <mergeCell ref="A43:B43"/>
    <mergeCell ref="A38:B38"/>
    <mergeCell ref="A42:B42"/>
    <mergeCell ref="C42:E42"/>
    <mergeCell ref="F42:H42"/>
    <mergeCell ref="C43:H43"/>
    <mergeCell ref="E34:F34"/>
    <mergeCell ref="E35:F35"/>
    <mergeCell ref="E36:F36"/>
    <mergeCell ref="A34:B34"/>
    <mergeCell ref="A35:B35"/>
    <mergeCell ref="A36:B36"/>
    <mergeCell ref="C34:D34"/>
    <mergeCell ref="C35:D35"/>
    <mergeCell ref="C36:D36"/>
    <mergeCell ref="G34:H34"/>
    <mergeCell ref="A31:B31"/>
    <mergeCell ref="A32:B32"/>
    <mergeCell ref="E26:F26"/>
    <mergeCell ref="E27:F27"/>
    <mergeCell ref="E28:F28"/>
    <mergeCell ref="E29:F29"/>
    <mergeCell ref="E30:F30"/>
    <mergeCell ref="E31:F31"/>
    <mergeCell ref="C28:D28"/>
    <mergeCell ref="C29:D29"/>
    <mergeCell ref="C30:D30"/>
    <mergeCell ref="C31:D31"/>
    <mergeCell ref="C32:H32"/>
    <mergeCell ref="A28:B28"/>
    <mergeCell ref="A29:B29"/>
    <mergeCell ref="A30:B30"/>
    <mergeCell ref="A26:B26"/>
    <mergeCell ref="A27:B27"/>
    <mergeCell ref="A24:B24"/>
    <mergeCell ref="E20:F20"/>
    <mergeCell ref="E21:F21"/>
    <mergeCell ref="E22:F22"/>
    <mergeCell ref="C14:D14"/>
    <mergeCell ref="C15:D15"/>
    <mergeCell ref="C16:D16"/>
    <mergeCell ref="C17:D17"/>
    <mergeCell ref="A14:B14"/>
    <mergeCell ref="A15:B15"/>
    <mergeCell ref="A16:B16"/>
    <mergeCell ref="A17:B17"/>
    <mergeCell ref="A18:B18"/>
    <mergeCell ref="A19:B19"/>
    <mergeCell ref="A20:B20"/>
    <mergeCell ref="A21:B21"/>
    <mergeCell ref="A22:B22"/>
    <mergeCell ref="C4:D4"/>
    <mergeCell ref="E2:F2"/>
    <mergeCell ref="E14:F14"/>
    <mergeCell ref="E15:F15"/>
    <mergeCell ref="E16:F16"/>
    <mergeCell ref="E17:F17"/>
    <mergeCell ref="E18:F18"/>
    <mergeCell ref="E19:F19"/>
    <mergeCell ref="A23:B23"/>
    <mergeCell ref="A68:B68"/>
    <mergeCell ref="A70:B70"/>
    <mergeCell ref="G2:H2"/>
    <mergeCell ref="G3:H3"/>
    <mergeCell ref="G4:H4"/>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C3:D3"/>
    <mergeCell ref="B317:H317"/>
    <mergeCell ref="A311:H311"/>
    <mergeCell ref="E3:F3"/>
    <mergeCell ref="E4:F4"/>
    <mergeCell ref="E81:F92"/>
    <mergeCell ref="G81:H92"/>
    <mergeCell ref="A82:B82"/>
    <mergeCell ref="A83:B83"/>
    <mergeCell ref="A84:B84"/>
    <mergeCell ref="A85:B85"/>
    <mergeCell ref="A86:B86"/>
    <mergeCell ref="A87:B87"/>
    <mergeCell ref="A88:B88"/>
    <mergeCell ref="A89:B89"/>
    <mergeCell ref="A90:B90"/>
    <mergeCell ref="A91:B91"/>
    <mergeCell ref="A92:B92"/>
    <mergeCell ref="A66:B66"/>
    <mergeCell ref="C27:D27"/>
    <mergeCell ref="A73:B73"/>
    <mergeCell ref="A74:B74"/>
    <mergeCell ref="A75:B75"/>
    <mergeCell ref="A76:B76"/>
    <mergeCell ref="A67:B67"/>
    <mergeCell ref="A309:B309"/>
    <mergeCell ref="A310:B310"/>
    <mergeCell ref="A306:B306"/>
    <mergeCell ref="A307:B307"/>
    <mergeCell ref="A308:B308"/>
    <mergeCell ref="A302:H302"/>
    <mergeCell ref="A303:B303"/>
    <mergeCell ref="A304:B304"/>
    <mergeCell ref="G129:H129"/>
    <mergeCell ref="A305:B305"/>
    <mergeCell ref="A277:B277"/>
    <mergeCell ref="A278:B278"/>
    <mergeCell ref="A279:B279"/>
    <mergeCell ref="A280:B280"/>
    <mergeCell ref="A281:B281"/>
    <mergeCell ref="A282:B282"/>
    <mergeCell ref="A283:B283"/>
    <mergeCell ref="A149:H149"/>
    <mergeCell ref="A150:B150"/>
    <mergeCell ref="A151:B151"/>
    <mergeCell ref="A152:B152"/>
    <mergeCell ref="A153:B153"/>
    <mergeCell ref="A154:B154"/>
    <mergeCell ref="A155:B155"/>
    <mergeCell ref="A297:B297"/>
    <mergeCell ref="A290:B290"/>
    <mergeCell ref="A288:B288"/>
    <mergeCell ref="E144:F144"/>
    <mergeCell ref="E140:F140"/>
    <mergeCell ref="C139:D139"/>
    <mergeCell ref="E143:F143"/>
    <mergeCell ref="A285:B285"/>
    <mergeCell ref="C143:D143"/>
    <mergeCell ref="E145:F145"/>
    <mergeCell ref="C144:D144"/>
    <mergeCell ref="A156:B156"/>
    <mergeCell ref="A157:B157"/>
    <mergeCell ref="A158:B158"/>
    <mergeCell ref="A159:B159"/>
    <mergeCell ref="A160:B160"/>
    <mergeCell ref="A161:B161"/>
    <mergeCell ref="A162:B162"/>
    <mergeCell ref="A163:B163"/>
    <mergeCell ref="A164:B164"/>
    <mergeCell ref="A173:B173"/>
    <mergeCell ref="A148:H148"/>
    <mergeCell ref="A165:H165"/>
    <mergeCell ref="A166:B166"/>
    <mergeCell ref="C458:D458"/>
    <mergeCell ref="G14:H14"/>
    <mergeCell ref="G16:H16"/>
    <mergeCell ref="G17:H17"/>
    <mergeCell ref="G15:H15"/>
    <mergeCell ref="G18:H18"/>
    <mergeCell ref="G19:H19"/>
    <mergeCell ref="G46:H46"/>
    <mergeCell ref="G31:H31"/>
    <mergeCell ref="G22:H22"/>
    <mergeCell ref="G36:H36"/>
    <mergeCell ref="G35:H35"/>
    <mergeCell ref="E65:F76"/>
    <mergeCell ref="A126:H126"/>
    <mergeCell ref="G127:H127"/>
    <mergeCell ref="B318:H318"/>
    <mergeCell ref="B313:H313"/>
    <mergeCell ref="B312:H312"/>
    <mergeCell ref="B316:H316"/>
    <mergeCell ref="B315:H315"/>
    <mergeCell ref="B314:H314"/>
    <mergeCell ref="A298:B298"/>
    <mergeCell ref="A299:B299"/>
    <mergeCell ref="A300:B300"/>
    <mergeCell ref="G29:H29"/>
    <mergeCell ref="A13:H13"/>
    <mergeCell ref="C26:D26"/>
    <mergeCell ref="G458:H458"/>
    <mergeCell ref="A319:H319"/>
    <mergeCell ref="D321:H321"/>
    <mergeCell ref="A449:H449"/>
    <mergeCell ref="A455:H455"/>
    <mergeCell ref="A456:H456"/>
    <mergeCell ref="A457:H457"/>
    <mergeCell ref="A450:H450"/>
    <mergeCell ref="A451:H451"/>
    <mergeCell ref="A452:H452"/>
    <mergeCell ref="A453:H453"/>
    <mergeCell ref="A321:C321"/>
    <mergeCell ref="A448:H448"/>
    <mergeCell ref="A454:H454"/>
    <mergeCell ref="A417:H417"/>
    <mergeCell ref="D320:H320"/>
    <mergeCell ref="A322:C322"/>
    <mergeCell ref="D322:H322"/>
    <mergeCell ref="A367:H367"/>
    <mergeCell ref="E458:F458"/>
    <mergeCell ref="A458:B458"/>
    <mergeCell ref="E128:F128"/>
    <mergeCell ref="G128:H128"/>
    <mergeCell ref="A1:H1"/>
    <mergeCell ref="A320:C320"/>
    <mergeCell ref="G27:H27"/>
    <mergeCell ref="G28:H28"/>
    <mergeCell ref="A37:H37"/>
    <mergeCell ref="A44:H44"/>
    <mergeCell ref="A50:H50"/>
    <mergeCell ref="A134:H134"/>
    <mergeCell ref="G132:H132"/>
    <mergeCell ref="G7:H7"/>
    <mergeCell ref="G47:H47"/>
    <mergeCell ref="G45:H45"/>
    <mergeCell ref="A25:H25"/>
    <mergeCell ref="G26:H26"/>
    <mergeCell ref="G20:H20"/>
    <mergeCell ref="G21:H21"/>
    <mergeCell ref="A9:A11"/>
    <mergeCell ref="A295:B295"/>
    <mergeCell ref="G6:H6"/>
    <mergeCell ref="A5:H5"/>
    <mergeCell ref="A33:H33"/>
    <mergeCell ref="G30:H30"/>
    <mergeCell ref="A296:B296"/>
    <mergeCell ref="G131:H131"/>
    <mergeCell ref="A268:H268"/>
    <mergeCell ref="A145:B145"/>
    <mergeCell ref="G145:H145"/>
    <mergeCell ref="A301:B301"/>
    <mergeCell ref="A138:H138"/>
    <mergeCell ref="A139:B139"/>
    <mergeCell ref="E139:F139"/>
    <mergeCell ref="A274:B274"/>
    <mergeCell ref="A275:B275"/>
    <mergeCell ref="A276:B276"/>
    <mergeCell ref="A269:B269"/>
    <mergeCell ref="C140:D140"/>
    <mergeCell ref="C145:D145"/>
    <mergeCell ref="A289:B289"/>
    <mergeCell ref="A291:B291"/>
    <mergeCell ref="A292:B292"/>
    <mergeCell ref="A287:B287"/>
    <mergeCell ref="A293:H293"/>
    <mergeCell ref="A294:B294"/>
    <mergeCell ref="A286:B286"/>
    <mergeCell ref="A284:H284"/>
    <mergeCell ref="G133:H133"/>
    <mergeCell ref="A60:B60"/>
    <mergeCell ref="C56:F56"/>
    <mergeCell ref="C57:F57"/>
    <mergeCell ref="C58:F58"/>
    <mergeCell ref="C60:F60"/>
    <mergeCell ref="A270:B270"/>
    <mergeCell ref="A271:B271"/>
    <mergeCell ref="A272:B272"/>
    <mergeCell ref="A273:B273"/>
    <mergeCell ref="A77:H77"/>
    <mergeCell ref="A78:C79"/>
    <mergeCell ref="E78:F78"/>
    <mergeCell ref="G125:H125"/>
    <mergeCell ref="G65:H76"/>
    <mergeCell ref="A61:H61"/>
    <mergeCell ref="A64:B64"/>
    <mergeCell ref="A65:B65"/>
    <mergeCell ref="E64:F64"/>
    <mergeCell ref="E62:F62"/>
    <mergeCell ref="E63:F63"/>
    <mergeCell ref="A62:C63"/>
    <mergeCell ref="A71:B71"/>
    <mergeCell ref="E94:F94"/>
    <mergeCell ref="E95:F95"/>
    <mergeCell ref="A93:H93"/>
    <mergeCell ref="A94:C95"/>
    <mergeCell ref="C18:D18"/>
    <mergeCell ref="C19:D19"/>
    <mergeCell ref="C20:D20"/>
    <mergeCell ref="C21:D21"/>
    <mergeCell ref="C22:D22"/>
    <mergeCell ref="C24:H24"/>
    <mergeCell ref="C23:H23"/>
    <mergeCell ref="A69:B69"/>
    <mergeCell ref="A72:B72"/>
    <mergeCell ref="E79:F79"/>
    <mergeCell ref="A80:B80"/>
    <mergeCell ref="E80:F80"/>
    <mergeCell ref="A81:B81"/>
    <mergeCell ref="A45:B45"/>
    <mergeCell ref="A46:B46"/>
    <mergeCell ref="A47:B47"/>
    <mergeCell ref="D46:F46"/>
    <mergeCell ref="D45:F45"/>
    <mergeCell ref="D47:F47"/>
    <mergeCell ref="A48:B48"/>
    <mergeCell ref="D48:F48"/>
    <mergeCell ref="A58:B58"/>
    <mergeCell ref="A125:F125"/>
    <mergeCell ref="A146:H146"/>
    <mergeCell ref="E135:F135"/>
    <mergeCell ref="E136:F136"/>
    <mergeCell ref="E137:F137"/>
    <mergeCell ref="A135:B135"/>
    <mergeCell ref="A136:B136"/>
    <mergeCell ref="C135:D135"/>
    <mergeCell ref="A137:B137"/>
    <mergeCell ref="C136:D136"/>
    <mergeCell ref="G135:H135"/>
    <mergeCell ref="G136:H136"/>
    <mergeCell ref="G137:H137"/>
    <mergeCell ref="C137:D137"/>
    <mergeCell ref="G139:H139"/>
    <mergeCell ref="A140:B140"/>
    <mergeCell ref="G140:H140"/>
    <mergeCell ref="A143:B143"/>
    <mergeCell ref="G143:H143"/>
    <mergeCell ref="A144:B144"/>
    <mergeCell ref="G144:H144"/>
    <mergeCell ref="A130:H130"/>
    <mergeCell ref="E127:F127"/>
    <mergeCell ref="A129:B129"/>
  </mergeCells>
  <phoneticPr fontId="27" type="noConversion"/>
  <dataValidations count="7">
    <dataValidation type="list" allowBlank="1" showInputMessage="1" showErrorMessage="1" sqref="G6:H6">
      <formula1>"Miss Rupali,Mr.Vinayak,Mr. Gaurav Pawar, Mr.Manish,Mr.Vaibhav Gite,Miss Ankita Mohite"</formula1>
    </dataValidation>
    <dataValidation type="list" allowBlank="1" showInputMessage="1" showErrorMessage="1" sqref="G26:H26">
      <formula1>"Middle,Upper"</formula1>
    </dataValidation>
    <dataValidation type="list" allowBlank="1" showInputMessage="1" showErrorMessage="1" sqref="C129">
      <formula1>"300000,350000,400000,500000,600000,700000,800000,900000,1000000,1200000,1400000,1500000,1600000"</formula1>
    </dataValidation>
    <dataValidation type="list" allowBlank="1" showInputMessage="1" showErrorMessage="1" sqref="F147">
      <formula1>"Encl Balcony+ AP + COR Area,Chajja Area,Cornice Area,AP Area,WS Area"</formula1>
    </dataValidation>
    <dataValidation type="list" allowBlank="1" showInputMessage="1" showErrorMessage="1" sqref="C27:D27">
      <formula1>"Bitumen,Concrete"</formula1>
    </dataValidation>
    <dataValidation type="list" allowBlank="1" showInputMessage="1" showErrorMessage="1" sqref="C51:H51 G35:H35">
      <formula1>"Yes,No"</formula1>
    </dataValidation>
    <dataValidation type="list" allowBlank="1" showInputMessage="1" showErrorMessage="1" sqref="C147">
      <formula1>"Sale /         Rehab /           PAP,Sale / Mhada,Sale / Landowner"</formula1>
    </dataValidation>
  </dataValidations>
  <hyperlinks>
    <hyperlink ref="C23" r:id="rId1"/>
  </hyperlinks>
  <printOptions horizontalCentered="1"/>
  <pageMargins left="0.27559055118110237" right="0.27559055118110237" top="0.70866141732283472" bottom="0.47244094488188981" header="0.15748031496062992" footer="0.15748031496062992"/>
  <pageSetup paperSize="9" scale="69" fitToHeight="0" orientation="portrait" r:id="rId2"/>
  <headerFooter>
    <oddHeader>&amp;C&amp;25&amp;G</oddHeader>
    <oddFooter>&amp;L&amp;"Times New Roman,Bold"&amp;16Ref No: &amp;F&amp;R&amp;"Times New Roman,Bold"&amp;16&amp;P</oddFooter>
  </headerFooter>
  <rowBreaks count="6" manualBreakCount="6">
    <brk id="60" max="7" man="1"/>
    <brk id="108" max="7" man="1"/>
    <brk id="310" max="16383" man="1"/>
    <brk id="318" max="8" man="1"/>
    <brk id="366" max="16383" man="1"/>
    <brk id="416"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6"/>
  <sheetViews>
    <sheetView zoomScale="70" zoomScaleNormal="70" workbookViewId="0">
      <selection activeCell="A3" sqref="A3:XFD18"/>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1" s="1" customFormat="1" ht="21" thickBot="1" x14ac:dyDescent="0.3">
      <c r="A3" s="121" t="s">
        <v>68</v>
      </c>
      <c r="B3" s="121"/>
      <c r="C3" s="121"/>
      <c r="D3" s="121"/>
      <c r="E3" s="121"/>
      <c r="F3" s="121"/>
      <c r="G3" s="121"/>
      <c r="H3" s="121"/>
      <c r="I3" s="121"/>
    </row>
    <row r="4" spans="1:11" s="1" customFormat="1" ht="20.25" customHeight="1" x14ac:dyDescent="0.3">
      <c r="A4" s="220">
        <v>1</v>
      </c>
      <c r="B4" s="220"/>
      <c r="C4" s="220"/>
      <c r="D4" s="221" t="s">
        <v>4</v>
      </c>
      <c r="E4" s="33" t="s">
        <v>115</v>
      </c>
      <c r="F4" s="130" t="s">
        <v>102</v>
      </c>
      <c r="G4" s="130"/>
      <c r="H4" s="33" t="s">
        <v>116</v>
      </c>
      <c r="I4" s="33" t="s">
        <v>117</v>
      </c>
      <c r="J4" s="16"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8"/>
    </row>
    <row r="5" spans="1:11" s="1" customFormat="1" ht="20.25" x14ac:dyDescent="0.3">
      <c r="A5" s="220"/>
      <c r="B5" s="220"/>
      <c r="C5" s="220"/>
      <c r="D5" s="221"/>
      <c r="E5" s="33">
        <v>3</v>
      </c>
      <c r="F5" s="130">
        <v>1</v>
      </c>
      <c r="G5" s="130"/>
      <c r="H5" s="33">
        <v>0</v>
      </c>
      <c r="I5" s="33">
        <f ca="1">--TRIM(RIGHT(SUBSTITUTE(LEFT(A4,_xlfn.AGGREGATE(16,6,FIND({0,1,2,3,4,5,6,7,8,9},A4,ROW(INDIRECT("1:"&amp;LEN(A4)))),1))," ",REPT(" ",LEN(A4))),LEN(A4)))</f>
        <v>1</v>
      </c>
      <c r="J5" s="17" t="s">
        <v>121</v>
      </c>
      <c r="K5" s="18"/>
    </row>
    <row r="6" spans="1:11" s="1" customFormat="1" ht="20.25" customHeight="1" x14ac:dyDescent="0.3">
      <c r="A6" s="131" t="s">
        <v>119</v>
      </c>
      <c r="B6" s="131"/>
      <c r="C6" s="131" t="s">
        <v>132</v>
      </c>
      <c r="D6" s="131"/>
      <c r="E6" s="34" t="s">
        <v>133</v>
      </c>
      <c r="F6" s="131" t="s">
        <v>120</v>
      </c>
      <c r="G6" s="131"/>
      <c r="H6" s="29" t="s">
        <v>118</v>
      </c>
      <c r="I6" s="29"/>
      <c r="J6" s="20" t="s">
        <v>134</v>
      </c>
      <c r="K6" s="19">
        <f ca="1">I5*25%</f>
        <v>0.25</v>
      </c>
    </row>
    <row r="7" spans="1:11" s="1" customFormat="1" ht="20.25" customHeight="1" x14ac:dyDescent="0.3">
      <c r="A7" s="129" t="s">
        <v>135</v>
      </c>
      <c r="B7" s="129"/>
      <c r="C7" s="130">
        <f ca="1">K8</f>
        <v>1</v>
      </c>
      <c r="D7" s="130"/>
      <c r="E7" s="32">
        <f ca="1">((100/I5)*C7)/100</f>
        <v>1</v>
      </c>
      <c r="F7" s="129">
        <f ca="1">(((C7/I5*5)+(C8/I5*20)+(25/(F5+H5+I5)*C9)+(5/(I5)*C10)+(2.5/(I5)*C11)+(2.5/(I5)*C12)+(5/I5*C13)+(10/I5*C14)+(2.5/I5*C15)+(2.5/I5*C16)+(10/I5*C17)+(10/I5*C18))/100)</f>
        <v>0.25</v>
      </c>
      <c r="G7" s="129"/>
      <c r="H7" s="129" t="str">
        <f ca="1">J4</f>
        <v>Excavation work Completed. Plinth work completed</v>
      </c>
      <c r="I7" s="129"/>
      <c r="J7" s="20" t="s">
        <v>122</v>
      </c>
      <c r="K7" s="24">
        <f ca="1">I5*50%</f>
        <v>0.5</v>
      </c>
    </row>
    <row r="8" spans="1:11" s="1" customFormat="1" ht="20.25" x14ac:dyDescent="0.3">
      <c r="A8" s="129" t="s">
        <v>103</v>
      </c>
      <c r="B8" s="129"/>
      <c r="C8" s="219">
        <f ca="1">K16</f>
        <v>1</v>
      </c>
      <c r="D8" s="130"/>
      <c r="E8" s="32">
        <f ca="1">((100/I5)*C8)/100</f>
        <v>1</v>
      </c>
      <c r="F8" s="129"/>
      <c r="G8" s="129"/>
      <c r="H8" s="129"/>
      <c r="I8" s="129"/>
      <c r="J8" s="20" t="s">
        <v>123</v>
      </c>
      <c r="K8" s="24">
        <f ca="1">I5</f>
        <v>1</v>
      </c>
    </row>
    <row r="9" spans="1:11" s="1" customFormat="1" ht="21" customHeight="1" x14ac:dyDescent="0.35">
      <c r="A9" s="129" t="s">
        <v>136</v>
      </c>
      <c r="B9" s="129"/>
      <c r="C9" s="130">
        <v>0</v>
      </c>
      <c r="D9" s="130"/>
      <c r="E9" s="32">
        <f ca="1">((100/(F5+H5+I5))*C9)/100</f>
        <v>0</v>
      </c>
      <c r="F9" s="129"/>
      <c r="G9" s="129"/>
      <c r="H9" s="129"/>
      <c r="I9" s="129"/>
      <c r="J9" s="20" t="s">
        <v>124</v>
      </c>
      <c r="K9" s="25">
        <f ca="1">(IF(E5&gt;1,(I5/(E5+2)),I5*0.2))</f>
        <v>0.2</v>
      </c>
    </row>
    <row r="10" spans="1:11" s="1" customFormat="1" ht="21" customHeight="1" x14ac:dyDescent="0.35">
      <c r="A10" s="129" t="s">
        <v>137</v>
      </c>
      <c r="B10" s="129"/>
      <c r="C10" s="130">
        <v>0</v>
      </c>
      <c r="D10" s="130"/>
      <c r="E10" s="32">
        <f ca="1">((100/I5)*C10)/100</f>
        <v>0</v>
      </c>
      <c r="F10" s="129"/>
      <c r="G10" s="129"/>
      <c r="H10" s="129"/>
      <c r="I10" s="129"/>
      <c r="J10" s="20" t="s">
        <v>125</v>
      </c>
      <c r="K10" s="25">
        <f ca="1">(IF(E5&gt;1,(I5/(E5+2)+K9),I5*0.2+K9))</f>
        <v>0.4</v>
      </c>
    </row>
    <row r="11" spans="1:11" s="1" customFormat="1" ht="21" customHeight="1" x14ac:dyDescent="0.35">
      <c r="A11" s="127" t="s">
        <v>138</v>
      </c>
      <c r="B11" s="128"/>
      <c r="C11" s="130">
        <v>0</v>
      </c>
      <c r="D11" s="130"/>
      <c r="E11" s="32">
        <f ca="1">((100/I5)*C11)/100</f>
        <v>0</v>
      </c>
      <c r="F11" s="129"/>
      <c r="G11" s="129"/>
      <c r="H11" s="129"/>
      <c r="I11" s="129"/>
      <c r="J11" s="20" t="s">
        <v>139</v>
      </c>
      <c r="K11" s="25">
        <f ca="1">(IF(E5&gt;1,(I5/(E5+2)+K10),0))</f>
        <v>0.60000000000000009</v>
      </c>
    </row>
    <row r="12" spans="1:11" s="1" customFormat="1" ht="21" customHeight="1" x14ac:dyDescent="0.35">
      <c r="A12" s="127" t="s">
        <v>169</v>
      </c>
      <c r="B12" s="128"/>
      <c r="C12" s="130">
        <v>0</v>
      </c>
      <c r="D12" s="130"/>
      <c r="E12" s="32">
        <f ca="1">((100/I5)*C12)/100</f>
        <v>0</v>
      </c>
      <c r="F12" s="129"/>
      <c r="G12" s="129"/>
      <c r="H12" s="129"/>
      <c r="I12" s="129"/>
      <c r="J12" s="20" t="s">
        <v>140</v>
      </c>
      <c r="K12" s="25">
        <f ca="1">(IF(E5&gt;2,(I5/(E5+2)+K11),0))</f>
        <v>0.8</v>
      </c>
    </row>
    <row r="13" spans="1:11" s="1" customFormat="1" ht="57.75" customHeight="1" x14ac:dyDescent="0.35">
      <c r="A13" s="127" t="s">
        <v>166</v>
      </c>
      <c r="B13" s="128"/>
      <c r="C13" s="130">
        <v>0</v>
      </c>
      <c r="D13" s="130"/>
      <c r="E13" s="32">
        <f ca="1">((100/(I5))*C13)/100</f>
        <v>0</v>
      </c>
      <c r="F13" s="129"/>
      <c r="G13" s="129"/>
      <c r="H13" s="129"/>
      <c r="I13" s="129"/>
      <c r="J13" s="20" t="s">
        <v>142</v>
      </c>
      <c r="K13" s="26">
        <f>(IF(E5&gt;3,(I5/(E5+2)+K12),0))</f>
        <v>0</v>
      </c>
    </row>
    <row r="14" spans="1:11" s="1" customFormat="1" ht="21" x14ac:dyDescent="0.35">
      <c r="A14" s="129" t="s">
        <v>141</v>
      </c>
      <c r="B14" s="129"/>
      <c r="C14" s="130">
        <v>0</v>
      </c>
      <c r="D14" s="130"/>
      <c r="E14" s="32">
        <f ca="1">((100/(I5))*C14)/100</f>
        <v>0</v>
      </c>
      <c r="F14" s="129"/>
      <c r="G14" s="129"/>
      <c r="H14" s="129"/>
      <c r="I14" s="129"/>
      <c r="J14" s="20" t="s">
        <v>143</v>
      </c>
      <c r="K14" s="25">
        <f>(IF(E5&gt;4,(I5/(E5+2)+K13),0))</f>
        <v>0</v>
      </c>
    </row>
    <row r="15" spans="1:11" s="1" customFormat="1" ht="21" customHeight="1" x14ac:dyDescent="0.35">
      <c r="A15" s="129" t="s">
        <v>168</v>
      </c>
      <c r="B15" s="129"/>
      <c r="C15" s="130">
        <v>0</v>
      </c>
      <c r="D15" s="130"/>
      <c r="E15" s="32">
        <f ca="1">((100/I5)*C15)/100</f>
        <v>0</v>
      </c>
      <c r="F15" s="129"/>
      <c r="G15" s="129"/>
      <c r="H15" s="129"/>
      <c r="I15" s="129"/>
      <c r="J15" s="20" t="s">
        <v>126</v>
      </c>
      <c r="K15" s="25">
        <f>(IF(E5=1,(I5/(E5+3)+K10),IF(E5=0,(I5*0.3+K10),IF(E5&gt;1,0))))</f>
        <v>0</v>
      </c>
    </row>
    <row r="16" spans="1:11" s="1" customFormat="1" ht="21.75" thickBot="1" x14ac:dyDescent="0.4">
      <c r="A16" s="129" t="s">
        <v>167</v>
      </c>
      <c r="B16" s="129"/>
      <c r="C16" s="130">
        <v>0</v>
      </c>
      <c r="D16" s="130"/>
      <c r="E16" s="32">
        <f ca="1">((100/I5)*C16)/100</f>
        <v>0</v>
      </c>
      <c r="F16" s="129"/>
      <c r="G16" s="129"/>
      <c r="H16" s="129"/>
      <c r="I16" s="129"/>
      <c r="J16" s="22" t="s">
        <v>127</v>
      </c>
      <c r="K16" s="27">
        <f ca="1">(IF(E5&gt;1.5,(I5/(E5+2)+K10+MAX(0,K11-K10)+MAX(0,K12-K11)+MAX(0,K13-K12)+MAX(0,K14-K13)+MAX(0,K15-K14)),IF(E5=1,(I5/(E5+3)+K15),IF(E5=0,I5*0.3+K15))))</f>
        <v>1</v>
      </c>
    </row>
    <row r="17" spans="1:9" s="1" customFormat="1" ht="20.25" x14ac:dyDescent="0.25">
      <c r="A17" s="129" t="s">
        <v>144</v>
      </c>
      <c r="B17" s="129"/>
      <c r="C17" s="130">
        <v>0</v>
      </c>
      <c r="D17" s="130"/>
      <c r="E17" s="32">
        <f ca="1">((100/(I5))*C17)/100</f>
        <v>0</v>
      </c>
      <c r="F17" s="129"/>
      <c r="G17" s="129"/>
      <c r="H17" s="129"/>
      <c r="I17" s="129"/>
    </row>
    <row r="18" spans="1:9" s="1" customFormat="1" ht="20.25" x14ac:dyDescent="0.25">
      <c r="A18" s="129" t="s">
        <v>145</v>
      </c>
      <c r="B18" s="129"/>
      <c r="C18" s="130">
        <v>0</v>
      </c>
      <c r="D18" s="130"/>
      <c r="E18" s="32">
        <f ca="1">((100/(I5))*C18)/100</f>
        <v>0</v>
      </c>
      <c r="F18" s="129"/>
      <c r="G18" s="129"/>
      <c r="H18" s="129"/>
      <c r="I18" s="129"/>
    </row>
    <row r="23" spans="1:9" x14ac:dyDescent="0.25">
      <c r="B23" s="218" t="s">
        <v>170</v>
      </c>
      <c r="C23" s="218"/>
      <c r="D23" s="218"/>
      <c r="E23" s="218"/>
      <c r="F23" s="218"/>
      <c r="G23" s="218"/>
    </row>
    <row r="24" spans="1:9" ht="14.45" customHeight="1" x14ac:dyDescent="0.25">
      <c r="B24" s="213" t="s">
        <v>171</v>
      </c>
      <c r="C24" s="213" t="s">
        <v>172</v>
      </c>
      <c r="D24" s="216" t="s">
        <v>173</v>
      </c>
      <c r="E24" s="217" t="s">
        <v>174</v>
      </c>
      <c r="F24" s="214" t="s">
        <v>175</v>
      </c>
      <c r="G24" s="213" t="s">
        <v>176</v>
      </c>
    </row>
    <row r="25" spans="1:9" x14ac:dyDescent="0.25">
      <c r="B25" s="213"/>
      <c r="C25" s="213"/>
      <c r="D25" s="216"/>
      <c r="E25" s="217"/>
      <c r="F25" s="214"/>
      <c r="G25" s="213"/>
    </row>
    <row r="26" spans="1:9" x14ac:dyDescent="0.25">
      <c r="B26" s="45" t="s">
        <v>177</v>
      </c>
      <c r="C26" s="46">
        <v>10</v>
      </c>
      <c r="D26" s="46">
        <v>1</v>
      </c>
      <c r="E26" s="47"/>
      <c r="F26" s="48">
        <f>((E26/D26)*0.05)*100</f>
        <v>0</v>
      </c>
      <c r="G26" s="48">
        <f t="shared" ref="G26:G37" si="0">((E26/D26)*(C26/100))*100</f>
        <v>0</v>
      </c>
    </row>
    <row r="27" spans="1:9" x14ac:dyDescent="0.25">
      <c r="B27" s="45" t="s">
        <v>178</v>
      </c>
      <c r="C27" s="47">
        <v>10</v>
      </c>
      <c r="D27" s="47">
        <v>1</v>
      </c>
      <c r="E27" s="47"/>
      <c r="F27" s="48">
        <f>((E27/D27)*0.05)*100</f>
        <v>0</v>
      </c>
      <c r="G27" s="48">
        <f t="shared" si="0"/>
        <v>0</v>
      </c>
    </row>
    <row r="28" spans="1:9" x14ac:dyDescent="0.25">
      <c r="B28" s="45" t="s">
        <v>179</v>
      </c>
      <c r="C28" s="47">
        <v>15</v>
      </c>
      <c r="D28" s="47">
        <v>1</v>
      </c>
      <c r="E28" s="47"/>
      <c r="F28" s="48">
        <f>((E28/D28)*0.15)*100</f>
        <v>0</v>
      </c>
      <c r="G28" s="48">
        <f t="shared" si="0"/>
        <v>0</v>
      </c>
    </row>
    <row r="29" spans="1:9" x14ac:dyDescent="0.25">
      <c r="B29" s="49" t="s">
        <v>180</v>
      </c>
      <c r="C29" s="47">
        <v>25</v>
      </c>
      <c r="D29" s="47">
        <v>40</v>
      </c>
      <c r="E29" s="47"/>
      <c r="F29" s="48">
        <f>((E29/D29)*0.25)*100</f>
        <v>0</v>
      </c>
      <c r="G29" s="48">
        <f t="shared" si="0"/>
        <v>0</v>
      </c>
    </row>
    <row r="30" spans="1:9" x14ac:dyDescent="0.25">
      <c r="B30" s="49" t="s">
        <v>181</v>
      </c>
      <c r="C30" s="47">
        <v>5</v>
      </c>
      <c r="D30" s="47">
        <v>39</v>
      </c>
      <c r="E30" s="47"/>
      <c r="F30" s="48">
        <f>((E30/D30)*0.05)*100</f>
        <v>0</v>
      </c>
      <c r="G30" s="48">
        <f t="shared" si="0"/>
        <v>0</v>
      </c>
    </row>
    <row r="31" spans="1:9" ht="30" x14ac:dyDescent="0.25">
      <c r="B31" s="49" t="s">
        <v>182</v>
      </c>
      <c r="C31" s="47">
        <v>2.5</v>
      </c>
      <c r="D31" s="47">
        <v>39</v>
      </c>
      <c r="E31" s="47"/>
      <c r="F31" s="48">
        <f>((E31/D31)*0.025)*100</f>
        <v>0</v>
      </c>
      <c r="G31" s="48">
        <f t="shared" si="0"/>
        <v>0</v>
      </c>
    </row>
    <row r="32" spans="1:9" ht="30" x14ac:dyDescent="0.25">
      <c r="B32" s="49" t="s">
        <v>183</v>
      </c>
      <c r="C32" s="47">
        <v>2.5</v>
      </c>
      <c r="D32" s="47">
        <v>39</v>
      </c>
      <c r="E32" s="47"/>
      <c r="F32" s="48">
        <f>((E32/D32)*0.025)*100</f>
        <v>0</v>
      </c>
      <c r="G32" s="48">
        <f t="shared" si="0"/>
        <v>0</v>
      </c>
    </row>
    <row r="33" spans="1:7" ht="45" x14ac:dyDescent="0.25">
      <c r="B33" s="50" t="s">
        <v>184</v>
      </c>
      <c r="C33" s="47">
        <v>5</v>
      </c>
      <c r="D33" s="47">
        <v>39</v>
      </c>
      <c r="E33" s="47"/>
      <c r="F33" s="48">
        <f>((E33/D33)*0.05)*100</f>
        <v>0</v>
      </c>
      <c r="G33" s="48">
        <f t="shared" si="0"/>
        <v>0</v>
      </c>
    </row>
    <row r="34" spans="1:7" ht="30" x14ac:dyDescent="0.25">
      <c r="B34" s="50" t="s">
        <v>185</v>
      </c>
      <c r="C34" s="47">
        <v>5</v>
      </c>
      <c r="D34" s="47">
        <v>39</v>
      </c>
      <c r="E34" s="47"/>
      <c r="F34" s="48">
        <f>((E34/D34)*0.1)*100</f>
        <v>0</v>
      </c>
      <c r="G34" s="48">
        <f t="shared" si="0"/>
        <v>0</v>
      </c>
    </row>
    <row r="35" spans="1:7" ht="30" x14ac:dyDescent="0.25">
      <c r="B35" s="50" t="s">
        <v>186</v>
      </c>
      <c r="C35" s="47">
        <v>5</v>
      </c>
      <c r="D35" s="47">
        <v>39</v>
      </c>
      <c r="E35" s="47"/>
      <c r="F35" s="48">
        <f>((E35/D35)*0.05)*100</f>
        <v>0</v>
      </c>
      <c r="G35" s="48">
        <f t="shared" si="0"/>
        <v>0</v>
      </c>
    </row>
    <row r="36" spans="1:7" ht="60" x14ac:dyDescent="0.25">
      <c r="B36" s="50" t="s">
        <v>187</v>
      </c>
      <c r="C36" s="47">
        <v>10</v>
      </c>
      <c r="D36" s="47">
        <v>39</v>
      </c>
      <c r="E36" s="47"/>
      <c r="F36" s="48">
        <f>((E36/D36)*0.1)*100</f>
        <v>0</v>
      </c>
      <c r="G36" s="48">
        <f t="shared" si="0"/>
        <v>0</v>
      </c>
    </row>
    <row r="37" spans="1:7" ht="45" x14ac:dyDescent="0.25">
      <c r="B37" s="50" t="s">
        <v>188</v>
      </c>
      <c r="C37" s="47">
        <v>5</v>
      </c>
      <c r="D37" s="47">
        <v>39</v>
      </c>
      <c r="E37" s="47"/>
      <c r="F37" s="48">
        <f>((E37/D37)*0.1)*100</f>
        <v>0</v>
      </c>
      <c r="G37" s="48">
        <f t="shared" si="0"/>
        <v>0</v>
      </c>
    </row>
    <row r="38" spans="1:7" ht="15.75" x14ac:dyDescent="0.25">
      <c r="B38" s="51" t="s">
        <v>189</v>
      </c>
      <c r="C38" s="52">
        <f>SUM(C26:C37)</f>
        <v>100</v>
      </c>
      <c r="D38" s="51"/>
      <c r="E38" s="51"/>
      <c r="F38" s="52">
        <f>SUM(F26:F37)</f>
        <v>0</v>
      </c>
      <c r="G38" s="52">
        <f>SUM(G26:G37)</f>
        <v>0</v>
      </c>
    </row>
    <row r="39" spans="1:7" x14ac:dyDescent="0.25">
      <c r="B39" s="214" t="s">
        <v>190</v>
      </c>
      <c r="C39" s="214"/>
      <c r="D39" s="214"/>
      <c r="E39" s="214"/>
      <c r="F39" s="214"/>
      <c r="G39" s="214"/>
    </row>
    <row r="40" spans="1:7" x14ac:dyDescent="0.25">
      <c r="B40" s="215" t="s">
        <v>191</v>
      </c>
      <c r="C40" s="215"/>
      <c r="D40" s="215"/>
      <c r="E40" s="215" t="s">
        <v>192</v>
      </c>
      <c r="F40" s="215"/>
      <c r="G40" s="215"/>
    </row>
    <row r="41" spans="1:7" x14ac:dyDescent="0.25">
      <c r="B41" s="211" t="s">
        <v>193</v>
      </c>
      <c r="C41" s="211"/>
      <c r="D41" s="211"/>
      <c r="E41" s="211" t="s">
        <v>194</v>
      </c>
      <c r="F41" s="211"/>
      <c r="G41" s="211"/>
    </row>
    <row r="42" spans="1:7" x14ac:dyDescent="0.25">
      <c r="B42" s="211" t="s">
        <v>195</v>
      </c>
      <c r="C42" s="211"/>
      <c r="D42" s="211"/>
      <c r="E42" s="211" t="s">
        <v>196</v>
      </c>
      <c r="F42" s="211"/>
      <c r="G42" s="211"/>
    </row>
    <row r="43" spans="1:7" x14ac:dyDescent="0.25">
      <c r="B43" s="212" t="s">
        <v>197</v>
      </c>
      <c r="C43" s="212"/>
      <c r="D43" s="212"/>
      <c r="E43" s="212" t="s">
        <v>198</v>
      </c>
      <c r="F43" s="212"/>
      <c r="G43" s="212"/>
    </row>
    <row r="45" spans="1:7" ht="15.75" thickBot="1" x14ac:dyDescent="0.3"/>
    <row r="46" spans="1:7" ht="17.25" thickTop="1" thickBot="1" x14ac:dyDescent="0.3">
      <c r="A46" s="53" t="s">
        <v>199</v>
      </c>
      <c r="B46" s="53" t="s">
        <v>171</v>
      </c>
      <c r="C46" s="54" t="s">
        <v>200</v>
      </c>
      <c r="D46" s="54" t="s">
        <v>201</v>
      </c>
      <c r="E46" s="54" t="s">
        <v>202</v>
      </c>
    </row>
    <row r="47" spans="1:7" ht="31.5" thickTop="1" thickBot="1" x14ac:dyDescent="0.3">
      <c r="A47" s="55">
        <v>1</v>
      </c>
      <c r="B47" s="56" t="s">
        <v>203</v>
      </c>
      <c r="C47" s="57">
        <v>0</v>
      </c>
      <c r="D47" s="58">
        <v>0.1</v>
      </c>
      <c r="E47" s="57">
        <v>0.1</v>
      </c>
    </row>
    <row r="48" spans="1:7" ht="31.5" thickTop="1" thickBot="1" x14ac:dyDescent="0.3">
      <c r="A48" s="55">
        <v>2</v>
      </c>
      <c r="B48" s="56" t="s">
        <v>204</v>
      </c>
      <c r="C48" s="57" t="s">
        <v>205</v>
      </c>
      <c r="D48" s="58" t="s">
        <v>206</v>
      </c>
      <c r="E48" s="57">
        <v>0.3</v>
      </c>
    </row>
    <row r="49" spans="1:5" ht="61.5" thickTop="1" thickBot="1" x14ac:dyDescent="0.3">
      <c r="A49" s="55">
        <v>3</v>
      </c>
      <c r="B49" s="56" t="s">
        <v>207</v>
      </c>
      <c r="C49" s="57" t="s">
        <v>208</v>
      </c>
      <c r="D49" s="58" t="s">
        <v>209</v>
      </c>
      <c r="E49" s="57">
        <v>0.45</v>
      </c>
    </row>
    <row r="50" spans="1:5" ht="76.5" thickTop="1" thickBot="1" x14ac:dyDescent="0.3">
      <c r="A50" s="55">
        <v>4</v>
      </c>
      <c r="B50" s="56" t="s">
        <v>210</v>
      </c>
      <c r="C50" s="57" t="s">
        <v>211</v>
      </c>
      <c r="D50" s="58" t="s">
        <v>212</v>
      </c>
      <c r="E50" s="57">
        <v>0.7</v>
      </c>
    </row>
    <row r="51" spans="1:5" ht="76.5" thickTop="1" thickBot="1" x14ac:dyDescent="0.3">
      <c r="A51" s="55">
        <v>5</v>
      </c>
      <c r="B51" s="56" t="s">
        <v>213</v>
      </c>
      <c r="C51" s="57" t="s">
        <v>214</v>
      </c>
      <c r="D51" s="58" t="s">
        <v>215</v>
      </c>
      <c r="E51" s="57">
        <v>0.75</v>
      </c>
    </row>
    <row r="52" spans="1:5" ht="76.5" thickTop="1" thickBot="1" x14ac:dyDescent="0.3">
      <c r="A52" s="55">
        <v>6</v>
      </c>
      <c r="B52" s="56" t="s">
        <v>216</v>
      </c>
      <c r="C52" s="57" t="s">
        <v>217</v>
      </c>
      <c r="D52" s="58" t="s">
        <v>218</v>
      </c>
      <c r="E52" s="57">
        <v>0.8</v>
      </c>
    </row>
    <row r="53" spans="1:5" ht="121.5" thickTop="1" thickBot="1" x14ac:dyDescent="0.3">
      <c r="A53" s="55">
        <v>7</v>
      </c>
      <c r="B53" s="56" t="s">
        <v>219</v>
      </c>
      <c r="C53" s="57" t="s">
        <v>220</v>
      </c>
      <c r="D53" s="58" t="s">
        <v>221</v>
      </c>
      <c r="E53" s="57">
        <v>0.85</v>
      </c>
    </row>
    <row r="54" spans="1:5" ht="211.5" thickTop="1" thickBot="1" x14ac:dyDescent="0.3">
      <c r="A54" s="55">
        <v>8</v>
      </c>
      <c r="B54" s="56" t="s">
        <v>222</v>
      </c>
      <c r="C54" s="57" t="s">
        <v>223</v>
      </c>
      <c r="D54" s="58" t="s">
        <v>224</v>
      </c>
      <c r="E54" s="57">
        <v>0.95</v>
      </c>
    </row>
    <row r="55" spans="1:5" ht="91.5" thickTop="1" thickBot="1" x14ac:dyDescent="0.3">
      <c r="A55" s="55">
        <v>9</v>
      </c>
      <c r="B55" s="56" t="s">
        <v>225</v>
      </c>
      <c r="C55" s="57" t="s">
        <v>226</v>
      </c>
      <c r="D55" s="58" t="s">
        <v>227</v>
      </c>
      <c r="E55" s="57">
        <v>1</v>
      </c>
    </row>
    <row r="56" spans="1:5" ht="15.75" thickTop="1" x14ac:dyDescent="0.25"/>
  </sheetData>
  <mergeCells count="50">
    <mergeCell ref="A6:B6"/>
    <mergeCell ref="C6:D6"/>
    <mergeCell ref="F6:G6"/>
    <mergeCell ref="A3:I3"/>
    <mergeCell ref="A4:C5"/>
    <mergeCell ref="D4:D5"/>
    <mergeCell ref="F4:G4"/>
    <mergeCell ref="F5:G5"/>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 ref="A16:B16"/>
    <mergeCell ref="C16:D16"/>
    <mergeCell ref="A17:B17"/>
    <mergeCell ref="C17:D17"/>
    <mergeCell ref="A18:B18"/>
    <mergeCell ref="C18:D18"/>
    <mergeCell ref="B23:G23"/>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35"/>
  <sheetViews>
    <sheetView topLeftCell="A25" workbookViewId="0">
      <selection activeCell="C37" sqref="C37"/>
    </sheetView>
  </sheetViews>
  <sheetFormatPr defaultRowHeight="15" x14ac:dyDescent="0.25"/>
  <cols>
    <col min="2" max="2" width="3" bestFit="1" customWidth="1"/>
    <col min="3" max="3" width="155.28515625" customWidth="1"/>
  </cols>
  <sheetData>
    <row r="2" spans="2:3" ht="30" x14ac:dyDescent="0.25">
      <c r="B2" s="47">
        <v>1</v>
      </c>
      <c r="C2" s="65" t="s">
        <v>245</v>
      </c>
    </row>
    <row r="3" spans="2:3" x14ac:dyDescent="0.25">
      <c r="B3" s="47">
        <v>2</v>
      </c>
      <c r="C3" s="66" t="s">
        <v>246</v>
      </c>
    </row>
    <row r="4" spans="2:3" x14ac:dyDescent="0.25">
      <c r="B4" s="47">
        <v>3</v>
      </c>
      <c r="C4" s="67" t="s">
        <v>247</v>
      </c>
    </row>
    <row r="5" spans="2:3" x14ac:dyDescent="0.25">
      <c r="B5" s="47">
        <v>4</v>
      </c>
      <c r="C5" s="66" t="s">
        <v>248</v>
      </c>
    </row>
    <row r="6" spans="2:3" x14ac:dyDescent="0.25">
      <c r="B6" s="47">
        <v>5</v>
      </c>
      <c r="C6" s="67" t="s">
        <v>249</v>
      </c>
    </row>
    <row r="7" spans="2:3" ht="30" x14ac:dyDescent="0.25">
      <c r="B7" s="47">
        <v>6</v>
      </c>
      <c r="C7" s="66" t="s">
        <v>250</v>
      </c>
    </row>
    <row r="8" spans="2:3" ht="75" x14ac:dyDescent="0.25">
      <c r="B8" s="47">
        <v>7</v>
      </c>
      <c r="C8" s="66" t="s">
        <v>251</v>
      </c>
    </row>
    <row r="9" spans="2:3" x14ac:dyDescent="0.25">
      <c r="B9" s="47">
        <v>8</v>
      </c>
      <c r="C9" s="67" t="s">
        <v>252</v>
      </c>
    </row>
    <row r="10" spans="2:3" x14ac:dyDescent="0.25">
      <c r="B10" s="47">
        <v>9</v>
      </c>
      <c r="C10" s="67" t="s">
        <v>253</v>
      </c>
    </row>
    <row r="11" spans="2:3" x14ac:dyDescent="0.25">
      <c r="B11" s="47">
        <v>10</v>
      </c>
      <c r="C11" s="67" t="s">
        <v>254</v>
      </c>
    </row>
    <row r="12" spans="2:3" x14ac:dyDescent="0.25">
      <c r="B12" s="47">
        <v>11</v>
      </c>
      <c r="C12" s="67" t="s">
        <v>255</v>
      </c>
    </row>
    <row r="13" spans="2:3" x14ac:dyDescent="0.25">
      <c r="B13" s="47">
        <v>12</v>
      </c>
      <c r="C13" s="67" t="s">
        <v>256</v>
      </c>
    </row>
    <row r="14" spans="2:3" x14ac:dyDescent="0.25">
      <c r="B14" s="47">
        <v>13</v>
      </c>
      <c r="C14" s="67" t="s">
        <v>257</v>
      </c>
    </row>
    <row r="15" spans="2:3" x14ac:dyDescent="0.25">
      <c r="B15" s="47">
        <v>14</v>
      </c>
      <c r="C15" s="67" t="s">
        <v>247</v>
      </c>
    </row>
    <row r="16" spans="2:3" x14ac:dyDescent="0.25">
      <c r="B16" s="47">
        <v>15</v>
      </c>
      <c r="C16" s="67" t="s">
        <v>240</v>
      </c>
    </row>
    <row r="17" spans="2:3" x14ac:dyDescent="0.25">
      <c r="B17" s="68">
        <v>16</v>
      </c>
      <c r="C17" s="69" t="s">
        <v>258</v>
      </c>
    </row>
    <row r="18" spans="2:3" x14ac:dyDescent="0.25">
      <c r="B18" s="70">
        <v>17</v>
      </c>
      <c r="C18" s="69" t="s">
        <v>259</v>
      </c>
    </row>
    <row r="19" spans="2:3" x14ac:dyDescent="0.25">
      <c r="B19" s="71">
        <v>18</v>
      </c>
      <c r="C19" s="47" t="s">
        <v>260</v>
      </c>
    </row>
    <row r="20" spans="2:3" x14ac:dyDescent="0.25">
      <c r="B20" s="70">
        <v>19</v>
      </c>
      <c r="C20" s="47" t="s">
        <v>261</v>
      </c>
    </row>
    <row r="21" spans="2:3" x14ac:dyDescent="0.25">
      <c r="B21" s="72">
        <v>20</v>
      </c>
      <c r="C21" s="47" t="s">
        <v>262</v>
      </c>
    </row>
    <row r="22" spans="2:3" x14ac:dyDescent="0.25">
      <c r="B22" s="70">
        <v>21</v>
      </c>
      <c r="C22" s="47" t="s">
        <v>260</v>
      </c>
    </row>
    <row r="23" spans="2:3" s="74" customFormat="1" ht="30" x14ac:dyDescent="0.25">
      <c r="B23" s="73">
        <v>22</v>
      </c>
      <c r="C23" s="65" t="s">
        <v>263</v>
      </c>
    </row>
    <row r="24" spans="2:3" s="74" customFormat="1" ht="30" x14ac:dyDescent="0.25">
      <c r="B24" s="75">
        <v>23</v>
      </c>
      <c r="C24" s="65" t="s">
        <v>264</v>
      </c>
    </row>
    <row r="25" spans="2:3" x14ac:dyDescent="0.25">
      <c r="B25" s="72">
        <v>24</v>
      </c>
      <c r="C25" s="47" t="s">
        <v>265</v>
      </c>
    </row>
    <row r="26" spans="2:3" x14ac:dyDescent="0.25">
      <c r="B26" s="70">
        <v>25</v>
      </c>
      <c r="C26" s="47" t="s">
        <v>266</v>
      </c>
    </row>
    <row r="27" spans="2:3" x14ac:dyDescent="0.25">
      <c r="B27" s="75">
        <v>26</v>
      </c>
      <c r="C27" s="72" t="s">
        <v>267</v>
      </c>
    </row>
    <row r="28" spans="2:3" x14ac:dyDescent="0.25">
      <c r="B28" s="76">
        <v>27</v>
      </c>
      <c r="C28" s="47" t="s">
        <v>268</v>
      </c>
    </row>
    <row r="29" spans="2:3" ht="60" x14ac:dyDescent="0.25">
      <c r="B29" s="77">
        <v>28</v>
      </c>
      <c r="C29" s="66" t="s">
        <v>269</v>
      </c>
    </row>
    <row r="30" spans="2:3" x14ac:dyDescent="0.25">
      <c r="B30" s="75">
        <v>29</v>
      </c>
      <c r="C30" s="47" t="s">
        <v>270</v>
      </c>
    </row>
    <row r="31" spans="2:3" ht="30" x14ac:dyDescent="0.25">
      <c r="B31" s="78">
        <v>30</v>
      </c>
      <c r="C31" s="66" t="s">
        <v>298</v>
      </c>
    </row>
    <row r="32" spans="2:3" x14ac:dyDescent="0.25">
      <c r="B32" s="75">
        <v>31</v>
      </c>
      <c r="C32" s="47" t="s">
        <v>299</v>
      </c>
    </row>
    <row r="33" spans="2:3" x14ac:dyDescent="0.25">
      <c r="B33" s="75">
        <v>32</v>
      </c>
      <c r="C33" s="47" t="s">
        <v>300</v>
      </c>
    </row>
    <row r="34" spans="2:3" ht="30" x14ac:dyDescent="0.25">
      <c r="B34" s="78">
        <v>33</v>
      </c>
      <c r="C34" s="69" t="s">
        <v>301</v>
      </c>
    </row>
    <row r="35" spans="2:3" x14ac:dyDescent="0.25">
      <c r="B35" s="75">
        <v>34</v>
      </c>
      <c r="C35" s="47"/>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RowHeight="15" x14ac:dyDescent="0.25"/>
  <cols>
    <col min="1" max="1" width="9.140625" style="79"/>
    <col min="2" max="2" width="12.28515625" style="79" customWidth="1"/>
    <col min="3" max="16384" width="9.140625" style="79"/>
  </cols>
  <sheetData>
    <row r="2" spans="1:12" x14ac:dyDescent="0.25">
      <c r="B2" s="80" t="s">
        <v>271</v>
      </c>
      <c r="C2" s="222"/>
      <c r="D2" s="222"/>
    </row>
    <row r="3" spans="1:12" x14ac:dyDescent="0.25">
      <c r="D3" s="81"/>
      <c r="E3" s="81"/>
      <c r="F3" s="81"/>
      <c r="G3" s="81"/>
      <c r="H3" s="81"/>
      <c r="I3" s="81"/>
    </row>
    <row r="4" spans="1:12" x14ac:dyDescent="0.25">
      <c r="A4" s="80" t="s">
        <v>272</v>
      </c>
      <c r="B4" s="64" t="s">
        <v>273</v>
      </c>
      <c r="C4" s="223" t="s">
        <v>274</v>
      </c>
      <c r="D4" s="223"/>
      <c r="E4" s="223"/>
      <c r="F4" s="64"/>
      <c r="G4" s="224" t="s">
        <v>275</v>
      </c>
      <c r="H4" s="224"/>
      <c r="I4" s="224"/>
      <c r="J4" s="225" t="s">
        <v>276</v>
      </c>
      <c r="K4" s="225"/>
      <c r="L4" s="225"/>
    </row>
    <row r="5" spans="1:12" x14ac:dyDescent="0.25">
      <c r="A5" s="80"/>
      <c r="B5" s="64"/>
      <c r="C5" s="64" t="s">
        <v>277</v>
      </c>
      <c r="D5" s="64" t="s">
        <v>278</v>
      </c>
      <c r="E5" s="64" t="s">
        <v>279</v>
      </c>
      <c r="F5" s="64"/>
      <c r="G5" s="64" t="s">
        <v>277</v>
      </c>
      <c r="H5" s="64" t="s">
        <v>278</v>
      </c>
      <c r="I5" s="64" t="s">
        <v>279</v>
      </c>
      <c r="J5" s="64" t="s">
        <v>277</v>
      </c>
      <c r="K5" s="64" t="s">
        <v>278</v>
      </c>
      <c r="L5" s="64" t="s">
        <v>279</v>
      </c>
    </row>
    <row r="6" spans="1:12" x14ac:dyDescent="0.25">
      <c r="B6" s="63" t="s">
        <v>280</v>
      </c>
      <c r="C6" s="63"/>
      <c r="D6" s="63"/>
      <c r="E6" s="63">
        <f>C6*D6</f>
        <v>0</v>
      </c>
      <c r="F6" s="63" t="s">
        <v>281</v>
      </c>
      <c r="G6" s="63"/>
      <c r="H6" s="63"/>
      <c r="I6" s="63">
        <f>G6*H6</f>
        <v>0</v>
      </c>
      <c r="J6" s="63"/>
      <c r="K6" s="63"/>
      <c r="L6" s="63">
        <f>J6*K6</f>
        <v>0</v>
      </c>
    </row>
    <row r="7" spans="1:12" x14ac:dyDescent="0.25">
      <c r="B7" s="63"/>
      <c r="C7" s="63"/>
      <c r="D7" s="63"/>
      <c r="E7" s="63">
        <f t="shared" ref="E7:E41" si="0">C7*D7</f>
        <v>0</v>
      </c>
      <c r="F7" s="63" t="s">
        <v>281</v>
      </c>
      <c r="G7" s="63"/>
      <c r="H7" s="63"/>
      <c r="I7" s="63">
        <f t="shared" ref="I7:I35" si="1">G7*H7</f>
        <v>0</v>
      </c>
      <c r="J7" s="63"/>
      <c r="K7" s="63"/>
      <c r="L7" s="63">
        <f t="shared" ref="L7:L35" si="2">J7*K7</f>
        <v>0</v>
      </c>
    </row>
    <row r="8" spans="1:12" x14ac:dyDescent="0.25">
      <c r="B8" s="63"/>
      <c r="C8" s="63"/>
      <c r="D8" s="63"/>
      <c r="E8" s="63">
        <f t="shared" si="0"/>
        <v>0</v>
      </c>
      <c r="F8" s="63"/>
      <c r="G8" s="63"/>
      <c r="H8" s="63"/>
      <c r="I8" s="63">
        <f t="shared" si="1"/>
        <v>0</v>
      </c>
      <c r="J8" s="63"/>
      <c r="K8" s="63"/>
      <c r="L8" s="63">
        <f t="shared" si="2"/>
        <v>0</v>
      </c>
    </row>
    <row r="9" spans="1:12" x14ac:dyDescent="0.25">
      <c r="B9" s="63"/>
      <c r="C9" s="63"/>
      <c r="D9" s="63"/>
      <c r="E9" s="63">
        <f t="shared" si="0"/>
        <v>0</v>
      </c>
      <c r="F9" s="63" t="s">
        <v>282</v>
      </c>
      <c r="G9" s="63"/>
      <c r="H9" s="63"/>
      <c r="I9" s="63">
        <f t="shared" si="1"/>
        <v>0</v>
      </c>
      <c r="J9" s="63"/>
      <c r="K9" s="63"/>
      <c r="L9" s="63">
        <f t="shared" si="2"/>
        <v>0</v>
      </c>
    </row>
    <row r="10" spans="1:12" x14ac:dyDescent="0.25">
      <c r="B10" s="63" t="s">
        <v>283</v>
      </c>
      <c r="C10" s="63"/>
      <c r="D10" s="63"/>
      <c r="E10" s="63">
        <f t="shared" si="0"/>
        <v>0</v>
      </c>
      <c r="F10" s="63" t="s">
        <v>282</v>
      </c>
      <c r="G10" s="63"/>
      <c r="H10" s="63"/>
      <c r="I10" s="63">
        <f t="shared" si="1"/>
        <v>0</v>
      </c>
      <c r="J10" s="63"/>
      <c r="K10" s="63"/>
      <c r="L10" s="63">
        <f t="shared" si="2"/>
        <v>0</v>
      </c>
    </row>
    <row r="11" spans="1:12" x14ac:dyDescent="0.25">
      <c r="B11" s="63"/>
      <c r="C11" s="63"/>
      <c r="D11" s="63"/>
      <c r="E11" s="63">
        <f t="shared" si="0"/>
        <v>0</v>
      </c>
      <c r="F11" s="63" t="s">
        <v>284</v>
      </c>
      <c r="G11" s="63"/>
      <c r="H11" s="63"/>
      <c r="I11" s="63">
        <f t="shared" si="1"/>
        <v>0</v>
      </c>
      <c r="J11" s="63"/>
      <c r="K11" s="63"/>
      <c r="L11" s="63">
        <f t="shared" si="2"/>
        <v>0</v>
      </c>
    </row>
    <row r="12" spans="1:12" x14ac:dyDescent="0.25">
      <c r="B12" s="63"/>
      <c r="C12" s="63"/>
      <c r="D12" s="63"/>
      <c r="E12" s="63">
        <f t="shared" si="0"/>
        <v>0</v>
      </c>
      <c r="F12" s="63"/>
      <c r="G12" s="63"/>
      <c r="H12" s="63"/>
      <c r="I12" s="63">
        <f t="shared" si="1"/>
        <v>0</v>
      </c>
      <c r="J12" s="63"/>
      <c r="K12" s="63"/>
      <c r="L12" s="63">
        <f t="shared" si="2"/>
        <v>0</v>
      </c>
    </row>
    <row r="13" spans="1:12" x14ac:dyDescent="0.25">
      <c r="B13" s="63"/>
      <c r="C13" s="63"/>
      <c r="D13" s="63"/>
      <c r="E13" s="63">
        <f t="shared" si="0"/>
        <v>0</v>
      </c>
      <c r="F13" s="63"/>
      <c r="G13" s="63"/>
      <c r="H13" s="63"/>
      <c r="I13" s="63">
        <f t="shared" si="1"/>
        <v>0</v>
      </c>
      <c r="J13" s="63"/>
      <c r="K13" s="63"/>
      <c r="L13" s="63">
        <f t="shared" si="2"/>
        <v>0</v>
      </c>
    </row>
    <row r="14" spans="1:12" x14ac:dyDescent="0.25">
      <c r="B14" s="63" t="s">
        <v>285</v>
      </c>
      <c r="C14" s="63"/>
      <c r="D14" s="63"/>
      <c r="E14" s="63">
        <f t="shared" si="0"/>
        <v>0</v>
      </c>
      <c r="F14" s="63" t="s">
        <v>282</v>
      </c>
      <c r="G14" s="63"/>
      <c r="H14" s="63"/>
      <c r="I14" s="63">
        <f t="shared" si="1"/>
        <v>0</v>
      </c>
      <c r="J14" s="63"/>
      <c r="K14" s="63"/>
      <c r="L14" s="63">
        <f t="shared" si="2"/>
        <v>0</v>
      </c>
    </row>
    <row r="15" spans="1:12" x14ac:dyDescent="0.25">
      <c r="B15" s="63"/>
      <c r="C15" s="63"/>
      <c r="D15" s="63"/>
      <c r="E15" s="63">
        <f t="shared" si="0"/>
        <v>0</v>
      </c>
      <c r="F15" s="63" t="s">
        <v>284</v>
      </c>
      <c r="G15" s="63"/>
      <c r="H15" s="63"/>
      <c r="I15" s="63">
        <f t="shared" si="1"/>
        <v>0</v>
      </c>
      <c r="J15" s="63"/>
      <c r="K15" s="63"/>
      <c r="L15" s="63">
        <f t="shared" si="2"/>
        <v>0</v>
      </c>
    </row>
    <row r="16" spans="1:12" x14ac:dyDescent="0.25">
      <c r="B16" s="63"/>
      <c r="C16" s="63"/>
      <c r="D16" s="63"/>
      <c r="E16" s="63">
        <f t="shared" si="0"/>
        <v>0</v>
      </c>
      <c r="F16" s="63"/>
      <c r="G16" s="63"/>
      <c r="H16" s="63"/>
      <c r="I16" s="63">
        <f t="shared" si="1"/>
        <v>0</v>
      </c>
      <c r="J16" s="63"/>
      <c r="K16" s="63"/>
      <c r="L16" s="63">
        <f t="shared" si="2"/>
        <v>0</v>
      </c>
    </row>
    <row r="17" spans="2:12" x14ac:dyDescent="0.25">
      <c r="B17" s="63"/>
      <c r="C17" s="63"/>
      <c r="D17" s="63"/>
      <c r="E17" s="63">
        <f t="shared" si="0"/>
        <v>0</v>
      </c>
      <c r="F17" s="63"/>
      <c r="G17" s="63"/>
      <c r="H17" s="63"/>
      <c r="I17" s="63">
        <f t="shared" si="1"/>
        <v>0</v>
      </c>
      <c r="J17" s="63"/>
      <c r="K17" s="63"/>
      <c r="L17" s="63">
        <f t="shared" si="2"/>
        <v>0</v>
      </c>
    </row>
    <row r="18" spans="2:12" x14ac:dyDescent="0.25">
      <c r="B18" s="63" t="s">
        <v>286</v>
      </c>
      <c r="C18" s="63"/>
      <c r="D18" s="63"/>
      <c r="E18" s="63">
        <f t="shared" si="0"/>
        <v>0</v>
      </c>
      <c r="F18" s="63" t="s">
        <v>282</v>
      </c>
      <c r="G18" s="63"/>
      <c r="H18" s="63"/>
      <c r="I18" s="63">
        <f t="shared" si="1"/>
        <v>0</v>
      </c>
      <c r="J18" s="63"/>
      <c r="K18" s="63"/>
      <c r="L18" s="63">
        <f t="shared" si="2"/>
        <v>0</v>
      </c>
    </row>
    <row r="19" spans="2:12" x14ac:dyDescent="0.25">
      <c r="B19" s="63"/>
      <c r="C19" s="63"/>
      <c r="D19" s="63"/>
      <c r="E19" s="63">
        <f t="shared" si="0"/>
        <v>0</v>
      </c>
      <c r="F19" s="63" t="s">
        <v>284</v>
      </c>
      <c r="G19" s="63"/>
      <c r="H19" s="63"/>
      <c r="I19" s="63">
        <f t="shared" si="1"/>
        <v>0</v>
      </c>
      <c r="J19" s="63"/>
      <c r="K19" s="63"/>
      <c r="L19" s="63">
        <f t="shared" si="2"/>
        <v>0</v>
      </c>
    </row>
    <row r="20" spans="2:12" x14ac:dyDescent="0.25">
      <c r="B20" s="63"/>
      <c r="C20" s="63"/>
      <c r="D20" s="63"/>
      <c r="E20" s="63">
        <f t="shared" si="0"/>
        <v>0</v>
      </c>
      <c r="F20" s="63"/>
      <c r="G20" s="63"/>
      <c r="H20" s="63"/>
      <c r="I20" s="63">
        <f t="shared" si="1"/>
        <v>0</v>
      </c>
      <c r="J20" s="63"/>
      <c r="K20" s="63"/>
      <c r="L20" s="63">
        <f t="shared" si="2"/>
        <v>0</v>
      </c>
    </row>
    <row r="21" spans="2:12" x14ac:dyDescent="0.25">
      <c r="B21" s="63" t="s">
        <v>287</v>
      </c>
      <c r="C21" s="63"/>
      <c r="D21" s="63"/>
      <c r="E21" s="63">
        <f t="shared" si="0"/>
        <v>0</v>
      </c>
      <c r="F21" s="63" t="s">
        <v>282</v>
      </c>
      <c r="G21" s="63"/>
      <c r="H21" s="63"/>
      <c r="I21" s="63">
        <f t="shared" si="1"/>
        <v>0</v>
      </c>
      <c r="J21" s="63"/>
      <c r="K21" s="63"/>
      <c r="L21" s="63">
        <f t="shared" si="2"/>
        <v>0</v>
      </c>
    </row>
    <row r="22" spans="2:12" x14ac:dyDescent="0.25">
      <c r="B22" s="63"/>
      <c r="C22" s="63"/>
      <c r="D22" s="63"/>
      <c r="E22" s="63">
        <f t="shared" si="0"/>
        <v>0</v>
      </c>
      <c r="F22" s="63" t="s">
        <v>284</v>
      </c>
      <c r="G22" s="63"/>
      <c r="H22" s="63"/>
      <c r="I22" s="63">
        <f t="shared" si="1"/>
        <v>0</v>
      </c>
      <c r="J22" s="63"/>
      <c r="K22" s="63"/>
      <c r="L22" s="63">
        <f t="shared" si="2"/>
        <v>0</v>
      </c>
    </row>
    <row r="23" spans="2:12" x14ac:dyDescent="0.25">
      <c r="B23" s="63"/>
      <c r="C23" s="63"/>
      <c r="D23" s="63"/>
      <c r="E23" s="63">
        <f t="shared" si="0"/>
        <v>0</v>
      </c>
      <c r="F23" s="63"/>
      <c r="G23" s="63"/>
      <c r="H23" s="63"/>
      <c r="I23" s="63">
        <f t="shared" si="1"/>
        <v>0</v>
      </c>
      <c r="J23" s="63"/>
      <c r="K23" s="63"/>
      <c r="L23" s="63">
        <f t="shared" si="2"/>
        <v>0</v>
      </c>
    </row>
    <row r="24" spans="2:12" x14ac:dyDescent="0.25">
      <c r="B24" s="63" t="s">
        <v>288</v>
      </c>
      <c r="C24" s="63"/>
      <c r="D24" s="63"/>
      <c r="E24" s="63">
        <f t="shared" si="0"/>
        <v>0</v>
      </c>
      <c r="F24" s="63" t="s">
        <v>289</v>
      </c>
      <c r="G24" s="63"/>
      <c r="H24" s="63"/>
      <c r="I24" s="63">
        <f t="shared" si="1"/>
        <v>0</v>
      </c>
      <c r="J24" s="63"/>
      <c r="K24" s="63"/>
      <c r="L24" s="63">
        <f t="shared" si="2"/>
        <v>0</v>
      </c>
    </row>
    <row r="25" spans="2:12" x14ac:dyDescent="0.25">
      <c r="B25" s="63"/>
      <c r="C25" s="63"/>
      <c r="D25" s="63"/>
      <c r="E25" s="63">
        <f t="shared" si="0"/>
        <v>0</v>
      </c>
      <c r="F25" s="63" t="s">
        <v>289</v>
      </c>
      <c r="G25" s="63"/>
      <c r="H25" s="63"/>
      <c r="I25" s="63">
        <f t="shared" si="1"/>
        <v>0</v>
      </c>
      <c r="J25" s="63"/>
      <c r="K25" s="63"/>
      <c r="L25" s="63">
        <f t="shared" si="2"/>
        <v>0</v>
      </c>
    </row>
    <row r="26" spans="2:12" x14ac:dyDescent="0.25">
      <c r="B26" s="63"/>
      <c r="C26" s="63"/>
      <c r="D26" s="63"/>
      <c r="E26" s="63">
        <f t="shared" si="0"/>
        <v>0</v>
      </c>
      <c r="F26" s="63" t="s">
        <v>289</v>
      </c>
      <c r="G26" s="63"/>
      <c r="H26" s="63"/>
      <c r="I26" s="63">
        <f t="shared" si="1"/>
        <v>0</v>
      </c>
      <c r="J26" s="63"/>
      <c r="K26" s="63"/>
      <c r="L26" s="63">
        <f t="shared" si="2"/>
        <v>0</v>
      </c>
    </row>
    <row r="27" spans="2:12" x14ac:dyDescent="0.25">
      <c r="B27" s="63"/>
      <c r="C27" s="63"/>
      <c r="D27" s="63"/>
      <c r="E27" s="63">
        <f t="shared" si="0"/>
        <v>0</v>
      </c>
      <c r="F27" s="63" t="s">
        <v>289</v>
      </c>
      <c r="G27" s="63"/>
      <c r="H27" s="63"/>
      <c r="I27" s="63">
        <f t="shared" si="1"/>
        <v>0</v>
      </c>
      <c r="J27" s="63"/>
      <c r="K27" s="63"/>
      <c r="L27" s="63">
        <f t="shared" si="2"/>
        <v>0</v>
      </c>
    </row>
    <row r="28" spans="2:12" x14ac:dyDescent="0.25">
      <c r="B28" s="63" t="s">
        <v>290</v>
      </c>
      <c r="C28" s="63"/>
      <c r="D28" s="63"/>
      <c r="E28" s="63">
        <f t="shared" si="0"/>
        <v>0</v>
      </c>
      <c r="F28" s="63" t="s">
        <v>289</v>
      </c>
      <c r="G28" s="63"/>
      <c r="H28" s="63"/>
      <c r="I28" s="63">
        <f t="shared" si="1"/>
        <v>0</v>
      </c>
      <c r="J28" s="63"/>
      <c r="K28" s="63"/>
      <c r="L28" s="63">
        <f t="shared" si="2"/>
        <v>0</v>
      </c>
    </row>
    <row r="29" spans="2:12" x14ac:dyDescent="0.25">
      <c r="B29" s="63" t="s">
        <v>291</v>
      </c>
      <c r="C29" s="63"/>
      <c r="D29" s="63"/>
      <c r="E29" s="63">
        <f t="shared" si="0"/>
        <v>0</v>
      </c>
      <c r="F29" s="63" t="s">
        <v>289</v>
      </c>
      <c r="G29" s="63"/>
      <c r="H29" s="63"/>
      <c r="I29" s="63">
        <f t="shared" si="1"/>
        <v>0</v>
      </c>
      <c r="J29" s="63"/>
      <c r="K29" s="63"/>
      <c r="L29" s="63">
        <f t="shared" si="2"/>
        <v>0</v>
      </c>
    </row>
    <row r="30" spans="2:12" x14ac:dyDescent="0.25">
      <c r="B30" s="63" t="s">
        <v>292</v>
      </c>
      <c r="C30" s="63"/>
      <c r="D30" s="63"/>
      <c r="E30" s="63">
        <f t="shared" si="0"/>
        <v>0</v>
      </c>
      <c r="F30" s="63"/>
      <c r="G30" s="63"/>
      <c r="H30" s="63"/>
      <c r="I30" s="63">
        <f t="shared" si="1"/>
        <v>0</v>
      </c>
      <c r="J30" s="63"/>
      <c r="K30" s="63"/>
      <c r="L30" s="63">
        <f t="shared" si="2"/>
        <v>0</v>
      </c>
    </row>
    <row r="31" spans="2:12" x14ac:dyDescent="0.25">
      <c r="B31" s="63"/>
      <c r="C31" s="63"/>
      <c r="D31" s="63"/>
      <c r="E31" s="63">
        <f t="shared" si="0"/>
        <v>0</v>
      </c>
      <c r="F31" s="63"/>
      <c r="G31" s="63"/>
      <c r="H31" s="63"/>
      <c r="I31" s="63">
        <f t="shared" si="1"/>
        <v>0</v>
      </c>
      <c r="J31" s="63"/>
      <c r="K31" s="63"/>
      <c r="L31" s="63">
        <f t="shared" si="2"/>
        <v>0</v>
      </c>
    </row>
    <row r="32" spans="2:12" x14ac:dyDescent="0.25">
      <c r="B32" s="63"/>
      <c r="C32" s="63"/>
      <c r="D32" s="63"/>
      <c r="E32" s="63">
        <f t="shared" si="0"/>
        <v>0</v>
      </c>
      <c r="F32" s="63"/>
      <c r="G32" s="63"/>
      <c r="H32" s="63"/>
      <c r="I32" s="63">
        <f t="shared" si="1"/>
        <v>0</v>
      </c>
      <c r="J32" s="63"/>
      <c r="K32" s="63"/>
      <c r="L32" s="63">
        <f t="shared" si="2"/>
        <v>0</v>
      </c>
    </row>
    <row r="33" spans="2:12" x14ac:dyDescent="0.25">
      <c r="B33" s="63" t="s">
        <v>293</v>
      </c>
      <c r="C33" s="63"/>
      <c r="D33" s="63"/>
      <c r="E33" s="63">
        <f t="shared" si="0"/>
        <v>0</v>
      </c>
      <c r="F33" s="63"/>
      <c r="G33" s="63"/>
      <c r="H33" s="63"/>
      <c r="I33" s="63">
        <f t="shared" si="1"/>
        <v>0</v>
      </c>
      <c r="J33" s="63"/>
      <c r="K33" s="63"/>
      <c r="L33" s="63">
        <f t="shared" si="2"/>
        <v>0</v>
      </c>
    </row>
    <row r="34" spans="2:12" x14ac:dyDescent="0.25">
      <c r="B34" s="63" t="s">
        <v>294</v>
      </c>
      <c r="C34" s="63"/>
      <c r="D34" s="63"/>
      <c r="E34" s="63">
        <f t="shared" si="0"/>
        <v>0</v>
      </c>
      <c r="F34" s="63"/>
      <c r="G34" s="63"/>
      <c r="H34" s="63"/>
      <c r="I34" s="63">
        <f t="shared" si="1"/>
        <v>0</v>
      </c>
      <c r="J34" s="63"/>
      <c r="K34" s="63"/>
      <c r="L34" s="63">
        <f t="shared" si="2"/>
        <v>0</v>
      </c>
    </row>
    <row r="35" spans="2:12" x14ac:dyDescent="0.25">
      <c r="B35" s="63" t="s">
        <v>295</v>
      </c>
      <c r="C35" s="63"/>
      <c r="D35" s="63"/>
      <c r="E35" s="63">
        <f t="shared" si="0"/>
        <v>0</v>
      </c>
      <c r="F35" s="63"/>
      <c r="G35" s="63"/>
      <c r="H35" s="63"/>
      <c r="I35" s="63">
        <f t="shared" si="1"/>
        <v>0</v>
      </c>
      <c r="J35" s="63"/>
      <c r="K35" s="63"/>
      <c r="L35" s="63">
        <f t="shared" si="2"/>
        <v>0</v>
      </c>
    </row>
    <row r="36" spans="2:12" x14ac:dyDescent="0.25">
      <c r="B36" s="63" t="s">
        <v>296</v>
      </c>
      <c r="C36" s="63"/>
      <c r="D36" s="63"/>
      <c r="E36" s="63">
        <f t="shared" si="0"/>
        <v>0</v>
      </c>
      <c r="F36" s="63"/>
      <c r="G36" s="63"/>
      <c r="H36" s="63"/>
      <c r="I36" s="63">
        <f>G36*H36</f>
        <v>0</v>
      </c>
      <c r="J36" s="63"/>
      <c r="K36" s="63"/>
      <c r="L36" s="63">
        <f>J36*K36</f>
        <v>0</v>
      </c>
    </row>
    <row r="37" spans="2:12" x14ac:dyDescent="0.25">
      <c r="B37" s="63"/>
      <c r="C37" s="63"/>
      <c r="D37" s="63"/>
      <c r="E37" s="63">
        <f t="shared" si="0"/>
        <v>0</v>
      </c>
      <c r="F37" s="63"/>
      <c r="G37" s="63"/>
      <c r="H37" s="63"/>
      <c r="I37" s="63">
        <f t="shared" ref="I37:I38" si="3">G37*H37</f>
        <v>0</v>
      </c>
      <c r="J37" s="63"/>
      <c r="K37" s="63"/>
      <c r="L37" s="63">
        <f t="shared" ref="L37:L38" si="4">J37*K37</f>
        <v>0</v>
      </c>
    </row>
    <row r="38" spans="2:12" x14ac:dyDescent="0.25">
      <c r="B38" s="63" t="s">
        <v>297</v>
      </c>
      <c r="C38" s="63"/>
      <c r="D38" s="63"/>
      <c r="E38" s="63">
        <f t="shared" si="0"/>
        <v>0</v>
      </c>
      <c r="F38" s="63"/>
      <c r="G38" s="63"/>
      <c r="H38" s="63"/>
      <c r="I38" s="63">
        <f t="shared" si="3"/>
        <v>0</v>
      </c>
      <c r="J38" s="63"/>
      <c r="K38" s="63"/>
      <c r="L38" s="63">
        <f t="shared" si="4"/>
        <v>0</v>
      </c>
    </row>
    <row r="39" spans="2:12" x14ac:dyDescent="0.25">
      <c r="B39" s="63"/>
      <c r="C39" s="63"/>
      <c r="D39" s="63"/>
      <c r="E39" s="63">
        <f t="shared" si="0"/>
        <v>0</v>
      </c>
      <c r="F39" s="63"/>
      <c r="G39" s="63"/>
      <c r="H39" s="63"/>
      <c r="I39" s="63">
        <f>G39*H39</f>
        <v>0</v>
      </c>
      <c r="J39" s="63"/>
      <c r="K39" s="63"/>
      <c r="L39" s="63">
        <f>J39*K39</f>
        <v>0</v>
      </c>
    </row>
    <row r="40" spans="2:12" x14ac:dyDescent="0.25">
      <c r="B40" s="63"/>
      <c r="C40" s="63"/>
      <c r="D40" s="63"/>
      <c r="E40" s="63">
        <f t="shared" si="0"/>
        <v>0</v>
      </c>
      <c r="F40" s="63"/>
      <c r="G40" s="63"/>
      <c r="H40" s="63"/>
      <c r="I40" s="63">
        <f>G40*H40</f>
        <v>0</v>
      </c>
      <c r="J40" s="63"/>
      <c r="K40" s="63"/>
      <c r="L40" s="63">
        <f>J40*K40</f>
        <v>0</v>
      </c>
    </row>
    <row r="41" spans="2:12" x14ac:dyDescent="0.25">
      <c r="B41" s="63"/>
      <c r="C41" s="63"/>
      <c r="D41" s="63"/>
      <c r="E41" s="63">
        <f t="shared" si="0"/>
        <v>0</v>
      </c>
      <c r="F41" s="63"/>
      <c r="G41" s="63"/>
      <c r="H41" s="63"/>
      <c r="I41" s="63">
        <f>G41*H41</f>
        <v>0</v>
      </c>
      <c r="J41" s="63"/>
      <c r="K41" s="63"/>
      <c r="L41" s="63">
        <f>J41*K41</f>
        <v>0</v>
      </c>
    </row>
    <row r="42" spans="2:12" x14ac:dyDescent="0.25">
      <c r="B42" s="63" t="s">
        <v>154</v>
      </c>
      <c r="C42" s="63"/>
      <c r="D42" s="63">
        <f>E42*10.764</f>
        <v>0</v>
      </c>
      <c r="E42" s="82">
        <f>SUM(E6:E41)</f>
        <v>0</v>
      </c>
      <c r="F42" s="63"/>
      <c r="G42" s="63"/>
      <c r="H42" s="63">
        <f>I42*10.764</f>
        <v>0</v>
      </c>
      <c r="I42" s="83">
        <f>SUM(I6:I41)</f>
        <v>0</v>
      </c>
      <c r="J42" s="63"/>
      <c r="K42" s="63">
        <f>L42*10.764</f>
        <v>0</v>
      </c>
      <c r="L42" s="84">
        <f>SUM(L6:L41)</f>
        <v>0</v>
      </c>
    </row>
    <row r="44" spans="2:12" x14ac:dyDescent="0.25">
      <c r="D44" s="79">
        <f>D42+H42</f>
        <v>0</v>
      </c>
      <c r="E44" s="79">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Sheet1</vt:lpstr>
      <vt:lpstr>Construction table</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VSJC-06</cp:lastModifiedBy>
  <cp:lastPrinted>2025-07-23T12:43:39Z</cp:lastPrinted>
  <dcterms:created xsi:type="dcterms:W3CDTF">2010-11-23T11:42:48Z</dcterms:created>
  <dcterms:modified xsi:type="dcterms:W3CDTF">2025-07-23T12:50:23Z</dcterms:modified>
</cp:coreProperties>
</file>