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/>
  </bookViews>
  <sheets>
    <sheet name="Sheet1" sheetId="1" r:id="rId1"/>
    <sheet name="C %" sheetId="4" r:id="rId2"/>
    <sheet name="C % (2)" sheetId="5" r:id="rId3"/>
    <sheet name="C % (3)" sheetId="6" r:id="rId4"/>
    <sheet name="C % (4)" sheetId="7" r:id="rId5"/>
    <sheet name="Note" sheetId="8" r:id="rId6"/>
    <sheet name="Valuation" sheetId="2" r:id="rId7"/>
    <sheet name="Sheet3" sheetId="3" r:id="rId8"/>
  </sheets>
  <definedNames>
    <definedName name="_xlnm.Print_Area" localSheetId="0">Sheet1!$A$1:$I$509</definedName>
  </definedNames>
  <calcPr calcId="152511"/>
</workbook>
</file>

<file path=xl/calcChain.xml><?xml version="1.0" encoding="utf-8"?>
<calcChain xmlns="http://schemas.openxmlformats.org/spreadsheetml/2006/main">
  <c r="K111" i="1" l="1"/>
  <c r="K110" i="1"/>
  <c r="K109" i="1"/>
  <c r="K108" i="1"/>
  <c r="K97" i="1"/>
  <c r="K96" i="1"/>
  <c r="K95" i="1"/>
  <c r="K94" i="1"/>
  <c r="I87" i="1"/>
  <c r="I101" i="1"/>
  <c r="K106" i="1" l="1"/>
  <c r="K107" i="1" s="1"/>
  <c r="K112" i="1" s="1"/>
  <c r="K113" i="1" s="1"/>
  <c r="C105" i="1" s="1"/>
  <c r="D110" i="1"/>
  <c r="D106" i="1"/>
  <c r="D111" i="1"/>
  <c r="K105" i="1"/>
  <c r="C104" i="1" s="1"/>
  <c r="K103" i="1"/>
  <c r="D107" i="1"/>
  <c r="D113" i="1"/>
  <c r="D109" i="1"/>
  <c r="D112" i="1"/>
  <c r="D108" i="1"/>
  <c r="K104" i="1"/>
  <c r="D98" i="1"/>
  <c r="D94" i="1"/>
  <c r="K90" i="1"/>
  <c r="D97" i="1"/>
  <c r="D93" i="1"/>
  <c r="K92" i="1"/>
  <c r="K93" i="1" s="1"/>
  <c r="K98" i="1" s="1"/>
  <c r="K99" i="1" s="1"/>
  <c r="C91" i="1" s="1"/>
  <c r="K89" i="1"/>
  <c r="D99" i="1"/>
  <c r="D96" i="1"/>
  <c r="D92" i="1"/>
  <c r="K91" i="1"/>
  <c r="C90" i="1" s="1"/>
  <c r="D95" i="1"/>
  <c r="D253" i="1"/>
  <c r="F253" i="1" s="1"/>
  <c r="D252" i="1"/>
  <c r="F252" i="1" s="1"/>
  <c r="K251" i="1"/>
  <c r="D251" i="1"/>
  <c r="F251" i="1" s="1"/>
  <c r="D250" i="1"/>
  <c r="F250" i="1" s="1"/>
  <c r="K249" i="1"/>
  <c r="J249" i="1"/>
  <c r="D249" i="1"/>
  <c r="F249" i="1" s="1"/>
  <c r="D248" i="1"/>
  <c r="F248" i="1" s="1"/>
  <c r="D247" i="1"/>
  <c r="F247" i="1" s="1"/>
  <c r="D246" i="1"/>
  <c r="F246" i="1" s="1"/>
  <c r="L245" i="1"/>
  <c r="K245" i="1"/>
  <c r="J245" i="1"/>
  <c r="H245" i="1"/>
  <c r="D245" i="1"/>
  <c r="F245" i="1" s="1"/>
  <c r="F90" i="1" l="1"/>
  <c r="D91" i="1"/>
  <c r="F104" i="1"/>
  <c r="D105" i="1"/>
  <c r="H104" i="1"/>
  <c r="H90" i="1"/>
  <c r="D68" i="1" s="1"/>
  <c r="D90" i="1"/>
  <c r="D104" i="1"/>
  <c r="L178" i="1"/>
  <c r="K292" i="1"/>
  <c r="J292" i="1"/>
  <c r="L235" i="1"/>
  <c r="J100" i="1" l="1"/>
  <c r="C102" i="1" s="1"/>
  <c r="H114" i="1"/>
  <c r="D114" i="1"/>
  <c r="J86" i="1"/>
  <c r="C88" i="1" s="1"/>
  <c r="E314" i="1"/>
  <c r="E288" i="1"/>
  <c r="D60" i="1" l="1"/>
  <c r="J60" i="1"/>
  <c r="D291" i="1" l="1"/>
  <c r="D304" i="1"/>
  <c r="D303" i="1"/>
  <c r="D278" i="1"/>
  <c r="D277" i="1"/>
  <c r="D290" i="1"/>
  <c r="D314" i="1"/>
  <c r="F314" i="1" s="1"/>
  <c r="E313" i="1"/>
  <c r="D313" i="1"/>
  <c r="E312" i="1"/>
  <c r="D312" i="1"/>
  <c r="F312" i="1" s="1"/>
  <c r="E311" i="1"/>
  <c r="D311" i="1"/>
  <c r="E310" i="1"/>
  <c r="D310" i="1"/>
  <c r="E309" i="1"/>
  <c r="D309" i="1"/>
  <c r="E308" i="1"/>
  <c r="D308" i="1"/>
  <c r="F308" i="1" s="1"/>
  <c r="E307" i="1"/>
  <c r="D307" i="1"/>
  <c r="E306" i="1"/>
  <c r="D306" i="1"/>
  <c r="E305" i="1"/>
  <c r="D305" i="1"/>
  <c r="E304" i="1"/>
  <c r="E303" i="1"/>
  <c r="E287" i="1"/>
  <c r="E286" i="1"/>
  <c r="E299" i="1"/>
  <c r="E300" i="1"/>
  <c r="E301" i="1"/>
  <c r="D301" i="1"/>
  <c r="D300" i="1"/>
  <c r="D299" i="1"/>
  <c r="E298" i="1"/>
  <c r="D298" i="1"/>
  <c r="F298" i="1" s="1"/>
  <c r="D285" i="1"/>
  <c r="F285" i="1" s="1"/>
  <c r="E297" i="1"/>
  <c r="D297" i="1"/>
  <c r="E296" i="1"/>
  <c r="E295" i="1"/>
  <c r="E294" i="1"/>
  <c r="D296" i="1"/>
  <c r="D295" i="1"/>
  <c r="F295" i="1" s="1"/>
  <c r="D294" i="1"/>
  <c r="E293" i="1"/>
  <c r="D293" i="1"/>
  <c r="E292" i="1"/>
  <c r="E285" i="1"/>
  <c r="E279" i="1"/>
  <c r="D292" i="1"/>
  <c r="E291" i="1"/>
  <c r="E290" i="1"/>
  <c r="D288" i="1"/>
  <c r="F288" i="1" s="1"/>
  <c r="J283" i="1"/>
  <c r="J287" i="1"/>
  <c r="D287" i="1"/>
  <c r="D286" i="1"/>
  <c r="D279" i="1"/>
  <c r="D284" i="1"/>
  <c r="E284" i="1"/>
  <c r="E283" i="1"/>
  <c r="E282" i="1"/>
  <c r="E281" i="1"/>
  <c r="D283" i="1"/>
  <c r="D282" i="1"/>
  <c r="E280" i="1"/>
  <c r="D281" i="1"/>
  <c r="D280" i="1"/>
  <c r="F280" i="1" s="1"/>
  <c r="E277" i="1"/>
  <c r="E278" i="1"/>
  <c r="F307" i="1" l="1"/>
  <c r="F311" i="1"/>
  <c r="F306" i="1"/>
  <c r="F310" i="1"/>
  <c r="F294" i="1"/>
  <c r="F279" i="1"/>
  <c r="F281" i="1"/>
  <c r="F292" i="1"/>
  <c r="F296" i="1"/>
  <c r="F287" i="1"/>
  <c r="F293" i="1"/>
  <c r="F297" i="1"/>
  <c r="F290" i="1"/>
  <c r="D162" i="1"/>
  <c r="F277" i="1"/>
  <c r="F284" i="1"/>
  <c r="F278" i="1"/>
  <c r="F282" i="1"/>
  <c r="J282" i="1" s="1"/>
  <c r="F299" i="1"/>
  <c r="F303" i="1"/>
  <c r="F286" i="1"/>
  <c r="F283" i="1"/>
  <c r="F300" i="1"/>
  <c r="F304" i="1"/>
  <c r="F301" i="1"/>
  <c r="F305" i="1"/>
  <c r="F309" i="1"/>
  <c r="F313" i="1"/>
  <c r="F291" i="1"/>
  <c r="D335" i="1"/>
  <c r="E320" i="1" l="1"/>
  <c r="D320" i="1"/>
  <c r="D318" i="1"/>
  <c r="F318" i="1" s="1"/>
  <c r="H320" i="1"/>
  <c r="H318" i="1"/>
  <c r="D267" i="1"/>
  <c r="F267" i="1" s="1"/>
  <c r="D273" i="1"/>
  <c r="F273" i="1" s="1"/>
  <c r="D272" i="1"/>
  <c r="F272" i="1" s="1"/>
  <c r="D271" i="1"/>
  <c r="F271" i="1" s="1"/>
  <c r="D270" i="1"/>
  <c r="F270" i="1" s="1"/>
  <c r="D269" i="1"/>
  <c r="F269" i="1" s="1"/>
  <c r="D266" i="1"/>
  <c r="F266" i="1" s="1"/>
  <c r="D265" i="1"/>
  <c r="F265" i="1" s="1"/>
  <c r="D263" i="1"/>
  <c r="F263" i="1" s="1"/>
  <c r="D262" i="1"/>
  <c r="F262" i="1" s="1"/>
  <c r="D261" i="1"/>
  <c r="F261" i="1" s="1"/>
  <c r="D260" i="1"/>
  <c r="F260" i="1" s="1"/>
  <c r="D259" i="1"/>
  <c r="F259" i="1" s="1"/>
  <c r="D258" i="1"/>
  <c r="F258" i="1" s="1"/>
  <c r="D257" i="1"/>
  <c r="F257" i="1" s="1"/>
  <c r="D256" i="1"/>
  <c r="F256" i="1" s="1"/>
  <c r="D255" i="1"/>
  <c r="F255" i="1" s="1"/>
  <c r="D241" i="1"/>
  <c r="F241" i="1" s="1"/>
  <c r="K241" i="1"/>
  <c r="J239" i="1"/>
  <c r="D243" i="1"/>
  <c r="F243" i="1" s="1"/>
  <c r="D242" i="1"/>
  <c r="F242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F320" i="1" l="1"/>
  <c r="F161" i="1"/>
  <c r="D161" i="1"/>
  <c r="H161" i="1"/>
  <c r="K239" i="1"/>
  <c r="H277" i="1"/>
  <c r="K235" i="1"/>
  <c r="J235" i="1"/>
  <c r="K143" i="1"/>
  <c r="K142" i="1"/>
  <c r="K141" i="1"/>
  <c r="K140" i="1"/>
  <c r="F40" i="1"/>
  <c r="F41" i="1" s="1"/>
  <c r="I133" i="1"/>
  <c r="D147" i="1" l="1"/>
  <c r="D145" i="1"/>
  <c r="D143" i="1"/>
  <c r="D141" i="1"/>
  <c r="K138" i="1"/>
  <c r="K139" i="1" s="1"/>
  <c r="K144" i="1" s="1"/>
  <c r="K145" i="1" s="1"/>
  <c r="C139" i="1" s="1"/>
  <c r="D146" i="1"/>
  <c r="D144" i="1"/>
  <c r="D142" i="1"/>
  <c r="D140" i="1"/>
  <c r="K136" i="1"/>
  <c r="K137" i="1"/>
  <c r="C138" i="1" s="1"/>
  <c r="K135" i="1"/>
  <c r="F42" i="1"/>
  <c r="F138" i="1" l="1"/>
  <c r="J132" i="1" s="1"/>
  <c r="D139" i="1"/>
  <c r="H138" i="1"/>
  <c r="D138" i="1"/>
  <c r="K83" i="1" l="1"/>
  <c r="K82" i="1"/>
  <c r="K81" i="1"/>
  <c r="K80" i="1"/>
  <c r="I71" i="1"/>
  <c r="K78" i="1" l="1"/>
  <c r="K79" i="1" s="1"/>
  <c r="K84" i="1" s="1"/>
  <c r="K85" i="1" s="1"/>
  <c r="K76" i="1"/>
  <c r="K75" i="1"/>
  <c r="D84" i="1"/>
  <c r="D82" i="1"/>
  <c r="D80" i="1"/>
  <c r="D78" i="1"/>
  <c r="H76" i="1"/>
  <c r="K77" i="1"/>
  <c r="F76" i="1"/>
  <c r="D85" i="1"/>
  <c r="D83" i="1"/>
  <c r="D81" i="1"/>
  <c r="D79" i="1"/>
  <c r="D77" i="1"/>
  <c r="D76" i="1"/>
  <c r="J70" i="1" l="1"/>
  <c r="H303" i="1" l="1"/>
  <c r="H290" i="1"/>
  <c r="H265" i="1"/>
  <c r="H255" i="1"/>
  <c r="H216" i="1"/>
  <c r="H235" i="1"/>
  <c r="H199" i="1"/>
  <c r="I117" i="1"/>
  <c r="H188" i="1" l="1"/>
  <c r="H179" i="1"/>
  <c r="H170" i="1"/>
  <c r="K52" i="1" l="1"/>
  <c r="F3" i="1" l="1"/>
  <c r="J284" i="1" l="1"/>
  <c r="K129" i="1" l="1"/>
  <c r="K128" i="1"/>
  <c r="K127" i="1"/>
  <c r="K126" i="1"/>
  <c r="D131" i="1" l="1"/>
  <c r="D125" i="1"/>
  <c r="K124" i="1"/>
  <c r="K125" i="1" s="1"/>
  <c r="K130" i="1" s="1"/>
  <c r="K131" i="1" s="1"/>
  <c r="C123" i="1" s="1"/>
  <c r="F122" i="1" s="1"/>
  <c r="K123" i="1"/>
  <c r="C122" i="1" s="1"/>
  <c r="D122" i="1" s="1"/>
  <c r="D130" i="1"/>
  <c r="D124" i="1"/>
  <c r="K121" i="1"/>
  <c r="D129" i="1"/>
  <c r="D127" i="1"/>
  <c r="D126" i="1"/>
  <c r="D128" i="1"/>
  <c r="K122" i="1"/>
  <c r="J116" i="1" l="1"/>
  <c r="C118" i="1" s="1"/>
  <c r="H122" i="1"/>
  <c r="D123" i="1"/>
  <c r="D69" i="1" l="1"/>
  <c r="F7" i="2"/>
  <c r="G7" i="2" s="1"/>
  <c r="F8" i="2"/>
  <c r="G8" i="2" s="1"/>
  <c r="F6" i="2"/>
  <c r="G6" i="2" s="1"/>
  <c r="F5" i="2"/>
  <c r="G5" i="2" s="1"/>
  <c r="B16" i="7"/>
  <c r="E10" i="7" s="1"/>
  <c r="B14" i="7"/>
  <c r="E9" i="7" s="1"/>
  <c r="B12" i="7"/>
  <c r="M6" i="7" s="1"/>
  <c r="G17" i="7" s="1"/>
  <c r="B10" i="7"/>
  <c r="E7" i="7" s="1"/>
  <c r="B8" i="7"/>
  <c r="K7" i="7" s="1"/>
  <c r="H15" i="7" s="1"/>
  <c r="I6" i="7"/>
  <c r="G13" i="7"/>
  <c r="B6" i="7"/>
  <c r="E5" i="7" s="1"/>
  <c r="E4" i="7"/>
  <c r="E191" i="1"/>
  <c r="D191" i="1"/>
  <c r="B16" i="6"/>
  <c r="O6" i="6" s="1"/>
  <c r="G19" i="6" s="1"/>
  <c r="B14" i="6"/>
  <c r="N7" i="6" s="1"/>
  <c r="H18" i="6" s="1"/>
  <c r="E9" i="6"/>
  <c r="B12" i="6"/>
  <c r="M7" i="6" s="1"/>
  <c r="H17" i="6" s="1"/>
  <c r="B10" i="6"/>
  <c r="L7" i="6" s="1"/>
  <c r="H16" i="6" s="1"/>
  <c r="B8" i="6"/>
  <c r="K7" i="6" s="1"/>
  <c r="H15" i="6" s="1"/>
  <c r="I6" i="6"/>
  <c r="G13" i="6" s="1"/>
  <c r="B6" i="6"/>
  <c r="J7" i="6" s="1"/>
  <c r="H14" i="6" s="1"/>
  <c r="E4" i="6"/>
  <c r="B16" i="5"/>
  <c r="E10" i="5" s="1"/>
  <c r="B14" i="5"/>
  <c r="N6" i="5" s="1"/>
  <c r="G18" i="5" s="1"/>
  <c r="B12" i="5"/>
  <c r="E8" i="5" s="1"/>
  <c r="M6" i="5"/>
  <c r="G17" i="5" s="1"/>
  <c r="B10" i="5"/>
  <c r="L7" i="5" s="1"/>
  <c r="H16" i="5" s="1"/>
  <c r="B8" i="5"/>
  <c r="E6" i="5" s="1"/>
  <c r="I6" i="5"/>
  <c r="G13" i="5" s="1"/>
  <c r="B6" i="5"/>
  <c r="E5" i="5" s="1"/>
  <c r="E4" i="5"/>
  <c r="B16" i="4"/>
  <c r="O7" i="4" s="1"/>
  <c r="H19" i="4" s="1"/>
  <c r="B14" i="4"/>
  <c r="N6" i="4" s="1"/>
  <c r="G18" i="4" s="1"/>
  <c r="E9" i="4"/>
  <c r="B12" i="4"/>
  <c r="M7" i="4" s="1"/>
  <c r="H17" i="4" s="1"/>
  <c r="B10" i="4"/>
  <c r="L6" i="4" s="1"/>
  <c r="G16" i="4" s="1"/>
  <c r="B8" i="4"/>
  <c r="K7" i="4" s="1"/>
  <c r="H15" i="4" s="1"/>
  <c r="I6" i="4"/>
  <c r="G13" i="4"/>
  <c r="B6" i="4"/>
  <c r="J7" i="4"/>
  <c r="H14" i="4"/>
  <c r="E4" i="4"/>
  <c r="H162" i="1"/>
  <c r="D231" i="1"/>
  <c r="F231" i="1" s="1"/>
  <c r="L231" i="1" s="1"/>
  <c r="D216" i="1"/>
  <c r="F216" i="1" s="1"/>
  <c r="L216" i="1" s="1"/>
  <c r="E230" i="1"/>
  <c r="D230" i="1"/>
  <c r="E229" i="1"/>
  <c r="D229" i="1"/>
  <c r="E228" i="1"/>
  <c r="D228" i="1"/>
  <c r="D227" i="1"/>
  <c r="F227" i="1" s="1"/>
  <c r="L227" i="1" s="1"/>
  <c r="D226" i="1"/>
  <c r="F226" i="1" s="1"/>
  <c r="L226" i="1" s="1"/>
  <c r="E225" i="1"/>
  <c r="D225" i="1"/>
  <c r="E224" i="1"/>
  <c r="D224" i="1"/>
  <c r="E223" i="1"/>
  <c r="D223" i="1"/>
  <c r="E222" i="1"/>
  <c r="D222" i="1"/>
  <c r="D221" i="1"/>
  <c r="F221" i="1" s="1"/>
  <c r="L221" i="1" s="1"/>
  <c r="D220" i="1"/>
  <c r="F220" i="1" s="1"/>
  <c r="L220" i="1" s="1"/>
  <c r="E219" i="1"/>
  <c r="D219" i="1"/>
  <c r="E218" i="1"/>
  <c r="D218" i="1"/>
  <c r="E217" i="1"/>
  <c r="D217" i="1"/>
  <c r="D214" i="1"/>
  <c r="F214" i="1" s="1"/>
  <c r="E213" i="1"/>
  <c r="D213" i="1"/>
  <c r="E211" i="1"/>
  <c r="E212" i="1"/>
  <c r="D212" i="1"/>
  <c r="D202" i="1"/>
  <c r="D204" i="1"/>
  <c r="D205" i="1"/>
  <c r="D206" i="1"/>
  <c r="D207" i="1"/>
  <c r="D208" i="1"/>
  <c r="D211" i="1"/>
  <c r="E210" i="1"/>
  <c r="D210" i="1"/>
  <c r="E209" i="1"/>
  <c r="D209" i="1"/>
  <c r="E208" i="1"/>
  <c r="E207" i="1"/>
  <c r="E206" i="1"/>
  <c r="E205" i="1"/>
  <c r="E204" i="1"/>
  <c r="E203" i="1"/>
  <c r="D203" i="1"/>
  <c r="E202" i="1"/>
  <c r="E201" i="1"/>
  <c r="D201" i="1"/>
  <c r="E200" i="1"/>
  <c r="D200" i="1"/>
  <c r="D199" i="1"/>
  <c r="F199" i="1" s="1"/>
  <c r="E195" i="1"/>
  <c r="D195" i="1"/>
  <c r="E194" i="1"/>
  <c r="D194" i="1"/>
  <c r="E193" i="1"/>
  <c r="D193" i="1"/>
  <c r="E192" i="1"/>
  <c r="D192" i="1"/>
  <c r="E190" i="1"/>
  <c r="E189" i="1"/>
  <c r="E188" i="1"/>
  <c r="D190" i="1"/>
  <c r="D189" i="1"/>
  <c r="D188" i="1"/>
  <c r="F188" i="1" s="1"/>
  <c r="D173" i="1"/>
  <c r="E186" i="1"/>
  <c r="E185" i="1"/>
  <c r="E184" i="1"/>
  <c r="D186" i="1"/>
  <c r="D184" i="1"/>
  <c r="D183" i="1"/>
  <c r="F183" i="1" s="1"/>
  <c r="L183" i="1" s="1"/>
  <c r="D182" i="1"/>
  <c r="F182" i="1" s="1"/>
  <c r="L182" i="1" s="1"/>
  <c r="E181" i="1"/>
  <c r="E180" i="1"/>
  <c r="E179" i="1"/>
  <c r="D185" i="1"/>
  <c r="D181" i="1"/>
  <c r="D180" i="1"/>
  <c r="D179" i="1"/>
  <c r="E177" i="1"/>
  <c r="D177" i="1"/>
  <c r="E176" i="1"/>
  <c r="E175" i="1"/>
  <c r="E174" i="1"/>
  <c r="D176" i="1"/>
  <c r="D175" i="1"/>
  <c r="E172" i="1"/>
  <c r="D172" i="1"/>
  <c r="E173" i="1"/>
  <c r="D174" i="1"/>
  <c r="E171" i="1"/>
  <c r="D171" i="1"/>
  <c r="D170" i="1"/>
  <c r="E170" i="1"/>
  <c r="N6" i="6"/>
  <c r="G18" i="6" s="1"/>
  <c r="K6" i="5"/>
  <c r="G15" i="5" s="1"/>
  <c r="I7" i="4"/>
  <c r="H13" i="4" s="1"/>
  <c r="E5" i="4"/>
  <c r="J6" i="4"/>
  <c r="G14" i="4" s="1"/>
  <c r="O6" i="4"/>
  <c r="G19" i="4" s="1"/>
  <c r="M6" i="4"/>
  <c r="G17" i="4" s="1"/>
  <c r="J6" i="5"/>
  <c r="G14" i="5" s="1"/>
  <c r="J7" i="5"/>
  <c r="H14" i="5"/>
  <c r="I7" i="7"/>
  <c r="H13" i="7" s="1"/>
  <c r="K6" i="7"/>
  <c r="G15" i="7" s="1"/>
  <c r="E9" i="5"/>
  <c r="F172" i="1" l="1"/>
  <c r="N172" i="1" s="1"/>
  <c r="F193" i="1"/>
  <c r="F219" i="1"/>
  <c r="L219" i="1" s="1"/>
  <c r="F224" i="1"/>
  <c r="L224" i="1" s="1"/>
  <c r="F229" i="1"/>
  <c r="L229" i="1" s="1"/>
  <c r="F179" i="1"/>
  <c r="L179" i="1" s="1"/>
  <c r="F175" i="1"/>
  <c r="N175" i="1" s="1"/>
  <c r="F180" i="1"/>
  <c r="L180" i="1" s="1"/>
  <c r="F190" i="1"/>
  <c r="F176" i="1"/>
  <c r="N176" i="1" s="1"/>
  <c r="F171" i="1"/>
  <c r="L171" i="1" s="1"/>
  <c r="F185" i="1"/>
  <c r="F195" i="1"/>
  <c r="F203" i="1"/>
  <c r="F204" i="1"/>
  <c r="F217" i="1"/>
  <c r="L217" i="1" s="1"/>
  <c r="F222" i="1"/>
  <c r="L222" i="1" s="1"/>
  <c r="M7" i="7"/>
  <c r="H17" i="7" s="1"/>
  <c r="K6" i="6"/>
  <c r="G15" i="6" s="1"/>
  <c r="F184" i="1"/>
  <c r="F194" i="1"/>
  <c r="F225" i="1"/>
  <c r="L225" i="1" s="1"/>
  <c r="F230" i="1"/>
  <c r="L230" i="1" s="1"/>
  <c r="J7" i="7"/>
  <c r="H14" i="7" s="1"/>
  <c r="N7" i="4"/>
  <c r="H18" i="4" s="1"/>
  <c r="N6" i="7"/>
  <c r="G18" i="7" s="1"/>
  <c r="J6" i="7"/>
  <c r="G14" i="7" s="1"/>
  <c r="E8" i="7"/>
  <c r="L6" i="5"/>
  <c r="G16" i="5" s="1"/>
  <c r="E7" i="5"/>
  <c r="F206" i="1"/>
  <c r="F174" i="1"/>
  <c r="L174" i="1" s="1"/>
  <c r="F177" i="1"/>
  <c r="L177" i="1" s="1"/>
  <c r="F200" i="1"/>
  <c r="F211" i="1"/>
  <c r="L172" i="1"/>
  <c r="F189" i="1"/>
  <c r="F201" i="1"/>
  <c r="F207" i="1"/>
  <c r="F213" i="1"/>
  <c r="L176" i="1"/>
  <c r="F181" i="1"/>
  <c r="L181" i="1" s="1"/>
  <c r="F186" i="1"/>
  <c r="F209" i="1"/>
  <c r="F205" i="1"/>
  <c r="F170" i="1"/>
  <c r="F210" i="1"/>
  <c r="F202" i="1"/>
  <c r="F192" i="1"/>
  <c r="F212" i="1"/>
  <c r="F218" i="1"/>
  <c r="L218" i="1" s="1"/>
  <c r="F223" i="1"/>
  <c r="L223" i="1" s="1"/>
  <c r="F228" i="1"/>
  <c r="L228" i="1" s="1"/>
  <c r="F191" i="1"/>
  <c r="F173" i="1"/>
  <c r="F208" i="1"/>
  <c r="F159" i="1"/>
  <c r="D159" i="1"/>
  <c r="D160" i="1"/>
  <c r="F160" i="1"/>
  <c r="F162" i="1"/>
  <c r="K7" i="5"/>
  <c r="H15" i="5" s="1"/>
  <c r="E10" i="4"/>
  <c r="J6" i="6"/>
  <c r="G14" i="6" s="1"/>
  <c r="M7" i="5"/>
  <c r="H17" i="5" s="1"/>
  <c r="N7" i="5"/>
  <c r="H18" i="5" s="1"/>
  <c r="E7" i="6"/>
  <c r="O7" i="7"/>
  <c r="H19" i="7" s="1"/>
  <c r="E8" i="4"/>
  <c r="N7" i="7"/>
  <c r="H18" i="7" s="1"/>
  <c r="I7" i="5"/>
  <c r="H13" i="5" s="1"/>
  <c r="E5" i="6"/>
  <c r="E6" i="7"/>
  <c r="G9" i="2"/>
  <c r="L7" i="7"/>
  <c r="H16" i="7" s="1"/>
  <c r="H20" i="7" s="1"/>
  <c r="O6" i="5"/>
  <c r="G19" i="5" s="1"/>
  <c r="G20" i="5" s="1"/>
  <c r="O7" i="6"/>
  <c r="H19" i="6" s="1"/>
  <c r="O6" i="7"/>
  <c r="G19" i="7" s="1"/>
  <c r="E7" i="4"/>
  <c r="E6" i="6"/>
  <c r="K6" i="4"/>
  <c r="G15" i="4" s="1"/>
  <c r="G20" i="4" s="1"/>
  <c r="E6" i="4"/>
  <c r="I7" i="6"/>
  <c r="H13" i="6" s="1"/>
  <c r="E10" i="6"/>
  <c r="L6" i="6"/>
  <c r="G16" i="6" s="1"/>
  <c r="L6" i="7"/>
  <c r="G16" i="7" s="1"/>
  <c r="G20" i="7" s="1"/>
  <c r="E8" i="6"/>
  <c r="M6" i="6"/>
  <c r="G17" i="6" s="1"/>
  <c r="L7" i="4"/>
  <c r="H16" i="4" s="1"/>
  <c r="H20" i="4" s="1"/>
  <c r="O7" i="5"/>
  <c r="H19" i="5" s="1"/>
  <c r="H20" i="5" s="1"/>
  <c r="L175" i="1" l="1"/>
  <c r="N171" i="1"/>
  <c r="N174" i="1"/>
  <c r="G20" i="6"/>
  <c r="N173" i="1"/>
  <c r="L173" i="1"/>
  <c r="L170" i="1"/>
  <c r="N170" i="1"/>
  <c r="H159" i="1"/>
  <c r="D163" i="1"/>
  <c r="F163" i="1"/>
  <c r="H160" i="1"/>
  <c r="H20" i="6"/>
  <c r="H163" i="1" l="1"/>
</calcChain>
</file>

<file path=xl/comments1.xml><?xml version="1.0" encoding="utf-8"?>
<comments xmlns="http://schemas.openxmlformats.org/spreadsheetml/2006/main">
  <authors>
    <author>SACHIN</author>
  </authors>
  <commentList>
    <comment ref="L23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<sst xmlns="http://schemas.openxmlformats.org/spreadsheetml/2006/main" count="898" uniqueCount="290">
  <si>
    <t>Date:</t>
  </si>
  <si>
    <t>Date Of Property Visit</t>
  </si>
  <si>
    <t>Name of the builder group</t>
  </si>
  <si>
    <t>Name of the builder company</t>
  </si>
  <si>
    <t>Docouments Provided</t>
  </si>
  <si>
    <t>Road</t>
  </si>
  <si>
    <t>City</t>
  </si>
  <si>
    <t>Accessibility of the project from the city:(Proximities to civic amenities like school, hospital &amp; market, etc.)</t>
  </si>
  <si>
    <t>Does the property have electricity/water/Drainage Connection</t>
  </si>
  <si>
    <t>Class of locality</t>
  </si>
  <si>
    <t>Nature of land with topographical condtion</t>
  </si>
  <si>
    <t xml:space="preserve">Nature of the locality </t>
  </si>
  <si>
    <t>Boundaries</t>
  </si>
  <si>
    <t>East</t>
  </si>
  <si>
    <t>South</t>
  </si>
  <si>
    <t>North</t>
  </si>
  <si>
    <t>At site</t>
  </si>
  <si>
    <t>Does the boundaries at site match, as mentioned in the Docoumentation: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</si>
  <si>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</si>
  <si>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</si>
  <si>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</si>
  <si>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</si>
  <si>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</si>
  <si>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</si>
  <si>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Floor rise rate</t>
  </si>
  <si>
    <t>Distress valuation of the property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</si>
  <si>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</si>
  <si>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</si>
  <si>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</si>
  <si>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</si>
  <si>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Description</t>
  </si>
  <si>
    <t>PLC Y/N</t>
  </si>
  <si>
    <t>Floor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</si>
  <si>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</si>
  <si>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</si>
  <si>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</si>
  <si>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</si>
  <si>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</si>
  <si>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</si>
  <si>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</si>
  <si>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</si>
  <si>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 xml:space="preserve">Latitude &amp; Longitude </t>
  </si>
  <si>
    <t>Flooring</t>
  </si>
  <si>
    <t>Finishing</t>
  </si>
  <si>
    <t xml:space="preserve">Valuation Report </t>
  </si>
  <si>
    <t xml:space="preserve">CPC Name: </t>
  </si>
  <si>
    <t>Karjat</t>
  </si>
  <si>
    <t>Yes, all the mentioned amenities are within the radius of 2 to 2.5 KM.</t>
  </si>
  <si>
    <t>Yes</t>
  </si>
  <si>
    <t>Middle Class</t>
  </si>
  <si>
    <t>Plane</t>
  </si>
  <si>
    <t>Good</t>
  </si>
  <si>
    <t>Developing Area</t>
  </si>
  <si>
    <t>Date of Commencement of Construction: 28/01/2016.</t>
  </si>
  <si>
    <t>Development Charges</t>
  </si>
  <si>
    <t xml:space="preserve">200/- </t>
  </si>
  <si>
    <t>Club Membership</t>
  </si>
  <si>
    <t>80,000/- (For 1BHK), 10,000/- (For 2BHK)</t>
  </si>
  <si>
    <t>NA</t>
  </si>
  <si>
    <t>2,311/- (Per Sq.Ft.)</t>
  </si>
  <si>
    <t>N</t>
  </si>
  <si>
    <t>1 BHK</t>
  </si>
  <si>
    <t>2 BHK</t>
  </si>
  <si>
    <t>1 BHK+T</t>
  </si>
  <si>
    <t>7) Fungible Area= Enclosed Balcony + Flower Bed + Covered Balcony + Service Slab + Duct + Chajja.</t>
  </si>
  <si>
    <t xml:space="preserve">4) The saleable area is arrived at by loading 37% on Gross Carpet area thereafter adding of terrace area (the terrace area more than 100 add half of terrace area).  </t>
  </si>
  <si>
    <t>Particulars</t>
  </si>
  <si>
    <t xml:space="preserve">totaL floor 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</si>
  <si>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</si>
  <si>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</si>
  <si>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</si>
  <si>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</si>
  <si>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</si>
  <si>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</si>
  <si>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</si>
  <si>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</si>
  <si>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</si>
  <si>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</si>
  <si>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</si>
  <si>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</si>
  <si>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</si>
  <si>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</si>
  <si>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</si>
  <si>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</si>
  <si>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</si>
  <si>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</si>
  <si>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</si>
  <si>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>Axis Sanpada</t>
  </si>
  <si>
    <t>Recommended rate of the flat Per Sq.Ft. on saleable</t>
  </si>
  <si>
    <t>Advance maintenance</t>
  </si>
  <si>
    <t>21600/-</t>
  </si>
  <si>
    <t>General Charges</t>
  </si>
  <si>
    <t>6500/-</t>
  </si>
  <si>
    <t>Sai Krupa Valley</t>
  </si>
  <si>
    <t>Dipak  = 30/11/2019.</t>
  </si>
  <si>
    <t>Pratiksha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</si>
  <si>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</si>
  <si>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</si>
  <si>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</si>
  <si>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</si>
  <si>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</si>
  <si>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</si>
  <si>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</si>
  <si>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</si>
  <si>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Average</t>
  </si>
  <si>
    <t xml:space="preserve">Valuation Adopted </t>
  </si>
  <si>
    <t>Housing</t>
  </si>
  <si>
    <t>1BHK</t>
  </si>
  <si>
    <t>2BHK</t>
  </si>
  <si>
    <t>Proptiger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</si>
  <si>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</si>
  <si>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</si>
  <si>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</si>
  <si>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</si>
  <si>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</si>
  <si>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</si>
  <si>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All work Completed. OC Received.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</si>
  <si>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</si>
  <si>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</si>
  <si>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</si>
  <si>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</si>
  <si>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</si>
  <si>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</si>
  <si>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</si>
  <si>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</si>
  <si>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</si>
  <si>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</si>
  <si>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</si>
  <si>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</si>
  <si>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</si>
  <si>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</si>
  <si>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</si>
  <si>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</si>
  <si>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</si>
  <si>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</si>
  <si>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</si>
  <si>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</si>
  <si>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</si>
  <si>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</si>
  <si>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</si>
  <si>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</si>
  <si>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</si>
  <si>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</si>
  <si>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P52000000739</t>
  </si>
  <si>
    <t xml:space="preserve">Site Person - Contact Details ( Name &amp; Contact No.)
</t>
  </si>
  <si>
    <t>Mr. Deepak (8898338043).</t>
  </si>
  <si>
    <t>Expected Completion: 01/08/2026</t>
  </si>
  <si>
    <t xml:space="preserve">2nd, 4th &amp; 6th Floor </t>
  </si>
  <si>
    <t>Google Map:</t>
  </si>
  <si>
    <t>Location Link</t>
  </si>
  <si>
    <t>MS/L.N.A.1(B)/67411/O.C/51/2018
Bldg No. 1 = Gr + 1st to 7th Floor (56 Flats)</t>
  </si>
  <si>
    <t xml:space="preserve">Office No. 1031, Wing J, Akshar Business Park, Plot No. 03 Sector 25, Near APMC Market, Vashi, Navi Mumbai, Maharashtra 400703 TEL: 022-46090378/79/80                                                                       
E mail : vsjcapf@gmail.com. Web site : www.vsjadon.com
</t>
  </si>
  <si>
    <t>Bank Name:</t>
  </si>
  <si>
    <t>Axis Bank</t>
  </si>
  <si>
    <t>Locality/Village</t>
  </si>
  <si>
    <t>Project location details :</t>
  </si>
  <si>
    <t>Neral</t>
  </si>
  <si>
    <t>District:</t>
  </si>
  <si>
    <t>Raigad</t>
  </si>
  <si>
    <t xml:space="preserve">Pin Code </t>
  </si>
  <si>
    <t>Nearby Landmark</t>
  </si>
  <si>
    <t xml:space="preserve">Survey No. </t>
  </si>
  <si>
    <t>489/1 to 29, (Old Survey No. 169/2, 170/ 1&amp;2, 171/1)</t>
  </si>
  <si>
    <t xml:space="preserve">Distance from city centre: </t>
  </si>
  <si>
    <t>1.3Km from Neral Railway Station.</t>
  </si>
  <si>
    <t>19.0197591,73.3100068</t>
  </si>
  <si>
    <t>As per Layout</t>
  </si>
  <si>
    <t>Area Statement Details :</t>
  </si>
  <si>
    <t>Total land area of the project in Sq. Mt.</t>
  </si>
  <si>
    <t>Total Approved Builtup area of the project (Sq.Mt)</t>
  </si>
  <si>
    <t xml:space="preserve">Approval Detail : Plan approval </t>
  </si>
  <si>
    <t>Name of Municipal Corporation/Authority</t>
  </si>
  <si>
    <t xml:space="preserve">Layout Approval No     </t>
  </si>
  <si>
    <t>Dated</t>
  </si>
  <si>
    <t xml:space="preserve">Commencement-CC No
Valid Up to: </t>
  </si>
  <si>
    <t xml:space="preserve">O. Certificate No.: </t>
  </si>
  <si>
    <t>Collector of Raigad</t>
  </si>
  <si>
    <t xml:space="preserve">12/11/2021
</t>
  </si>
  <si>
    <t>60 years After Completion</t>
  </si>
  <si>
    <t xml:space="preserve">Approved no of Floors </t>
  </si>
  <si>
    <t xml:space="preserve">Proposed no of Floors </t>
  </si>
  <si>
    <t>Quality of construction</t>
  </si>
  <si>
    <t xml:space="preserve">Material laying at Site </t>
  </si>
  <si>
    <t xml:space="preserve">Wheather the construction is as per approved Building plan : </t>
  </si>
  <si>
    <t xml:space="preserve">Violations Observed if any : </t>
  </si>
  <si>
    <t xml:space="preserve">Proposed Amenities :      </t>
  </si>
  <si>
    <t>Ground Floor For Parking</t>
  </si>
  <si>
    <t>1st, 3rd &amp; 5th Floor For Residential</t>
  </si>
  <si>
    <t>Flat No.
(Approved Plan)</t>
  </si>
  <si>
    <t>Flat No. (Sale Plan)</t>
  </si>
  <si>
    <t>2nd, 4th &amp; 6th Floor</t>
  </si>
  <si>
    <t>7th Floor</t>
  </si>
  <si>
    <t>Building No.1</t>
  </si>
  <si>
    <t>Building No. 2</t>
  </si>
  <si>
    <t>Projected life of the structure</t>
  </si>
  <si>
    <t xml:space="preserve">Approved No of units </t>
  </si>
  <si>
    <t>Expected Completion</t>
  </si>
  <si>
    <t>Name of the Project (As per Builder)</t>
  </si>
  <si>
    <t>Name of the Project (As per RERA)</t>
  </si>
  <si>
    <t>Building No. 1 &amp; 2  = Gr + 1st to 7th Floor</t>
  </si>
  <si>
    <t>Inspected By :</t>
  </si>
  <si>
    <t>Report By :</t>
  </si>
  <si>
    <t>Naynesh Sunil Lovanshi</t>
  </si>
  <si>
    <t>Layout :</t>
  </si>
  <si>
    <t>https://maps.app.goo.gl/oZ2gttRfSnrjuYJG7</t>
  </si>
  <si>
    <t>Internal Road</t>
  </si>
  <si>
    <t>West</t>
  </si>
  <si>
    <t>9 M Wide Road</t>
  </si>
  <si>
    <t>Other Plot</t>
  </si>
  <si>
    <t>12 M Wide Road</t>
  </si>
  <si>
    <t>6 M Wide Road/Building No.5</t>
  </si>
  <si>
    <t>MS/LNA-1/PK136/2013</t>
  </si>
  <si>
    <t>Approved Floor plan No.  (Building No.3 &amp; 4)</t>
  </si>
  <si>
    <t>MS/LNA-1/PK66/2021</t>
  </si>
  <si>
    <t>MS/LNA1(B)/PK136/2013</t>
  </si>
  <si>
    <t>MS/LNA1/A1(B)/Tokan No.15671/PK66/2021</t>
  </si>
  <si>
    <t>Building No.3 = Gr + 1st to 14th Floor
Building No.4 = 7th Floor (BUA = 113.073 Sq.M)</t>
  </si>
  <si>
    <t>As per RERA - 01/08/2026</t>
  </si>
  <si>
    <t>Building No.4 = Gr + 1st to 7th Floor</t>
  </si>
  <si>
    <t>Building No.5 = Gr + 1st to 3rd Floor</t>
  </si>
  <si>
    <t>Residential Area Details :</t>
  </si>
  <si>
    <t>Building &amp; Wing</t>
  </si>
  <si>
    <t>No. of Units</t>
  </si>
  <si>
    <t>Total Carpet Area</t>
  </si>
  <si>
    <t>Total Saleable Area</t>
  </si>
  <si>
    <t>Total</t>
  </si>
  <si>
    <t>Details of Residential in Building</t>
  </si>
  <si>
    <t>Building No.2</t>
  </si>
  <si>
    <t>Building No.3</t>
  </si>
  <si>
    <t>Building No.4</t>
  </si>
  <si>
    <t>Building No.5</t>
  </si>
  <si>
    <t>5th &amp; 10th Floor</t>
  </si>
  <si>
    <t>8th &amp; 13th Floor (Part Refuge Area)</t>
  </si>
  <si>
    <t>Refuge Area</t>
  </si>
  <si>
    <t>1st &amp; 2nd Floor For Residential</t>
  </si>
  <si>
    <t>3rd Floor</t>
  </si>
  <si>
    <t>350 zoom</t>
  </si>
  <si>
    <t>2.87 RPLC 2.7</t>
  </si>
  <si>
    <t xml:space="preserve">PHOTOGRAPHS OF PROPERTY : </t>
  </si>
  <si>
    <t>Gross Carpet Area</t>
  </si>
  <si>
    <t>Attached Terrace Area</t>
  </si>
  <si>
    <t>Saleble Area</t>
  </si>
  <si>
    <t xml:space="preserve">MS/L.N.A.1(B)/Part.OC/10/2020
Bldg No. 2 = Gr + 1st to 7th Floor (112 Flats)
</t>
  </si>
  <si>
    <t>Bldg No.5 = Gr + 1st to 3rd Floor (3 Flats)</t>
  </si>
  <si>
    <t>https://housing.com/in/buy/projects/page/39978-sai-krupa-valley-by-sai-krupa-builders-in-neral/brochure</t>
  </si>
  <si>
    <t>Club House With Modern Amenities, Gymnasium, Swimming Pool, Jogging Track, Party Lawn, Deck Area, Flower Garden, Lift, Parking etc.</t>
  </si>
  <si>
    <t>Taluka</t>
  </si>
  <si>
    <t>Locality</t>
  </si>
  <si>
    <t>Neral West</t>
  </si>
  <si>
    <t>Gopal Apartment</t>
  </si>
  <si>
    <t>Chinch Aali</t>
  </si>
  <si>
    <t>Ground Floor For Soceity Office, Driver Room &amp; Parking</t>
  </si>
  <si>
    <t>Saleble AREA</t>
  </si>
  <si>
    <t xml:space="preserve">Building No. 1, 2 &amp; 4 = Gr + 1st to 7th Floor
Building No.3 = Gr + 1st to 14th Floor
</t>
  </si>
  <si>
    <t>Flat - 376</t>
  </si>
  <si>
    <t>4 Buildings</t>
  </si>
  <si>
    <t>Name / No of the Building</t>
  </si>
  <si>
    <t>Building No.1 to 4</t>
  </si>
  <si>
    <t>Approved Builtup Area of the Building No.1 to 4 (Sq.Mtr)</t>
  </si>
  <si>
    <t>Internal Road/Building No.5</t>
  </si>
  <si>
    <t>RERA Name &amp; No.</t>
  </si>
  <si>
    <t>Building No.1 to 5</t>
  </si>
  <si>
    <t>Building Details Floor Wise</t>
  </si>
  <si>
    <t>Restrictive Covenants in regard to Land Use</t>
  </si>
  <si>
    <t>No</t>
  </si>
  <si>
    <t>1st, 3rd, 5th &amp; 7th Floor For Residential</t>
  </si>
  <si>
    <t>M/s. Sai Krupa Developers</t>
  </si>
  <si>
    <t>8. As per site meet persons Mr. Deepak (8898338043), Building no.5 is belongs to landowner, Therefore we have not drafted area for that building</t>
  </si>
  <si>
    <t>Approved Plan, CC</t>
  </si>
  <si>
    <t xml:space="preserve">Recommended rate of Parking </t>
  </si>
  <si>
    <t>Approved Floor plan No.  (Building No.1 &amp; 2)</t>
  </si>
  <si>
    <t>Building No. 1, 2, 3 &amp; 4 = Gr + 1st to 7th Floor
Building No.5 = Gr + 1st to 3rd Floor</t>
  </si>
  <si>
    <t>Sai Krupa Valley, Survey No. 489/1 to 29, (Old Survey No. 169/2, 170/ 1&amp;2, 171/1), Near Gopal Apartment, Internal Road, Chinch Aali, Neral, Neral West, Karjat, Raigad 410101</t>
  </si>
  <si>
    <t>12th Floor</t>
  </si>
  <si>
    <t>loading change 50%</t>
  </si>
  <si>
    <t>1st, 2nd, 3rd, 4th, 6th, 7th, 9th, 11th &amp; 14th Floor For Residential</t>
  </si>
  <si>
    <t>Bldg No. 03 Flat no. 1206 Loading change 50% on 10/07/2024 by smith cost sheet</t>
  </si>
  <si>
    <t xml:space="preserve">Sai Krupa Valley - Phase 1
</t>
  </si>
  <si>
    <t>Remarks :
1. Building No. 1 &amp; 2 = All work completed. OC Received.
    Building No. 4 = All work completed. Please provide OC.
    Building No. 3 = Construction work is in process at the time of visit.
2. As per RERA site &amp; commencement certifacate total five Numbers of buildings are consist. But provided plan only For four buildings Bldg No. 1 to 4.
3. We have considered rate by verifying it from market inquire.
4. We considered Gross carpet area = Net carpet + Enclose Balcony + W.S Area.
5. We considered  saleable area as per our calculation (40% Loading).
6. As per RERA site, In the project Sai Krupa Valley-Phase 1 consists of Building No.1 to 5
7. As per site meet persons Mr. Deepak (8898338043), Building no.5 is belongs to landowner.
8.We have upadated revised approved plans &amp; CC for Building No.3 &amp; 4 on 02/07/2024
10. High tension lines are passing nearby project Sai Krupa Valley-Phase 1 (Building No.1, 2 &amp; 3) . 
11. Recommended Rates/Other Charges of the Property have been revised on 10/07/2024.
12. With Reference to Remark 10, Power NOC is provided by Bank Official on Mail which is attached below
7. On site, we meet Kalpesh (7798541455).</t>
  </si>
  <si>
    <t>Remark No. 12</t>
  </si>
  <si>
    <t>MVN/TANTRIK/535/2021
Survey No. 489/1 to 29, (Old Survey No. 169/2, 170/ 1&amp;2, 171/1)</t>
  </si>
  <si>
    <t xml:space="preserve">Power Noc No.: 
Valid Up to: </t>
  </si>
  <si>
    <t xml:space="preserve">MFS/51/2022/645
Building No. 4 = Gr + 1st to 7th Floor
Building No.3 = Gr + 1st to 14th Floor
</t>
  </si>
  <si>
    <t xml:space="preserve">Fire Noc No.: 
Valid Up to: </t>
  </si>
  <si>
    <t>Part 2 : Building No.3 = Gr + 1st to 14th Floor</t>
  </si>
  <si>
    <t>Average Progress %
(Part 1 &amp; 2)</t>
  </si>
  <si>
    <t>Average Disbursement %
(Part 1 &amp; 2)</t>
  </si>
  <si>
    <t>Building No.3 = Gr + 1st to 14th Floor</t>
  </si>
  <si>
    <t>Shruti</t>
  </si>
  <si>
    <t>Mr. kalpesh mali 7798541455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</si>
</sst>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0.000"/>
    <numFmt numFmtId="167" formatCode="0.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b/>
      <sz val="11"/>
      <color rgb="FFFF0000"/>
      <name val="Calibri"/>
      <family val="2"/>
      <scheme val="minor"/>
    </font>
    <font>
      <u/>
      <sz val="12"/>
      <color theme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6" fillId="0" borderId="0"/>
    <xf numFmtId="0" fontId="6" fillId="0" borderId="0"/>
    <xf numFmtId="0" fontId="1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190">
    <xf numFmtId="0" fontId="0" fillId="0" borderId="0" xfId="0"/>
    <xf numFmtId="0" fontId="7" fillId="2" borderId="1" xfId="0" applyFont="1" applyFill="1" applyBorder="1"/>
    <xf numFmtId="0" fontId="7" fillId="2" borderId="0" xfId="0" applyFont="1" applyFill="1" applyBorder="1"/>
    <xf numFmtId="0" fontId="0" fillId="0" borderId="1" xfId="0" applyBorder="1"/>
    <xf numFmtId="0" fontId="0" fillId="0" borderId="0" xfId="0" applyBorder="1"/>
    <xf numFmtId="1" fontId="0" fillId="0" borderId="0" xfId="0" applyNumberFormat="1" applyBorder="1"/>
    <xf numFmtId="0" fontId="0" fillId="0" borderId="3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14" fontId="0" fillId="0" borderId="0" xfId="0" applyNumberFormat="1"/>
    <xf numFmtId="0" fontId="1" fillId="0" borderId="0" xfId="3"/>
    <xf numFmtId="0" fontId="6" fillId="0" borderId="0" xfId="4"/>
    <xf numFmtId="0" fontId="7" fillId="0" borderId="1" xfId="4" applyFont="1" applyBorder="1" applyAlignment="1">
      <alignment horizontal="center" vertical="top" wrapText="1"/>
    </xf>
    <xf numFmtId="0" fontId="6" fillId="0" borderId="1" xfId="4" applyBorder="1" applyAlignment="1">
      <alignment horizontal="center" vertical="center"/>
    </xf>
    <xf numFmtId="1" fontId="6" fillId="0" borderId="1" xfId="4" applyNumberFormat="1" applyBorder="1" applyAlignment="1">
      <alignment horizontal="center" vertical="center"/>
    </xf>
    <xf numFmtId="165" fontId="6" fillId="0" borderId="1" xfId="1" applyNumberFormat="1" applyFont="1" applyBorder="1" applyAlignment="1">
      <alignment horizontal="right" vertical="center"/>
    </xf>
    <xf numFmtId="0" fontId="7" fillId="0" borderId="1" xfId="4" applyFont="1" applyBorder="1" applyAlignment="1">
      <alignment horizontal="center" vertical="center"/>
    </xf>
    <xf numFmtId="1" fontId="8" fillId="0" borderId="1" xfId="4" applyNumberFormat="1" applyFon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0" fillId="0" borderId="0" xfId="3" applyFont="1"/>
    <xf numFmtId="14" fontId="1" fillId="0" borderId="0" xfId="3" applyNumberFormat="1"/>
    <xf numFmtId="0" fontId="6" fillId="0" borderId="1" xfId="4" applyFont="1" applyBorder="1" applyAlignment="1">
      <alignment horizontal="center" vertical="center"/>
    </xf>
    <xf numFmtId="0" fontId="6" fillId="0" borderId="1" xfId="4" applyFont="1" applyBorder="1" applyAlignment="1">
      <alignment horizontal="left" vertical="center"/>
    </xf>
    <xf numFmtId="0" fontId="11" fillId="0" borderId="13" xfId="5" applyFont="1" applyFill="1" applyBorder="1" applyProtection="1">
      <protection hidden="1"/>
    </xf>
    <xf numFmtId="0" fontId="11" fillId="0" borderId="0" xfId="5" applyFont="1" applyFill="1" applyBorder="1" applyProtection="1">
      <protection hidden="1"/>
    </xf>
    <xf numFmtId="0" fontId="9" fillId="0" borderId="0" xfId="0" applyFont="1" applyFill="1" applyBorder="1" applyProtection="1">
      <protection hidden="1"/>
    </xf>
    <xf numFmtId="0" fontId="9" fillId="0" borderId="16" xfId="0" applyFont="1" applyFill="1" applyBorder="1" applyProtection="1">
      <protection hidden="1"/>
    </xf>
    <xf numFmtId="0" fontId="0" fillId="0" borderId="0" xfId="0" applyFill="1"/>
    <xf numFmtId="0" fontId="2" fillId="0" borderId="0" xfId="2" applyFill="1"/>
    <xf numFmtId="0" fontId="11" fillId="0" borderId="14" xfId="5" applyFont="1" applyFill="1" applyBorder="1" applyProtection="1">
      <protection hidden="1"/>
    </xf>
    <xf numFmtId="0" fontId="6" fillId="0" borderId="0" xfId="0" applyFont="1" applyFill="1"/>
    <xf numFmtId="0" fontId="11" fillId="0" borderId="15" xfId="5" applyFont="1" applyFill="1" applyBorder="1" applyProtection="1">
      <protection hidden="1"/>
    </xf>
    <xf numFmtId="0" fontId="6" fillId="0" borderId="0" xfId="0" applyFont="1" applyFill="1" applyAlignment="1">
      <alignment horizontal="center" vertical="center"/>
    </xf>
    <xf numFmtId="0" fontId="11" fillId="0" borderId="15" xfId="5" applyFont="1" applyFill="1" applyBorder="1"/>
    <xf numFmtId="0" fontId="11" fillId="0" borderId="1" xfId="5" applyFont="1" applyFill="1" applyBorder="1" applyAlignment="1" applyProtection="1">
      <alignment horizontal="center" wrapText="1"/>
      <protection locked="0"/>
    </xf>
    <xf numFmtId="0" fontId="9" fillId="0" borderId="15" xfId="0" applyNumberFormat="1" applyFont="1" applyFill="1" applyBorder="1" applyProtection="1">
      <protection hidden="1"/>
    </xf>
    <xf numFmtId="1" fontId="11" fillId="0" borderId="1" xfId="5" applyNumberFormat="1" applyFont="1" applyFill="1" applyBorder="1" applyAlignment="1" applyProtection="1">
      <alignment horizontal="center" wrapText="1"/>
      <protection locked="0"/>
    </xf>
    <xf numFmtId="1" fontId="6" fillId="0" borderId="15" xfId="0" applyNumberFormat="1" applyFont="1" applyFill="1" applyBorder="1"/>
    <xf numFmtId="1" fontId="6" fillId="0" borderId="15" xfId="0" applyNumberFormat="1" applyFont="1" applyFill="1" applyBorder="1" applyAlignment="1">
      <alignment horizontal="right"/>
    </xf>
    <xf numFmtId="1" fontId="6" fillId="0" borderId="17" xfId="0" applyNumberFormat="1" applyFont="1" applyFill="1" applyBorder="1"/>
    <xf numFmtId="0" fontId="9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left"/>
    </xf>
    <xf numFmtId="0" fontId="12" fillId="0" borderId="0" xfId="0" applyFont="1" applyFill="1"/>
    <xf numFmtId="0" fontId="14" fillId="0" borderId="1" xfId="5" applyFont="1" applyBorder="1" applyAlignment="1" applyProtection="1">
      <alignment vertical="top" wrapText="1"/>
      <protection locked="0"/>
    </xf>
    <xf numFmtId="0" fontId="4" fillId="0" borderId="1" xfId="5" applyFont="1" applyBorder="1" applyAlignment="1" applyProtection="1">
      <alignment vertical="top"/>
      <protection locked="0"/>
    </xf>
    <xf numFmtId="1" fontId="14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9" fillId="0" borderId="0" xfId="0" applyFont="1" applyFill="1"/>
    <xf numFmtId="1" fontId="11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1" fontId="16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/>
    <xf numFmtId="0" fontId="13" fillId="0" borderId="0" xfId="6" applyFill="1"/>
    <xf numFmtId="9" fontId="0" fillId="0" borderId="0" xfId="0" applyNumberFormat="1" applyFill="1"/>
    <xf numFmtId="0" fontId="22" fillId="0" borderId="0" xfId="0" applyFont="1" applyFill="1"/>
    <xf numFmtId="9" fontId="18" fillId="0" borderId="18" xfId="7" applyFont="1" applyFill="1" applyBorder="1" applyAlignment="1" applyProtection="1">
      <alignment horizontal="center" vertical="top" wrapText="1"/>
      <protection locked="0"/>
    </xf>
    <xf numFmtId="0" fontId="23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 wrapText="1"/>
    </xf>
    <xf numFmtId="0" fontId="11" fillId="0" borderId="1" xfId="5" applyFont="1" applyFill="1" applyBorder="1" applyAlignment="1" applyProtection="1">
      <alignment horizontal="center" vertical="top" wrapText="1"/>
      <protection locked="0"/>
    </xf>
    <xf numFmtId="0" fontId="11" fillId="0" borderId="1" xfId="5" applyFont="1" applyFill="1" applyBorder="1" applyAlignment="1" applyProtection="1">
      <alignment horizontal="center" vertical="top"/>
      <protection locked="0"/>
    </xf>
    <xf numFmtId="1" fontId="14" fillId="0" borderId="1" xfId="0" applyNumberFormat="1" applyFont="1" applyFill="1" applyBorder="1" applyAlignment="1">
      <alignment horizontal="center" vertical="top"/>
    </xf>
    <xf numFmtId="0" fontId="11" fillId="0" borderId="1" xfId="5" applyFont="1" applyFill="1" applyBorder="1" applyAlignment="1" applyProtection="1">
      <alignment horizontal="center" vertical="top" wrapText="1"/>
      <protection locked="0"/>
    </xf>
    <xf numFmtId="0" fontId="11" fillId="0" borderId="1" xfId="5" applyFont="1" applyFill="1" applyBorder="1" applyAlignment="1" applyProtection="1">
      <alignment horizontal="center" vertical="top"/>
      <protection locked="0"/>
    </xf>
    <xf numFmtId="2" fontId="0" fillId="0" borderId="0" xfId="0" applyNumberFormat="1" applyFill="1"/>
    <xf numFmtId="1" fontId="11" fillId="0" borderId="5" xfId="0" applyNumberFormat="1" applyFont="1" applyFill="1" applyBorder="1" applyAlignment="1">
      <alignment horizontal="center"/>
    </xf>
    <xf numFmtId="0" fontId="11" fillId="0" borderId="18" xfId="5" applyFont="1" applyFill="1" applyBorder="1" applyAlignment="1" applyProtection="1">
      <alignment horizontal="center" vertical="top" wrapText="1"/>
      <protection locked="0"/>
    </xf>
    <xf numFmtId="0" fontId="11" fillId="0" borderId="23" xfId="5" applyFont="1" applyFill="1" applyBorder="1" applyAlignment="1" applyProtection="1">
      <alignment horizontal="center" vertical="top"/>
      <protection locked="0"/>
    </xf>
    <xf numFmtId="0" fontId="11" fillId="0" borderId="24" xfId="5" applyFont="1" applyFill="1" applyBorder="1" applyAlignment="1" applyProtection="1">
      <alignment horizontal="center" vertical="top"/>
      <protection locked="0"/>
    </xf>
    <xf numFmtId="0" fontId="11" fillId="0" borderId="3" xfId="5" applyFont="1" applyFill="1" applyBorder="1" applyAlignment="1" applyProtection="1">
      <alignment horizontal="center" wrapText="1"/>
      <protection locked="0"/>
    </xf>
    <xf numFmtId="0" fontId="11" fillId="0" borderId="26" xfId="5" applyFont="1" applyFill="1" applyBorder="1" applyAlignment="1" applyProtection="1">
      <alignment horizontal="center" wrapText="1"/>
      <protection locked="0"/>
    </xf>
    <xf numFmtId="0" fontId="19" fillId="2" borderId="0" xfId="0" applyFont="1" applyFill="1"/>
    <xf numFmtId="0" fontId="1" fillId="2" borderId="0" xfId="2" applyFont="1" applyFill="1"/>
    <xf numFmtId="0" fontId="2" fillId="2" borderId="0" xfId="2" applyFill="1"/>
    <xf numFmtId="0" fontId="0" fillId="2" borderId="0" xfId="0" applyFill="1"/>
    <xf numFmtId="0" fontId="11" fillId="0" borderId="1" xfId="5" applyFont="1" applyFill="1" applyBorder="1" applyAlignment="1" applyProtection="1">
      <alignment horizontal="center" vertical="top" wrapText="1"/>
      <protection locked="0"/>
    </xf>
    <xf numFmtId="0" fontId="11" fillId="0" borderId="1" xfId="5" applyFont="1" applyFill="1" applyBorder="1" applyAlignment="1" applyProtection="1">
      <alignment horizontal="center" vertical="top"/>
      <protection locked="0"/>
    </xf>
    <xf numFmtId="0" fontId="14" fillId="0" borderId="1" xfId="5" applyFont="1" applyBorder="1" applyAlignment="1" applyProtection="1">
      <alignment vertical="top"/>
      <protection locked="0"/>
    </xf>
    <xf numFmtId="0" fontId="0" fillId="0" borderId="0" xfId="0" applyFont="1" applyFill="1"/>
    <xf numFmtId="0" fontId="14" fillId="0" borderId="1" xfId="0" applyFont="1" applyFill="1" applyBorder="1" applyAlignment="1">
      <alignment horizontal="center" vertical="center"/>
    </xf>
    <xf numFmtId="0" fontId="11" fillId="0" borderId="25" xfId="5" applyFont="1" applyFill="1" applyBorder="1" applyAlignment="1" applyProtection="1">
      <alignment horizontal="center" vertical="top" wrapText="1"/>
      <protection locked="0"/>
    </xf>
    <xf numFmtId="0" fontId="11" fillId="0" borderId="26" xfId="5" applyFont="1" applyFill="1" applyBorder="1" applyAlignment="1" applyProtection="1">
      <alignment horizontal="center" vertical="top" wrapText="1"/>
      <protection locked="0"/>
    </xf>
    <xf numFmtId="9" fontId="11" fillId="0" borderId="26" xfId="5" applyNumberFormat="1" applyFont="1" applyFill="1" applyBorder="1" applyAlignment="1" applyProtection="1">
      <alignment horizontal="center" vertical="center" wrapText="1"/>
      <protection hidden="1"/>
    </xf>
    <xf numFmtId="0" fontId="12" fillId="4" borderId="28" xfId="5" applyFont="1" applyFill="1" applyBorder="1" applyAlignment="1" applyProtection="1">
      <alignment horizontal="center" vertical="center" wrapText="1"/>
      <protection locked="0"/>
    </xf>
    <xf numFmtId="0" fontId="12" fillId="4" borderId="13" xfId="5" applyFont="1" applyFill="1" applyBorder="1" applyAlignment="1" applyProtection="1">
      <alignment horizontal="center" vertical="center" wrapText="1"/>
      <protection locked="0"/>
    </xf>
    <xf numFmtId="0" fontId="12" fillId="4" borderId="29" xfId="5" applyFont="1" applyFill="1" applyBorder="1" applyAlignment="1" applyProtection="1">
      <alignment horizontal="center" vertical="center" wrapText="1"/>
      <protection locked="0"/>
    </xf>
    <xf numFmtId="0" fontId="12" fillId="4" borderId="31" xfId="5" applyFont="1" applyFill="1" applyBorder="1" applyAlignment="1" applyProtection="1">
      <alignment horizontal="center" vertical="center" wrapText="1"/>
      <protection locked="0"/>
    </xf>
    <xf numFmtId="0" fontId="12" fillId="4" borderId="16" xfId="5" applyFont="1" applyFill="1" applyBorder="1" applyAlignment="1" applyProtection="1">
      <alignment horizontal="center" vertical="center" wrapText="1"/>
      <protection locked="0"/>
    </xf>
    <xf numFmtId="0" fontId="12" fillId="4" borderId="32" xfId="5" applyFont="1" applyFill="1" applyBorder="1" applyAlignment="1" applyProtection="1">
      <alignment horizontal="center" vertical="center" wrapText="1"/>
      <protection locked="0"/>
    </xf>
    <xf numFmtId="9" fontId="12" fillId="4" borderId="30" xfId="5" applyNumberFormat="1" applyFont="1" applyFill="1" applyBorder="1" applyAlignment="1" applyProtection="1">
      <alignment horizontal="center" vertical="center" wrapText="1"/>
      <protection hidden="1"/>
    </xf>
    <xf numFmtId="9" fontId="12" fillId="4" borderId="29" xfId="5" applyNumberFormat="1" applyFont="1" applyFill="1" applyBorder="1" applyAlignment="1" applyProtection="1">
      <alignment horizontal="center" vertical="center" wrapText="1"/>
      <protection hidden="1"/>
    </xf>
    <xf numFmtId="9" fontId="12" fillId="4" borderId="33" xfId="5" applyNumberFormat="1" applyFont="1" applyFill="1" applyBorder="1" applyAlignment="1" applyProtection="1">
      <alignment horizontal="center" vertical="center" wrapText="1"/>
      <protection hidden="1"/>
    </xf>
    <xf numFmtId="9" fontId="12" fillId="4" borderId="32" xfId="5" applyNumberFormat="1" applyFont="1" applyFill="1" applyBorder="1" applyAlignment="1" applyProtection="1">
      <alignment horizontal="center" vertical="center" wrapText="1"/>
      <protection hidden="1"/>
    </xf>
    <xf numFmtId="9" fontId="12" fillId="4" borderId="14" xfId="5" applyNumberFormat="1" applyFont="1" applyFill="1" applyBorder="1" applyAlignment="1" applyProtection="1">
      <alignment horizontal="center" vertical="center" wrapText="1"/>
      <protection hidden="1"/>
    </xf>
    <xf numFmtId="9" fontId="12" fillId="4" borderId="17" xfId="5" applyNumberFormat="1" applyFont="1" applyFill="1" applyBorder="1" applyAlignment="1" applyProtection="1">
      <alignment horizontal="center" vertical="center" wrapText="1"/>
      <protection hidden="1"/>
    </xf>
    <xf numFmtId="0" fontId="11" fillId="0" borderId="23" xfId="5" applyFont="1" applyFill="1" applyBorder="1" applyAlignment="1" applyProtection="1">
      <alignment horizontal="center" vertical="top" wrapText="1"/>
      <protection locked="0"/>
    </xf>
    <xf numFmtId="0" fontId="11" fillId="0" borderId="1" xfId="5" applyFont="1" applyFill="1" applyBorder="1" applyAlignment="1" applyProtection="1">
      <alignment horizontal="center" vertical="top" wrapText="1"/>
      <protection locked="0"/>
    </xf>
    <xf numFmtId="0" fontId="11" fillId="0" borderId="24" xfId="5" applyFont="1" applyFill="1" applyBorder="1" applyAlignment="1" applyProtection="1">
      <alignment horizontal="center" vertical="top" wrapText="1"/>
      <protection locked="0"/>
    </xf>
    <xf numFmtId="9" fontId="11" fillId="0" borderId="1" xfId="5" applyNumberFormat="1" applyFont="1" applyFill="1" applyBorder="1" applyAlignment="1" applyProtection="1">
      <alignment horizontal="center" vertical="center" wrapText="1"/>
      <protection hidden="1"/>
    </xf>
    <xf numFmtId="9" fontId="11" fillId="0" borderId="24" xfId="5" applyNumberFormat="1" applyFont="1" applyFill="1" applyBorder="1" applyAlignment="1" applyProtection="1">
      <alignment horizontal="center" vertical="center" wrapText="1"/>
      <protection hidden="1"/>
    </xf>
    <xf numFmtId="9" fontId="11" fillId="0" borderId="27" xfId="5" applyNumberFormat="1" applyFont="1" applyFill="1" applyBorder="1" applyAlignment="1" applyProtection="1">
      <alignment horizontal="center" vertical="center" wrapText="1"/>
      <protection hidden="1"/>
    </xf>
    <xf numFmtId="0" fontId="12" fillId="0" borderId="20" xfId="5" applyFont="1" applyFill="1" applyBorder="1" applyAlignment="1" applyProtection="1">
      <alignment horizontal="center" vertical="top"/>
      <protection locked="0"/>
    </xf>
    <xf numFmtId="0" fontId="12" fillId="0" borderId="21" xfId="5" applyFont="1" applyFill="1" applyBorder="1" applyAlignment="1" applyProtection="1">
      <alignment horizontal="center" vertical="top"/>
      <protection locked="0"/>
    </xf>
    <xf numFmtId="0" fontId="12" fillId="0" borderId="21" xfId="5" applyFont="1" applyFill="1" applyBorder="1" applyAlignment="1" applyProtection="1">
      <alignment horizontal="left" vertical="top" wrapText="1"/>
      <protection locked="0"/>
    </xf>
    <xf numFmtId="0" fontId="12" fillId="0" borderId="22" xfId="5" applyFont="1" applyFill="1" applyBorder="1" applyAlignment="1" applyProtection="1">
      <alignment horizontal="left" vertical="top" wrapText="1"/>
      <protection locked="0"/>
    </xf>
    <xf numFmtId="0" fontId="11" fillId="0" borderId="1" xfId="5" applyFont="1" applyFill="1" applyBorder="1" applyAlignment="1" applyProtection="1">
      <alignment horizontal="center" vertical="top"/>
      <protection locked="0"/>
    </xf>
    <xf numFmtId="0" fontId="12" fillId="0" borderId="23" xfId="5" applyFont="1" applyFill="1" applyBorder="1" applyAlignment="1" applyProtection="1">
      <alignment horizontal="left" vertical="top"/>
      <protection locked="0"/>
    </xf>
    <xf numFmtId="0" fontId="12" fillId="0" borderId="1" xfId="5" applyFont="1" applyFill="1" applyBorder="1" applyAlignment="1" applyProtection="1">
      <alignment horizontal="left" vertical="top"/>
      <protection locked="0"/>
    </xf>
    <xf numFmtId="0" fontId="12" fillId="0" borderId="1" xfId="5" applyFont="1" applyFill="1" applyBorder="1" applyAlignment="1" applyProtection="1">
      <alignment horizontal="left" vertical="top" wrapText="1"/>
      <protection locked="0"/>
    </xf>
    <xf numFmtId="0" fontId="12" fillId="0" borderId="24" xfId="5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top"/>
    </xf>
    <xf numFmtId="1" fontId="16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/>
    </xf>
    <xf numFmtId="0" fontId="12" fillId="0" borderId="1" xfId="5" applyFont="1" applyFill="1" applyBorder="1" applyAlignment="1" applyProtection="1">
      <alignment horizontal="center" vertical="center"/>
      <protection locked="0"/>
    </xf>
    <xf numFmtId="9" fontId="12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center" vertical="top"/>
    </xf>
    <xf numFmtId="0" fontId="12" fillId="0" borderId="18" xfId="5" applyFont="1" applyFill="1" applyBorder="1" applyAlignment="1" applyProtection="1">
      <alignment horizontal="center" vertical="top"/>
      <protection locked="0"/>
    </xf>
    <xf numFmtId="0" fontId="12" fillId="0" borderId="18" xfId="5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/>
    </xf>
    <xf numFmtId="9" fontId="11" fillId="0" borderId="3" xfId="5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5" applyFont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center" vertical="top"/>
    </xf>
    <xf numFmtId="0" fontId="11" fillId="0" borderId="18" xfId="5" applyFont="1" applyFill="1" applyBorder="1" applyAlignment="1" applyProtection="1">
      <alignment horizontal="center" vertical="top" wrapText="1"/>
      <protection locked="0"/>
    </xf>
    <xf numFmtId="14" fontId="14" fillId="0" borderId="1" xfId="0" applyNumberFormat="1" applyFont="1" applyFill="1" applyBorder="1" applyAlignment="1">
      <alignment horizontal="left" vertical="top"/>
    </xf>
    <xf numFmtId="14" fontId="16" fillId="0" borderId="1" xfId="0" applyNumberFormat="1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/>
    </xf>
    <xf numFmtId="0" fontId="12" fillId="0" borderId="26" xfId="5" applyFont="1" applyFill="1" applyBorder="1" applyAlignment="1" applyProtection="1">
      <alignment horizontal="center" vertical="center" wrapText="1"/>
      <protection locked="0"/>
    </xf>
    <xf numFmtId="0" fontId="12" fillId="0" borderId="24" xfId="5" applyFont="1" applyFill="1" applyBorder="1" applyAlignment="1" applyProtection="1">
      <alignment horizontal="center" vertical="center" wrapText="1"/>
      <protection locked="0"/>
    </xf>
    <xf numFmtId="0" fontId="12" fillId="0" borderId="27" xfId="5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167" fontId="14" fillId="0" borderId="1" xfId="0" applyNumberFormat="1" applyFont="1" applyFill="1" applyBorder="1" applyAlignment="1">
      <alignment horizontal="left" vertical="top"/>
    </xf>
    <xf numFmtId="166" fontId="14" fillId="0" borderId="1" xfId="0" applyNumberFormat="1" applyFont="1" applyFill="1" applyBorder="1" applyAlignment="1">
      <alignment horizontal="left" vertical="top"/>
    </xf>
    <xf numFmtId="0" fontId="24" fillId="0" borderId="1" xfId="6" applyFont="1" applyFill="1" applyBorder="1" applyAlignment="1">
      <alignment horizontal="left" vertical="top"/>
    </xf>
    <xf numFmtId="0" fontId="16" fillId="0" borderId="1" xfId="5" applyFont="1" applyBorder="1" applyAlignment="1" applyProtection="1">
      <alignment horizontal="center"/>
      <protection locked="0"/>
    </xf>
    <xf numFmtId="0" fontId="18" fillId="0" borderId="1" xfId="0" applyFont="1" applyFill="1" applyBorder="1" applyAlignment="1">
      <alignment horizontal="left" vertical="top"/>
    </xf>
    <xf numFmtId="14" fontId="14" fillId="0" borderId="1" xfId="5" applyNumberFormat="1" applyFont="1" applyBorder="1" applyAlignment="1" applyProtection="1">
      <alignment horizontal="left" vertical="top" wrapText="1"/>
      <protection locked="0"/>
    </xf>
    <xf numFmtId="0" fontId="4" fillId="0" borderId="1" xfId="5" applyFont="1" applyBorder="1" applyAlignment="1" applyProtection="1">
      <alignment horizontal="left" vertical="top" wrapText="1"/>
      <protection locked="0"/>
    </xf>
    <xf numFmtId="0" fontId="18" fillId="0" borderId="1" xfId="5" applyFont="1" applyBorder="1" applyAlignment="1" applyProtection="1">
      <alignment horizontal="left" vertical="top"/>
      <protection locked="0"/>
    </xf>
    <xf numFmtId="0" fontId="14" fillId="0" borderId="1" xfId="0" applyFont="1" applyFill="1" applyBorder="1" applyAlignment="1">
      <alignment horizontal="center" vertical="center"/>
    </xf>
    <xf numFmtId="14" fontId="4" fillId="0" borderId="1" xfId="5" applyNumberFormat="1" applyFont="1" applyBorder="1" applyAlignment="1" applyProtection="1">
      <alignment horizontal="left" vertical="top" wrapText="1"/>
      <protection locked="0"/>
    </xf>
    <xf numFmtId="0" fontId="4" fillId="0" borderId="1" xfId="5" applyFont="1" applyBorder="1" applyAlignment="1" applyProtection="1">
      <alignment horizontal="left" vertical="top"/>
      <protection locked="0"/>
    </xf>
    <xf numFmtId="0" fontId="16" fillId="0" borderId="1" xfId="0" applyFont="1" applyFill="1" applyBorder="1" applyAlignment="1">
      <alignment horizontal="left" vertical="top" wrapText="1"/>
    </xf>
    <xf numFmtId="0" fontId="11" fillId="0" borderId="1" xfId="5" applyFont="1" applyFill="1" applyBorder="1" applyAlignment="1" applyProtection="1">
      <alignment horizontal="left" vertical="top" wrapText="1"/>
      <protection locked="0"/>
    </xf>
    <xf numFmtId="14" fontId="4" fillId="0" borderId="1" xfId="5" applyNumberFormat="1" applyFont="1" applyBorder="1" applyAlignment="1" applyProtection="1">
      <alignment horizontal="left" vertical="top"/>
      <protection locked="0"/>
    </xf>
    <xf numFmtId="0" fontId="12" fillId="0" borderId="23" xfId="5" applyFont="1" applyFill="1" applyBorder="1" applyAlignment="1" applyProtection="1">
      <alignment horizontal="center" vertical="center"/>
      <protection locked="0"/>
    </xf>
    <xf numFmtId="0" fontId="12" fillId="0" borderId="25" xfId="5" applyFont="1" applyFill="1" applyBorder="1" applyAlignment="1" applyProtection="1">
      <alignment horizontal="center" vertical="center"/>
      <protection locked="0"/>
    </xf>
    <xf numFmtId="0" fontId="12" fillId="0" borderId="26" xfId="5" applyFont="1" applyFill="1" applyBorder="1" applyAlignment="1" applyProtection="1">
      <alignment horizontal="center" vertical="center"/>
      <protection locked="0"/>
    </xf>
    <xf numFmtId="0" fontId="11" fillId="0" borderId="3" xfId="5" applyFont="1" applyFill="1" applyBorder="1" applyAlignment="1" applyProtection="1">
      <alignment horizontal="center" vertical="top" wrapText="1"/>
      <protection locked="0"/>
    </xf>
    <xf numFmtId="0" fontId="18" fillId="3" borderId="1" xfId="0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12" fillId="0" borderId="1" xfId="2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14" fontId="14" fillId="0" borderId="1" xfId="5" applyNumberFormat="1" applyFont="1" applyBorder="1" applyAlignment="1" applyProtection="1">
      <alignment horizontal="left" vertical="top"/>
      <protection locked="0"/>
    </xf>
    <xf numFmtId="0" fontId="14" fillId="0" borderId="1" xfId="5" applyFont="1" applyBorder="1" applyAlignment="1" applyProtection="1">
      <alignment horizontal="left" vertical="top"/>
      <protection locked="0"/>
    </xf>
    <xf numFmtId="0" fontId="4" fillId="3" borderId="1" xfId="0" applyFont="1" applyFill="1" applyBorder="1" applyAlignment="1">
      <alignment horizontal="center" vertical="center"/>
    </xf>
    <xf numFmtId="0" fontId="7" fillId="0" borderId="1" xfId="4" applyFont="1" applyBorder="1" applyAlignment="1">
      <alignment horizontal="left"/>
    </xf>
  </cellXfs>
  <cellStyles count="8">
    <cellStyle name="Comma 2" xfId="1"/>
    <cellStyle name="Excel Built-in Normal" xfId="2"/>
    <cellStyle name="Excel Built-in Normal 2" xfId="3"/>
    <cellStyle name="Hyperlink" xfId="6" builtinId="8"/>
    <cellStyle name="Normal" xfId="0" builtinId="0"/>
    <cellStyle name="Normal 3" xfId="5"/>
    <cellStyle name="Normal 4" xfId="4"/>
    <cellStyle name="Percent" xfId="7" builtinId="5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jpeg"/><Relationship Id="rId1" Type="http://schemas.openxmlformats.org/officeDocument/2006/relationships/image" Target="../media/image3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png"/><Relationship Id="rId1" Type="http://schemas.openxmlformats.org/officeDocument/2006/relationships/image" Target="../media/image36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407333</xdr:colOff>
      <xdr:row>325</xdr:row>
      <xdr:rowOff>38864</xdr:rowOff>
    </xdr:from>
    <xdr:to>
      <xdr:col>11</xdr:col>
      <xdr:colOff>48314</xdr:colOff>
      <xdr:row>326</xdr:row>
      <xdr:rowOff>90151</xdr:rowOff>
    </xdr:to>
    <xdr:sp macro="" textlink="">
      <xdr:nvSpPr>
        <xdr:cNvPr id="24" name="TextBox 23"/>
        <xdr:cNvSpPr txBox="1"/>
      </xdr:nvSpPr>
      <xdr:spPr>
        <a:xfrm>
          <a:off x="8201268" y="81357516"/>
          <a:ext cx="253894" cy="2417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3</a:t>
          </a:r>
        </a:p>
      </xdr:txBody>
    </xdr:sp>
    <xdr:clientData/>
  </xdr:twoCellAnchor>
  <xdr:twoCellAnchor>
    <xdr:from>
      <xdr:col>13</xdr:col>
      <xdr:colOff>348189</xdr:colOff>
      <xdr:row>312</xdr:row>
      <xdr:rowOff>49695</xdr:rowOff>
    </xdr:from>
    <xdr:to>
      <xdr:col>13</xdr:col>
      <xdr:colOff>596347</xdr:colOff>
      <xdr:row>313</xdr:row>
      <xdr:rowOff>99392</xdr:rowOff>
    </xdr:to>
    <xdr:sp macro="" textlink="">
      <xdr:nvSpPr>
        <xdr:cNvPr id="25" name="TextBox 24"/>
        <xdr:cNvSpPr txBox="1"/>
      </xdr:nvSpPr>
      <xdr:spPr>
        <a:xfrm>
          <a:off x="9980863" y="79844347"/>
          <a:ext cx="248158" cy="2401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4</a:t>
          </a:r>
        </a:p>
      </xdr:txBody>
    </xdr:sp>
    <xdr:clientData/>
  </xdr:twoCellAnchor>
  <xdr:twoCellAnchor editAs="oneCell">
    <xdr:from>
      <xdr:col>10</xdr:col>
      <xdr:colOff>247730</xdr:colOff>
      <xdr:row>14</xdr:row>
      <xdr:rowOff>218915</xdr:rowOff>
    </xdr:from>
    <xdr:to>
      <xdr:col>21</xdr:col>
      <xdr:colOff>172855</xdr:colOff>
      <xdr:row>24</xdr:row>
      <xdr:rowOff>156102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2801" y="3239701"/>
          <a:ext cx="6660661" cy="2431296"/>
        </a:xfrm>
        <a:prstGeom prst="rect">
          <a:avLst/>
        </a:prstGeom>
      </xdr:spPr>
    </xdr:pic>
    <xdr:clientData/>
  </xdr:twoCellAnchor>
  <xdr:twoCellAnchor>
    <xdr:from>
      <xdr:col>0</xdr:col>
      <xdr:colOff>247989</xdr:colOff>
      <xdr:row>379</xdr:row>
      <xdr:rowOff>99433</xdr:rowOff>
    </xdr:from>
    <xdr:to>
      <xdr:col>8</xdr:col>
      <xdr:colOff>270821</xdr:colOff>
      <xdr:row>405</xdr:row>
      <xdr:rowOff>19871</xdr:rowOff>
    </xdr:to>
    <xdr:grpSp>
      <xdr:nvGrpSpPr>
        <xdr:cNvPr id="14" name="Group 13"/>
        <xdr:cNvGrpSpPr/>
      </xdr:nvGrpSpPr>
      <xdr:grpSpPr>
        <a:xfrm>
          <a:off x="247989" y="71679808"/>
          <a:ext cx="5880707" cy="4873438"/>
          <a:chOff x="281608" y="67726932"/>
          <a:chExt cx="5894714" cy="4873438"/>
        </a:xfrm>
      </xdr:grpSpPr>
      <xdr:grpSp>
        <xdr:nvGrpSpPr>
          <xdr:cNvPr id="8" name="Group 7"/>
          <xdr:cNvGrpSpPr/>
        </xdr:nvGrpSpPr>
        <xdr:grpSpPr>
          <a:xfrm>
            <a:off x="281608" y="67726932"/>
            <a:ext cx="5894714" cy="4873438"/>
            <a:chOff x="273326" y="66836796"/>
            <a:chExt cx="5870354" cy="4873438"/>
          </a:xfrm>
        </xdr:grpSpPr>
        <xdr:pic>
          <xdr:nvPicPr>
            <xdr:cNvPr id="4" name="Picture 3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73326" y="66836796"/>
              <a:ext cx="5870354" cy="4873438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6" name="Rectangle 5"/>
            <xdr:cNvSpPr/>
          </xdr:nvSpPr>
          <xdr:spPr>
            <a:xfrm rot="18707630">
              <a:off x="2435087" y="68091327"/>
              <a:ext cx="381000" cy="356152"/>
            </a:xfrm>
            <a:prstGeom prst="rect">
              <a:avLst/>
            </a:prstGeom>
            <a:noFill/>
            <a:ln>
              <a:solidFill>
                <a:srgbClr val="0033C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6" name="Rectangle 25"/>
            <xdr:cNvSpPr/>
          </xdr:nvSpPr>
          <xdr:spPr>
            <a:xfrm>
              <a:off x="1838735" y="68587426"/>
              <a:ext cx="1489158" cy="788276"/>
            </a:xfrm>
            <a:prstGeom prst="rect">
              <a:avLst/>
            </a:prstGeom>
            <a:noFill/>
            <a:ln>
              <a:solidFill>
                <a:srgbClr val="0033C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7" name="Rectangle 26"/>
            <xdr:cNvSpPr/>
          </xdr:nvSpPr>
          <xdr:spPr>
            <a:xfrm rot="2830389">
              <a:off x="3000321" y="69584090"/>
              <a:ext cx="1041748" cy="548633"/>
            </a:xfrm>
            <a:prstGeom prst="rect">
              <a:avLst/>
            </a:prstGeom>
            <a:noFill/>
            <a:ln>
              <a:solidFill>
                <a:srgbClr val="0033C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8" name="Rectangle 27"/>
            <xdr:cNvSpPr/>
          </xdr:nvSpPr>
          <xdr:spPr>
            <a:xfrm>
              <a:off x="1995252" y="69501709"/>
              <a:ext cx="1139212" cy="1023562"/>
            </a:xfrm>
            <a:prstGeom prst="rect">
              <a:avLst/>
            </a:prstGeom>
            <a:noFill/>
            <a:ln>
              <a:solidFill>
                <a:srgbClr val="0033C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  <xdr:sp macro="" textlink="">
          <xdr:nvSpPr>
            <xdr:cNvPr id="29" name="Rectangle 28"/>
            <xdr:cNvSpPr/>
          </xdr:nvSpPr>
          <xdr:spPr>
            <a:xfrm rot="18427562">
              <a:off x="1049620" y="69593300"/>
              <a:ext cx="1040324" cy="727993"/>
            </a:xfrm>
            <a:prstGeom prst="rect">
              <a:avLst/>
            </a:prstGeom>
            <a:noFill/>
            <a:ln>
              <a:solidFill>
                <a:srgbClr val="0033CC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>
                <a:solidFill>
                  <a:srgbClr val="0033CC"/>
                </a:solidFill>
              </a:endParaRPr>
            </a:p>
          </xdr:txBody>
        </xdr:sp>
        <xdr:sp macro="" textlink="">
          <xdr:nvSpPr>
            <xdr:cNvPr id="30" name="TextBox 12"/>
            <xdr:cNvSpPr txBox="1"/>
          </xdr:nvSpPr>
          <xdr:spPr>
            <a:xfrm rot="18546180">
              <a:off x="1802945" y="67919138"/>
              <a:ext cx="1197422" cy="23656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IN" sz="1200" b="1">
                  <a:solidFill>
                    <a:srgbClr val="0033CC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Building No.5</a:t>
              </a:r>
            </a:p>
          </xdr:txBody>
        </xdr:sp>
        <xdr:sp macro="" textlink="">
          <xdr:nvSpPr>
            <xdr:cNvPr id="38" name="TextBox 12"/>
            <xdr:cNvSpPr txBox="1"/>
          </xdr:nvSpPr>
          <xdr:spPr>
            <a:xfrm rot="2815703">
              <a:off x="3212703" y="69489122"/>
              <a:ext cx="1197422" cy="23656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IN" sz="1200" b="1">
                  <a:solidFill>
                    <a:srgbClr val="0033CC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Building No.1</a:t>
              </a:r>
            </a:p>
          </xdr:txBody>
        </xdr:sp>
        <xdr:sp macro="" textlink="">
          <xdr:nvSpPr>
            <xdr:cNvPr id="40" name="TextBox 12"/>
            <xdr:cNvSpPr txBox="1"/>
          </xdr:nvSpPr>
          <xdr:spPr>
            <a:xfrm>
              <a:off x="1956602" y="70152586"/>
              <a:ext cx="1196565" cy="23656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IN" sz="1200" b="1">
                  <a:solidFill>
                    <a:srgbClr val="0033CC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Building No.2</a:t>
              </a:r>
            </a:p>
          </xdr:txBody>
        </xdr:sp>
        <xdr:sp macro="" textlink="">
          <xdr:nvSpPr>
            <xdr:cNvPr id="41" name="TextBox 12"/>
            <xdr:cNvSpPr txBox="1"/>
          </xdr:nvSpPr>
          <xdr:spPr>
            <a:xfrm rot="18387505">
              <a:off x="595684" y="69554811"/>
              <a:ext cx="1197422" cy="23656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IN" sz="1200" b="1">
                  <a:solidFill>
                    <a:srgbClr val="0033CC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Building No.3</a:t>
              </a:r>
            </a:p>
          </xdr:txBody>
        </xdr:sp>
        <xdr:sp macro="" textlink="">
          <xdr:nvSpPr>
            <xdr:cNvPr id="42" name="TextBox 12"/>
            <xdr:cNvSpPr txBox="1"/>
          </xdr:nvSpPr>
          <xdr:spPr>
            <a:xfrm>
              <a:off x="1963172" y="68674569"/>
              <a:ext cx="1196565" cy="236564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IN" sz="1200" b="1">
                  <a:solidFill>
                    <a:srgbClr val="0033CC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Building No.4</a:t>
              </a:r>
            </a:p>
          </xdr:txBody>
        </xdr:sp>
        <xdr:sp macro="" textlink="">
          <xdr:nvSpPr>
            <xdr:cNvPr id="53" name="TextBox 12"/>
            <xdr:cNvSpPr txBox="1"/>
          </xdr:nvSpPr>
          <xdr:spPr>
            <a:xfrm>
              <a:off x="386126" y="70439584"/>
              <a:ext cx="1192474" cy="2375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IN" sz="1200" b="1">
                  <a:solidFill>
                    <a:srgbClr val="C00000"/>
                  </a:solidFill>
                  <a:latin typeface="Times New Roman" panose="02020603050405020304" pitchFamily="18" charset="0"/>
                  <a:cs typeface="Times New Roman" panose="02020603050405020304" pitchFamily="18" charset="0"/>
                </a:rPr>
                <a:t>H.T Lines</a:t>
              </a:r>
            </a:p>
          </xdr:txBody>
        </xdr:sp>
      </xdr:grpSp>
      <xdr:cxnSp macro="">
        <xdr:nvCxnSpPr>
          <xdr:cNvPr id="12" name="Straight Connector 11"/>
          <xdr:cNvCxnSpPr/>
        </xdr:nvCxnSpPr>
        <xdr:spPr>
          <a:xfrm flipV="1">
            <a:off x="627530" y="71549558"/>
            <a:ext cx="4213413" cy="11208"/>
          </a:xfrm>
          <a:prstGeom prst="line">
            <a:avLst/>
          </a:prstGeom>
          <a:ln w="28575">
            <a:solidFill>
              <a:srgbClr val="C00000"/>
            </a:solidFill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Straight Connector 49"/>
          <xdr:cNvCxnSpPr/>
        </xdr:nvCxnSpPr>
        <xdr:spPr>
          <a:xfrm>
            <a:off x="638736" y="71717647"/>
            <a:ext cx="4191001" cy="11205"/>
          </a:xfrm>
          <a:prstGeom prst="line">
            <a:avLst/>
          </a:prstGeom>
          <a:ln w="28575">
            <a:solidFill>
              <a:srgbClr val="C00000"/>
            </a:solidFill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9</xdr:col>
      <xdr:colOff>377271</xdr:colOff>
      <xdr:row>41</xdr:row>
      <xdr:rowOff>124338</xdr:rowOff>
    </xdr:from>
    <xdr:to>
      <xdr:col>20</xdr:col>
      <xdr:colOff>61297</xdr:colOff>
      <xdr:row>50</xdr:row>
      <xdr:rowOff>355979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55124" y="9447632"/>
          <a:ext cx="6530820" cy="3414112"/>
        </a:xfrm>
        <a:prstGeom prst="rect">
          <a:avLst/>
        </a:prstGeom>
      </xdr:spPr>
    </xdr:pic>
    <xdr:clientData/>
  </xdr:twoCellAnchor>
  <xdr:twoCellAnchor>
    <xdr:from>
      <xdr:col>10</xdr:col>
      <xdr:colOff>417053</xdr:colOff>
      <xdr:row>348</xdr:row>
      <xdr:rowOff>40925</xdr:rowOff>
    </xdr:from>
    <xdr:to>
      <xdr:col>12</xdr:col>
      <xdr:colOff>403411</xdr:colOff>
      <xdr:row>349</xdr:row>
      <xdr:rowOff>156881</xdr:rowOff>
    </xdr:to>
    <xdr:sp macro="" textlink="">
      <xdr:nvSpPr>
        <xdr:cNvPr id="2" name="TextBox 1"/>
        <xdr:cNvSpPr txBox="1"/>
      </xdr:nvSpPr>
      <xdr:spPr>
        <a:xfrm>
          <a:off x="7790524" y="66906425"/>
          <a:ext cx="1196593" cy="3064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Building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No.3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9</xdr:col>
      <xdr:colOff>478054</xdr:colOff>
      <xdr:row>49</xdr:row>
      <xdr:rowOff>175175</xdr:rowOff>
    </xdr:from>
    <xdr:to>
      <xdr:col>21</xdr:col>
      <xdr:colOff>371762</xdr:colOff>
      <xdr:row>53</xdr:row>
      <xdr:rowOff>375269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55907" y="12479234"/>
          <a:ext cx="7345620" cy="1533594"/>
        </a:xfrm>
        <a:prstGeom prst="rect">
          <a:avLst/>
        </a:prstGeom>
      </xdr:spPr>
    </xdr:pic>
    <xdr:clientData/>
  </xdr:twoCellAnchor>
  <xdr:twoCellAnchor>
    <xdr:from>
      <xdr:col>14</xdr:col>
      <xdr:colOff>215347</xdr:colOff>
      <xdr:row>347</xdr:row>
      <xdr:rowOff>175395</xdr:rowOff>
    </xdr:from>
    <xdr:to>
      <xdr:col>16</xdr:col>
      <xdr:colOff>201705</xdr:colOff>
      <xdr:row>349</xdr:row>
      <xdr:rowOff>100851</xdr:rowOff>
    </xdr:to>
    <xdr:sp macro="" textlink="">
      <xdr:nvSpPr>
        <xdr:cNvPr id="65" name="TextBox 64"/>
        <xdr:cNvSpPr txBox="1"/>
      </xdr:nvSpPr>
      <xdr:spPr>
        <a:xfrm>
          <a:off x="10009288" y="66850395"/>
          <a:ext cx="1196593" cy="3064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Building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No.4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14</xdr:col>
      <xdr:colOff>226553</xdr:colOff>
      <xdr:row>361</xdr:row>
      <xdr:rowOff>130572</xdr:rowOff>
    </xdr:from>
    <xdr:to>
      <xdr:col>16</xdr:col>
      <xdr:colOff>212911</xdr:colOff>
      <xdr:row>363</xdr:row>
      <xdr:rowOff>56028</xdr:rowOff>
    </xdr:to>
    <xdr:sp macro="" textlink="">
      <xdr:nvSpPr>
        <xdr:cNvPr id="66" name="TextBox 65"/>
        <xdr:cNvSpPr txBox="1"/>
      </xdr:nvSpPr>
      <xdr:spPr>
        <a:xfrm>
          <a:off x="10020494" y="69472572"/>
          <a:ext cx="1196593" cy="3064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Building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No.4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372228</xdr:colOff>
      <xdr:row>361</xdr:row>
      <xdr:rowOff>40925</xdr:rowOff>
    </xdr:from>
    <xdr:to>
      <xdr:col>12</xdr:col>
      <xdr:colOff>358586</xdr:colOff>
      <xdr:row>362</xdr:row>
      <xdr:rowOff>156881</xdr:rowOff>
    </xdr:to>
    <xdr:sp macro="" textlink="">
      <xdr:nvSpPr>
        <xdr:cNvPr id="67" name="TextBox 66"/>
        <xdr:cNvSpPr txBox="1"/>
      </xdr:nvSpPr>
      <xdr:spPr>
        <a:xfrm>
          <a:off x="7745699" y="69382925"/>
          <a:ext cx="1196593" cy="3064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200" b="1">
              <a:latin typeface="Times New Roman" panose="02020603050405020304" pitchFamily="18" charset="0"/>
              <a:cs typeface="Times New Roman" panose="02020603050405020304" pitchFamily="18" charset="0"/>
            </a:rPr>
            <a:t>Building</a:t>
          </a:r>
          <a:r>
            <a:rPr lang="en-IN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No.3</a:t>
          </a:r>
          <a:endParaRPr lang="en-IN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11</xdr:col>
      <xdr:colOff>563097</xdr:colOff>
      <xdr:row>231</xdr:row>
      <xdr:rowOff>101414</xdr:rowOff>
    </xdr:from>
    <xdr:to>
      <xdr:col>22</xdr:col>
      <xdr:colOff>570753</xdr:colOff>
      <xdr:row>244</xdr:row>
      <xdr:rowOff>184720</xdr:rowOff>
    </xdr:to>
    <xdr:pic>
      <xdr:nvPicPr>
        <xdr:cNvPr id="56" name="Picture 5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41685" y="41327855"/>
          <a:ext cx="6663950" cy="2739100"/>
        </a:xfrm>
        <a:prstGeom prst="rect">
          <a:avLst/>
        </a:prstGeom>
      </xdr:spPr>
    </xdr:pic>
    <xdr:clientData/>
  </xdr:twoCellAnchor>
  <xdr:twoCellAnchor editAs="oneCell">
    <xdr:from>
      <xdr:col>11</xdr:col>
      <xdr:colOff>302559</xdr:colOff>
      <xdr:row>242</xdr:row>
      <xdr:rowOff>134470</xdr:rowOff>
    </xdr:from>
    <xdr:to>
      <xdr:col>22</xdr:col>
      <xdr:colOff>219432</xdr:colOff>
      <xdr:row>253</xdr:row>
      <xdr:rowOff>157201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281147" y="43792588"/>
          <a:ext cx="6573167" cy="2286319"/>
        </a:xfrm>
        <a:prstGeom prst="rect">
          <a:avLst/>
        </a:prstGeom>
      </xdr:spPr>
    </xdr:pic>
    <xdr:clientData/>
  </xdr:twoCellAnchor>
  <xdr:twoCellAnchor editAs="oneCell">
    <xdr:from>
      <xdr:col>11</xdr:col>
      <xdr:colOff>17930</xdr:colOff>
      <xdr:row>264</xdr:row>
      <xdr:rowOff>183217</xdr:rowOff>
    </xdr:from>
    <xdr:to>
      <xdr:col>22</xdr:col>
      <xdr:colOff>77700</xdr:colOff>
      <xdr:row>275</xdr:row>
      <xdr:rowOff>13190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996518" y="46362658"/>
          <a:ext cx="6716064" cy="2172003"/>
        </a:xfrm>
        <a:prstGeom prst="rect">
          <a:avLst/>
        </a:prstGeom>
      </xdr:spPr>
    </xdr:pic>
    <xdr:clientData/>
  </xdr:twoCellAnchor>
  <xdr:twoCellAnchor editAs="oneCell">
    <xdr:from>
      <xdr:col>1</xdr:col>
      <xdr:colOff>199669</xdr:colOff>
      <xdr:row>465</xdr:row>
      <xdr:rowOff>145676</xdr:rowOff>
    </xdr:from>
    <xdr:to>
      <xdr:col>7</xdr:col>
      <xdr:colOff>635276</xdr:colOff>
      <xdr:row>483</xdr:row>
      <xdr:rowOff>156882</xdr:rowOff>
    </xdr:to>
    <xdr:pic>
      <xdr:nvPicPr>
        <xdr:cNvPr id="13" name="Picture 12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8717" t="12507" r="12336" b="4697"/>
        <a:stretch/>
      </xdr:blipFill>
      <xdr:spPr>
        <a:xfrm>
          <a:off x="815993" y="79135941"/>
          <a:ext cx="4895548" cy="344020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0</xdr:col>
      <xdr:colOff>354668</xdr:colOff>
      <xdr:row>484</xdr:row>
      <xdr:rowOff>128815</xdr:rowOff>
    </xdr:from>
    <xdr:to>
      <xdr:col>8</xdr:col>
      <xdr:colOff>336178</xdr:colOff>
      <xdr:row>508</xdr:row>
      <xdr:rowOff>44822</xdr:rowOff>
    </xdr:to>
    <xdr:grpSp>
      <xdr:nvGrpSpPr>
        <xdr:cNvPr id="32" name="Group 31"/>
        <xdr:cNvGrpSpPr/>
      </xdr:nvGrpSpPr>
      <xdr:grpSpPr>
        <a:xfrm>
          <a:off x="354668" y="91730740"/>
          <a:ext cx="5839385" cy="4488007"/>
          <a:chOff x="409575" y="81124375"/>
          <a:chExt cx="5405157" cy="4143425"/>
        </a:xfrm>
      </xdr:grpSpPr>
      <xdr:grpSp>
        <xdr:nvGrpSpPr>
          <xdr:cNvPr id="10" name="Group 9"/>
          <xdr:cNvGrpSpPr/>
        </xdr:nvGrpSpPr>
        <xdr:grpSpPr>
          <a:xfrm>
            <a:off x="414412" y="81124375"/>
            <a:ext cx="5400320" cy="4130810"/>
            <a:chOff x="488372" y="79040489"/>
            <a:chExt cx="5574010" cy="4262681"/>
          </a:xfrm>
        </xdr:grpSpPr>
        <xdr:pic>
          <xdr:nvPicPr>
            <xdr:cNvPr id="5" name="Picture 4"/>
            <xdr:cNvPicPr>
              <a:picLocks noChangeAspect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488372" y="79040489"/>
              <a:ext cx="5574010" cy="4262681"/>
            </a:xfrm>
            <a:prstGeom prst="rect">
              <a:avLst/>
            </a:prstGeom>
            <a:ln>
              <a:solidFill>
                <a:sysClr val="windowText" lastClr="000000"/>
              </a:solidFill>
            </a:ln>
          </xdr:spPr>
        </xdr:pic>
        <xdr:sp macro="" textlink="">
          <xdr:nvSpPr>
            <xdr:cNvPr id="9" name="Freeform 8"/>
            <xdr:cNvSpPr/>
          </xdr:nvSpPr>
          <xdr:spPr>
            <a:xfrm>
              <a:off x="1554207" y="80877695"/>
              <a:ext cx="2107195" cy="1665811"/>
            </a:xfrm>
            <a:custGeom>
              <a:avLst/>
              <a:gdLst>
                <a:gd name="connsiteX0" fmla="*/ 0 w 2062370"/>
                <a:gd name="connsiteY0" fmla="*/ 1217543 h 1954696"/>
                <a:gd name="connsiteX1" fmla="*/ 157370 w 2062370"/>
                <a:gd name="connsiteY1" fmla="*/ 877956 h 1954696"/>
                <a:gd name="connsiteX2" fmla="*/ 637761 w 2062370"/>
                <a:gd name="connsiteY2" fmla="*/ 695739 h 1954696"/>
                <a:gd name="connsiteX3" fmla="*/ 1035326 w 2062370"/>
                <a:gd name="connsiteY3" fmla="*/ 496956 h 1954696"/>
                <a:gd name="connsiteX4" fmla="*/ 1341783 w 2062370"/>
                <a:gd name="connsiteY4" fmla="*/ 256761 h 1954696"/>
                <a:gd name="connsiteX5" fmla="*/ 1648239 w 2062370"/>
                <a:gd name="connsiteY5" fmla="*/ 0 h 1954696"/>
                <a:gd name="connsiteX6" fmla="*/ 1838739 w 2062370"/>
                <a:gd name="connsiteY6" fmla="*/ 24848 h 1954696"/>
                <a:gd name="connsiteX7" fmla="*/ 1855305 w 2062370"/>
                <a:gd name="connsiteY7" fmla="*/ 488674 h 1954696"/>
                <a:gd name="connsiteX8" fmla="*/ 1921565 w 2062370"/>
                <a:gd name="connsiteY8" fmla="*/ 886239 h 1954696"/>
                <a:gd name="connsiteX9" fmla="*/ 1863587 w 2062370"/>
                <a:gd name="connsiteY9" fmla="*/ 1184413 h 1954696"/>
                <a:gd name="connsiteX10" fmla="*/ 1971261 w 2062370"/>
                <a:gd name="connsiteY10" fmla="*/ 1474304 h 1954696"/>
                <a:gd name="connsiteX11" fmla="*/ 2062370 w 2062370"/>
                <a:gd name="connsiteY11" fmla="*/ 1805609 h 1954696"/>
                <a:gd name="connsiteX12" fmla="*/ 2020957 w 2062370"/>
                <a:gd name="connsiteY12" fmla="*/ 1954696 h 1954696"/>
                <a:gd name="connsiteX13" fmla="*/ 1391479 w 2062370"/>
                <a:gd name="connsiteY13" fmla="*/ 1946413 h 1954696"/>
                <a:gd name="connsiteX14" fmla="*/ 985631 w 2062370"/>
                <a:gd name="connsiteY14" fmla="*/ 1830456 h 1954696"/>
                <a:gd name="connsiteX15" fmla="*/ 670892 w 2062370"/>
                <a:gd name="connsiteY15" fmla="*/ 1714500 h 1954696"/>
                <a:gd name="connsiteX16" fmla="*/ 314739 w 2062370"/>
                <a:gd name="connsiteY16" fmla="*/ 1532283 h 1954696"/>
                <a:gd name="connsiteX17" fmla="*/ 49696 w 2062370"/>
                <a:gd name="connsiteY17" fmla="*/ 1225826 h 1954696"/>
                <a:gd name="connsiteX18" fmla="*/ 140805 w 2062370"/>
                <a:gd name="connsiteY18" fmla="*/ 894522 h 1954696"/>
                <a:gd name="connsiteX0" fmla="*/ 0 w 2062370"/>
                <a:gd name="connsiteY0" fmla="*/ 1217543 h 1954696"/>
                <a:gd name="connsiteX1" fmla="*/ 157370 w 2062370"/>
                <a:gd name="connsiteY1" fmla="*/ 877956 h 1954696"/>
                <a:gd name="connsiteX2" fmla="*/ 637761 w 2062370"/>
                <a:gd name="connsiteY2" fmla="*/ 695739 h 1954696"/>
                <a:gd name="connsiteX3" fmla="*/ 1035326 w 2062370"/>
                <a:gd name="connsiteY3" fmla="*/ 496956 h 1954696"/>
                <a:gd name="connsiteX4" fmla="*/ 1341783 w 2062370"/>
                <a:gd name="connsiteY4" fmla="*/ 256761 h 1954696"/>
                <a:gd name="connsiteX5" fmla="*/ 1648239 w 2062370"/>
                <a:gd name="connsiteY5" fmla="*/ 0 h 1954696"/>
                <a:gd name="connsiteX6" fmla="*/ 1838739 w 2062370"/>
                <a:gd name="connsiteY6" fmla="*/ 24848 h 1954696"/>
                <a:gd name="connsiteX7" fmla="*/ 1855305 w 2062370"/>
                <a:gd name="connsiteY7" fmla="*/ 488674 h 1954696"/>
                <a:gd name="connsiteX8" fmla="*/ 1921565 w 2062370"/>
                <a:gd name="connsiteY8" fmla="*/ 886239 h 1954696"/>
                <a:gd name="connsiteX9" fmla="*/ 1863587 w 2062370"/>
                <a:gd name="connsiteY9" fmla="*/ 1184413 h 1954696"/>
                <a:gd name="connsiteX10" fmla="*/ 1971261 w 2062370"/>
                <a:gd name="connsiteY10" fmla="*/ 1474304 h 1954696"/>
                <a:gd name="connsiteX11" fmla="*/ 2062370 w 2062370"/>
                <a:gd name="connsiteY11" fmla="*/ 1805609 h 1954696"/>
                <a:gd name="connsiteX12" fmla="*/ 2020957 w 2062370"/>
                <a:gd name="connsiteY12" fmla="*/ 1954696 h 1954696"/>
                <a:gd name="connsiteX13" fmla="*/ 1391479 w 2062370"/>
                <a:gd name="connsiteY13" fmla="*/ 1946413 h 1954696"/>
                <a:gd name="connsiteX14" fmla="*/ 985631 w 2062370"/>
                <a:gd name="connsiteY14" fmla="*/ 1830456 h 1954696"/>
                <a:gd name="connsiteX15" fmla="*/ 670892 w 2062370"/>
                <a:gd name="connsiteY15" fmla="*/ 1714500 h 1954696"/>
                <a:gd name="connsiteX16" fmla="*/ 314739 w 2062370"/>
                <a:gd name="connsiteY16" fmla="*/ 1532283 h 1954696"/>
                <a:gd name="connsiteX17" fmla="*/ 49696 w 2062370"/>
                <a:gd name="connsiteY17" fmla="*/ 1225826 h 1954696"/>
                <a:gd name="connsiteX18" fmla="*/ 74544 w 2062370"/>
                <a:gd name="connsiteY18" fmla="*/ 1217544 h 1954696"/>
                <a:gd name="connsiteX0" fmla="*/ 0 w 2062370"/>
                <a:gd name="connsiteY0" fmla="*/ 1217543 h 1954696"/>
                <a:gd name="connsiteX1" fmla="*/ 157370 w 2062370"/>
                <a:gd name="connsiteY1" fmla="*/ 877956 h 1954696"/>
                <a:gd name="connsiteX2" fmla="*/ 637761 w 2062370"/>
                <a:gd name="connsiteY2" fmla="*/ 695739 h 1954696"/>
                <a:gd name="connsiteX3" fmla="*/ 1035326 w 2062370"/>
                <a:gd name="connsiteY3" fmla="*/ 496956 h 1954696"/>
                <a:gd name="connsiteX4" fmla="*/ 1341783 w 2062370"/>
                <a:gd name="connsiteY4" fmla="*/ 256761 h 1954696"/>
                <a:gd name="connsiteX5" fmla="*/ 1648239 w 2062370"/>
                <a:gd name="connsiteY5" fmla="*/ 0 h 1954696"/>
                <a:gd name="connsiteX6" fmla="*/ 1838739 w 2062370"/>
                <a:gd name="connsiteY6" fmla="*/ 24848 h 1954696"/>
                <a:gd name="connsiteX7" fmla="*/ 1855305 w 2062370"/>
                <a:gd name="connsiteY7" fmla="*/ 488674 h 1954696"/>
                <a:gd name="connsiteX8" fmla="*/ 1921565 w 2062370"/>
                <a:gd name="connsiteY8" fmla="*/ 886239 h 1954696"/>
                <a:gd name="connsiteX9" fmla="*/ 1863587 w 2062370"/>
                <a:gd name="connsiteY9" fmla="*/ 1184413 h 1954696"/>
                <a:gd name="connsiteX10" fmla="*/ 1971261 w 2062370"/>
                <a:gd name="connsiteY10" fmla="*/ 1474304 h 1954696"/>
                <a:gd name="connsiteX11" fmla="*/ 2062370 w 2062370"/>
                <a:gd name="connsiteY11" fmla="*/ 1805609 h 1954696"/>
                <a:gd name="connsiteX12" fmla="*/ 2020957 w 2062370"/>
                <a:gd name="connsiteY12" fmla="*/ 1954696 h 1954696"/>
                <a:gd name="connsiteX13" fmla="*/ 1391479 w 2062370"/>
                <a:gd name="connsiteY13" fmla="*/ 1946413 h 1954696"/>
                <a:gd name="connsiteX14" fmla="*/ 985631 w 2062370"/>
                <a:gd name="connsiteY14" fmla="*/ 1830456 h 1954696"/>
                <a:gd name="connsiteX15" fmla="*/ 670892 w 2062370"/>
                <a:gd name="connsiteY15" fmla="*/ 1714500 h 1954696"/>
                <a:gd name="connsiteX16" fmla="*/ 314739 w 2062370"/>
                <a:gd name="connsiteY16" fmla="*/ 1532283 h 1954696"/>
                <a:gd name="connsiteX17" fmla="*/ 49696 w 2062370"/>
                <a:gd name="connsiteY17" fmla="*/ 1225826 h 1954696"/>
                <a:gd name="connsiteX18" fmla="*/ 33131 w 2062370"/>
                <a:gd name="connsiteY18" fmla="*/ 1192696 h 1954696"/>
                <a:gd name="connsiteX0" fmla="*/ 5262 w 2067632"/>
                <a:gd name="connsiteY0" fmla="*/ 1217543 h 1954696"/>
                <a:gd name="connsiteX1" fmla="*/ 162632 w 2067632"/>
                <a:gd name="connsiteY1" fmla="*/ 877956 h 1954696"/>
                <a:gd name="connsiteX2" fmla="*/ 643023 w 2067632"/>
                <a:gd name="connsiteY2" fmla="*/ 695739 h 1954696"/>
                <a:gd name="connsiteX3" fmla="*/ 1040588 w 2067632"/>
                <a:gd name="connsiteY3" fmla="*/ 496956 h 1954696"/>
                <a:gd name="connsiteX4" fmla="*/ 1347045 w 2067632"/>
                <a:gd name="connsiteY4" fmla="*/ 256761 h 1954696"/>
                <a:gd name="connsiteX5" fmla="*/ 1653501 w 2067632"/>
                <a:gd name="connsiteY5" fmla="*/ 0 h 1954696"/>
                <a:gd name="connsiteX6" fmla="*/ 1844001 w 2067632"/>
                <a:gd name="connsiteY6" fmla="*/ 24848 h 1954696"/>
                <a:gd name="connsiteX7" fmla="*/ 1860567 w 2067632"/>
                <a:gd name="connsiteY7" fmla="*/ 488674 h 1954696"/>
                <a:gd name="connsiteX8" fmla="*/ 1926827 w 2067632"/>
                <a:gd name="connsiteY8" fmla="*/ 886239 h 1954696"/>
                <a:gd name="connsiteX9" fmla="*/ 1868849 w 2067632"/>
                <a:gd name="connsiteY9" fmla="*/ 1184413 h 1954696"/>
                <a:gd name="connsiteX10" fmla="*/ 1976523 w 2067632"/>
                <a:gd name="connsiteY10" fmla="*/ 1474304 h 1954696"/>
                <a:gd name="connsiteX11" fmla="*/ 2067632 w 2067632"/>
                <a:gd name="connsiteY11" fmla="*/ 1805609 h 1954696"/>
                <a:gd name="connsiteX12" fmla="*/ 2026219 w 2067632"/>
                <a:gd name="connsiteY12" fmla="*/ 1954696 h 1954696"/>
                <a:gd name="connsiteX13" fmla="*/ 1396741 w 2067632"/>
                <a:gd name="connsiteY13" fmla="*/ 1946413 h 1954696"/>
                <a:gd name="connsiteX14" fmla="*/ 990893 w 2067632"/>
                <a:gd name="connsiteY14" fmla="*/ 1830456 h 1954696"/>
                <a:gd name="connsiteX15" fmla="*/ 676154 w 2067632"/>
                <a:gd name="connsiteY15" fmla="*/ 1714500 h 1954696"/>
                <a:gd name="connsiteX16" fmla="*/ 320001 w 2067632"/>
                <a:gd name="connsiteY16" fmla="*/ 1532283 h 1954696"/>
                <a:gd name="connsiteX17" fmla="*/ 0 w 2067632"/>
                <a:gd name="connsiteY17" fmla="*/ 1230839 h 1954696"/>
                <a:gd name="connsiteX18" fmla="*/ 38393 w 2067632"/>
                <a:gd name="connsiteY18" fmla="*/ 1192696 h 1954696"/>
                <a:gd name="connsiteX0" fmla="*/ 5262 w 2067632"/>
                <a:gd name="connsiteY0" fmla="*/ 1217543 h 1954696"/>
                <a:gd name="connsiteX1" fmla="*/ 162632 w 2067632"/>
                <a:gd name="connsiteY1" fmla="*/ 877956 h 1954696"/>
                <a:gd name="connsiteX2" fmla="*/ 643023 w 2067632"/>
                <a:gd name="connsiteY2" fmla="*/ 695739 h 1954696"/>
                <a:gd name="connsiteX3" fmla="*/ 1040588 w 2067632"/>
                <a:gd name="connsiteY3" fmla="*/ 496956 h 1954696"/>
                <a:gd name="connsiteX4" fmla="*/ 1347045 w 2067632"/>
                <a:gd name="connsiteY4" fmla="*/ 256761 h 1954696"/>
                <a:gd name="connsiteX5" fmla="*/ 1653501 w 2067632"/>
                <a:gd name="connsiteY5" fmla="*/ 0 h 1954696"/>
                <a:gd name="connsiteX6" fmla="*/ 1889322 w 2067632"/>
                <a:gd name="connsiteY6" fmla="*/ 524058 h 1954696"/>
                <a:gd name="connsiteX7" fmla="*/ 1860567 w 2067632"/>
                <a:gd name="connsiteY7" fmla="*/ 488674 h 1954696"/>
                <a:gd name="connsiteX8" fmla="*/ 1926827 w 2067632"/>
                <a:gd name="connsiteY8" fmla="*/ 886239 h 1954696"/>
                <a:gd name="connsiteX9" fmla="*/ 1868849 w 2067632"/>
                <a:gd name="connsiteY9" fmla="*/ 1184413 h 1954696"/>
                <a:gd name="connsiteX10" fmla="*/ 1976523 w 2067632"/>
                <a:gd name="connsiteY10" fmla="*/ 1474304 h 1954696"/>
                <a:gd name="connsiteX11" fmla="*/ 2067632 w 2067632"/>
                <a:gd name="connsiteY11" fmla="*/ 1805609 h 1954696"/>
                <a:gd name="connsiteX12" fmla="*/ 2026219 w 2067632"/>
                <a:gd name="connsiteY12" fmla="*/ 1954696 h 1954696"/>
                <a:gd name="connsiteX13" fmla="*/ 1396741 w 2067632"/>
                <a:gd name="connsiteY13" fmla="*/ 1946413 h 1954696"/>
                <a:gd name="connsiteX14" fmla="*/ 990893 w 2067632"/>
                <a:gd name="connsiteY14" fmla="*/ 1830456 h 1954696"/>
                <a:gd name="connsiteX15" fmla="*/ 676154 w 2067632"/>
                <a:gd name="connsiteY15" fmla="*/ 1714500 h 1954696"/>
                <a:gd name="connsiteX16" fmla="*/ 320001 w 2067632"/>
                <a:gd name="connsiteY16" fmla="*/ 1532283 h 1954696"/>
                <a:gd name="connsiteX17" fmla="*/ 0 w 2067632"/>
                <a:gd name="connsiteY17" fmla="*/ 1230839 h 1954696"/>
                <a:gd name="connsiteX18" fmla="*/ 38393 w 2067632"/>
                <a:gd name="connsiteY18" fmla="*/ 1192696 h 1954696"/>
                <a:gd name="connsiteX0" fmla="*/ 5262 w 2067632"/>
                <a:gd name="connsiteY0" fmla="*/ 960782 h 1697935"/>
                <a:gd name="connsiteX1" fmla="*/ 162632 w 2067632"/>
                <a:gd name="connsiteY1" fmla="*/ 621195 h 1697935"/>
                <a:gd name="connsiteX2" fmla="*/ 643023 w 2067632"/>
                <a:gd name="connsiteY2" fmla="*/ 438978 h 1697935"/>
                <a:gd name="connsiteX3" fmla="*/ 1040588 w 2067632"/>
                <a:gd name="connsiteY3" fmla="*/ 240195 h 1697935"/>
                <a:gd name="connsiteX4" fmla="*/ 1347045 w 2067632"/>
                <a:gd name="connsiteY4" fmla="*/ 0 h 1697935"/>
                <a:gd name="connsiteX5" fmla="*/ 1426894 w 2067632"/>
                <a:gd name="connsiteY5" fmla="*/ 98233 h 1697935"/>
                <a:gd name="connsiteX6" fmla="*/ 1889322 w 2067632"/>
                <a:gd name="connsiteY6" fmla="*/ 267297 h 1697935"/>
                <a:gd name="connsiteX7" fmla="*/ 1860567 w 2067632"/>
                <a:gd name="connsiteY7" fmla="*/ 231913 h 1697935"/>
                <a:gd name="connsiteX8" fmla="*/ 1926827 w 2067632"/>
                <a:gd name="connsiteY8" fmla="*/ 629478 h 1697935"/>
                <a:gd name="connsiteX9" fmla="*/ 1868849 w 2067632"/>
                <a:gd name="connsiteY9" fmla="*/ 927652 h 1697935"/>
                <a:gd name="connsiteX10" fmla="*/ 1976523 w 2067632"/>
                <a:gd name="connsiteY10" fmla="*/ 1217543 h 1697935"/>
                <a:gd name="connsiteX11" fmla="*/ 2067632 w 2067632"/>
                <a:gd name="connsiteY11" fmla="*/ 1548848 h 1697935"/>
                <a:gd name="connsiteX12" fmla="*/ 2026219 w 2067632"/>
                <a:gd name="connsiteY12" fmla="*/ 1697935 h 1697935"/>
                <a:gd name="connsiteX13" fmla="*/ 1396741 w 2067632"/>
                <a:gd name="connsiteY13" fmla="*/ 1689652 h 1697935"/>
                <a:gd name="connsiteX14" fmla="*/ 990893 w 2067632"/>
                <a:gd name="connsiteY14" fmla="*/ 1573695 h 1697935"/>
                <a:gd name="connsiteX15" fmla="*/ 676154 w 2067632"/>
                <a:gd name="connsiteY15" fmla="*/ 1457739 h 1697935"/>
                <a:gd name="connsiteX16" fmla="*/ 320001 w 2067632"/>
                <a:gd name="connsiteY16" fmla="*/ 1275522 h 1697935"/>
                <a:gd name="connsiteX17" fmla="*/ 0 w 2067632"/>
                <a:gd name="connsiteY17" fmla="*/ 974078 h 1697935"/>
                <a:gd name="connsiteX18" fmla="*/ 38393 w 2067632"/>
                <a:gd name="connsiteY18" fmla="*/ 935935 h 1697935"/>
                <a:gd name="connsiteX0" fmla="*/ 5262 w 2067632"/>
                <a:gd name="connsiteY0" fmla="*/ 905315 h 1642468"/>
                <a:gd name="connsiteX1" fmla="*/ 162632 w 2067632"/>
                <a:gd name="connsiteY1" fmla="*/ 565728 h 1642468"/>
                <a:gd name="connsiteX2" fmla="*/ 643023 w 2067632"/>
                <a:gd name="connsiteY2" fmla="*/ 383511 h 1642468"/>
                <a:gd name="connsiteX3" fmla="*/ 1040588 w 2067632"/>
                <a:gd name="connsiteY3" fmla="*/ 184728 h 1642468"/>
                <a:gd name="connsiteX4" fmla="*/ 1256403 w 2067632"/>
                <a:gd name="connsiteY4" fmla="*/ 0 h 1642468"/>
                <a:gd name="connsiteX5" fmla="*/ 1426894 w 2067632"/>
                <a:gd name="connsiteY5" fmla="*/ 42766 h 1642468"/>
                <a:gd name="connsiteX6" fmla="*/ 1889322 w 2067632"/>
                <a:gd name="connsiteY6" fmla="*/ 211830 h 1642468"/>
                <a:gd name="connsiteX7" fmla="*/ 1860567 w 2067632"/>
                <a:gd name="connsiteY7" fmla="*/ 176446 h 1642468"/>
                <a:gd name="connsiteX8" fmla="*/ 1926827 w 2067632"/>
                <a:gd name="connsiteY8" fmla="*/ 574011 h 1642468"/>
                <a:gd name="connsiteX9" fmla="*/ 1868849 w 2067632"/>
                <a:gd name="connsiteY9" fmla="*/ 872185 h 1642468"/>
                <a:gd name="connsiteX10" fmla="*/ 1976523 w 2067632"/>
                <a:gd name="connsiteY10" fmla="*/ 1162076 h 1642468"/>
                <a:gd name="connsiteX11" fmla="*/ 2067632 w 2067632"/>
                <a:gd name="connsiteY11" fmla="*/ 1493381 h 1642468"/>
                <a:gd name="connsiteX12" fmla="*/ 2026219 w 2067632"/>
                <a:gd name="connsiteY12" fmla="*/ 1642468 h 1642468"/>
                <a:gd name="connsiteX13" fmla="*/ 1396741 w 2067632"/>
                <a:gd name="connsiteY13" fmla="*/ 1634185 h 1642468"/>
                <a:gd name="connsiteX14" fmla="*/ 990893 w 2067632"/>
                <a:gd name="connsiteY14" fmla="*/ 1518228 h 1642468"/>
                <a:gd name="connsiteX15" fmla="*/ 676154 w 2067632"/>
                <a:gd name="connsiteY15" fmla="*/ 1402272 h 1642468"/>
                <a:gd name="connsiteX16" fmla="*/ 320001 w 2067632"/>
                <a:gd name="connsiteY16" fmla="*/ 1220055 h 1642468"/>
                <a:gd name="connsiteX17" fmla="*/ 0 w 2067632"/>
                <a:gd name="connsiteY17" fmla="*/ 918611 h 1642468"/>
                <a:gd name="connsiteX18" fmla="*/ 38393 w 2067632"/>
                <a:gd name="connsiteY18" fmla="*/ 880468 h 1642468"/>
                <a:gd name="connsiteX0" fmla="*/ 5262 w 2067632"/>
                <a:gd name="connsiteY0" fmla="*/ 905315 h 1642468"/>
                <a:gd name="connsiteX1" fmla="*/ 162632 w 2067632"/>
                <a:gd name="connsiteY1" fmla="*/ 565728 h 1642468"/>
                <a:gd name="connsiteX2" fmla="*/ 643023 w 2067632"/>
                <a:gd name="connsiteY2" fmla="*/ 383511 h 1642468"/>
                <a:gd name="connsiteX3" fmla="*/ 1040588 w 2067632"/>
                <a:gd name="connsiteY3" fmla="*/ 184728 h 1642468"/>
                <a:gd name="connsiteX4" fmla="*/ 1256403 w 2067632"/>
                <a:gd name="connsiteY4" fmla="*/ 0 h 1642468"/>
                <a:gd name="connsiteX5" fmla="*/ 1426894 w 2067632"/>
                <a:gd name="connsiteY5" fmla="*/ 42766 h 1642468"/>
                <a:gd name="connsiteX6" fmla="*/ 1889322 w 2067632"/>
                <a:gd name="connsiteY6" fmla="*/ 211830 h 1642468"/>
                <a:gd name="connsiteX7" fmla="*/ 1849236 w 2067632"/>
                <a:gd name="connsiteY7" fmla="*/ 265195 h 1642468"/>
                <a:gd name="connsiteX8" fmla="*/ 1926827 w 2067632"/>
                <a:gd name="connsiteY8" fmla="*/ 574011 h 1642468"/>
                <a:gd name="connsiteX9" fmla="*/ 1868849 w 2067632"/>
                <a:gd name="connsiteY9" fmla="*/ 872185 h 1642468"/>
                <a:gd name="connsiteX10" fmla="*/ 1976523 w 2067632"/>
                <a:gd name="connsiteY10" fmla="*/ 1162076 h 1642468"/>
                <a:gd name="connsiteX11" fmla="*/ 2067632 w 2067632"/>
                <a:gd name="connsiteY11" fmla="*/ 1493381 h 1642468"/>
                <a:gd name="connsiteX12" fmla="*/ 2026219 w 2067632"/>
                <a:gd name="connsiteY12" fmla="*/ 1642468 h 1642468"/>
                <a:gd name="connsiteX13" fmla="*/ 1396741 w 2067632"/>
                <a:gd name="connsiteY13" fmla="*/ 1634185 h 1642468"/>
                <a:gd name="connsiteX14" fmla="*/ 990893 w 2067632"/>
                <a:gd name="connsiteY14" fmla="*/ 1518228 h 1642468"/>
                <a:gd name="connsiteX15" fmla="*/ 676154 w 2067632"/>
                <a:gd name="connsiteY15" fmla="*/ 1402272 h 1642468"/>
                <a:gd name="connsiteX16" fmla="*/ 320001 w 2067632"/>
                <a:gd name="connsiteY16" fmla="*/ 1220055 h 1642468"/>
                <a:gd name="connsiteX17" fmla="*/ 0 w 2067632"/>
                <a:gd name="connsiteY17" fmla="*/ 918611 h 1642468"/>
                <a:gd name="connsiteX18" fmla="*/ 38393 w 2067632"/>
                <a:gd name="connsiteY18" fmla="*/ 880468 h 1642468"/>
                <a:gd name="connsiteX0" fmla="*/ 5262 w 2067632"/>
                <a:gd name="connsiteY0" fmla="*/ 862549 h 1599702"/>
                <a:gd name="connsiteX1" fmla="*/ 162632 w 2067632"/>
                <a:gd name="connsiteY1" fmla="*/ 522962 h 1599702"/>
                <a:gd name="connsiteX2" fmla="*/ 643023 w 2067632"/>
                <a:gd name="connsiteY2" fmla="*/ 340745 h 1599702"/>
                <a:gd name="connsiteX3" fmla="*/ 1040588 w 2067632"/>
                <a:gd name="connsiteY3" fmla="*/ 141962 h 1599702"/>
                <a:gd name="connsiteX4" fmla="*/ 1256403 w 2067632"/>
                <a:gd name="connsiteY4" fmla="*/ 1608 h 1599702"/>
                <a:gd name="connsiteX5" fmla="*/ 1426894 w 2067632"/>
                <a:gd name="connsiteY5" fmla="*/ 0 h 1599702"/>
                <a:gd name="connsiteX6" fmla="*/ 1889322 w 2067632"/>
                <a:gd name="connsiteY6" fmla="*/ 169064 h 1599702"/>
                <a:gd name="connsiteX7" fmla="*/ 1849236 w 2067632"/>
                <a:gd name="connsiteY7" fmla="*/ 222429 h 1599702"/>
                <a:gd name="connsiteX8" fmla="*/ 1926827 w 2067632"/>
                <a:gd name="connsiteY8" fmla="*/ 531245 h 1599702"/>
                <a:gd name="connsiteX9" fmla="*/ 1868849 w 2067632"/>
                <a:gd name="connsiteY9" fmla="*/ 829419 h 1599702"/>
                <a:gd name="connsiteX10" fmla="*/ 1976523 w 2067632"/>
                <a:gd name="connsiteY10" fmla="*/ 1119310 h 1599702"/>
                <a:gd name="connsiteX11" fmla="*/ 2067632 w 2067632"/>
                <a:gd name="connsiteY11" fmla="*/ 1450615 h 1599702"/>
                <a:gd name="connsiteX12" fmla="*/ 2026219 w 2067632"/>
                <a:gd name="connsiteY12" fmla="*/ 1599702 h 1599702"/>
                <a:gd name="connsiteX13" fmla="*/ 1396741 w 2067632"/>
                <a:gd name="connsiteY13" fmla="*/ 1591419 h 1599702"/>
                <a:gd name="connsiteX14" fmla="*/ 990893 w 2067632"/>
                <a:gd name="connsiteY14" fmla="*/ 1475462 h 1599702"/>
                <a:gd name="connsiteX15" fmla="*/ 676154 w 2067632"/>
                <a:gd name="connsiteY15" fmla="*/ 1359506 h 1599702"/>
                <a:gd name="connsiteX16" fmla="*/ 320001 w 2067632"/>
                <a:gd name="connsiteY16" fmla="*/ 1177289 h 1599702"/>
                <a:gd name="connsiteX17" fmla="*/ 0 w 2067632"/>
                <a:gd name="connsiteY17" fmla="*/ 875845 h 1599702"/>
                <a:gd name="connsiteX18" fmla="*/ 38393 w 2067632"/>
                <a:gd name="connsiteY18" fmla="*/ 837702 h 1599702"/>
                <a:gd name="connsiteX0" fmla="*/ 5262 w 2067632"/>
                <a:gd name="connsiteY0" fmla="*/ 862549 h 1599702"/>
                <a:gd name="connsiteX1" fmla="*/ 162632 w 2067632"/>
                <a:gd name="connsiteY1" fmla="*/ 522962 h 1599702"/>
                <a:gd name="connsiteX2" fmla="*/ 643023 w 2067632"/>
                <a:gd name="connsiteY2" fmla="*/ 340745 h 1599702"/>
                <a:gd name="connsiteX3" fmla="*/ 1040588 w 2067632"/>
                <a:gd name="connsiteY3" fmla="*/ 141962 h 1599702"/>
                <a:gd name="connsiteX4" fmla="*/ 1256403 w 2067632"/>
                <a:gd name="connsiteY4" fmla="*/ 1608 h 1599702"/>
                <a:gd name="connsiteX5" fmla="*/ 1426894 w 2067632"/>
                <a:gd name="connsiteY5" fmla="*/ 0 h 1599702"/>
                <a:gd name="connsiteX6" fmla="*/ 1889322 w 2067632"/>
                <a:gd name="connsiteY6" fmla="*/ 169064 h 1599702"/>
                <a:gd name="connsiteX7" fmla="*/ 1792585 w 2067632"/>
                <a:gd name="connsiteY7" fmla="*/ 288990 h 1599702"/>
                <a:gd name="connsiteX8" fmla="*/ 1926827 w 2067632"/>
                <a:gd name="connsiteY8" fmla="*/ 531245 h 1599702"/>
                <a:gd name="connsiteX9" fmla="*/ 1868849 w 2067632"/>
                <a:gd name="connsiteY9" fmla="*/ 829419 h 1599702"/>
                <a:gd name="connsiteX10" fmla="*/ 1976523 w 2067632"/>
                <a:gd name="connsiteY10" fmla="*/ 1119310 h 1599702"/>
                <a:gd name="connsiteX11" fmla="*/ 2067632 w 2067632"/>
                <a:gd name="connsiteY11" fmla="*/ 1450615 h 1599702"/>
                <a:gd name="connsiteX12" fmla="*/ 2026219 w 2067632"/>
                <a:gd name="connsiteY12" fmla="*/ 1599702 h 1599702"/>
                <a:gd name="connsiteX13" fmla="*/ 1396741 w 2067632"/>
                <a:gd name="connsiteY13" fmla="*/ 1591419 h 1599702"/>
                <a:gd name="connsiteX14" fmla="*/ 990893 w 2067632"/>
                <a:gd name="connsiteY14" fmla="*/ 1475462 h 1599702"/>
                <a:gd name="connsiteX15" fmla="*/ 676154 w 2067632"/>
                <a:gd name="connsiteY15" fmla="*/ 1359506 h 1599702"/>
                <a:gd name="connsiteX16" fmla="*/ 320001 w 2067632"/>
                <a:gd name="connsiteY16" fmla="*/ 1177289 h 1599702"/>
                <a:gd name="connsiteX17" fmla="*/ 0 w 2067632"/>
                <a:gd name="connsiteY17" fmla="*/ 875845 h 1599702"/>
                <a:gd name="connsiteX18" fmla="*/ 38393 w 2067632"/>
                <a:gd name="connsiteY18" fmla="*/ 837702 h 1599702"/>
                <a:gd name="connsiteX0" fmla="*/ 5262 w 2067632"/>
                <a:gd name="connsiteY0" fmla="*/ 860941 h 1598094"/>
                <a:gd name="connsiteX1" fmla="*/ 162632 w 2067632"/>
                <a:gd name="connsiteY1" fmla="*/ 521354 h 1598094"/>
                <a:gd name="connsiteX2" fmla="*/ 643023 w 2067632"/>
                <a:gd name="connsiteY2" fmla="*/ 339137 h 1598094"/>
                <a:gd name="connsiteX3" fmla="*/ 1040588 w 2067632"/>
                <a:gd name="connsiteY3" fmla="*/ 140354 h 1598094"/>
                <a:gd name="connsiteX4" fmla="*/ 1256403 w 2067632"/>
                <a:gd name="connsiteY4" fmla="*/ 0 h 1598094"/>
                <a:gd name="connsiteX5" fmla="*/ 1392903 w 2067632"/>
                <a:gd name="connsiteY5" fmla="*/ 76048 h 1598094"/>
                <a:gd name="connsiteX6" fmla="*/ 1889322 w 2067632"/>
                <a:gd name="connsiteY6" fmla="*/ 167456 h 1598094"/>
                <a:gd name="connsiteX7" fmla="*/ 1792585 w 2067632"/>
                <a:gd name="connsiteY7" fmla="*/ 287382 h 1598094"/>
                <a:gd name="connsiteX8" fmla="*/ 1926827 w 2067632"/>
                <a:gd name="connsiteY8" fmla="*/ 529637 h 1598094"/>
                <a:gd name="connsiteX9" fmla="*/ 1868849 w 2067632"/>
                <a:gd name="connsiteY9" fmla="*/ 827811 h 1598094"/>
                <a:gd name="connsiteX10" fmla="*/ 1976523 w 2067632"/>
                <a:gd name="connsiteY10" fmla="*/ 1117702 h 1598094"/>
                <a:gd name="connsiteX11" fmla="*/ 2067632 w 2067632"/>
                <a:gd name="connsiteY11" fmla="*/ 1449007 h 1598094"/>
                <a:gd name="connsiteX12" fmla="*/ 2026219 w 2067632"/>
                <a:gd name="connsiteY12" fmla="*/ 1598094 h 1598094"/>
                <a:gd name="connsiteX13" fmla="*/ 1396741 w 2067632"/>
                <a:gd name="connsiteY13" fmla="*/ 1589811 h 1598094"/>
                <a:gd name="connsiteX14" fmla="*/ 990893 w 2067632"/>
                <a:gd name="connsiteY14" fmla="*/ 1473854 h 1598094"/>
                <a:gd name="connsiteX15" fmla="*/ 676154 w 2067632"/>
                <a:gd name="connsiteY15" fmla="*/ 1357898 h 1598094"/>
                <a:gd name="connsiteX16" fmla="*/ 320001 w 2067632"/>
                <a:gd name="connsiteY16" fmla="*/ 1175681 h 1598094"/>
                <a:gd name="connsiteX17" fmla="*/ 0 w 2067632"/>
                <a:gd name="connsiteY17" fmla="*/ 874237 h 1598094"/>
                <a:gd name="connsiteX18" fmla="*/ 38393 w 2067632"/>
                <a:gd name="connsiteY18" fmla="*/ 836094 h 1598094"/>
                <a:gd name="connsiteX0" fmla="*/ 5262 w 2067632"/>
                <a:gd name="connsiteY0" fmla="*/ 860941 h 1598094"/>
                <a:gd name="connsiteX1" fmla="*/ 162632 w 2067632"/>
                <a:gd name="connsiteY1" fmla="*/ 521354 h 1598094"/>
                <a:gd name="connsiteX2" fmla="*/ 643023 w 2067632"/>
                <a:gd name="connsiteY2" fmla="*/ 339137 h 1598094"/>
                <a:gd name="connsiteX3" fmla="*/ 1040588 w 2067632"/>
                <a:gd name="connsiteY3" fmla="*/ 140354 h 1598094"/>
                <a:gd name="connsiteX4" fmla="*/ 1256403 w 2067632"/>
                <a:gd name="connsiteY4" fmla="*/ 0 h 1598094"/>
                <a:gd name="connsiteX5" fmla="*/ 1392903 w 2067632"/>
                <a:gd name="connsiteY5" fmla="*/ 76048 h 1598094"/>
                <a:gd name="connsiteX6" fmla="*/ 1798680 w 2067632"/>
                <a:gd name="connsiteY6" fmla="*/ 211830 h 1598094"/>
                <a:gd name="connsiteX7" fmla="*/ 1792585 w 2067632"/>
                <a:gd name="connsiteY7" fmla="*/ 287382 h 1598094"/>
                <a:gd name="connsiteX8" fmla="*/ 1926827 w 2067632"/>
                <a:gd name="connsiteY8" fmla="*/ 529637 h 1598094"/>
                <a:gd name="connsiteX9" fmla="*/ 1868849 w 2067632"/>
                <a:gd name="connsiteY9" fmla="*/ 827811 h 1598094"/>
                <a:gd name="connsiteX10" fmla="*/ 1976523 w 2067632"/>
                <a:gd name="connsiteY10" fmla="*/ 1117702 h 1598094"/>
                <a:gd name="connsiteX11" fmla="*/ 2067632 w 2067632"/>
                <a:gd name="connsiteY11" fmla="*/ 1449007 h 1598094"/>
                <a:gd name="connsiteX12" fmla="*/ 2026219 w 2067632"/>
                <a:gd name="connsiteY12" fmla="*/ 1598094 h 1598094"/>
                <a:gd name="connsiteX13" fmla="*/ 1396741 w 2067632"/>
                <a:gd name="connsiteY13" fmla="*/ 1589811 h 1598094"/>
                <a:gd name="connsiteX14" fmla="*/ 990893 w 2067632"/>
                <a:gd name="connsiteY14" fmla="*/ 1473854 h 1598094"/>
                <a:gd name="connsiteX15" fmla="*/ 676154 w 2067632"/>
                <a:gd name="connsiteY15" fmla="*/ 1357898 h 1598094"/>
                <a:gd name="connsiteX16" fmla="*/ 320001 w 2067632"/>
                <a:gd name="connsiteY16" fmla="*/ 1175681 h 1598094"/>
                <a:gd name="connsiteX17" fmla="*/ 0 w 2067632"/>
                <a:gd name="connsiteY17" fmla="*/ 874237 h 1598094"/>
                <a:gd name="connsiteX18" fmla="*/ 38393 w 2067632"/>
                <a:gd name="connsiteY18" fmla="*/ 836094 h 1598094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</a:cxnLst>
              <a:rect l="l" t="t" r="r" b="b"/>
              <a:pathLst>
                <a:path w="2067632" h="1598094">
                  <a:moveTo>
                    <a:pt x="5262" y="860941"/>
                  </a:moveTo>
                  <a:lnTo>
                    <a:pt x="162632" y="521354"/>
                  </a:lnTo>
                  <a:lnTo>
                    <a:pt x="643023" y="339137"/>
                  </a:lnTo>
                  <a:lnTo>
                    <a:pt x="1040588" y="140354"/>
                  </a:lnTo>
                  <a:lnTo>
                    <a:pt x="1256403" y="0"/>
                  </a:lnTo>
                  <a:lnTo>
                    <a:pt x="1392903" y="76048"/>
                  </a:lnTo>
                  <a:lnTo>
                    <a:pt x="1798680" y="211830"/>
                  </a:lnTo>
                  <a:lnTo>
                    <a:pt x="1792585" y="287382"/>
                  </a:lnTo>
                  <a:lnTo>
                    <a:pt x="1926827" y="529637"/>
                  </a:lnTo>
                  <a:lnTo>
                    <a:pt x="1868849" y="827811"/>
                  </a:lnTo>
                  <a:lnTo>
                    <a:pt x="1976523" y="1117702"/>
                  </a:lnTo>
                  <a:lnTo>
                    <a:pt x="2067632" y="1449007"/>
                  </a:lnTo>
                  <a:lnTo>
                    <a:pt x="2026219" y="1598094"/>
                  </a:lnTo>
                  <a:lnTo>
                    <a:pt x="1396741" y="1589811"/>
                  </a:lnTo>
                  <a:lnTo>
                    <a:pt x="990893" y="1473854"/>
                  </a:lnTo>
                  <a:lnTo>
                    <a:pt x="676154" y="1357898"/>
                  </a:lnTo>
                  <a:lnTo>
                    <a:pt x="320001" y="1175681"/>
                  </a:lnTo>
                  <a:lnTo>
                    <a:pt x="0" y="874237"/>
                  </a:lnTo>
                  <a:lnTo>
                    <a:pt x="38393" y="836094"/>
                  </a:lnTo>
                </a:path>
              </a:pathLst>
            </a:custGeom>
            <a:noFill/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IN" sz="1100"/>
            </a:p>
          </xdr:txBody>
        </xdr:sp>
      </xdr:grpSp>
      <xdr:cxnSp macro="">
        <xdr:nvCxnSpPr>
          <xdr:cNvPr id="43" name="Straight Connector 42"/>
          <xdr:cNvCxnSpPr/>
        </xdr:nvCxnSpPr>
        <xdr:spPr>
          <a:xfrm>
            <a:off x="409575" y="83820000"/>
            <a:ext cx="4591050" cy="1447800"/>
          </a:xfrm>
          <a:prstGeom prst="line">
            <a:avLst/>
          </a:prstGeom>
          <a:ln w="28575">
            <a:solidFill>
              <a:srgbClr val="FFFF00"/>
            </a:solidFill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Straight Connector 45"/>
          <xdr:cNvCxnSpPr/>
        </xdr:nvCxnSpPr>
        <xdr:spPr>
          <a:xfrm>
            <a:off x="419100" y="84039075"/>
            <a:ext cx="4019550" cy="1219200"/>
          </a:xfrm>
          <a:prstGeom prst="line">
            <a:avLst/>
          </a:prstGeom>
          <a:ln w="28575">
            <a:solidFill>
              <a:srgbClr val="FFFF00"/>
            </a:solidFill>
            <a:prstDash val="lg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TextBox 12"/>
          <xdr:cNvSpPr txBox="1"/>
        </xdr:nvSpPr>
        <xdr:spPr>
          <a:xfrm rot="975129">
            <a:off x="476250" y="83753325"/>
            <a:ext cx="1194577" cy="2375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IN" sz="14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H.T Lines</a:t>
            </a:r>
          </a:p>
        </xdr:txBody>
      </xdr:sp>
    </xdr:grpSp>
    <xdr:clientData/>
  </xdr:twoCellAnchor>
  <xdr:twoCellAnchor>
    <xdr:from>
      <xdr:col>2</xdr:col>
      <xdr:colOff>605117</xdr:colOff>
      <xdr:row>395</xdr:row>
      <xdr:rowOff>156882</xdr:rowOff>
    </xdr:from>
    <xdr:to>
      <xdr:col>4</xdr:col>
      <xdr:colOff>181794</xdr:colOff>
      <xdr:row>397</xdr:row>
      <xdr:rowOff>12446</xdr:rowOff>
    </xdr:to>
    <xdr:sp macro="" textlink="">
      <xdr:nvSpPr>
        <xdr:cNvPr id="45" name="TextBox 12"/>
        <xdr:cNvSpPr txBox="1"/>
      </xdr:nvSpPr>
      <xdr:spPr>
        <a:xfrm>
          <a:off x="1927411" y="73734706"/>
          <a:ext cx="1201530" cy="236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OC Received</a:t>
          </a:r>
        </a:p>
      </xdr:txBody>
    </xdr:sp>
    <xdr:clientData/>
  </xdr:twoCellAnchor>
  <xdr:twoCellAnchor>
    <xdr:from>
      <xdr:col>4</xdr:col>
      <xdr:colOff>410764</xdr:colOff>
      <xdr:row>392</xdr:row>
      <xdr:rowOff>73329</xdr:rowOff>
    </xdr:from>
    <xdr:to>
      <xdr:col>4</xdr:col>
      <xdr:colOff>647328</xdr:colOff>
      <xdr:row>398</xdr:row>
      <xdr:rowOff>131859</xdr:rowOff>
    </xdr:to>
    <xdr:sp macro="" textlink="">
      <xdr:nvSpPr>
        <xdr:cNvPr id="47" name="TextBox 12"/>
        <xdr:cNvSpPr txBox="1"/>
      </xdr:nvSpPr>
      <xdr:spPr>
        <a:xfrm rot="2869541">
          <a:off x="2875428" y="73562136"/>
          <a:ext cx="1201530" cy="236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IN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OC Received</a:t>
          </a:r>
        </a:p>
      </xdr:txBody>
    </xdr:sp>
    <xdr:clientData/>
  </xdr:twoCellAnchor>
  <xdr:twoCellAnchor editAs="oneCell">
    <xdr:from>
      <xdr:col>1</xdr:col>
      <xdr:colOff>11205</xdr:colOff>
      <xdr:row>424</xdr:row>
      <xdr:rowOff>33617</xdr:rowOff>
    </xdr:from>
    <xdr:to>
      <xdr:col>7</xdr:col>
      <xdr:colOff>597166</xdr:colOff>
      <xdr:row>462</xdr:row>
      <xdr:rowOff>967</xdr:rowOff>
    </xdr:to>
    <xdr:pic>
      <xdr:nvPicPr>
        <xdr:cNvPr id="62" name="Picture 61"/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7529" y="84324264"/>
          <a:ext cx="5045902" cy="72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9</xdr:col>
      <xdr:colOff>276225</xdr:colOff>
      <xdr:row>336</xdr:row>
      <xdr:rowOff>19050</xdr:rowOff>
    </xdr:from>
    <xdr:to>
      <xdr:col>19</xdr:col>
      <xdr:colOff>194700</xdr:colOff>
      <xdr:row>374</xdr:row>
      <xdr:rowOff>8900</xdr:rowOff>
    </xdr:to>
    <xdr:grpSp>
      <xdr:nvGrpSpPr>
        <xdr:cNvPr id="19" name="Group 18"/>
        <xdr:cNvGrpSpPr/>
      </xdr:nvGrpSpPr>
      <xdr:grpSpPr>
        <a:xfrm>
          <a:off x="7791450" y="63398400"/>
          <a:ext cx="6195450" cy="7228850"/>
          <a:chOff x="190500" y="64496950"/>
          <a:chExt cx="6465325" cy="6987550"/>
        </a:xfrm>
      </xdr:grpSpPr>
      <xdr:pic>
        <xdr:nvPicPr>
          <xdr:cNvPr id="89" name="Picture 8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5400" y="69468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0518" y="64496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1" name="Picture 90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2133" y="69468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2" name="Picture 9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90426" y="64496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3" name="Picture 92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42134" y="6734272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4" name="Picture 93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1" y="6734272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5" name="Picture 94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80334" y="644969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6" name="Picture 95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3767" y="6734272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7" name="Picture 96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500" y="69468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8" name="Picture 97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45400" y="67342725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9" name="Picture 98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93766" y="69468500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100" name="TextBox 99"/>
          <xdr:cNvSpPr txBox="1"/>
        </xdr:nvSpPr>
        <xdr:spPr>
          <a:xfrm>
            <a:off x="772018" y="64585850"/>
            <a:ext cx="1267394" cy="2964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Building</a:t>
            </a:r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No.3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1" name="TextBox 100"/>
          <xdr:cNvSpPr txBox="1"/>
        </xdr:nvSpPr>
        <xdr:spPr>
          <a:xfrm>
            <a:off x="2511076" y="64516000"/>
            <a:ext cx="1267394" cy="2964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Building</a:t>
            </a:r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No.3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2" name="TextBox 101"/>
          <xdr:cNvSpPr txBox="1"/>
        </xdr:nvSpPr>
        <xdr:spPr>
          <a:xfrm>
            <a:off x="5120084" y="64541400"/>
            <a:ext cx="1267394" cy="2964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Building</a:t>
            </a:r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No.1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3" name="TextBox 102"/>
          <xdr:cNvSpPr txBox="1"/>
        </xdr:nvSpPr>
        <xdr:spPr>
          <a:xfrm>
            <a:off x="190501" y="67342725"/>
            <a:ext cx="1267394" cy="2964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200" b="1">
                <a:latin typeface="Times New Roman" panose="02020603050405020304" pitchFamily="18" charset="0"/>
                <a:cs typeface="Times New Roman" panose="02020603050405020304" pitchFamily="18" charset="0"/>
              </a:rPr>
              <a:t>Building</a:t>
            </a:r>
            <a:r>
              <a:rPr lang="en-IN" sz="12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No.2</a:t>
            </a:r>
            <a:endParaRPr lang="en-IN" sz="12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4" name="TextBox 103"/>
          <xdr:cNvSpPr txBox="1"/>
        </xdr:nvSpPr>
        <xdr:spPr>
          <a:xfrm>
            <a:off x="1969134" y="68993725"/>
            <a:ext cx="1267394" cy="2964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200" b="1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Building</a:t>
            </a:r>
            <a:r>
              <a:rPr lang="en-IN" sz="1200" b="1" baseline="0">
                <a:solidFill>
                  <a:srgbClr val="FFFF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No.4</a:t>
            </a:r>
            <a:endParaRPr lang="en-IN" sz="1200" b="1">
              <a:solidFill>
                <a:srgbClr val="FFFF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95250</xdr:colOff>
      <xdr:row>336</xdr:row>
      <xdr:rowOff>0</xdr:rowOff>
    </xdr:from>
    <xdr:to>
      <xdr:col>8</xdr:col>
      <xdr:colOff>1541795</xdr:colOff>
      <xdr:row>374</xdr:row>
      <xdr:rowOff>109058</xdr:rowOff>
    </xdr:to>
    <xdr:grpSp>
      <xdr:nvGrpSpPr>
        <xdr:cNvPr id="20" name="Group 19"/>
        <xdr:cNvGrpSpPr/>
      </xdr:nvGrpSpPr>
      <xdr:grpSpPr>
        <a:xfrm>
          <a:off x="95250" y="63379350"/>
          <a:ext cx="7304420" cy="7348058"/>
          <a:chOff x="95250" y="65370075"/>
          <a:chExt cx="7304420" cy="7348058"/>
        </a:xfrm>
      </xdr:grpSpPr>
      <xdr:pic>
        <xdr:nvPicPr>
          <xdr:cNvPr id="81" name="Picture 80" descr="insp-239475-15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450870" y="70558133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2" name="Picture 81" descr="insp-239475-849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756683" y="67946851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3" name="Picture 82" descr="insp-239475-871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46101" y="67946851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4" name="Picture 83" descr="insp-239475-874.jpg (1079×81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65370075"/>
            <a:ext cx="3356888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Picture 84" descr="insp-239475-880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511639" y="65370075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6" name="Picture 85" descr="insp-239475-883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801392" y="67946851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7" name="Picture 86" descr="insp-239475-916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060796" y="70558133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Picture 87" descr="insp-239475-925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37873" y="65370075"/>
            <a:ext cx="1888031" cy="252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5" name="Picture 104" descr="insp-239475-1512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755833" y="70558133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6" name="Picture 105" descr="insp-239475-877.jpg (959×1280)"/>
          <xdr:cNvPicPr>
            <a:picLocks noChangeAspect="1" noChangeArrowheads="1"/>
          </xdr:cNvPicPr>
        </xdr:nvPicPr>
        <xdr:blipFill>
          <a:blip xmlns:r="http://schemas.openxmlformats.org/officeDocument/2006/relationships" r:embed="rId3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65759" y="70558133"/>
            <a:ext cx="1618312" cy="21600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0</xdr:row>
      <xdr:rowOff>139700</xdr:rowOff>
    </xdr:from>
    <xdr:to>
      <xdr:col>12</xdr:col>
      <xdr:colOff>12700</xdr:colOff>
      <xdr:row>24</xdr:row>
      <xdr:rowOff>69850</xdr:rowOff>
    </xdr:to>
    <xdr:pic>
      <xdr:nvPicPr>
        <xdr:cNvPr id="41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00" y="139700"/>
          <a:ext cx="5753100" cy="434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539750</xdr:colOff>
      <xdr:row>26</xdr:row>
      <xdr:rowOff>50800</xdr:rowOff>
    </xdr:from>
    <xdr:to>
      <xdr:col>7</xdr:col>
      <xdr:colOff>190500</xdr:colOff>
      <xdr:row>45</xdr:row>
      <xdr:rowOff>177800</xdr:rowOff>
    </xdr:to>
    <xdr:pic>
      <xdr:nvPicPr>
        <xdr:cNvPr id="41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250" y="4838700"/>
          <a:ext cx="2698750" cy="362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8</xdr:col>
      <xdr:colOff>165100</xdr:colOff>
      <xdr:row>34</xdr:row>
      <xdr:rowOff>101600</xdr:rowOff>
    </xdr:to>
    <xdr:pic>
      <xdr:nvPicPr>
        <xdr:cNvPr id="5137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33" r="6360" b="11069"/>
        <a:stretch>
          <a:fillRect/>
        </a:stretch>
      </xdr:blipFill>
      <xdr:spPr bwMode="auto">
        <a:xfrm>
          <a:off x="723900" y="2082800"/>
          <a:ext cx="9417050" cy="4349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9</xdr:col>
      <xdr:colOff>133350</xdr:colOff>
      <xdr:row>59</xdr:row>
      <xdr:rowOff>114300</xdr:rowOff>
    </xdr:to>
    <xdr:pic>
      <xdr:nvPicPr>
        <xdr:cNvPr id="5138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005" r="11748" b="19872"/>
        <a:stretch>
          <a:fillRect/>
        </a:stretch>
      </xdr:blipFill>
      <xdr:spPr bwMode="auto">
        <a:xfrm>
          <a:off x="723900" y="6699250"/>
          <a:ext cx="9988550" cy="43497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omments" Target="../comments1.xml"/><Relationship Id="rId2" Type="http://schemas.openxmlformats.org/officeDocument/2006/relationships/hyperlink" Target="https://housing.com/in/buy/projects/page/39978-sai-krupa-valley-by-sai-krupa-builders-in-neral/brochure" TargetMode="External"/><Relationship Id="rId1" Type="http://schemas.openxmlformats.org/officeDocument/2006/relationships/hyperlink" Target="https://maps.app.goo.gl/oZ2gttRfSnrjuYJG7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65"/>
  <sheetViews>
    <sheetView tabSelected="1" view="pageBreakPreview" zoomScaleNormal="100" zoomScaleSheetLayoutView="100" zoomScalePageLayoutView="85" workbookViewId="0">
      <selection activeCell="F9" sqref="F9:I9"/>
    </sheetView>
  </sheetViews>
  <sheetFormatPr defaultColWidth="9.140625" defaultRowHeight="15" x14ac:dyDescent="0.25"/>
  <cols>
    <col min="1" max="1" width="9.28515625" style="28" customWidth="1"/>
    <col min="2" max="2" width="10.5703125" style="28" customWidth="1"/>
    <col min="3" max="3" width="12.7109375" style="28" customWidth="1"/>
    <col min="4" max="4" width="11.5703125" style="28" customWidth="1"/>
    <col min="5" max="6" width="10.5703125" style="28" customWidth="1"/>
    <col min="7" max="7" width="10.7109375" style="28" customWidth="1"/>
    <col min="8" max="8" width="11.85546875" style="28" customWidth="1"/>
    <col min="9" max="9" width="24.85546875" style="28" customWidth="1"/>
    <col min="10" max="10" width="11.85546875" style="28" customWidth="1"/>
    <col min="11" max="16384" width="9.140625" style="28"/>
  </cols>
  <sheetData>
    <row r="1" spans="1:13" ht="45" customHeight="1" x14ac:dyDescent="0.25">
      <c r="A1" s="149" t="s">
        <v>151</v>
      </c>
      <c r="B1" s="150"/>
      <c r="C1" s="150"/>
      <c r="D1" s="150"/>
      <c r="E1" s="150"/>
      <c r="F1" s="150"/>
      <c r="G1" s="150"/>
      <c r="H1" s="150"/>
      <c r="I1" s="150"/>
    </row>
    <row r="2" spans="1:13" ht="15.75" x14ac:dyDescent="0.25">
      <c r="A2" s="125" t="s">
        <v>44</v>
      </c>
      <c r="B2" s="125"/>
      <c r="C2" s="125"/>
      <c r="D2" s="125"/>
      <c r="E2" s="125"/>
      <c r="F2" s="125"/>
      <c r="G2" s="125"/>
      <c r="H2" s="125"/>
      <c r="I2" s="125"/>
    </row>
    <row r="3" spans="1:13" ht="15.75" x14ac:dyDescent="0.25">
      <c r="A3" s="119" t="s">
        <v>0</v>
      </c>
      <c r="B3" s="119"/>
      <c r="C3" s="119"/>
      <c r="D3" s="119"/>
      <c r="E3" s="119"/>
      <c r="F3" s="141" t="str">
        <f ca="1">TEXT(TODAY(),"DD/MM/YYYY")</f>
        <v>08/07/2025</v>
      </c>
      <c r="G3" s="119"/>
      <c r="H3" s="119"/>
      <c r="I3" s="119"/>
    </row>
    <row r="4" spans="1:13" ht="15.75" x14ac:dyDescent="0.25">
      <c r="A4" s="119" t="s">
        <v>152</v>
      </c>
      <c r="B4" s="119"/>
      <c r="C4" s="119"/>
      <c r="D4" s="119"/>
      <c r="E4" s="119"/>
      <c r="F4" s="141" t="s">
        <v>153</v>
      </c>
      <c r="G4" s="119"/>
      <c r="H4" s="119"/>
      <c r="I4" s="119"/>
    </row>
    <row r="5" spans="1:13" ht="15.75" x14ac:dyDescent="0.25">
      <c r="A5" s="119" t="s">
        <v>45</v>
      </c>
      <c r="B5" s="119"/>
      <c r="C5" s="119"/>
      <c r="D5" s="119"/>
      <c r="E5" s="119"/>
      <c r="F5" s="119" t="s">
        <v>87</v>
      </c>
      <c r="G5" s="119"/>
      <c r="H5" s="119"/>
      <c r="I5" s="119"/>
    </row>
    <row r="6" spans="1:13" ht="15.75" x14ac:dyDescent="0.25">
      <c r="A6" s="119" t="s">
        <v>1</v>
      </c>
      <c r="B6" s="119"/>
      <c r="C6" s="119"/>
      <c r="D6" s="119"/>
      <c r="E6" s="119"/>
      <c r="F6" s="142">
        <v>45845</v>
      </c>
      <c r="G6" s="143"/>
      <c r="H6" s="143"/>
      <c r="I6" s="143"/>
    </row>
    <row r="7" spans="1:13" ht="15.75" x14ac:dyDescent="0.25">
      <c r="A7" s="119" t="s">
        <v>2</v>
      </c>
      <c r="B7" s="119"/>
      <c r="C7" s="119"/>
      <c r="D7" s="119"/>
      <c r="E7" s="119"/>
      <c r="F7" s="119" t="s">
        <v>266</v>
      </c>
      <c r="G7" s="119"/>
      <c r="H7" s="119"/>
      <c r="I7" s="119"/>
    </row>
    <row r="8" spans="1:13" ht="15.75" x14ac:dyDescent="0.25">
      <c r="A8" s="119" t="s">
        <v>3</v>
      </c>
      <c r="B8" s="119"/>
      <c r="C8" s="119"/>
      <c r="D8" s="119"/>
      <c r="E8" s="119"/>
      <c r="F8" s="119" t="s">
        <v>266</v>
      </c>
      <c r="G8" s="119"/>
      <c r="H8" s="119"/>
      <c r="I8" s="119"/>
    </row>
    <row r="9" spans="1:13" ht="15.75" x14ac:dyDescent="0.25">
      <c r="A9" s="119" t="s">
        <v>197</v>
      </c>
      <c r="B9" s="119"/>
      <c r="C9" s="119"/>
      <c r="D9" s="119"/>
      <c r="E9" s="119"/>
      <c r="F9" s="136" t="s">
        <v>93</v>
      </c>
      <c r="G9" s="136"/>
      <c r="H9" s="136"/>
      <c r="I9" s="136"/>
    </row>
    <row r="10" spans="1:13" ht="15.75" x14ac:dyDescent="0.25">
      <c r="A10" s="119" t="s">
        <v>198</v>
      </c>
      <c r="B10" s="119"/>
      <c r="C10" s="119"/>
      <c r="D10" s="119"/>
      <c r="E10" s="119"/>
      <c r="F10" s="135" t="s">
        <v>277</v>
      </c>
      <c r="G10" s="136"/>
      <c r="H10" s="136"/>
      <c r="I10" s="136"/>
    </row>
    <row r="11" spans="1:13" ht="15.75" x14ac:dyDescent="0.25">
      <c r="A11" s="120" t="s">
        <v>144</v>
      </c>
      <c r="B11" s="119"/>
      <c r="C11" s="119"/>
      <c r="D11" s="119"/>
      <c r="E11" s="119"/>
      <c r="F11" s="143" t="s">
        <v>289</v>
      </c>
      <c r="G11" s="155"/>
      <c r="H11" s="155"/>
      <c r="I11" s="155"/>
      <c r="J11" s="127" t="s">
        <v>145</v>
      </c>
      <c r="K11" s="128"/>
      <c r="L11" s="128"/>
      <c r="M11" s="128"/>
    </row>
    <row r="12" spans="1:13" ht="15.75" x14ac:dyDescent="0.25">
      <c r="A12" s="120" t="s">
        <v>256</v>
      </c>
      <c r="B12" s="119"/>
      <c r="C12" s="119"/>
      <c r="D12" s="119"/>
      <c r="E12" s="119"/>
      <c r="F12" s="143" t="s">
        <v>257</v>
      </c>
      <c r="G12" s="155"/>
      <c r="H12" s="155"/>
      <c r="I12" s="155"/>
      <c r="J12" s="59"/>
      <c r="K12" s="60"/>
      <c r="L12" s="60"/>
      <c r="M12" s="60"/>
    </row>
    <row r="13" spans="1:13" ht="15.75" x14ac:dyDescent="0.25">
      <c r="A13" s="119" t="s">
        <v>4</v>
      </c>
      <c r="B13" s="119"/>
      <c r="C13" s="119"/>
      <c r="D13" s="119"/>
      <c r="E13" s="119"/>
      <c r="F13" s="119" t="s">
        <v>268</v>
      </c>
      <c r="G13" s="119"/>
      <c r="H13" s="119"/>
      <c r="I13" s="119"/>
    </row>
    <row r="14" spans="1:13" ht="15.75" x14ac:dyDescent="0.25">
      <c r="A14" s="119" t="s">
        <v>260</v>
      </c>
      <c r="B14" s="119"/>
      <c r="C14" s="119"/>
      <c r="D14" s="119"/>
      <c r="E14" s="119"/>
      <c r="F14" s="119" t="s">
        <v>261</v>
      </c>
      <c r="G14" s="119"/>
      <c r="H14" s="119" t="s">
        <v>143</v>
      </c>
      <c r="I14" s="119"/>
    </row>
    <row r="15" spans="1:13" ht="35.25" customHeight="1" x14ac:dyDescent="0.25">
      <c r="A15" s="120" t="s">
        <v>155</v>
      </c>
      <c r="B15" s="120"/>
      <c r="C15" s="120" t="s">
        <v>272</v>
      </c>
      <c r="D15" s="120"/>
      <c r="E15" s="120"/>
      <c r="F15" s="120"/>
      <c r="G15" s="120"/>
      <c r="H15" s="120"/>
      <c r="I15" s="120"/>
    </row>
    <row r="16" spans="1:13" ht="15.75" x14ac:dyDescent="0.25">
      <c r="A16" s="119" t="s">
        <v>161</v>
      </c>
      <c r="B16" s="119"/>
      <c r="C16" s="120" t="s">
        <v>162</v>
      </c>
      <c r="D16" s="120"/>
      <c r="E16" s="120"/>
      <c r="F16" s="120"/>
      <c r="G16" s="120"/>
      <c r="H16" s="120"/>
      <c r="I16" s="120"/>
      <c r="K16" s="43"/>
    </row>
    <row r="17" spans="1:9" ht="15.75" x14ac:dyDescent="0.25">
      <c r="A17" s="119" t="s">
        <v>247</v>
      </c>
      <c r="B17" s="119"/>
      <c r="C17" s="118" t="s">
        <v>250</v>
      </c>
      <c r="D17" s="118"/>
      <c r="E17" s="118"/>
      <c r="F17" s="118"/>
      <c r="G17" s="118"/>
      <c r="H17" s="118"/>
      <c r="I17" s="118"/>
    </row>
    <row r="18" spans="1:9" ht="15.75" x14ac:dyDescent="0.25">
      <c r="A18" s="119" t="s">
        <v>5</v>
      </c>
      <c r="B18" s="119"/>
      <c r="C18" s="119" t="s">
        <v>205</v>
      </c>
      <c r="D18" s="119"/>
      <c r="E18" s="119"/>
      <c r="F18" s="119" t="s">
        <v>154</v>
      </c>
      <c r="G18" s="119"/>
      <c r="H18" s="119" t="s">
        <v>156</v>
      </c>
      <c r="I18" s="119"/>
    </row>
    <row r="19" spans="1:9" ht="15.75" x14ac:dyDescent="0.25">
      <c r="A19" s="119" t="s">
        <v>6</v>
      </c>
      <c r="B19" s="119"/>
      <c r="C19" s="119" t="s">
        <v>248</v>
      </c>
      <c r="D19" s="119"/>
      <c r="E19" s="119"/>
      <c r="F19" s="119" t="s">
        <v>157</v>
      </c>
      <c r="G19" s="119"/>
      <c r="H19" s="119" t="s">
        <v>158</v>
      </c>
      <c r="I19" s="119"/>
    </row>
    <row r="20" spans="1:9" ht="15.75" x14ac:dyDescent="0.25">
      <c r="A20" s="118" t="s">
        <v>246</v>
      </c>
      <c r="B20" s="118"/>
      <c r="C20" s="119" t="s">
        <v>46</v>
      </c>
      <c r="D20" s="119"/>
      <c r="E20" s="119"/>
      <c r="F20" s="119" t="s">
        <v>159</v>
      </c>
      <c r="G20" s="119"/>
      <c r="H20" s="119">
        <v>410101</v>
      </c>
      <c r="I20" s="119"/>
    </row>
    <row r="21" spans="1:9" ht="30.75" customHeight="1" x14ac:dyDescent="0.25">
      <c r="A21" s="118" t="s">
        <v>160</v>
      </c>
      <c r="B21" s="118"/>
      <c r="C21" s="119" t="s">
        <v>249</v>
      </c>
      <c r="D21" s="119"/>
      <c r="E21" s="119"/>
      <c r="F21" s="120" t="s">
        <v>163</v>
      </c>
      <c r="G21" s="120"/>
      <c r="H21" s="120" t="s">
        <v>164</v>
      </c>
      <c r="I21" s="120"/>
    </row>
    <row r="22" spans="1:9" x14ac:dyDescent="0.25">
      <c r="A22" s="120" t="s">
        <v>7</v>
      </c>
      <c r="B22" s="120"/>
      <c r="C22" s="120"/>
      <c r="D22" s="120"/>
      <c r="E22" s="120"/>
      <c r="F22" s="120" t="s">
        <v>47</v>
      </c>
      <c r="G22" s="120"/>
      <c r="H22" s="120"/>
      <c r="I22" s="120"/>
    </row>
    <row r="23" spans="1:9" ht="19.5" customHeight="1" x14ac:dyDescent="0.25">
      <c r="A23" s="120"/>
      <c r="B23" s="120"/>
      <c r="C23" s="120"/>
      <c r="D23" s="120"/>
      <c r="E23" s="120"/>
      <c r="F23" s="120"/>
      <c r="G23" s="120"/>
      <c r="H23" s="120"/>
      <c r="I23" s="120"/>
    </row>
    <row r="24" spans="1:9" ht="15.75" x14ac:dyDescent="0.25">
      <c r="A24" s="120" t="s">
        <v>8</v>
      </c>
      <c r="B24" s="120"/>
      <c r="C24" s="120"/>
      <c r="D24" s="120"/>
      <c r="E24" s="120"/>
      <c r="F24" s="120" t="s">
        <v>48</v>
      </c>
      <c r="G24" s="120"/>
      <c r="H24" s="120"/>
      <c r="I24" s="120"/>
    </row>
    <row r="25" spans="1:9" ht="15.75" x14ac:dyDescent="0.25">
      <c r="A25" s="119" t="s">
        <v>9</v>
      </c>
      <c r="B25" s="119"/>
      <c r="C25" s="119"/>
      <c r="D25" s="119"/>
      <c r="E25" s="119"/>
      <c r="F25" s="119" t="s">
        <v>49</v>
      </c>
      <c r="G25" s="119"/>
      <c r="H25" s="119"/>
      <c r="I25" s="119"/>
    </row>
    <row r="26" spans="1:9" ht="15.75" x14ac:dyDescent="0.25">
      <c r="A26" s="119" t="s">
        <v>10</v>
      </c>
      <c r="B26" s="119"/>
      <c r="C26" s="119"/>
      <c r="D26" s="119"/>
      <c r="E26" s="119"/>
      <c r="F26" s="118" t="s">
        <v>50</v>
      </c>
      <c r="G26" s="118"/>
      <c r="H26" s="118"/>
      <c r="I26" s="118"/>
    </row>
    <row r="27" spans="1:9" ht="15.75" x14ac:dyDescent="0.25">
      <c r="A27" s="119" t="s">
        <v>11</v>
      </c>
      <c r="B27" s="119"/>
      <c r="C27" s="119"/>
      <c r="D27" s="119"/>
      <c r="E27" s="119"/>
      <c r="F27" s="118" t="s">
        <v>52</v>
      </c>
      <c r="G27" s="118"/>
      <c r="H27" s="118"/>
      <c r="I27" s="118"/>
    </row>
    <row r="28" spans="1:9" ht="15.75" x14ac:dyDescent="0.25">
      <c r="A28" s="119" t="s">
        <v>29</v>
      </c>
      <c r="B28" s="119"/>
      <c r="C28" s="119"/>
      <c r="D28" s="119"/>
      <c r="E28" s="119"/>
      <c r="F28" s="118" t="s">
        <v>51</v>
      </c>
      <c r="G28" s="118"/>
      <c r="H28" s="118"/>
      <c r="I28" s="118"/>
    </row>
    <row r="29" spans="1:9" ht="15.75" x14ac:dyDescent="0.25">
      <c r="A29" s="119" t="s">
        <v>263</v>
      </c>
      <c r="B29" s="119"/>
      <c r="C29" s="119"/>
      <c r="D29" s="119"/>
      <c r="E29" s="119"/>
      <c r="F29" s="118" t="s">
        <v>264</v>
      </c>
      <c r="G29" s="118"/>
      <c r="H29" s="118"/>
      <c r="I29" s="118"/>
    </row>
    <row r="30" spans="1:9" ht="15.75" x14ac:dyDescent="0.25">
      <c r="A30" s="125" t="s">
        <v>12</v>
      </c>
      <c r="B30" s="125"/>
      <c r="C30" s="125"/>
      <c r="D30" s="125" t="s">
        <v>166</v>
      </c>
      <c r="E30" s="125"/>
      <c r="F30" s="125"/>
      <c r="G30" s="125" t="s">
        <v>16</v>
      </c>
      <c r="H30" s="125"/>
      <c r="I30" s="125"/>
    </row>
    <row r="31" spans="1:9" ht="15.75" x14ac:dyDescent="0.25">
      <c r="A31" s="154" t="s">
        <v>13</v>
      </c>
      <c r="B31" s="154"/>
      <c r="C31" s="154"/>
      <c r="D31" s="115" t="s">
        <v>207</v>
      </c>
      <c r="E31" s="115"/>
      <c r="F31" s="115"/>
      <c r="G31" s="159" t="s">
        <v>205</v>
      </c>
      <c r="H31" s="159"/>
      <c r="I31" s="159"/>
    </row>
    <row r="32" spans="1:9" ht="15.75" x14ac:dyDescent="0.25">
      <c r="A32" s="154" t="s">
        <v>206</v>
      </c>
      <c r="B32" s="154"/>
      <c r="C32" s="154"/>
      <c r="D32" s="115" t="s">
        <v>208</v>
      </c>
      <c r="E32" s="115"/>
      <c r="F32" s="115"/>
      <c r="G32" s="159" t="s">
        <v>205</v>
      </c>
      <c r="H32" s="159"/>
      <c r="I32" s="159"/>
    </row>
    <row r="33" spans="1:9" ht="15.75" x14ac:dyDescent="0.25">
      <c r="A33" s="154" t="s">
        <v>15</v>
      </c>
      <c r="B33" s="154"/>
      <c r="C33" s="154"/>
      <c r="D33" s="115" t="s">
        <v>210</v>
      </c>
      <c r="E33" s="115"/>
      <c r="F33" s="115"/>
      <c r="G33" s="159" t="s">
        <v>259</v>
      </c>
      <c r="H33" s="159"/>
      <c r="I33" s="159"/>
    </row>
    <row r="34" spans="1:9" ht="15.75" x14ac:dyDescent="0.25">
      <c r="A34" s="154" t="s">
        <v>14</v>
      </c>
      <c r="B34" s="154"/>
      <c r="C34" s="154"/>
      <c r="D34" s="115" t="s">
        <v>209</v>
      </c>
      <c r="E34" s="115"/>
      <c r="F34" s="115"/>
      <c r="G34" s="159" t="s">
        <v>205</v>
      </c>
      <c r="H34" s="159"/>
      <c r="I34" s="159"/>
    </row>
    <row r="35" spans="1:9" ht="15.75" x14ac:dyDescent="0.25">
      <c r="A35" s="119" t="s">
        <v>17</v>
      </c>
      <c r="B35" s="119"/>
      <c r="C35" s="119"/>
      <c r="D35" s="119"/>
      <c r="E35" s="119"/>
      <c r="F35" s="119"/>
      <c r="G35" s="119"/>
      <c r="H35" s="119"/>
      <c r="I35" s="119"/>
    </row>
    <row r="36" spans="1:9" ht="15.75" x14ac:dyDescent="0.25">
      <c r="A36" s="119" t="s">
        <v>41</v>
      </c>
      <c r="B36" s="119"/>
      <c r="C36" s="119"/>
      <c r="D36" s="136" t="s">
        <v>165</v>
      </c>
      <c r="E36" s="136"/>
      <c r="F36" s="136"/>
      <c r="G36" s="136"/>
      <c r="H36" s="136"/>
      <c r="I36" s="136"/>
    </row>
    <row r="37" spans="1:9" ht="15.75" x14ac:dyDescent="0.25">
      <c r="A37" s="119" t="s">
        <v>149</v>
      </c>
      <c r="B37" s="119"/>
      <c r="C37" s="119"/>
      <c r="D37" s="153" t="s">
        <v>204</v>
      </c>
      <c r="E37" s="119"/>
      <c r="F37" s="119"/>
      <c r="G37" s="119"/>
      <c r="H37" s="119"/>
      <c r="I37" s="119"/>
    </row>
    <row r="38" spans="1:9" ht="15.75" x14ac:dyDescent="0.25">
      <c r="A38" s="136" t="s">
        <v>167</v>
      </c>
      <c r="B38" s="136"/>
      <c r="C38" s="136"/>
      <c r="D38" s="136"/>
      <c r="E38" s="136"/>
      <c r="F38" s="136"/>
      <c r="G38" s="136"/>
      <c r="H38" s="136"/>
      <c r="I38" s="136"/>
    </row>
    <row r="39" spans="1:9" ht="15.75" x14ac:dyDescent="0.25">
      <c r="A39" s="143" t="s">
        <v>168</v>
      </c>
      <c r="B39" s="143"/>
      <c r="C39" s="143"/>
      <c r="D39" s="143"/>
      <c r="E39" s="143"/>
      <c r="F39" s="119">
        <v>11974.728999999999</v>
      </c>
      <c r="G39" s="119"/>
      <c r="H39" s="119"/>
      <c r="I39" s="119"/>
    </row>
    <row r="40" spans="1:9" ht="15.75" x14ac:dyDescent="0.25">
      <c r="A40" s="143" t="s">
        <v>18</v>
      </c>
      <c r="B40" s="143"/>
      <c r="C40" s="143"/>
      <c r="D40" s="143"/>
      <c r="E40" s="143"/>
      <c r="F40" s="151">
        <f>13172.202/F39</f>
        <v>1.1000000083509196</v>
      </c>
      <c r="G40" s="151"/>
      <c r="H40" s="151"/>
      <c r="I40" s="151"/>
    </row>
    <row r="41" spans="1:9" ht="15.75" x14ac:dyDescent="0.25">
      <c r="A41" s="143" t="s">
        <v>19</v>
      </c>
      <c r="B41" s="143"/>
      <c r="C41" s="143"/>
      <c r="D41" s="143"/>
      <c r="E41" s="143"/>
      <c r="F41" s="151">
        <f>F43/F39-F40</f>
        <v>0.4051526343518923</v>
      </c>
      <c r="G41" s="151"/>
      <c r="H41" s="151"/>
      <c r="I41" s="151"/>
    </row>
    <row r="42" spans="1:9" ht="15.75" x14ac:dyDescent="0.25">
      <c r="A42" s="143" t="s">
        <v>20</v>
      </c>
      <c r="B42" s="143"/>
      <c r="C42" s="143"/>
      <c r="D42" s="143"/>
      <c r="E42" s="143"/>
      <c r="F42" s="151">
        <f>F40+F41</f>
        <v>1.5051526427028119</v>
      </c>
      <c r="G42" s="151"/>
      <c r="H42" s="151"/>
      <c r="I42" s="151"/>
    </row>
    <row r="43" spans="1:9" ht="15.75" x14ac:dyDescent="0.25">
      <c r="A43" s="143" t="s">
        <v>169</v>
      </c>
      <c r="B43" s="143"/>
      <c r="C43" s="143"/>
      <c r="D43" s="143"/>
      <c r="E43" s="143"/>
      <c r="F43" s="152">
        <v>18023.794999999998</v>
      </c>
      <c r="G43" s="152"/>
      <c r="H43" s="152"/>
      <c r="I43" s="152"/>
    </row>
    <row r="44" spans="1:9" ht="15.75" x14ac:dyDescent="0.25">
      <c r="A44" s="119" t="s">
        <v>21</v>
      </c>
      <c r="B44" s="119"/>
      <c r="C44" s="119"/>
      <c r="D44" s="119"/>
      <c r="E44" s="119"/>
      <c r="F44" s="119" t="s">
        <v>255</v>
      </c>
      <c r="G44" s="119"/>
      <c r="H44" s="119"/>
      <c r="I44" s="119"/>
    </row>
    <row r="45" spans="1:9" ht="15.75" x14ac:dyDescent="0.25">
      <c r="A45" s="136" t="s">
        <v>170</v>
      </c>
      <c r="B45" s="136"/>
      <c r="C45" s="136"/>
      <c r="D45" s="136"/>
      <c r="E45" s="136"/>
      <c r="F45" s="136"/>
      <c r="G45" s="136"/>
      <c r="H45" s="136"/>
      <c r="I45" s="136"/>
    </row>
    <row r="46" spans="1:9" ht="38.25" customHeight="1" x14ac:dyDescent="0.25">
      <c r="A46" s="138" t="s">
        <v>171</v>
      </c>
      <c r="B46" s="138"/>
      <c r="C46" s="158" t="s">
        <v>176</v>
      </c>
      <c r="D46" s="158"/>
      <c r="E46" s="158"/>
      <c r="F46" s="158"/>
      <c r="G46" s="158"/>
      <c r="H46" s="158"/>
      <c r="I46" s="158"/>
    </row>
    <row r="47" spans="1:9" ht="33.75" customHeight="1" x14ac:dyDescent="0.25">
      <c r="A47" s="138" t="s">
        <v>172</v>
      </c>
      <c r="B47" s="138"/>
      <c r="C47" s="138" t="s">
        <v>213</v>
      </c>
      <c r="D47" s="138"/>
      <c r="E47" s="138"/>
      <c r="F47" s="138"/>
      <c r="G47" s="45" t="s">
        <v>173</v>
      </c>
      <c r="H47" s="156">
        <v>44887</v>
      </c>
      <c r="I47" s="138"/>
    </row>
    <row r="48" spans="1:9" ht="50.25" customHeight="1" x14ac:dyDescent="0.25">
      <c r="A48" s="138" t="s">
        <v>270</v>
      </c>
      <c r="B48" s="138"/>
      <c r="C48" s="138" t="s">
        <v>211</v>
      </c>
      <c r="D48" s="138"/>
      <c r="E48" s="138"/>
      <c r="F48" s="138"/>
      <c r="G48" s="45" t="s">
        <v>173</v>
      </c>
      <c r="H48" s="156">
        <v>42397</v>
      </c>
      <c r="I48" s="138"/>
    </row>
    <row r="49" spans="1:20" ht="49.5" customHeight="1" x14ac:dyDescent="0.25">
      <c r="A49" s="138" t="s">
        <v>212</v>
      </c>
      <c r="B49" s="138"/>
      <c r="C49" s="138" t="s">
        <v>213</v>
      </c>
      <c r="D49" s="138"/>
      <c r="E49" s="138"/>
      <c r="F49" s="138"/>
      <c r="G49" s="45" t="s">
        <v>173</v>
      </c>
      <c r="H49" s="156">
        <v>44887</v>
      </c>
      <c r="I49" s="138"/>
    </row>
    <row r="50" spans="1:20" ht="15.75" x14ac:dyDescent="0.25">
      <c r="A50" s="138" t="s">
        <v>174</v>
      </c>
      <c r="B50" s="138"/>
      <c r="C50" s="138" t="s">
        <v>214</v>
      </c>
      <c r="D50" s="138"/>
      <c r="E50" s="138"/>
      <c r="F50" s="138"/>
      <c r="G50" s="45" t="s">
        <v>173</v>
      </c>
      <c r="H50" s="156">
        <v>42397</v>
      </c>
      <c r="I50" s="138"/>
    </row>
    <row r="51" spans="1:20" ht="36" customHeight="1" x14ac:dyDescent="0.25">
      <c r="A51" s="138"/>
      <c r="B51" s="138"/>
      <c r="C51" s="138" t="s">
        <v>271</v>
      </c>
      <c r="D51" s="138"/>
      <c r="E51" s="138"/>
      <c r="F51" s="138"/>
      <c r="G51" s="138"/>
      <c r="H51" s="138"/>
      <c r="I51" s="138"/>
    </row>
    <row r="52" spans="1:20" ht="15.75" x14ac:dyDescent="0.25">
      <c r="A52" s="138" t="s">
        <v>174</v>
      </c>
      <c r="B52" s="138"/>
      <c r="C52" s="138" t="s">
        <v>215</v>
      </c>
      <c r="D52" s="138"/>
      <c r="E52" s="138"/>
      <c r="F52" s="138"/>
      <c r="G52" s="45" t="s">
        <v>173</v>
      </c>
      <c r="H52" s="156">
        <v>44887</v>
      </c>
      <c r="I52" s="138"/>
      <c r="K52" s="28">
        <f>16*7</f>
        <v>112</v>
      </c>
    </row>
    <row r="53" spans="1:20" ht="36.75" customHeight="1" x14ac:dyDescent="0.25">
      <c r="A53" s="138"/>
      <c r="B53" s="138"/>
      <c r="C53" s="163" t="s">
        <v>216</v>
      </c>
      <c r="D53" s="163"/>
      <c r="E53" s="163"/>
      <c r="F53" s="163"/>
      <c r="G53" s="163"/>
      <c r="H53" s="163"/>
      <c r="I53" s="163"/>
    </row>
    <row r="54" spans="1:20" s="83" customFormat="1" ht="56.25" customHeight="1" x14ac:dyDescent="0.25">
      <c r="A54" s="138" t="s">
        <v>281</v>
      </c>
      <c r="B54" s="138"/>
      <c r="C54" s="138" t="s">
        <v>280</v>
      </c>
      <c r="D54" s="138"/>
      <c r="E54" s="138"/>
      <c r="F54" s="138"/>
      <c r="G54" s="82" t="s">
        <v>173</v>
      </c>
      <c r="H54" s="186">
        <v>44320</v>
      </c>
      <c r="I54" s="187"/>
    </row>
    <row r="55" spans="1:20" s="83" customFormat="1" ht="56.25" customHeight="1" x14ac:dyDescent="0.25">
      <c r="A55" s="138" t="s">
        <v>283</v>
      </c>
      <c r="B55" s="138"/>
      <c r="C55" s="138" t="s">
        <v>282</v>
      </c>
      <c r="D55" s="138"/>
      <c r="E55" s="138"/>
      <c r="F55" s="138"/>
      <c r="G55" s="82" t="s">
        <v>173</v>
      </c>
      <c r="H55" s="156">
        <v>44791</v>
      </c>
      <c r="I55" s="187"/>
      <c r="J55" s="83" t="s">
        <v>243</v>
      </c>
    </row>
    <row r="56" spans="1:20" ht="37.5" customHeight="1" x14ac:dyDescent="0.25">
      <c r="A56" s="157" t="s">
        <v>175</v>
      </c>
      <c r="B56" s="157"/>
      <c r="C56" s="157" t="s">
        <v>150</v>
      </c>
      <c r="D56" s="157"/>
      <c r="E56" s="157"/>
      <c r="F56" s="157"/>
      <c r="G56" s="46" t="s">
        <v>173</v>
      </c>
      <c r="H56" s="164">
        <v>43592</v>
      </c>
      <c r="I56" s="161"/>
    </row>
    <row r="57" spans="1:20" ht="48" customHeight="1" x14ac:dyDescent="0.25">
      <c r="A57" s="157" t="s">
        <v>175</v>
      </c>
      <c r="B57" s="157"/>
      <c r="C57" s="157" t="s">
        <v>242</v>
      </c>
      <c r="D57" s="157"/>
      <c r="E57" s="157"/>
      <c r="F57" s="157"/>
      <c r="G57" s="46" t="s">
        <v>173</v>
      </c>
      <c r="H57" s="160" t="s">
        <v>177</v>
      </c>
      <c r="I57" s="161"/>
      <c r="J57" s="28" t="s">
        <v>243</v>
      </c>
    </row>
    <row r="58" spans="1:20" ht="15.75" x14ac:dyDescent="0.25">
      <c r="A58" s="136" t="s">
        <v>22</v>
      </c>
      <c r="B58" s="136"/>
      <c r="C58" s="136"/>
      <c r="D58" s="136"/>
      <c r="E58" s="136"/>
      <c r="F58" s="136"/>
      <c r="G58" s="136"/>
      <c r="H58" s="136"/>
      <c r="I58" s="136"/>
    </row>
    <row r="59" spans="1:20" ht="15.75" x14ac:dyDescent="0.25">
      <c r="A59" s="143" t="s">
        <v>195</v>
      </c>
      <c r="B59" s="143"/>
      <c r="C59" s="143"/>
      <c r="D59" s="143" t="s">
        <v>254</v>
      </c>
      <c r="E59" s="143"/>
      <c r="F59" s="143"/>
      <c r="G59" s="143"/>
      <c r="H59" s="143"/>
      <c r="I59" s="143"/>
    </row>
    <row r="60" spans="1:20" ht="35.25" customHeight="1" x14ac:dyDescent="0.25">
      <c r="A60" s="120" t="s">
        <v>258</v>
      </c>
      <c r="B60" s="120"/>
      <c r="C60" s="120"/>
      <c r="D60" s="119">
        <f>2395.399+3891.834+7970.125+(3403.711+113.073)</f>
        <v>17774.142</v>
      </c>
      <c r="E60" s="119"/>
      <c r="F60" s="119"/>
      <c r="G60" s="119"/>
      <c r="H60" s="119"/>
      <c r="I60" s="119"/>
      <c r="J60" s="49">
        <f>8083.198-113.073</f>
        <v>7970.125</v>
      </c>
    </row>
    <row r="61" spans="1:20" ht="34.5" customHeight="1" x14ac:dyDescent="0.25">
      <c r="A61" s="119" t="s">
        <v>179</v>
      </c>
      <c r="B61" s="119"/>
      <c r="C61" s="119"/>
      <c r="D61" s="120" t="s">
        <v>253</v>
      </c>
      <c r="E61" s="119"/>
      <c r="F61" s="119"/>
      <c r="G61" s="119"/>
      <c r="H61" s="119"/>
      <c r="I61" s="119"/>
      <c r="J61" s="28" t="s">
        <v>219</v>
      </c>
    </row>
    <row r="62" spans="1:20" ht="31.5" customHeight="1" x14ac:dyDescent="0.25">
      <c r="A62" s="119" t="s">
        <v>180</v>
      </c>
      <c r="B62" s="119"/>
      <c r="C62" s="119"/>
      <c r="D62" s="120" t="s">
        <v>253</v>
      </c>
      <c r="E62" s="119"/>
      <c r="F62" s="119"/>
      <c r="G62" s="119"/>
      <c r="H62" s="119"/>
      <c r="I62" s="119"/>
      <c r="J62" s="28" t="s">
        <v>219</v>
      </c>
    </row>
    <row r="63" spans="1:20" ht="15.75" x14ac:dyDescent="0.25">
      <c r="A63" s="119" t="s">
        <v>196</v>
      </c>
      <c r="B63" s="119"/>
      <c r="C63" s="119"/>
      <c r="D63" s="119" t="s">
        <v>217</v>
      </c>
      <c r="E63" s="119"/>
      <c r="F63" s="119"/>
      <c r="G63" s="119"/>
      <c r="H63" s="119"/>
      <c r="I63" s="119"/>
      <c r="L63" s="119" t="s">
        <v>53</v>
      </c>
      <c r="M63" s="119"/>
      <c r="N63" s="119"/>
      <c r="O63" s="119"/>
      <c r="P63" s="119"/>
      <c r="Q63" s="132" t="s">
        <v>146</v>
      </c>
      <c r="R63" s="133"/>
      <c r="S63" s="133"/>
      <c r="T63" s="134"/>
    </row>
    <row r="64" spans="1:20" ht="15.75" x14ac:dyDescent="0.25">
      <c r="A64" s="119" t="s">
        <v>194</v>
      </c>
      <c r="B64" s="119"/>
      <c r="C64" s="119"/>
      <c r="D64" s="119" t="s">
        <v>178</v>
      </c>
      <c r="E64" s="119"/>
      <c r="F64" s="119"/>
      <c r="G64" s="119"/>
      <c r="H64" s="119"/>
      <c r="I64" s="119"/>
    </row>
    <row r="65" spans="1:13" ht="15.75" x14ac:dyDescent="0.25">
      <c r="A65" s="119" t="s">
        <v>181</v>
      </c>
      <c r="B65" s="119"/>
      <c r="C65" s="119"/>
      <c r="D65" s="119" t="s">
        <v>51</v>
      </c>
      <c r="E65" s="119"/>
      <c r="F65" s="119"/>
      <c r="G65" s="119"/>
      <c r="H65" s="119"/>
      <c r="I65" s="119"/>
      <c r="J65" s="54" t="s">
        <v>244</v>
      </c>
    </row>
    <row r="66" spans="1:13" ht="32.450000000000003" customHeight="1" x14ac:dyDescent="0.25">
      <c r="A66" s="143" t="s">
        <v>185</v>
      </c>
      <c r="B66" s="143"/>
      <c r="C66" s="143"/>
      <c r="D66" s="162" t="s">
        <v>245</v>
      </c>
      <c r="E66" s="143"/>
      <c r="F66" s="143"/>
      <c r="G66" s="143"/>
      <c r="H66" s="143"/>
      <c r="I66" s="143"/>
    </row>
    <row r="67" spans="1:13" ht="15" customHeight="1" x14ac:dyDescent="0.25">
      <c r="A67" s="119" t="s">
        <v>184</v>
      </c>
      <c r="B67" s="119"/>
      <c r="C67" s="119"/>
      <c r="D67" s="119" t="s">
        <v>58</v>
      </c>
      <c r="E67" s="119"/>
      <c r="F67" s="119"/>
      <c r="G67" s="119"/>
      <c r="H67" s="119"/>
      <c r="I67" s="119"/>
    </row>
    <row r="68" spans="1:13" ht="15.75" x14ac:dyDescent="0.25">
      <c r="A68" s="119" t="s">
        <v>182</v>
      </c>
      <c r="B68" s="119"/>
      <c r="C68" s="119"/>
      <c r="D68" s="119" t="str">
        <f ca="1">(IF(H90&gt;95%,"Nothing",IF(H90&gt;0%,"Cement, Aggregate, Steel, etc",IF(H90=0%,"Work not yet Started"))))</f>
        <v>Cement, Aggregate, Steel, etc</v>
      </c>
      <c r="E68" s="119"/>
      <c r="F68" s="119"/>
      <c r="G68" s="119"/>
      <c r="H68" s="119"/>
      <c r="I68" s="119"/>
    </row>
    <row r="69" spans="1:13" ht="19.5" customHeight="1" thickBot="1" x14ac:dyDescent="0.3">
      <c r="A69" s="144" t="s">
        <v>183</v>
      </c>
      <c r="B69" s="144"/>
      <c r="C69" s="144"/>
      <c r="D69" s="145" t="str">
        <f ca="1">(IF(D68="Nothing","Yes",IF(D68="Cement, Aggregate, Steel, etc","Under Construction",IF(D68="Work not yet Started","Work not yet Started"))))</f>
        <v>Under Construction</v>
      </c>
      <c r="E69" s="145"/>
      <c r="F69" s="145"/>
      <c r="G69" s="145"/>
      <c r="H69" s="145"/>
      <c r="I69" s="145"/>
    </row>
    <row r="70" spans="1:13" ht="15.75" x14ac:dyDescent="0.25">
      <c r="A70" s="106" t="s">
        <v>110</v>
      </c>
      <c r="B70" s="107"/>
      <c r="C70" s="108" t="s">
        <v>199</v>
      </c>
      <c r="D70" s="108"/>
      <c r="E70" s="108"/>
      <c r="F70" s="108"/>
      <c r="G70" s="108"/>
      <c r="H70" s="108"/>
      <c r="I70" s="109"/>
      <c r="J70" s="24" t="str">
        <f ca="1">(IF(F76&gt;99%,"All work completed. Please provide OC.",IF(F76&gt;89.8%,"Plinth, RCC, Brick, Plaster, Flooring, Painting work Completed. Finishing work is in process.",IF(F76&lt;94%,(IF(C76=0,"Work not yet Started.",IF(D76=25%,"Piling work in process",IF(D76=50%,"Excavation work in process",IF(D76=100%,"Excavation work Completed. ","0")))&amp;(IF(C77=0%,"",IF(C77=K78,"Footing work is process",IF(C77=K79,"Footing work Completed",IF(C77=K80,"1st Basement Completed",IF(C77=K81,"1st &amp; 2nd Basement Completed",IF(C77=K82,"1st to 3rd Basement Completed",IF(C77=K83,"1st to 4th Basement Completed",IF(C77=K84,"Plinth work is process",IF(C77=K85,"Plinth work completed","0")))))))))))&amp;(IF(C78=(D71+G71+I71),", RCC Slab",IF(C78&gt;0,", RCC upto "&amp;C78&amp;" Slab",""))&amp;(IF(C79=I71,", Brickwork",IF(C79&gt;0,", Brickwork upto "&amp;C79&amp;" Floor",""))&amp;(IF(C80=I71,", Internal Plaster",IF(C80&gt;0,", Internal Plaster upto "&amp;C80&amp;" Floor",""))&amp;(IF(C81=I71,", External Plaster",IF(C81&gt;0,", External Plaster upto "&amp;C81&amp;" Floor",""))&amp;(IF(C82=I71,", Flooring",IF(C82&gt;0,", Flooring upto "&amp;C82&amp;" Floor",""))&amp;(IF(C83=I71,", Painting",IF(C83&gt;0,", Painting upto "&amp;C83&amp;" Floor",""))&amp;(IF(C84&gt;0,", Finishing upto "&amp;C84&amp;" Floor","")&amp;(IF(C78&gt;0.5," Completed",""))))))))))))))</f>
        <v>All work completed. Please provide OC.</v>
      </c>
      <c r="K70" s="30"/>
      <c r="L70" s="31"/>
    </row>
    <row r="71" spans="1:13" ht="19.5" customHeight="1" x14ac:dyDescent="0.25">
      <c r="A71" s="72" t="s">
        <v>111</v>
      </c>
      <c r="B71" s="68">
        <v>0</v>
      </c>
      <c r="C71" s="68" t="s">
        <v>112</v>
      </c>
      <c r="D71" s="68">
        <v>1</v>
      </c>
      <c r="E71" s="110" t="s">
        <v>113</v>
      </c>
      <c r="F71" s="110"/>
      <c r="G71" s="68">
        <v>0</v>
      </c>
      <c r="H71" s="68" t="s">
        <v>114</v>
      </c>
      <c r="I71" s="73">
        <f ca="1">--TRIM(RIGHT(SUBSTITUTE(LEFT(C70,_xlfn.AGGREGATE(16,6,FIND({0,1,2,3,4,5,6,7,8,9},C70,ROW(INDIRECT("1:"&amp;LEN(C70)))),1))," ",REPT(" ",LEN(C70))),LEN(C70)))</f>
        <v>7</v>
      </c>
      <c r="J71" s="25"/>
      <c r="K71" s="32"/>
      <c r="L71" s="31"/>
    </row>
    <row r="72" spans="1:13" ht="14.45" customHeight="1" x14ac:dyDescent="0.25">
      <c r="A72" s="111" t="s">
        <v>115</v>
      </c>
      <c r="B72" s="112"/>
      <c r="C72" s="113" t="s">
        <v>116</v>
      </c>
      <c r="D72" s="113"/>
      <c r="E72" s="113"/>
      <c r="F72" s="113"/>
      <c r="G72" s="113"/>
      <c r="H72" s="113"/>
      <c r="I72" s="114"/>
      <c r="J72" s="25" t="s">
        <v>116</v>
      </c>
      <c r="K72" s="32"/>
      <c r="L72" s="31"/>
    </row>
    <row r="73" spans="1:13" ht="15" customHeight="1" x14ac:dyDescent="0.25">
      <c r="A73" s="165" t="s">
        <v>119</v>
      </c>
      <c r="B73" s="122"/>
      <c r="C73" s="123">
        <v>1</v>
      </c>
      <c r="D73" s="124"/>
      <c r="E73" s="124"/>
      <c r="F73" s="124" t="s">
        <v>120</v>
      </c>
      <c r="G73" s="124"/>
      <c r="H73" s="123">
        <v>1</v>
      </c>
      <c r="I73" s="147"/>
      <c r="J73" s="25"/>
      <c r="K73" s="32"/>
      <c r="L73" s="31"/>
    </row>
    <row r="74" spans="1:13" s="29" customFormat="1" ht="14.45" customHeight="1" thickBot="1" x14ac:dyDescent="0.3">
      <c r="A74" s="166"/>
      <c r="B74" s="167"/>
      <c r="C74" s="146"/>
      <c r="D74" s="146"/>
      <c r="E74" s="146"/>
      <c r="F74" s="146"/>
      <c r="G74" s="146"/>
      <c r="H74" s="146"/>
      <c r="I74" s="148"/>
      <c r="J74" s="25"/>
      <c r="K74" s="32"/>
      <c r="L74" s="31"/>
      <c r="M74" s="28"/>
    </row>
    <row r="75" spans="1:13" s="29" customFormat="1" ht="15.75" hidden="1" customHeight="1" x14ac:dyDescent="0.25">
      <c r="A75" s="140" t="s">
        <v>34</v>
      </c>
      <c r="B75" s="140"/>
      <c r="C75" s="71" t="s">
        <v>117</v>
      </c>
      <c r="D75" s="140" t="s">
        <v>118</v>
      </c>
      <c r="E75" s="140"/>
      <c r="F75" s="140" t="s">
        <v>119</v>
      </c>
      <c r="G75" s="140"/>
      <c r="H75" s="140" t="s">
        <v>120</v>
      </c>
      <c r="I75" s="140"/>
      <c r="J75" s="26" t="s">
        <v>121</v>
      </c>
      <c r="K75" s="34">
        <f ca="1">I71*25%</f>
        <v>1.75</v>
      </c>
      <c r="L75" s="31"/>
      <c r="M75" s="28"/>
    </row>
    <row r="76" spans="1:13" ht="15.75" hidden="1" customHeight="1" x14ac:dyDescent="0.25">
      <c r="A76" s="101" t="s">
        <v>122</v>
      </c>
      <c r="B76" s="101"/>
      <c r="C76" s="35">
        <v>7</v>
      </c>
      <c r="D76" s="103">
        <f ca="1">((100/I71)*C76)/100</f>
        <v>1</v>
      </c>
      <c r="E76" s="103"/>
      <c r="F76" s="103">
        <f ca="1">(((C77/I71*10)+(40/(D71+G71+I71)*C78)+(7.5/(I71)*C79)+(7.5/(I71)*C80)+(10/I71*C81)+(10/I71*C82)+(5/I71*C83)+(5/I71*C84)+(5/I71*C85))/100)</f>
        <v>1</v>
      </c>
      <c r="G76" s="103"/>
      <c r="H76" s="103">
        <f ca="1">((((C76/I71)*20)+((C77/I71)*25)+(30/(I71+G71+D71)*C78)+(5/I71*C79)+(5/I71*C80)+(5/I71*C81)+(5/I71*C82)+(0/I71*C83)+(0/I71*C84)+(5/I71*C85))/100)</f>
        <v>1</v>
      </c>
      <c r="I76" s="103"/>
      <c r="J76" s="26" t="s">
        <v>123</v>
      </c>
      <c r="K76" s="36">
        <f ca="1">I71*50%</f>
        <v>3.5</v>
      </c>
      <c r="L76" s="31"/>
    </row>
    <row r="77" spans="1:13" ht="15.75" hidden="1" customHeight="1" x14ac:dyDescent="0.25">
      <c r="A77" s="101" t="s">
        <v>35</v>
      </c>
      <c r="B77" s="101"/>
      <c r="C77" s="37">
        <v>7</v>
      </c>
      <c r="D77" s="103">
        <f ca="1">((100/I71)*C77)/100</f>
        <v>1</v>
      </c>
      <c r="E77" s="103"/>
      <c r="F77" s="103"/>
      <c r="G77" s="103"/>
      <c r="H77" s="103"/>
      <c r="I77" s="103"/>
      <c r="J77" s="26" t="s">
        <v>124</v>
      </c>
      <c r="K77" s="36">
        <f ca="1">I71</f>
        <v>7</v>
      </c>
      <c r="L77" s="31"/>
    </row>
    <row r="78" spans="1:13" ht="15.75" hidden="1" customHeight="1" x14ac:dyDescent="0.25">
      <c r="A78" s="101" t="s">
        <v>125</v>
      </c>
      <c r="B78" s="101"/>
      <c r="C78" s="37">
        <v>8</v>
      </c>
      <c r="D78" s="103">
        <f ca="1">((100/(D71+G71+I71))*C78)/100</f>
        <v>1</v>
      </c>
      <c r="E78" s="103"/>
      <c r="F78" s="103"/>
      <c r="G78" s="103"/>
      <c r="H78" s="103"/>
      <c r="I78" s="103"/>
      <c r="J78" s="26" t="s">
        <v>126</v>
      </c>
      <c r="K78" s="38">
        <f ca="1">(IF(B71&gt;1,(I71/(B71+2)),I71/4))</f>
        <v>1.75</v>
      </c>
      <c r="L78" s="31"/>
    </row>
    <row r="79" spans="1:13" ht="15.75" hidden="1" customHeight="1" x14ac:dyDescent="0.25">
      <c r="A79" s="101" t="s">
        <v>127</v>
      </c>
      <c r="B79" s="101" t="s">
        <v>128</v>
      </c>
      <c r="C79" s="35">
        <v>7</v>
      </c>
      <c r="D79" s="103">
        <f ca="1">((100/I71)*C79)/100</f>
        <v>1</v>
      </c>
      <c r="E79" s="103"/>
      <c r="F79" s="103"/>
      <c r="G79" s="103"/>
      <c r="H79" s="103"/>
      <c r="I79" s="103"/>
      <c r="J79" s="26" t="s">
        <v>129</v>
      </c>
      <c r="K79" s="38">
        <f ca="1">(IF(B71&gt;1,(I71/(B71+2)+K78),I71/4+K78))</f>
        <v>3.5</v>
      </c>
      <c r="L79" s="31"/>
    </row>
    <row r="80" spans="1:13" ht="16.5" hidden="1" customHeight="1" x14ac:dyDescent="0.25">
      <c r="A80" s="101" t="s">
        <v>130</v>
      </c>
      <c r="B80" s="101" t="s">
        <v>128</v>
      </c>
      <c r="C80" s="35">
        <v>7</v>
      </c>
      <c r="D80" s="103">
        <f ca="1">((100/I71)*C80)/100</f>
        <v>1</v>
      </c>
      <c r="E80" s="103"/>
      <c r="F80" s="103"/>
      <c r="G80" s="103"/>
      <c r="H80" s="103"/>
      <c r="I80" s="103"/>
      <c r="J80" s="26" t="s">
        <v>131</v>
      </c>
      <c r="K80" s="38">
        <f>(IF(B71&gt;1,(I71/(B71+2)+K79),0))</f>
        <v>0</v>
      </c>
      <c r="L80" s="31"/>
    </row>
    <row r="81" spans="1:12" ht="15.75" hidden="1" customHeight="1" x14ac:dyDescent="0.25">
      <c r="A81" s="101" t="s">
        <v>132</v>
      </c>
      <c r="B81" s="101" t="s">
        <v>133</v>
      </c>
      <c r="C81" s="35">
        <v>7</v>
      </c>
      <c r="D81" s="103">
        <f ca="1">((100/(I71))*C81)/100</f>
        <v>1</v>
      </c>
      <c r="E81" s="103"/>
      <c r="F81" s="103"/>
      <c r="G81" s="103"/>
      <c r="H81" s="103"/>
      <c r="I81" s="103"/>
      <c r="J81" s="26" t="s">
        <v>134</v>
      </c>
      <c r="K81" s="38">
        <f>(IF(B71&gt;2,(I71/(B71+2)+K80),0))</f>
        <v>0</v>
      </c>
      <c r="L81" s="31"/>
    </row>
    <row r="82" spans="1:12" ht="16.5" hidden="1" thickBot="1" x14ac:dyDescent="0.3">
      <c r="A82" s="101" t="s">
        <v>135</v>
      </c>
      <c r="B82" s="101" t="s">
        <v>135</v>
      </c>
      <c r="C82" s="35">
        <v>7</v>
      </c>
      <c r="D82" s="103">
        <f ca="1">((100/I71)*C82)/100</f>
        <v>1</v>
      </c>
      <c r="E82" s="103"/>
      <c r="F82" s="103"/>
      <c r="G82" s="103"/>
      <c r="H82" s="103"/>
      <c r="I82" s="103"/>
      <c r="J82" s="26" t="s">
        <v>136</v>
      </c>
      <c r="K82" s="39">
        <f>(IF(B71&gt;3,(I71/(B71+2)+K81),0))</f>
        <v>0</v>
      </c>
      <c r="L82" s="31"/>
    </row>
    <row r="83" spans="1:12" ht="16.5" hidden="1" thickBot="1" x14ac:dyDescent="0.3">
      <c r="A83" s="101" t="s">
        <v>137</v>
      </c>
      <c r="B83" s="101"/>
      <c r="C83" s="35">
        <v>7</v>
      </c>
      <c r="D83" s="103">
        <f ca="1">((100/I71)*C83)/100</f>
        <v>1</v>
      </c>
      <c r="E83" s="103"/>
      <c r="F83" s="103"/>
      <c r="G83" s="103"/>
      <c r="H83" s="103"/>
      <c r="I83" s="103"/>
      <c r="J83" s="26" t="s">
        <v>138</v>
      </c>
      <c r="K83" s="38">
        <f>(IF(B71&gt;4,(I71/(B71+2)+K82),0))</f>
        <v>0</v>
      </c>
      <c r="L83" s="31"/>
    </row>
    <row r="84" spans="1:12" ht="16.5" hidden="1" thickBot="1" x14ac:dyDescent="0.3">
      <c r="A84" s="101" t="s">
        <v>139</v>
      </c>
      <c r="B84" s="101" t="s">
        <v>139</v>
      </c>
      <c r="C84" s="35">
        <v>7</v>
      </c>
      <c r="D84" s="103">
        <f ca="1">((100/(I71))*C84)/100</f>
        <v>1</v>
      </c>
      <c r="E84" s="103"/>
      <c r="F84" s="103"/>
      <c r="G84" s="103"/>
      <c r="H84" s="103"/>
      <c r="I84" s="103"/>
      <c r="J84" s="26" t="s">
        <v>140</v>
      </c>
      <c r="K84" s="38">
        <f ca="1">(IF(B71=1,(I71/(B71+3)+K79),IF(B71=0,(I71/4+K79),IF(B71&gt;1,0))))</f>
        <v>5.25</v>
      </c>
      <c r="L84" s="31"/>
    </row>
    <row r="85" spans="1:12" ht="16.5" hidden="1" thickBot="1" x14ac:dyDescent="0.3">
      <c r="A85" s="168" t="s">
        <v>141</v>
      </c>
      <c r="B85" s="168"/>
      <c r="C85" s="74">
        <v>7</v>
      </c>
      <c r="D85" s="137">
        <f ca="1">((100/(I71))*C85)/100</f>
        <v>1</v>
      </c>
      <c r="E85" s="137"/>
      <c r="F85" s="137"/>
      <c r="G85" s="137"/>
      <c r="H85" s="137"/>
      <c r="I85" s="137"/>
      <c r="J85" s="27" t="s">
        <v>142</v>
      </c>
      <c r="K85" s="40">
        <f ca="1">(IF(B71&gt;1.5,(I71/(B71+2)+K79+MAX(0,K80-K79)+MAX(0,K81-K80)+MAX(0,K82-K81)+MAX(0,K83-K82)+MAX(0,K84-K83)),IF(B71=1,(I71/(B71+3)+K84),IF(B71=0,I71/4+K84))))</f>
        <v>7</v>
      </c>
      <c r="L85" s="31"/>
    </row>
    <row r="86" spans="1:12" ht="15.75" x14ac:dyDescent="0.25">
      <c r="A86" s="106" t="s">
        <v>110</v>
      </c>
      <c r="B86" s="107"/>
      <c r="C86" s="108" t="s">
        <v>287</v>
      </c>
      <c r="D86" s="108"/>
      <c r="E86" s="108"/>
      <c r="F86" s="108"/>
      <c r="G86" s="108"/>
      <c r="H86" s="108"/>
      <c r="I86" s="109"/>
      <c r="J86" s="24" t="str">
        <f ca="1">(IF(F90&gt;99%,"All work completed. Please provide OC.",IF(F90&gt;89.8%,"Plinth, RCC, Brick, Plaster, Flooring, Painting work Completed. Finishing work is in process.",IF(F90&lt;94%,(IF(C90=0,"Work not yet Started.",IF(D90=25%,"Piling work in process",IF(D90=50%,"Excavation work in process",IF(D90=100%,"Excavation work Completed. ","0")))&amp;(IF(C91=0%,"",IF(C91=K92,"Footing work is process",IF(C91=K93,"Footing work Completed",IF(C91=K94,"1st Basement Completed",IF(C91=K95,"1st &amp; 2nd Basement Completed",IF(C91=K96,"1st to 3rd Basement Completed",IF(C91=K97,"1st to 4th Basement Completed",IF(C91=K98,"Plinth work is process",IF(C91=K99,"Plinth work completed","0")))))))))))&amp;(IF(C92=(D87+G87+I87),", RCC Slab",IF(C92&gt;0,", RCC upto "&amp;C92&amp;" Slab",""))&amp;(IF(C93=I87,", Brickwork",IF(C93&gt;0,", Brickwork upto "&amp;C93&amp;" Floor",""))&amp;(IF(C94=I87,", Internal Plaster",IF(C94&gt;0,", Internal Plaster upto "&amp;C94&amp;" Floor",""))&amp;(IF(C95=I87,", External Plaster",IF(C95&gt;0,", External Plaster upto "&amp;C95&amp;" Floor",""))&amp;(IF(C96=I87,", Flooring",IF(C96&gt;0,", Flooring upto "&amp;C96&amp;" Floor",""))&amp;(IF(C97=I87,", Painting",IF(C97&gt;0,", Painting upto "&amp;C97&amp;" Floor",""))&amp;(IF(C98&gt;0,", Finishing upto "&amp;C98&amp;" Floor","")&amp;(IF(C92&gt;0.5," Completed",""))))))))))))))</f>
        <v>Excavation work Completed. Plinth work completed, RCC upto 12 Slab, Brickwork upto 9 Floor, Internal Plaster upto 7 Floor, External Plaster upto 6 Floor Completed</v>
      </c>
      <c r="K86" s="30"/>
      <c r="L86" s="31"/>
    </row>
    <row r="87" spans="1:12" ht="15.75" x14ac:dyDescent="0.25">
      <c r="A87" s="72" t="s">
        <v>111</v>
      </c>
      <c r="B87" s="81">
        <v>0</v>
      </c>
      <c r="C87" s="81" t="s">
        <v>112</v>
      </c>
      <c r="D87" s="81">
        <v>1</v>
      </c>
      <c r="E87" s="110" t="s">
        <v>113</v>
      </c>
      <c r="F87" s="110"/>
      <c r="G87" s="81">
        <v>0</v>
      </c>
      <c r="H87" s="81" t="s">
        <v>114</v>
      </c>
      <c r="I87" s="73">
        <f ca="1">--TRIM(RIGHT(SUBSTITUTE(LEFT(C86,_xlfn.AGGREGATE(16,6,FIND({0,1,2,3,4,5,6,7,8,9},C86,ROW(INDIRECT("1:"&amp;LEN(C86)))),1))," ",REPT(" ",LEN(C86))),LEN(C86)))</f>
        <v>14</v>
      </c>
      <c r="J87" s="25"/>
      <c r="K87" s="32"/>
      <c r="L87" s="31"/>
    </row>
    <row r="88" spans="1:12" ht="33.75" customHeight="1" x14ac:dyDescent="0.25">
      <c r="A88" s="111" t="s">
        <v>115</v>
      </c>
      <c r="B88" s="112"/>
      <c r="C88" s="113" t="str">
        <f ca="1">J86</f>
        <v>Excavation work Completed. Plinth work completed, RCC upto 12 Slab, Brickwork upto 9 Floor, Internal Plaster upto 7 Floor, External Plaster upto 6 Floor Completed</v>
      </c>
      <c r="D88" s="113"/>
      <c r="E88" s="113"/>
      <c r="F88" s="113"/>
      <c r="G88" s="113"/>
      <c r="H88" s="113"/>
      <c r="I88" s="114"/>
      <c r="J88" s="25" t="s">
        <v>116</v>
      </c>
      <c r="K88" s="32"/>
      <c r="L88" s="31"/>
    </row>
    <row r="89" spans="1:12" ht="15.75" x14ac:dyDescent="0.25">
      <c r="A89" s="100" t="s">
        <v>34</v>
      </c>
      <c r="B89" s="101"/>
      <c r="C89" s="80" t="s">
        <v>117</v>
      </c>
      <c r="D89" s="101" t="s">
        <v>118</v>
      </c>
      <c r="E89" s="101"/>
      <c r="F89" s="101" t="s">
        <v>119</v>
      </c>
      <c r="G89" s="101"/>
      <c r="H89" s="101" t="s">
        <v>120</v>
      </c>
      <c r="I89" s="102"/>
      <c r="J89" s="26" t="s">
        <v>121</v>
      </c>
      <c r="K89" s="34">
        <f ca="1">I87*25%</f>
        <v>3.5</v>
      </c>
      <c r="L89" s="31"/>
    </row>
    <row r="90" spans="1:12" ht="15.75" x14ac:dyDescent="0.25">
      <c r="A90" s="100" t="s">
        <v>122</v>
      </c>
      <c r="B90" s="101"/>
      <c r="C90" s="35">
        <f ca="1">K91</f>
        <v>14</v>
      </c>
      <c r="D90" s="103">
        <f ca="1">((100/I87)*C90)/100</f>
        <v>1</v>
      </c>
      <c r="E90" s="103"/>
      <c r="F90" s="103">
        <f ca="1">(((C91/I87*10)+(40/(D87+G87+I87)*C92)+(7.5/(I87)*C93)+(7.5/(I87)*C94)+(10/I87*C95)+(10/I87*C96)+(5/I87*C97)+(5/I87*C98)+(5/I87*C99))/100)</f>
        <v>0.54857142857142849</v>
      </c>
      <c r="G90" s="103"/>
      <c r="H90" s="103">
        <f ca="1">((((C90/I87)*20)+((C91/I87)*25)+(30/(I87+G87+D87)*C92)+(5/I87*C93)+(5/I87*C94)+(5/I87*C95)+(5/I87*C96)+(0/I87*C97)+(0/I87*C98)+(5/I87*C99))/100)</f>
        <v>0.76857142857142846</v>
      </c>
      <c r="I90" s="104"/>
      <c r="J90" s="26" t="s">
        <v>123</v>
      </c>
      <c r="K90" s="36">
        <f ca="1">I87*50%</f>
        <v>7</v>
      </c>
      <c r="L90" s="31"/>
    </row>
    <row r="91" spans="1:12" ht="15.75" x14ac:dyDescent="0.25">
      <c r="A91" s="100" t="s">
        <v>35</v>
      </c>
      <c r="B91" s="101"/>
      <c r="C91" s="37">
        <f ca="1">K99</f>
        <v>14</v>
      </c>
      <c r="D91" s="103">
        <f ca="1">((100/I87)*C91)/100</f>
        <v>1</v>
      </c>
      <c r="E91" s="103"/>
      <c r="F91" s="103"/>
      <c r="G91" s="103"/>
      <c r="H91" s="103"/>
      <c r="I91" s="104"/>
      <c r="J91" s="26" t="s">
        <v>124</v>
      </c>
      <c r="K91" s="36">
        <f ca="1">I87</f>
        <v>14</v>
      </c>
      <c r="L91" s="31"/>
    </row>
    <row r="92" spans="1:12" ht="15.75" x14ac:dyDescent="0.25">
      <c r="A92" s="100" t="s">
        <v>125</v>
      </c>
      <c r="B92" s="101"/>
      <c r="C92" s="37">
        <v>12</v>
      </c>
      <c r="D92" s="103">
        <f ca="1">((100/(D87+G87+I87))*C92)/100</f>
        <v>0.8</v>
      </c>
      <c r="E92" s="103"/>
      <c r="F92" s="103"/>
      <c r="G92" s="103"/>
      <c r="H92" s="103"/>
      <c r="I92" s="104"/>
      <c r="J92" s="26" t="s">
        <v>126</v>
      </c>
      <c r="K92" s="38">
        <f ca="1">(IF(B87&gt;1,(I87/(B87+2)),I87/4))</f>
        <v>3.5</v>
      </c>
      <c r="L92" s="31"/>
    </row>
    <row r="93" spans="1:12" ht="15.75" x14ac:dyDescent="0.25">
      <c r="A93" s="100" t="s">
        <v>127</v>
      </c>
      <c r="B93" s="101" t="s">
        <v>128</v>
      </c>
      <c r="C93" s="35">
        <v>9</v>
      </c>
      <c r="D93" s="103">
        <f ca="1">((100/I87)*C93)/100</f>
        <v>0.6428571428571429</v>
      </c>
      <c r="E93" s="103"/>
      <c r="F93" s="103"/>
      <c r="G93" s="103"/>
      <c r="H93" s="103"/>
      <c r="I93" s="104"/>
      <c r="J93" s="26" t="s">
        <v>129</v>
      </c>
      <c r="K93" s="38">
        <f ca="1">(IF(B87&gt;1,(I87/(B87+2)+K92),I87/4+K92))</f>
        <v>7</v>
      </c>
      <c r="L93" s="31"/>
    </row>
    <row r="94" spans="1:12" ht="15.75" x14ac:dyDescent="0.25">
      <c r="A94" s="100" t="s">
        <v>130</v>
      </c>
      <c r="B94" s="101" t="s">
        <v>128</v>
      </c>
      <c r="C94" s="35">
        <v>7</v>
      </c>
      <c r="D94" s="103">
        <f ca="1">((100/I87)*C94)/100</f>
        <v>0.5</v>
      </c>
      <c r="E94" s="103"/>
      <c r="F94" s="103"/>
      <c r="G94" s="103"/>
      <c r="H94" s="103"/>
      <c r="I94" s="104"/>
      <c r="J94" s="26" t="s">
        <v>131</v>
      </c>
      <c r="K94" s="38">
        <f>(IF(B87&gt;1,(I87/(B87+2)+K93),0))</f>
        <v>0</v>
      </c>
      <c r="L94" s="31"/>
    </row>
    <row r="95" spans="1:12" ht="15.75" x14ac:dyDescent="0.25">
      <c r="A95" s="100" t="s">
        <v>132</v>
      </c>
      <c r="B95" s="101" t="s">
        <v>133</v>
      </c>
      <c r="C95" s="35">
        <v>6</v>
      </c>
      <c r="D95" s="103">
        <f ca="1">((100/(I87))*C95)/100</f>
        <v>0.4285714285714286</v>
      </c>
      <c r="E95" s="103"/>
      <c r="F95" s="103"/>
      <c r="G95" s="103"/>
      <c r="H95" s="103"/>
      <c r="I95" s="104"/>
      <c r="J95" s="26" t="s">
        <v>134</v>
      </c>
      <c r="K95" s="38">
        <f>(IF(B87&gt;2,(I87/(B87+2)+K94),0))</f>
        <v>0</v>
      </c>
      <c r="L95" s="31"/>
    </row>
    <row r="96" spans="1:12" ht="15.75" x14ac:dyDescent="0.25">
      <c r="A96" s="100" t="s">
        <v>135</v>
      </c>
      <c r="B96" s="101" t="s">
        <v>135</v>
      </c>
      <c r="C96" s="35">
        <v>0</v>
      </c>
      <c r="D96" s="103">
        <f ca="1">((100/I87)*C96)/100</f>
        <v>0</v>
      </c>
      <c r="E96" s="103"/>
      <c r="F96" s="103"/>
      <c r="G96" s="103"/>
      <c r="H96" s="103"/>
      <c r="I96" s="104"/>
      <c r="J96" s="26" t="s">
        <v>136</v>
      </c>
      <c r="K96" s="39">
        <f>(IF(B87&gt;3,(I87/(B87+2)+K95),0))</f>
        <v>0</v>
      </c>
      <c r="L96" s="31"/>
    </row>
    <row r="97" spans="1:12" ht="15.75" x14ac:dyDescent="0.25">
      <c r="A97" s="100" t="s">
        <v>137</v>
      </c>
      <c r="B97" s="101"/>
      <c r="C97" s="35">
        <v>0</v>
      </c>
      <c r="D97" s="103">
        <f ca="1">((100/I87)*C97)/100</f>
        <v>0</v>
      </c>
      <c r="E97" s="103"/>
      <c r="F97" s="103"/>
      <c r="G97" s="103"/>
      <c r="H97" s="103"/>
      <c r="I97" s="104"/>
      <c r="J97" s="26" t="s">
        <v>138</v>
      </c>
      <c r="K97" s="38">
        <f>(IF(B87&gt;4,(I87/(B87+2)+K96),0))</f>
        <v>0</v>
      </c>
      <c r="L97" s="31"/>
    </row>
    <row r="98" spans="1:12" ht="15.75" x14ac:dyDescent="0.25">
      <c r="A98" s="100" t="s">
        <v>139</v>
      </c>
      <c r="B98" s="101" t="s">
        <v>139</v>
      </c>
      <c r="C98" s="35">
        <v>0</v>
      </c>
      <c r="D98" s="103">
        <f ca="1">((100/(I87))*C98)/100</f>
        <v>0</v>
      </c>
      <c r="E98" s="103"/>
      <c r="F98" s="103"/>
      <c r="G98" s="103"/>
      <c r="H98" s="103"/>
      <c r="I98" s="104"/>
      <c r="J98" s="26" t="s">
        <v>140</v>
      </c>
      <c r="K98" s="38">
        <f ca="1">(IF(B87=1,(I87/(B87+3)+K93),IF(B87=0,(I87/4+K93),IF(B87&gt;1,0))))</f>
        <v>10.5</v>
      </c>
      <c r="L98" s="31"/>
    </row>
    <row r="99" spans="1:12" ht="16.5" thickBot="1" x14ac:dyDescent="0.3">
      <c r="A99" s="85" t="s">
        <v>141</v>
      </c>
      <c r="B99" s="86"/>
      <c r="C99" s="75">
        <v>0</v>
      </c>
      <c r="D99" s="87">
        <f ca="1">((100/(I87))*C99)/100</f>
        <v>0</v>
      </c>
      <c r="E99" s="87"/>
      <c r="F99" s="87"/>
      <c r="G99" s="87"/>
      <c r="H99" s="87"/>
      <c r="I99" s="105"/>
      <c r="J99" s="27" t="s">
        <v>142</v>
      </c>
      <c r="K99" s="40">
        <f ca="1">(IF(B87&gt;1.5,(I87/(B87+2)+K93+MAX(0,K94-K93)+MAX(0,K95-K94)+MAX(0,K96-K95)+MAX(0,K97-K96)+MAX(0,K98-K97)),IF(B87=1,(I87/(B87+3)+K98),IF(B87=0,I87/4+K98))))</f>
        <v>14</v>
      </c>
      <c r="L99" s="31"/>
    </row>
    <row r="100" spans="1:12" ht="15.75" hidden="1" x14ac:dyDescent="0.25">
      <c r="A100" s="106" t="s">
        <v>110</v>
      </c>
      <c r="B100" s="107"/>
      <c r="C100" s="108" t="s">
        <v>284</v>
      </c>
      <c r="D100" s="108"/>
      <c r="E100" s="108"/>
      <c r="F100" s="108"/>
      <c r="G100" s="108"/>
      <c r="H100" s="108"/>
      <c r="I100" s="109"/>
      <c r="J100" s="24" t="str">
        <f ca="1">(IF(F104&gt;99%,"All work completed. Please provide OC.",IF(F104&gt;89.8%,"Plinth, RCC, Brick, Plaster, Flooring, Painting work Completed. Finishing work is in process.",IF(F104&lt;94%,(IF(C104=0,"Work not yet Started.",IF(D104=25%,"Piling work in process",IF(D104=50%,"Excavation work in process",IF(D104=100%,"Excavation work Completed. ","0")))&amp;(IF(C105=0%,"",IF(C105=K106,"Footing work is process",IF(C105=K107,"Footing work Completed",IF(C105=K108,"1st Basement Completed",IF(C105=K109,"1st &amp; 2nd Basement Completed",IF(C105=K110,"1st to 3rd Basement Completed",IF(C105=K111,"1st to 4th Basement Completed",IF(C105=K112,"Plinth work is process",IF(C105=K113,"Plinth work completed","0")))))))))))&amp;(IF(C106=(D101+G101+I101),", RCC Slab",IF(C106&gt;0,", RCC upto "&amp;C106&amp;" Slab",""))&amp;(IF(C107=I101,", Brickwork",IF(C107&gt;0,", Brickwork upto "&amp;C107&amp;" Floor",""))&amp;(IF(C108=I101,", Internal Plaster",IF(C108&gt;0,", Internal Plaster upto "&amp;C108&amp;" Floor",""))&amp;(IF(C109=I101,", External Plaster",IF(C109&gt;0,", External Plaster upto "&amp;C109&amp;" Floor",""))&amp;(IF(C110=I101,", Flooring",IF(C110&gt;0,", Flooring upto "&amp;C110&amp;" Floor",""))&amp;(IF(C111=I101,", Painting",IF(C111&gt;0,", Painting upto "&amp;C111&amp;" Floor",""))&amp;(IF(C112&gt;0,", Finishing upto "&amp;C112&amp;" Floor","")&amp;(IF(C106&gt;0.5," Completed",""))))))))))))))</f>
        <v>Excavation work Completed. Plinth work completed, RCC upto 8 Slab, Brickwork upto 5 Floor, Internal Plaster upto 1 Floor Completed</v>
      </c>
      <c r="K100" s="30"/>
      <c r="L100" s="31"/>
    </row>
    <row r="101" spans="1:12" ht="15.75" hidden="1" x14ac:dyDescent="0.25">
      <c r="A101" s="72" t="s">
        <v>111</v>
      </c>
      <c r="B101" s="81">
        <v>0</v>
      </c>
      <c r="C101" s="81" t="s">
        <v>112</v>
      </c>
      <c r="D101" s="81">
        <v>1</v>
      </c>
      <c r="E101" s="110" t="s">
        <v>113</v>
      </c>
      <c r="F101" s="110"/>
      <c r="G101" s="81">
        <v>0</v>
      </c>
      <c r="H101" s="81" t="s">
        <v>114</v>
      </c>
      <c r="I101" s="73">
        <f ca="1">--TRIM(RIGHT(SUBSTITUTE(LEFT(C100,_xlfn.AGGREGATE(16,6,FIND({0,1,2,3,4,5,6,7,8,9},C100,ROW(INDIRECT("1:"&amp;LEN(C100)))),1))," ",REPT(" ",LEN(C100))),LEN(C100)))</f>
        <v>14</v>
      </c>
      <c r="J101" s="25"/>
      <c r="K101" s="32"/>
      <c r="L101" s="31"/>
    </row>
    <row r="102" spans="1:12" ht="33.75" hidden="1" customHeight="1" x14ac:dyDescent="0.25">
      <c r="A102" s="111" t="s">
        <v>115</v>
      </c>
      <c r="B102" s="112"/>
      <c r="C102" s="113" t="str">
        <f ca="1">J100</f>
        <v>Excavation work Completed. Plinth work completed, RCC upto 8 Slab, Brickwork upto 5 Floor, Internal Plaster upto 1 Floor Completed</v>
      </c>
      <c r="D102" s="113"/>
      <c r="E102" s="113"/>
      <c r="F102" s="113"/>
      <c r="G102" s="113"/>
      <c r="H102" s="113"/>
      <c r="I102" s="114"/>
      <c r="J102" s="25" t="s">
        <v>116</v>
      </c>
      <c r="K102" s="32"/>
      <c r="L102" s="31"/>
    </row>
    <row r="103" spans="1:12" ht="15.75" hidden="1" x14ac:dyDescent="0.25">
      <c r="A103" s="100" t="s">
        <v>34</v>
      </c>
      <c r="B103" s="101"/>
      <c r="C103" s="80" t="s">
        <v>117</v>
      </c>
      <c r="D103" s="101" t="s">
        <v>118</v>
      </c>
      <c r="E103" s="101"/>
      <c r="F103" s="101" t="s">
        <v>119</v>
      </c>
      <c r="G103" s="101"/>
      <c r="H103" s="101" t="s">
        <v>120</v>
      </c>
      <c r="I103" s="102"/>
      <c r="J103" s="26" t="s">
        <v>121</v>
      </c>
      <c r="K103" s="34">
        <f ca="1">I101*25%</f>
        <v>3.5</v>
      </c>
      <c r="L103" s="31"/>
    </row>
    <row r="104" spans="1:12" ht="15.75" hidden="1" x14ac:dyDescent="0.25">
      <c r="A104" s="100" t="s">
        <v>122</v>
      </c>
      <c r="B104" s="101"/>
      <c r="C104" s="35">
        <f ca="1">K105</f>
        <v>14</v>
      </c>
      <c r="D104" s="103">
        <f ca="1">((100/I101)*C104)/100</f>
        <v>1</v>
      </c>
      <c r="E104" s="103"/>
      <c r="F104" s="103">
        <f ca="1">(((C105/I101*10)+(40/(D101+G101+I101)*C106)+(7.5/(I101)*C107)+(7.5/(I101)*C108)+(10/I101*C109)+(10/I101*C110)+(5/I101*C111)+(5/I101*C112)+(5/I101*C113))/100)</f>
        <v>0.34547619047619044</v>
      </c>
      <c r="G104" s="103"/>
      <c r="H104" s="103">
        <f ca="1">((((C104/I101)*20)+((C105/I101)*25)+(30/(I101+G101+D101)*C106)+(5/I101*C107)+(5/I101*C108)+(5/I101*C109)+(5/I101*C110)+(0/I101*C111)+(0/I101*C112)+(5/I101*C113))/100)</f>
        <v>0.63142857142857134</v>
      </c>
      <c r="I104" s="104"/>
      <c r="J104" s="26" t="s">
        <v>123</v>
      </c>
      <c r="K104" s="36">
        <f ca="1">I101*50%</f>
        <v>7</v>
      </c>
      <c r="L104" s="31"/>
    </row>
    <row r="105" spans="1:12" ht="15.75" hidden="1" x14ac:dyDescent="0.25">
      <c r="A105" s="100" t="s">
        <v>35</v>
      </c>
      <c r="B105" s="101"/>
      <c r="C105" s="37">
        <f ca="1">K113</f>
        <v>14</v>
      </c>
      <c r="D105" s="103">
        <f ca="1">((100/I101)*C105)/100</f>
        <v>1</v>
      </c>
      <c r="E105" s="103"/>
      <c r="F105" s="103"/>
      <c r="G105" s="103"/>
      <c r="H105" s="103"/>
      <c r="I105" s="104"/>
      <c r="J105" s="26" t="s">
        <v>124</v>
      </c>
      <c r="K105" s="36">
        <f ca="1">I101</f>
        <v>14</v>
      </c>
      <c r="L105" s="31"/>
    </row>
    <row r="106" spans="1:12" ht="15.75" hidden="1" x14ac:dyDescent="0.25">
      <c r="A106" s="100" t="s">
        <v>125</v>
      </c>
      <c r="B106" s="101"/>
      <c r="C106" s="37">
        <v>8</v>
      </c>
      <c r="D106" s="103">
        <f ca="1">((100/(D101+G101+I101))*C106)/100</f>
        <v>0.53333333333333333</v>
      </c>
      <c r="E106" s="103"/>
      <c r="F106" s="103"/>
      <c r="G106" s="103"/>
      <c r="H106" s="103"/>
      <c r="I106" s="104"/>
      <c r="J106" s="26" t="s">
        <v>126</v>
      </c>
      <c r="K106" s="38">
        <f ca="1">(IF(B101&gt;1,(I101/(B101+2)),I101/4))</f>
        <v>3.5</v>
      </c>
      <c r="L106" s="31"/>
    </row>
    <row r="107" spans="1:12" ht="15.75" hidden="1" x14ac:dyDescent="0.25">
      <c r="A107" s="100" t="s">
        <v>127</v>
      </c>
      <c r="B107" s="101" t="s">
        <v>128</v>
      </c>
      <c r="C107" s="35">
        <v>5</v>
      </c>
      <c r="D107" s="103">
        <f ca="1">((100/I101)*C107)/100</f>
        <v>0.35714285714285715</v>
      </c>
      <c r="E107" s="103"/>
      <c r="F107" s="103"/>
      <c r="G107" s="103"/>
      <c r="H107" s="103"/>
      <c r="I107" s="104"/>
      <c r="J107" s="26" t="s">
        <v>129</v>
      </c>
      <c r="K107" s="38">
        <f ca="1">(IF(B101&gt;1,(I101/(B101+2)+K106),I101/4+K106))</f>
        <v>7</v>
      </c>
      <c r="L107" s="31"/>
    </row>
    <row r="108" spans="1:12" ht="15.75" hidden="1" x14ac:dyDescent="0.25">
      <c r="A108" s="100" t="s">
        <v>130</v>
      </c>
      <c r="B108" s="101" t="s">
        <v>128</v>
      </c>
      <c r="C108" s="35">
        <v>1</v>
      </c>
      <c r="D108" s="103">
        <f ca="1">((100/I101)*C108)/100</f>
        <v>7.1428571428571438E-2</v>
      </c>
      <c r="E108" s="103"/>
      <c r="F108" s="103"/>
      <c r="G108" s="103"/>
      <c r="H108" s="103"/>
      <c r="I108" s="104"/>
      <c r="J108" s="26" t="s">
        <v>131</v>
      </c>
      <c r="K108" s="38">
        <f>(IF(B101&gt;1,(I101/(B101+2)+K107),0))</f>
        <v>0</v>
      </c>
      <c r="L108" s="31"/>
    </row>
    <row r="109" spans="1:12" ht="15.75" hidden="1" x14ac:dyDescent="0.25">
      <c r="A109" s="100" t="s">
        <v>132</v>
      </c>
      <c r="B109" s="101" t="s">
        <v>133</v>
      </c>
      <c r="C109" s="35">
        <v>0</v>
      </c>
      <c r="D109" s="103">
        <f ca="1">((100/(I101))*C109)/100</f>
        <v>0</v>
      </c>
      <c r="E109" s="103"/>
      <c r="F109" s="103"/>
      <c r="G109" s="103"/>
      <c r="H109" s="103"/>
      <c r="I109" s="104"/>
      <c r="J109" s="26" t="s">
        <v>134</v>
      </c>
      <c r="K109" s="38">
        <f>(IF(B101&gt;2,(I101/(B101+2)+K108),0))</f>
        <v>0</v>
      </c>
      <c r="L109" s="31"/>
    </row>
    <row r="110" spans="1:12" ht="15.75" hidden="1" x14ac:dyDescent="0.25">
      <c r="A110" s="100" t="s">
        <v>135</v>
      </c>
      <c r="B110" s="101" t="s">
        <v>135</v>
      </c>
      <c r="C110" s="35">
        <v>0</v>
      </c>
      <c r="D110" s="103">
        <f ca="1">((100/I101)*C110)/100</f>
        <v>0</v>
      </c>
      <c r="E110" s="103"/>
      <c r="F110" s="103"/>
      <c r="G110" s="103"/>
      <c r="H110" s="103"/>
      <c r="I110" s="104"/>
      <c r="J110" s="26" t="s">
        <v>136</v>
      </c>
      <c r="K110" s="39">
        <f>(IF(B101&gt;3,(I101/(B101+2)+K109),0))</f>
        <v>0</v>
      </c>
      <c r="L110" s="31"/>
    </row>
    <row r="111" spans="1:12" ht="15.75" hidden="1" x14ac:dyDescent="0.25">
      <c r="A111" s="100" t="s">
        <v>137</v>
      </c>
      <c r="B111" s="101"/>
      <c r="C111" s="35">
        <v>0</v>
      </c>
      <c r="D111" s="103">
        <f ca="1">((100/I101)*C111)/100</f>
        <v>0</v>
      </c>
      <c r="E111" s="103"/>
      <c r="F111" s="103"/>
      <c r="G111" s="103"/>
      <c r="H111" s="103"/>
      <c r="I111" s="104"/>
      <c r="J111" s="26" t="s">
        <v>138</v>
      </c>
      <c r="K111" s="38">
        <f>(IF(B101&gt;4,(I101/(B101+2)+K110),0))</f>
        <v>0</v>
      </c>
      <c r="L111" s="31"/>
    </row>
    <row r="112" spans="1:12" ht="15.75" hidden="1" x14ac:dyDescent="0.25">
      <c r="A112" s="100" t="s">
        <v>139</v>
      </c>
      <c r="B112" s="101" t="s">
        <v>139</v>
      </c>
      <c r="C112" s="35">
        <v>0</v>
      </c>
      <c r="D112" s="103">
        <f ca="1">((100/(I101))*C112)/100</f>
        <v>0</v>
      </c>
      <c r="E112" s="103"/>
      <c r="F112" s="103"/>
      <c r="G112" s="103"/>
      <c r="H112" s="103"/>
      <c r="I112" s="104"/>
      <c r="J112" s="26" t="s">
        <v>140</v>
      </c>
      <c r="K112" s="38">
        <f ca="1">(IF(B101=1,(I101/(B101+3)+K107),IF(B101=0,(I101/4+K107),IF(B101&gt;1,0))))</f>
        <v>10.5</v>
      </c>
      <c r="L112" s="31"/>
    </row>
    <row r="113" spans="1:13" ht="16.5" hidden="1" thickBot="1" x14ac:dyDescent="0.3">
      <c r="A113" s="85" t="s">
        <v>141</v>
      </c>
      <c r="B113" s="86"/>
      <c r="C113" s="75">
        <v>0</v>
      </c>
      <c r="D113" s="87">
        <f ca="1">((100/(I101))*C113)/100</f>
        <v>0</v>
      </c>
      <c r="E113" s="87"/>
      <c r="F113" s="87"/>
      <c r="G113" s="87"/>
      <c r="H113" s="87"/>
      <c r="I113" s="105"/>
      <c r="J113" s="27" t="s">
        <v>142</v>
      </c>
      <c r="K113" s="40">
        <f ca="1">(IF(B101&gt;1.5,(I101/(B101+2)+K107+MAX(0,K108-K107)+MAX(0,K109-K108)+MAX(0,K110-K109)+MAX(0,K111-K110)+MAX(0,K112-K111)),IF(B101=1,(I101/(B101+3)+K112),IF(B101=0,I101/4+K112))))</f>
        <v>14</v>
      </c>
      <c r="L113" s="31"/>
    </row>
    <row r="114" spans="1:13" ht="15.75" hidden="1" customHeight="1" x14ac:dyDescent="0.25">
      <c r="A114" s="88" t="s">
        <v>285</v>
      </c>
      <c r="B114" s="89"/>
      <c r="C114" s="90"/>
      <c r="D114" s="94">
        <f ca="1">AVERAGE(F90,F104)</f>
        <v>0.44702380952380949</v>
      </c>
      <c r="E114" s="95"/>
      <c r="F114" s="94" t="s">
        <v>286</v>
      </c>
      <c r="G114" s="95"/>
      <c r="H114" s="94">
        <f ca="1">AVERAGE(H90,H104)</f>
        <v>0.7</v>
      </c>
      <c r="I114" s="98"/>
      <c r="J114" s="26"/>
      <c r="K114" s="38"/>
      <c r="L114" s="31"/>
    </row>
    <row r="115" spans="1:13" ht="31.5" hidden="1" customHeight="1" thickBot="1" x14ac:dyDescent="0.3">
      <c r="A115" s="91"/>
      <c r="B115" s="92"/>
      <c r="C115" s="93"/>
      <c r="D115" s="96"/>
      <c r="E115" s="97"/>
      <c r="F115" s="96"/>
      <c r="G115" s="97"/>
      <c r="H115" s="96"/>
      <c r="I115" s="99"/>
      <c r="J115" s="26"/>
      <c r="K115" s="38"/>
      <c r="L115" s="31"/>
    </row>
    <row r="116" spans="1:13" ht="15.75" x14ac:dyDescent="0.25">
      <c r="A116" s="106" t="s">
        <v>110</v>
      </c>
      <c r="B116" s="107"/>
      <c r="C116" s="108" t="s">
        <v>218</v>
      </c>
      <c r="D116" s="108"/>
      <c r="E116" s="108"/>
      <c r="F116" s="108"/>
      <c r="G116" s="108"/>
      <c r="H116" s="108"/>
      <c r="I116" s="109"/>
      <c r="J116" s="24" t="str">
        <f ca="1">(IF(F122&gt;99%,"All work completed. Please provide OC.",IF(F122&gt;89.8%,"Plinth, RCC, Brick, Plaster, Flooring, Painting work Completed. Finishing work is in process.",IF(F122&lt;94%,(IF(C122=0,"Work not yet Started.",IF(D122=25%,"Piling work in process",IF(D122=50%,"Excavation work in process",IF(D122=100%,"Excavation work Completed. ","0")))&amp;(IF(C123=0%,"",IF(C123=K124,"Footing work is process",IF(C123=K125,"Footing work Completed",IF(C123=K126,"1st Basement Completed",IF(C123=K127,"1st &amp; 2nd Basement Completed",IF(C123=K128,"1st to 3rd Basement Completed",IF(C123=K129,"1st to 4th Basement Completed",IF(C123=K130,"Plinth work is process",IF(C123=K131,"Plinth work completed","0")))))))))))&amp;(IF(C124=(D117+G117+I117),", RCC Slab",IF(C124&gt;0,", RCC upto "&amp;C124&amp;" Slab",""))&amp;(IF(C125=I117,", Brickwork",IF(C125&gt;0,", Brickwork upto "&amp;C125&amp;" Floor",""))&amp;(IF(C126=I117,", Internal Plaster",IF(C126&gt;0,", Internal Plaster upto "&amp;C126&amp;" Floor",""))&amp;(IF(C127=I117,", External Plaster",IF(C127&gt;0,", External Plaster upto "&amp;C127&amp;" Floor",""))&amp;(IF(C128=I117,", Flooring",IF(C128&gt;0,", Flooring upto "&amp;C128&amp;" Floor",""))&amp;(IF(C129=I117,", Painting",IF(C129&gt;0,", Painting upto "&amp;C129&amp;" Floor",""))&amp;(IF(C130&gt;0,", Finishing upto "&amp;C130&amp;" Floor","")&amp;(IF(C124&gt;0.5," Completed",""))))))))))))))</f>
        <v>All work completed. Please provide OC.</v>
      </c>
      <c r="K116" s="30"/>
      <c r="L116" s="31"/>
    </row>
    <row r="117" spans="1:13" ht="15" customHeight="1" x14ac:dyDescent="0.25">
      <c r="A117" s="72" t="s">
        <v>111</v>
      </c>
      <c r="B117" s="68">
        <v>0</v>
      </c>
      <c r="C117" s="68" t="s">
        <v>112</v>
      </c>
      <c r="D117" s="68">
        <v>1</v>
      </c>
      <c r="E117" s="110" t="s">
        <v>113</v>
      </c>
      <c r="F117" s="110"/>
      <c r="G117" s="68">
        <v>0</v>
      </c>
      <c r="H117" s="68" t="s">
        <v>114</v>
      </c>
      <c r="I117" s="73">
        <f ca="1">--TRIM(RIGHT(SUBSTITUTE(LEFT(C116,_xlfn.AGGREGATE(16,6,FIND({0,1,2,3,4,5,6,7,8,9},C116,ROW(INDIRECT("1:"&amp;LEN(C116)))),1))," ",REPT(" ",LEN(C116))),LEN(C116)))</f>
        <v>7</v>
      </c>
      <c r="J117" s="25"/>
      <c r="K117" s="32"/>
      <c r="L117" s="31"/>
    </row>
    <row r="118" spans="1:13" ht="15" customHeight="1" x14ac:dyDescent="0.25">
      <c r="A118" s="111" t="s">
        <v>115</v>
      </c>
      <c r="B118" s="112"/>
      <c r="C118" s="113" t="str">
        <f ca="1">J116</f>
        <v>All work completed. Please provide OC.</v>
      </c>
      <c r="D118" s="113"/>
      <c r="E118" s="113"/>
      <c r="F118" s="113"/>
      <c r="G118" s="113"/>
      <c r="H118" s="113"/>
      <c r="I118" s="114"/>
      <c r="J118" s="25" t="s">
        <v>116</v>
      </c>
      <c r="K118" s="32"/>
      <c r="L118" s="31"/>
    </row>
    <row r="119" spans="1:13" ht="15" customHeight="1" x14ac:dyDescent="0.25">
      <c r="A119" s="165" t="s">
        <v>119</v>
      </c>
      <c r="B119" s="122"/>
      <c r="C119" s="123">
        <v>1</v>
      </c>
      <c r="D119" s="124"/>
      <c r="E119" s="124"/>
      <c r="F119" s="124" t="s">
        <v>120</v>
      </c>
      <c r="G119" s="124"/>
      <c r="H119" s="123">
        <v>1</v>
      </c>
      <c r="I119" s="147"/>
      <c r="J119" s="25"/>
      <c r="K119" s="32"/>
      <c r="L119" s="31"/>
    </row>
    <row r="120" spans="1:13" s="29" customFormat="1" ht="14.45" customHeight="1" thickBot="1" x14ac:dyDescent="0.3">
      <c r="A120" s="166"/>
      <c r="B120" s="167"/>
      <c r="C120" s="146"/>
      <c r="D120" s="146"/>
      <c r="E120" s="146"/>
      <c r="F120" s="146"/>
      <c r="G120" s="146"/>
      <c r="H120" s="146"/>
      <c r="I120" s="148"/>
      <c r="J120" s="25"/>
      <c r="K120" s="32"/>
      <c r="L120" s="31"/>
      <c r="M120" s="28"/>
    </row>
    <row r="121" spans="1:13" ht="15" hidden="1" customHeight="1" x14ac:dyDescent="0.25">
      <c r="A121" s="100" t="s">
        <v>34</v>
      </c>
      <c r="B121" s="101"/>
      <c r="C121" s="67" t="s">
        <v>117</v>
      </c>
      <c r="D121" s="101" t="s">
        <v>118</v>
      </c>
      <c r="E121" s="101"/>
      <c r="F121" s="101" t="s">
        <v>119</v>
      </c>
      <c r="G121" s="101"/>
      <c r="H121" s="101" t="s">
        <v>120</v>
      </c>
      <c r="I121" s="102"/>
      <c r="J121" s="26" t="s">
        <v>121</v>
      </c>
      <c r="K121" s="34">
        <f ca="1">I117*25%</f>
        <v>1.75</v>
      </c>
      <c r="L121" s="31"/>
    </row>
    <row r="122" spans="1:13" ht="15" hidden="1" customHeight="1" x14ac:dyDescent="0.25">
      <c r="A122" s="100" t="s">
        <v>122</v>
      </c>
      <c r="B122" s="101"/>
      <c r="C122" s="35">
        <f ca="1">K123</f>
        <v>7</v>
      </c>
      <c r="D122" s="103">
        <f ca="1">((100/I117)*C122)/100</f>
        <v>1</v>
      </c>
      <c r="E122" s="103"/>
      <c r="F122" s="103">
        <f ca="1">(((C123/I117*10)+(40/(D117+G117+I117)*C124)+(7.5/(I117)*C125)+(7.5/(I117)*C126)+(10/I117*C127)+(10/I117*C128)+(5/I117*C129)+(5/I117*C130)+(5/I117*C131))/100)</f>
        <v>1</v>
      </c>
      <c r="G122" s="103"/>
      <c r="H122" s="103">
        <f ca="1">((((C122/I117)*20)+((C123/I117)*25)+(30/(I117+G117+D117)*C124)+(5/I117*C125)+(5/I117*C126)+(5/I117*C127)+(5/I117*C128)+(0/I117*C129)+(0/I117*C130)+(5/I117*C131))/100)</f>
        <v>1</v>
      </c>
      <c r="I122" s="104"/>
      <c r="J122" s="26" t="s">
        <v>123</v>
      </c>
      <c r="K122" s="36">
        <f ca="1">I117*50%</f>
        <v>3.5</v>
      </c>
      <c r="L122" s="31"/>
    </row>
    <row r="123" spans="1:13" ht="15" hidden="1" customHeight="1" x14ac:dyDescent="0.25">
      <c r="A123" s="100" t="s">
        <v>35</v>
      </c>
      <c r="B123" s="101"/>
      <c r="C123" s="37">
        <f ca="1">K131</f>
        <v>7</v>
      </c>
      <c r="D123" s="103">
        <f ca="1">((100/I117)*C123)/100</f>
        <v>1</v>
      </c>
      <c r="E123" s="103"/>
      <c r="F123" s="103"/>
      <c r="G123" s="103"/>
      <c r="H123" s="103"/>
      <c r="I123" s="104"/>
      <c r="J123" s="26" t="s">
        <v>124</v>
      </c>
      <c r="K123" s="36">
        <f ca="1">I117</f>
        <v>7</v>
      </c>
      <c r="L123" s="31"/>
    </row>
    <row r="124" spans="1:13" ht="15" hidden="1" customHeight="1" x14ac:dyDescent="0.25">
      <c r="A124" s="100" t="s">
        <v>125</v>
      </c>
      <c r="B124" s="101"/>
      <c r="C124" s="37">
        <v>8</v>
      </c>
      <c r="D124" s="103">
        <f ca="1">((100/(D117+G117+I117))*C124)/100</f>
        <v>1</v>
      </c>
      <c r="E124" s="103"/>
      <c r="F124" s="103"/>
      <c r="G124" s="103"/>
      <c r="H124" s="103"/>
      <c r="I124" s="104"/>
      <c r="J124" s="26" t="s">
        <v>126</v>
      </c>
      <c r="K124" s="38">
        <f ca="1">(IF(B117&gt;1,(I117/(B117+2)),I117/4))</f>
        <v>1.75</v>
      </c>
      <c r="L124" s="31"/>
    </row>
    <row r="125" spans="1:13" ht="15" hidden="1" customHeight="1" x14ac:dyDescent="0.25">
      <c r="A125" s="100" t="s">
        <v>127</v>
      </c>
      <c r="B125" s="101" t="s">
        <v>128</v>
      </c>
      <c r="C125" s="35">
        <v>7</v>
      </c>
      <c r="D125" s="103">
        <f ca="1">((100/I117)*C125)/100</f>
        <v>1</v>
      </c>
      <c r="E125" s="103"/>
      <c r="F125" s="103"/>
      <c r="G125" s="103"/>
      <c r="H125" s="103"/>
      <c r="I125" s="104"/>
      <c r="J125" s="26" t="s">
        <v>129</v>
      </c>
      <c r="K125" s="38">
        <f ca="1">(IF(B117&gt;1,(I117/(B117+2)+K124),I117/4+K124))</f>
        <v>3.5</v>
      </c>
      <c r="L125" s="31"/>
    </row>
    <row r="126" spans="1:13" ht="15" hidden="1" customHeight="1" x14ac:dyDescent="0.25">
      <c r="A126" s="100" t="s">
        <v>130</v>
      </c>
      <c r="B126" s="101" t="s">
        <v>128</v>
      </c>
      <c r="C126" s="35">
        <v>7</v>
      </c>
      <c r="D126" s="103">
        <f ca="1">((100/I117)*C126)/100</f>
        <v>1</v>
      </c>
      <c r="E126" s="103"/>
      <c r="F126" s="103"/>
      <c r="G126" s="103"/>
      <c r="H126" s="103"/>
      <c r="I126" s="104"/>
      <c r="J126" s="26" t="s">
        <v>131</v>
      </c>
      <c r="K126" s="38">
        <f>(IF(B117&gt;1,(I117/(B117+2)+K125),0))</f>
        <v>0</v>
      </c>
      <c r="L126" s="31"/>
    </row>
    <row r="127" spans="1:13" ht="15.75" hidden="1" x14ac:dyDescent="0.25">
      <c r="A127" s="100" t="s">
        <v>132</v>
      </c>
      <c r="B127" s="101" t="s">
        <v>133</v>
      </c>
      <c r="C127" s="35">
        <v>7</v>
      </c>
      <c r="D127" s="103">
        <f ca="1">((100/(I117))*C127)/100</f>
        <v>1</v>
      </c>
      <c r="E127" s="103"/>
      <c r="F127" s="103"/>
      <c r="G127" s="103"/>
      <c r="H127" s="103"/>
      <c r="I127" s="104"/>
      <c r="J127" s="26" t="s">
        <v>134</v>
      </c>
      <c r="K127" s="38">
        <f>(IF(B117&gt;2,(I117/(B117+2)+K126),0))</f>
        <v>0</v>
      </c>
      <c r="L127" s="31"/>
    </row>
    <row r="128" spans="1:13" ht="15.75" hidden="1" x14ac:dyDescent="0.25">
      <c r="A128" s="100" t="s">
        <v>135</v>
      </c>
      <c r="B128" s="101" t="s">
        <v>135</v>
      </c>
      <c r="C128" s="35">
        <v>7</v>
      </c>
      <c r="D128" s="103">
        <f ca="1">((100/I117)*C128)/100</f>
        <v>1</v>
      </c>
      <c r="E128" s="103"/>
      <c r="F128" s="103"/>
      <c r="G128" s="103"/>
      <c r="H128" s="103"/>
      <c r="I128" s="104"/>
      <c r="J128" s="26" t="s">
        <v>136</v>
      </c>
      <c r="K128" s="39">
        <f>(IF(B117&gt;3,(I117/(B117+2)+K127),0))</f>
        <v>0</v>
      </c>
      <c r="L128" s="31"/>
    </row>
    <row r="129" spans="1:12" ht="15.75" hidden="1" x14ac:dyDescent="0.25">
      <c r="A129" s="100" t="s">
        <v>137</v>
      </c>
      <c r="B129" s="101"/>
      <c r="C129" s="35">
        <v>7</v>
      </c>
      <c r="D129" s="103">
        <f ca="1">((100/I117)*C129)/100</f>
        <v>1</v>
      </c>
      <c r="E129" s="103"/>
      <c r="F129" s="103"/>
      <c r="G129" s="103"/>
      <c r="H129" s="103"/>
      <c r="I129" s="104"/>
      <c r="J129" s="26" t="s">
        <v>138</v>
      </c>
      <c r="K129" s="38">
        <f>(IF(B117&gt;4,(I117/(B117+2)+K128),0))</f>
        <v>0</v>
      </c>
      <c r="L129" s="31"/>
    </row>
    <row r="130" spans="1:12" ht="15.75" hidden="1" x14ac:dyDescent="0.25">
      <c r="A130" s="100" t="s">
        <v>139</v>
      </c>
      <c r="B130" s="101" t="s">
        <v>139</v>
      </c>
      <c r="C130" s="35">
        <v>7</v>
      </c>
      <c r="D130" s="103">
        <f ca="1">((100/(I117))*C130)/100</f>
        <v>1</v>
      </c>
      <c r="E130" s="103"/>
      <c r="F130" s="103"/>
      <c r="G130" s="103"/>
      <c r="H130" s="103"/>
      <c r="I130" s="104"/>
      <c r="J130" s="26" t="s">
        <v>140</v>
      </c>
      <c r="K130" s="38">
        <f ca="1">(IF(B117=1,(I117/(B117+3)+K125),IF(B117=0,(I117/4+K125),IF(B117&gt;1,0))))</f>
        <v>5.25</v>
      </c>
      <c r="L130" s="31"/>
    </row>
    <row r="131" spans="1:12" ht="16.5" hidden="1" thickBot="1" x14ac:dyDescent="0.3">
      <c r="A131" s="85" t="s">
        <v>141</v>
      </c>
      <c r="B131" s="86"/>
      <c r="C131" s="75">
        <v>7</v>
      </c>
      <c r="D131" s="87">
        <f ca="1">((100/(I117))*C131)/100</f>
        <v>1</v>
      </c>
      <c r="E131" s="87"/>
      <c r="F131" s="87"/>
      <c r="G131" s="87"/>
      <c r="H131" s="87"/>
      <c r="I131" s="105"/>
      <c r="J131" s="27" t="s">
        <v>142</v>
      </c>
      <c r="K131" s="40">
        <f ca="1">(IF(B117&gt;1.5,(I117/(B117+2)+K125+MAX(0,K126-K125)+MAX(0,K127-K126)+MAX(0,K128-K127)+MAX(0,K129-K128)+MAX(0,K130-K129)),IF(B117=1,(I117/(B117+3)+K130),IF(B117=0,I117/4+K130))))</f>
        <v>7</v>
      </c>
      <c r="L131" s="31"/>
    </row>
    <row r="132" spans="1:12" ht="15.75" hidden="1" x14ac:dyDescent="0.25">
      <c r="A132" s="130" t="s">
        <v>110</v>
      </c>
      <c r="B132" s="130"/>
      <c r="C132" s="131" t="s">
        <v>219</v>
      </c>
      <c r="D132" s="131"/>
      <c r="E132" s="131"/>
      <c r="F132" s="131"/>
      <c r="G132" s="131"/>
      <c r="H132" s="131"/>
      <c r="I132" s="131"/>
      <c r="J132" s="24" t="str">
        <f ca="1">(IF(F138&gt;99%,"All work completed. Please provide OC.",IF(F138&gt;89.8%,"Plinth, RCC, Brick, Plaster, Flooring, Painting work Completed. Finishing work is in process.",IF(F138&lt;94%,(IF(C138=0,"Work not yet Started.",IF(D138=25%,"Piling work in process",IF(D138=50%,"Excavation work in process",IF(D138=100%,"Excavation work Completed. ","0")))&amp;(IF(C139=0%,"",IF(C139=K138,"Footing work is process",IF(C139=K139,"Footing work Completed",IF(C139=K140,"1st Basement Completed",IF(C139=K141,"1st &amp; 2nd Basement Completed",IF(C139=K142,"1st to 3rd Basement Completed",IF(C139=K143,"1st to 4th Basement Completed",IF(C139=K144,"Plinth work is process",IF(C139=K145,"Plinth work completed","0")))))))))))&amp;(IF(C140=(D133+G133+I133),", RCC Slab",IF(C140&gt;0,", RCC upto "&amp;C140&amp;" Slab",""))&amp;(IF(C141=I133,", Brickwork",IF(C141&gt;0,", Brickwork upto "&amp;C141&amp;" Floor",""))&amp;(IF(C142=I133,", Internal Plaster",IF(C142&gt;0,", Internal Plaster upto "&amp;C142&amp;" Floor",""))&amp;(IF(C143=I133,", External Plaster",IF(C143&gt;0,", External Plaster upto "&amp;C143&amp;" Floor",""))&amp;(IF(C144=I133,", Flooring",IF(C144&gt;0,", Flooring upto "&amp;C144&amp;" Floor",""))&amp;(IF(C145=I133,", Painting",IF(C145&gt;0,", Painting upto "&amp;C145&amp;" Floor",""))&amp;(IF(C146&gt;0,", Finishing upto "&amp;C146&amp;" Floor","")&amp;(IF(C140&gt;0.5," Completed",""))))))))))))))</f>
        <v>All work completed. Please provide OC.</v>
      </c>
      <c r="K132" s="30"/>
      <c r="L132" s="31"/>
    </row>
    <row r="133" spans="1:12" ht="15.75" hidden="1" x14ac:dyDescent="0.25">
      <c r="A133" s="65" t="s">
        <v>111</v>
      </c>
      <c r="B133" s="65">
        <v>0</v>
      </c>
      <c r="C133" s="65" t="s">
        <v>112</v>
      </c>
      <c r="D133" s="65">
        <v>1</v>
      </c>
      <c r="E133" s="110" t="s">
        <v>113</v>
      </c>
      <c r="F133" s="110"/>
      <c r="G133" s="65">
        <v>0</v>
      </c>
      <c r="H133" s="65" t="s">
        <v>114</v>
      </c>
      <c r="I133" s="65">
        <f ca="1">--TRIM(RIGHT(SUBSTITUTE(LEFT(C132,_xlfn.AGGREGATE(16,6,FIND({0,1,2,3,4,5,6,7,8,9},C132,ROW(INDIRECT("1:"&amp;LEN(C132)))),1))," ",REPT(" ",LEN(C132))),LEN(C132)))</f>
        <v>3</v>
      </c>
      <c r="J133" s="25"/>
      <c r="K133" s="32"/>
      <c r="L133" s="31"/>
    </row>
    <row r="134" spans="1:12" ht="15.75" hidden="1" customHeight="1" x14ac:dyDescent="0.25">
      <c r="A134" s="112" t="s">
        <v>115</v>
      </c>
      <c r="B134" s="112"/>
      <c r="C134" s="113" t="s">
        <v>116</v>
      </c>
      <c r="D134" s="113"/>
      <c r="E134" s="113"/>
      <c r="F134" s="113"/>
      <c r="G134" s="113"/>
      <c r="H134" s="113"/>
      <c r="I134" s="113"/>
      <c r="J134" s="25" t="s">
        <v>116</v>
      </c>
      <c r="K134" s="32"/>
      <c r="L134" s="31"/>
    </row>
    <row r="135" spans="1:12" ht="15.75" hidden="1" x14ac:dyDescent="0.25">
      <c r="A135" s="122" t="s">
        <v>119</v>
      </c>
      <c r="B135" s="122"/>
      <c r="C135" s="123">
        <v>1</v>
      </c>
      <c r="D135" s="124"/>
      <c r="E135" s="124"/>
      <c r="F135" s="124" t="s">
        <v>120</v>
      </c>
      <c r="G135" s="124"/>
      <c r="H135" s="123">
        <v>1</v>
      </c>
      <c r="I135" s="124"/>
      <c r="J135" s="26" t="s">
        <v>121</v>
      </c>
      <c r="K135" s="34">
        <f ca="1">I133*25%</f>
        <v>0.75</v>
      </c>
      <c r="L135" s="31"/>
    </row>
    <row r="136" spans="1:12" hidden="1" x14ac:dyDescent="0.25">
      <c r="A136" s="122"/>
      <c r="B136" s="122"/>
      <c r="C136" s="124"/>
      <c r="D136" s="124"/>
      <c r="E136" s="124"/>
      <c r="F136" s="124"/>
      <c r="G136" s="124"/>
      <c r="H136" s="124"/>
      <c r="I136" s="124"/>
      <c r="J136" s="26" t="s">
        <v>123</v>
      </c>
      <c r="K136" s="36">
        <f ca="1">I133*50%</f>
        <v>1.5</v>
      </c>
      <c r="L136" s="31"/>
    </row>
    <row r="137" spans="1:12" ht="15.75" hidden="1" x14ac:dyDescent="0.25">
      <c r="A137" s="101" t="s">
        <v>34</v>
      </c>
      <c r="B137" s="101"/>
      <c r="C137" s="64" t="s">
        <v>117</v>
      </c>
      <c r="D137" s="101" t="s">
        <v>118</v>
      </c>
      <c r="E137" s="101"/>
      <c r="F137" s="101" t="s">
        <v>119</v>
      </c>
      <c r="G137" s="101"/>
      <c r="H137" s="101" t="s">
        <v>120</v>
      </c>
      <c r="I137" s="101"/>
      <c r="J137" s="26" t="s">
        <v>124</v>
      </c>
      <c r="K137" s="36">
        <f ca="1">I133</f>
        <v>3</v>
      </c>
      <c r="L137" s="31"/>
    </row>
    <row r="138" spans="1:12" ht="15.75" hidden="1" x14ac:dyDescent="0.25">
      <c r="A138" s="101" t="s">
        <v>122</v>
      </c>
      <c r="B138" s="101"/>
      <c r="C138" s="35">
        <f ca="1">K137</f>
        <v>3</v>
      </c>
      <c r="D138" s="103">
        <f ca="1">((100/I133)*C138)/100</f>
        <v>1</v>
      </c>
      <c r="E138" s="103"/>
      <c r="F138" s="103">
        <f ca="1">(((C139/I133*10)+(40/(D133+G133+I133)*C140)+(7.5/(I133)*C141)+(7.5/(I133)*C142)+(10/I133*C143)+(10/I133*C144)+(5/I133*C145)+(5/I133*C146)+(5/I133*C147))/100)</f>
        <v>1</v>
      </c>
      <c r="G138" s="103"/>
      <c r="H138" s="103">
        <f ca="1">((((C138/I133)*20)+((C139/I133)*25)+(30/(I133+G133+D133)*C140)+(5/I133*C141)+(5/I133*C142)+(5/I133*C143)+(5/I133*C144)+(0/I133*C145)+(0/I133*C146)+(5/I133*C147))/100)</f>
        <v>1</v>
      </c>
      <c r="I138" s="103"/>
      <c r="J138" s="26" t="s">
        <v>126</v>
      </c>
      <c r="K138" s="38">
        <f ca="1">(IF(B133&gt;1,(I133/(B133+2)),I133/4))</f>
        <v>0.75</v>
      </c>
      <c r="L138" s="31"/>
    </row>
    <row r="139" spans="1:12" ht="15.75" hidden="1" x14ac:dyDescent="0.25">
      <c r="A139" s="101" t="s">
        <v>35</v>
      </c>
      <c r="B139" s="101"/>
      <c r="C139" s="37">
        <f ca="1">K145</f>
        <v>3</v>
      </c>
      <c r="D139" s="103">
        <f ca="1">((100/I133)*C139)/100</f>
        <v>1</v>
      </c>
      <c r="E139" s="103"/>
      <c r="F139" s="103"/>
      <c r="G139" s="103"/>
      <c r="H139" s="103"/>
      <c r="I139" s="103"/>
      <c r="J139" s="26" t="s">
        <v>129</v>
      </c>
      <c r="K139" s="38">
        <f ca="1">(IF(B133&gt;1,(I133/(B133+2)+K138),I133/4+K138))</f>
        <v>1.5</v>
      </c>
      <c r="L139" s="31"/>
    </row>
    <row r="140" spans="1:12" ht="15.75" hidden="1" x14ac:dyDescent="0.25">
      <c r="A140" s="101" t="s">
        <v>125</v>
      </c>
      <c r="B140" s="101"/>
      <c r="C140" s="37">
        <v>4</v>
      </c>
      <c r="D140" s="103">
        <f ca="1">((100/(D133+G133+I133))*C140)/100</f>
        <v>1</v>
      </c>
      <c r="E140" s="103"/>
      <c r="F140" s="103"/>
      <c r="G140" s="103"/>
      <c r="H140" s="103"/>
      <c r="I140" s="103"/>
      <c r="J140" s="26" t="s">
        <v>131</v>
      </c>
      <c r="K140" s="38">
        <f>(IF(B133&gt;1,(I133/(B133+2)+K139),0))</f>
        <v>0</v>
      </c>
      <c r="L140" s="31"/>
    </row>
    <row r="141" spans="1:12" ht="15.75" hidden="1" x14ac:dyDescent="0.25">
      <c r="A141" s="101" t="s">
        <v>127</v>
      </c>
      <c r="B141" s="101" t="s">
        <v>128</v>
      </c>
      <c r="C141" s="35">
        <v>3</v>
      </c>
      <c r="D141" s="103">
        <f ca="1">((100/I133)*C141)/100</f>
        <v>1</v>
      </c>
      <c r="E141" s="103"/>
      <c r="F141" s="103"/>
      <c r="G141" s="103"/>
      <c r="H141" s="103"/>
      <c r="I141" s="103"/>
      <c r="J141" s="26" t="s">
        <v>134</v>
      </c>
      <c r="K141" s="38">
        <f>(IF(B133&gt;2,(I133/(B133+2)+K140),0))</f>
        <v>0</v>
      </c>
      <c r="L141" s="31"/>
    </row>
    <row r="142" spans="1:12" ht="15.75" hidden="1" x14ac:dyDescent="0.25">
      <c r="A142" s="101" t="s">
        <v>130</v>
      </c>
      <c r="B142" s="101" t="s">
        <v>128</v>
      </c>
      <c r="C142" s="35">
        <v>3</v>
      </c>
      <c r="D142" s="103">
        <f ca="1">((100/I133)*C142)/100</f>
        <v>1</v>
      </c>
      <c r="E142" s="103"/>
      <c r="F142" s="103"/>
      <c r="G142" s="103"/>
      <c r="H142" s="103"/>
      <c r="I142" s="103"/>
      <c r="J142" s="26" t="s">
        <v>136</v>
      </c>
      <c r="K142" s="39">
        <f>(IF(B133&gt;3,(I133/(B133+2)+K141),0))</f>
        <v>0</v>
      </c>
      <c r="L142" s="31"/>
    </row>
    <row r="143" spans="1:12" ht="15.75" hidden="1" x14ac:dyDescent="0.25">
      <c r="A143" s="101" t="s">
        <v>132</v>
      </c>
      <c r="B143" s="101" t="s">
        <v>133</v>
      </c>
      <c r="C143" s="35">
        <v>3</v>
      </c>
      <c r="D143" s="103">
        <f ca="1">((100/(I133))*C143)/100</f>
        <v>1</v>
      </c>
      <c r="E143" s="103"/>
      <c r="F143" s="103"/>
      <c r="G143" s="103"/>
      <c r="H143" s="103"/>
      <c r="I143" s="103"/>
      <c r="J143" s="26" t="s">
        <v>138</v>
      </c>
      <c r="K143" s="38">
        <f>(IF(B133&gt;4,(I133/(B133+2)+K142),0))</f>
        <v>0</v>
      </c>
      <c r="L143" s="31"/>
    </row>
    <row r="144" spans="1:12" ht="15.75" hidden="1" x14ac:dyDescent="0.25">
      <c r="A144" s="101" t="s">
        <v>135</v>
      </c>
      <c r="B144" s="101" t="s">
        <v>135</v>
      </c>
      <c r="C144" s="35">
        <v>3</v>
      </c>
      <c r="D144" s="103">
        <f ca="1">((100/I133)*C144)/100</f>
        <v>1</v>
      </c>
      <c r="E144" s="103"/>
      <c r="F144" s="103"/>
      <c r="G144" s="103"/>
      <c r="H144" s="103"/>
      <c r="I144" s="103"/>
      <c r="J144" s="26" t="s">
        <v>140</v>
      </c>
      <c r="K144" s="38">
        <f ca="1">(IF(B133=1,(I133/(B133+3)+K139),IF(B133=0,(I133/4+K139),IF(B133&gt;1,0))))</f>
        <v>2.25</v>
      </c>
      <c r="L144" s="31"/>
    </row>
    <row r="145" spans="1:17" ht="16.5" hidden="1" thickBot="1" x14ac:dyDescent="0.3">
      <c r="A145" s="101" t="s">
        <v>137</v>
      </c>
      <c r="B145" s="101"/>
      <c r="C145" s="35">
        <v>3</v>
      </c>
      <c r="D145" s="103">
        <f ca="1">((100/I133)*C145)/100</f>
        <v>1</v>
      </c>
      <c r="E145" s="103"/>
      <c r="F145" s="103"/>
      <c r="G145" s="103"/>
      <c r="H145" s="103"/>
      <c r="I145" s="103"/>
      <c r="J145" s="27" t="s">
        <v>142</v>
      </c>
      <c r="K145" s="40">
        <f ca="1">(IF(B133&gt;1.5,(I133/(B133+2)+K139+MAX(0,K140-K139)+MAX(0,K141-K140)+MAX(0,K142-K141)+MAX(0,K143-K142)+MAX(0,K144-K143)),IF(B133=1,(I133/(B133+3)+K144),IF(B133=0,I133/4+K144))))</f>
        <v>3</v>
      </c>
      <c r="L145" s="31"/>
    </row>
    <row r="146" spans="1:17" ht="15.75" hidden="1" x14ac:dyDescent="0.25">
      <c r="A146" s="101" t="s">
        <v>139</v>
      </c>
      <c r="B146" s="101" t="s">
        <v>139</v>
      </c>
      <c r="C146" s="35">
        <v>3</v>
      </c>
      <c r="D146" s="103">
        <f ca="1">((100/(I133))*C146)/100</f>
        <v>1</v>
      </c>
      <c r="E146" s="103"/>
      <c r="F146" s="103"/>
      <c r="G146" s="103"/>
      <c r="H146" s="103"/>
      <c r="I146" s="103"/>
    </row>
    <row r="147" spans="1:17" ht="15.75" hidden="1" x14ac:dyDescent="0.25">
      <c r="A147" s="101" t="s">
        <v>141</v>
      </c>
      <c r="B147" s="101"/>
      <c r="C147" s="35">
        <v>3</v>
      </c>
      <c r="D147" s="103">
        <f ca="1">((100/(I133))*C147)/100</f>
        <v>1</v>
      </c>
      <c r="E147" s="103"/>
      <c r="F147" s="103"/>
      <c r="G147" s="103"/>
      <c r="H147" s="103"/>
      <c r="I147" s="103"/>
    </row>
    <row r="148" spans="1:17" ht="15.75" x14ac:dyDescent="0.25">
      <c r="A148" s="121" t="s">
        <v>23</v>
      </c>
      <c r="B148" s="121"/>
      <c r="C148" s="121"/>
      <c r="D148" s="121"/>
      <c r="E148" s="121"/>
      <c r="F148" s="121"/>
      <c r="G148" s="121"/>
      <c r="H148" s="121"/>
      <c r="I148" s="121"/>
    </row>
    <row r="149" spans="1:17" ht="15.75" x14ac:dyDescent="0.25">
      <c r="A149" s="119" t="s">
        <v>88</v>
      </c>
      <c r="B149" s="119"/>
      <c r="C149" s="119"/>
      <c r="D149" s="119"/>
      <c r="E149" s="119"/>
      <c r="F149" s="119"/>
      <c r="G149" s="119">
        <v>4250</v>
      </c>
      <c r="H149" s="119"/>
      <c r="I149" s="119"/>
      <c r="J149" s="77" t="s">
        <v>276</v>
      </c>
      <c r="K149" s="78"/>
      <c r="L149" s="78"/>
      <c r="M149" s="79"/>
      <c r="N149" s="79"/>
      <c r="O149" s="79"/>
      <c r="P149" s="79"/>
      <c r="Q149" s="79"/>
    </row>
    <row r="150" spans="1:17" ht="15.75" hidden="1" x14ac:dyDescent="0.25">
      <c r="A150" s="119" t="s">
        <v>24</v>
      </c>
      <c r="B150" s="119"/>
      <c r="C150" s="119"/>
      <c r="D150" s="119"/>
      <c r="E150" s="119"/>
      <c r="F150" s="119"/>
      <c r="G150" s="118" t="s">
        <v>58</v>
      </c>
      <c r="H150" s="118"/>
      <c r="I150" s="118"/>
      <c r="J150" s="29"/>
      <c r="K150" s="29"/>
      <c r="L150" s="29"/>
    </row>
    <row r="151" spans="1:17" ht="15.75" hidden="1" x14ac:dyDescent="0.25">
      <c r="A151" s="119" t="s">
        <v>56</v>
      </c>
      <c r="B151" s="119"/>
      <c r="C151" s="119"/>
      <c r="D151" s="119"/>
      <c r="E151" s="119"/>
      <c r="F151" s="119"/>
      <c r="G151" s="119" t="s">
        <v>57</v>
      </c>
      <c r="H151" s="119"/>
      <c r="I151" s="119"/>
    </row>
    <row r="152" spans="1:17" ht="15.75" hidden="1" x14ac:dyDescent="0.25">
      <c r="A152" s="119" t="s">
        <v>89</v>
      </c>
      <c r="B152" s="119"/>
      <c r="C152" s="119"/>
      <c r="D152" s="119"/>
      <c r="E152" s="119"/>
      <c r="F152" s="119"/>
      <c r="G152" s="119" t="s">
        <v>90</v>
      </c>
      <c r="H152" s="119"/>
      <c r="I152" s="119"/>
    </row>
    <row r="153" spans="1:17" ht="15.75" hidden="1" x14ac:dyDescent="0.25">
      <c r="A153" s="119" t="s">
        <v>91</v>
      </c>
      <c r="B153" s="119"/>
      <c r="C153" s="119"/>
      <c r="D153" s="119"/>
      <c r="E153" s="119"/>
      <c r="F153" s="119"/>
      <c r="G153" s="119" t="s">
        <v>92</v>
      </c>
      <c r="H153" s="119"/>
      <c r="I153" s="119"/>
    </row>
    <row r="154" spans="1:17" ht="15.75" hidden="1" x14ac:dyDescent="0.25">
      <c r="A154" s="119" t="s">
        <v>54</v>
      </c>
      <c r="B154" s="119"/>
      <c r="C154" s="119"/>
      <c r="D154" s="119"/>
      <c r="E154" s="119"/>
      <c r="F154" s="119"/>
      <c r="G154" s="119" t="s">
        <v>55</v>
      </c>
      <c r="H154" s="119"/>
      <c r="I154" s="119"/>
    </row>
    <row r="155" spans="1:17" ht="15.75" x14ac:dyDescent="0.25">
      <c r="A155" s="119" t="s">
        <v>269</v>
      </c>
      <c r="B155" s="119"/>
      <c r="C155" s="119"/>
      <c r="D155" s="119"/>
      <c r="E155" s="119"/>
      <c r="F155" s="119"/>
      <c r="G155" s="119">
        <v>100000</v>
      </c>
      <c r="H155" s="119"/>
      <c r="I155" s="119"/>
    </row>
    <row r="156" spans="1:17" ht="15.75" x14ac:dyDescent="0.25">
      <c r="A156" s="119" t="s">
        <v>25</v>
      </c>
      <c r="B156" s="119"/>
      <c r="C156" s="119"/>
      <c r="D156" s="119"/>
      <c r="E156" s="119"/>
      <c r="F156" s="119"/>
      <c r="G156" s="119" t="s">
        <v>59</v>
      </c>
      <c r="H156" s="119"/>
      <c r="I156" s="119"/>
    </row>
    <row r="157" spans="1:17" ht="15.75" x14ac:dyDescent="0.25">
      <c r="A157" s="125" t="s">
        <v>220</v>
      </c>
      <c r="B157" s="125"/>
      <c r="C157" s="125"/>
      <c r="D157" s="125"/>
      <c r="E157" s="125"/>
      <c r="F157" s="125"/>
      <c r="G157" s="125"/>
      <c r="H157" s="125"/>
      <c r="I157" s="125"/>
    </row>
    <row r="158" spans="1:17" ht="15.75" x14ac:dyDescent="0.25">
      <c r="A158" s="125" t="s">
        <v>221</v>
      </c>
      <c r="B158" s="125"/>
      <c r="C158" s="125"/>
      <c r="D158" s="125" t="s">
        <v>222</v>
      </c>
      <c r="E158" s="125"/>
      <c r="F158" s="125" t="s">
        <v>223</v>
      </c>
      <c r="G158" s="125"/>
      <c r="H158" s="125" t="s">
        <v>224</v>
      </c>
      <c r="I158" s="125"/>
    </row>
    <row r="159" spans="1:17" ht="15.75" x14ac:dyDescent="0.25">
      <c r="A159" s="115" t="s">
        <v>192</v>
      </c>
      <c r="B159" s="115"/>
      <c r="C159" s="115"/>
      <c r="D159" s="116">
        <f>COUNT(D170:D177)*3+COUNT(D179:D186)*3+COUNT(D188:D195)</f>
        <v>56</v>
      </c>
      <c r="E159" s="116"/>
      <c r="F159" s="117">
        <f>SUM(D170:D177)*3+SUM(D179:D186)*3+SUM(D188:D195)</f>
        <v>22487.624054999997</v>
      </c>
      <c r="G159" s="129"/>
      <c r="H159" s="117">
        <f>SUM(F170:F177)*3+SUM(F179:F186)*3+SUM(F188:F195)</f>
        <v>35410.446512999995</v>
      </c>
      <c r="I159" s="129"/>
    </row>
    <row r="160" spans="1:17" ht="15.75" x14ac:dyDescent="0.25">
      <c r="A160" s="115" t="s">
        <v>227</v>
      </c>
      <c r="B160" s="115"/>
      <c r="C160" s="115"/>
      <c r="D160" s="116">
        <f>COUNT(D199:D214)*4+COUNT(D216:D231)*3</f>
        <v>112</v>
      </c>
      <c r="E160" s="116"/>
      <c r="F160" s="117">
        <f>SUM(D199:D214)*4+SUM(D216:D231)*3</f>
        <v>33221.579039999997</v>
      </c>
      <c r="G160" s="117"/>
      <c r="H160" s="117">
        <f>SUM(F199:F214)*4+SUM(F216:F231)*3</f>
        <v>52235.259335999996</v>
      </c>
      <c r="I160" s="117"/>
    </row>
    <row r="161" spans="1:14" ht="15.75" x14ac:dyDescent="0.25">
      <c r="A161" s="115" t="s">
        <v>228</v>
      </c>
      <c r="B161" s="115"/>
      <c r="C161" s="115"/>
      <c r="D161" s="116">
        <f>COUNT(D235:D243)*10+COUNT(D255:D263)*2+COUNT(D265:D267,D269:D273)*2</f>
        <v>124</v>
      </c>
      <c r="E161" s="116"/>
      <c r="F161" s="117">
        <f>SUM(D235:D243)*10+SUM(D255:D263)*2+SUM(D265:D267,D269:D273)*2</f>
        <v>64366.933176000006</v>
      </c>
      <c r="G161" s="117"/>
      <c r="H161" s="117">
        <f>SUM(F235:F243)*10+SUM(F255:F263)*2+SUM(F265:F267,F269:F273)*2</f>
        <v>90113.706446399985</v>
      </c>
      <c r="I161" s="117"/>
      <c r="J161" s="51"/>
    </row>
    <row r="162" spans="1:14" ht="15.75" x14ac:dyDescent="0.25">
      <c r="A162" s="115" t="s">
        <v>229</v>
      </c>
      <c r="B162" s="115"/>
      <c r="C162" s="115"/>
      <c r="D162" s="116">
        <f>COUNT(D277:D288)*3+COUNT(D290:D301)*3+COUNT(D303:D314)</f>
        <v>84</v>
      </c>
      <c r="E162" s="116"/>
      <c r="F162" s="117">
        <f>SUM(D277:D288)*3+SUM(D290:D301)*3+SUM(D303:D314)</f>
        <v>33810.181470000003</v>
      </c>
      <c r="G162" s="117"/>
      <c r="H162" s="117">
        <f>SUM(F277:F288)*3+SUM(F290:F301)*3+SUM(F303:F314)</f>
        <v>52995.687497999999</v>
      </c>
      <c r="I162" s="117"/>
    </row>
    <row r="163" spans="1:14" ht="15.75" x14ac:dyDescent="0.25">
      <c r="A163" s="125" t="s">
        <v>225</v>
      </c>
      <c r="B163" s="125"/>
      <c r="C163" s="125"/>
      <c r="D163" s="126">
        <f>SUM(D159:E162)</f>
        <v>376</v>
      </c>
      <c r="E163" s="125"/>
      <c r="F163" s="126">
        <f>SUM(F159:G162)</f>
        <v>153886.31774100001</v>
      </c>
      <c r="G163" s="125"/>
      <c r="H163" s="126">
        <f>SUM(H159:I162)</f>
        <v>230755.09979339998</v>
      </c>
      <c r="I163" s="125"/>
    </row>
    <row r="164" spans="1:14" ht="15.75" x14ac:dyDescent="0.25">
      <c r="A164" s="125" t="s">
        <v>262</v>
      </c>
      <c r="B164" s="125"/>
      <c r="C164" s="125"/>
      <c r="D164" s="125"/>
      <c r="E164" s="125"/>
      <c r="F164" s="125"/>
      <c r="G164" s="125"/>
      <c r="H164" s="125"/>
      <c r="I164" s="125"/>
    </row>
    <row r="165" spans="1:14" ht="15.75" x14ac:dyDescent="0.25">
      <c r="A165" s="125" t="s">
        <v>226</v>
      </c>
      <c r="B165" s="125"/>
      <c r="C165" s="125"/>
      <c r="D165" s="125"/>
      <c r="E165" s="125"/>
      <c r="F165" s="125"/>
      <c r="G165" s="125"/>
      <c r="H165" s="125"/>
      <c r="I165" s="125"/>
    </row>
    <row r="166" spans="1:14" ht="47.25" x14ac:dyDescent="0.25">
      <c r="A166" s="63" t="s">
        <v>188</v>
      </c>
      <c r="B166" s="63" t="s">
        <v>189</v>
      </c>
      <c r="C166" s="63" t="s">
        <v>30</v>
      </c>
      <c r="D166" s="63" t="s">
        <v>239</v>
      </c>
      <c r="E166" s="63" t="s">
        <v>240</v>
      </c>
      <c r="F166" s="63" t="s">
        <v>241</v>
      </c>
      <c r="G166" s="63" t="s">
        <v>31</v>
      </c>
      <c r="H166" s="170" t="s">
        <v>32</v>
      </c>
      <c r="I166" s="170"/>
    </row>
    <row r="167" spans="1:14" ht="15.75" x14ac:dyDescent="0.25">
      <c r="A167" s="169" t="s">
        <v>192</v>
      </c>
      <c r="B167" s="169"/>
      <c r="C167" s="169"/>
      <c r="D167" s="169"/>
      <c r="E167" s="169"/>
      <c r="F167" s="169"/>
      <c r="G167" s="169"/>
      <c r="H167" s="169"/>
      <c r="I167" s="169"/>
    </row>
    <row r="168" spans="1:14" ht="15.75" x14ac:dyDescent="0.25">
      <c r="A168" s="125" t="s">
        <v>186</v>
      </c>
      <c r="B168" s="125"/>
      <c r="C168" s="125"/>
      <c r="D168" s="125"/>
      <c r="E168" s="125"/>
      <c r="F168" s="125"/>
      <c r="G168" s="125"/>
      <c r="H168" s="125"/>
      <c r="I168" s="125"/>
    </row>
    <row r="169" spans="1:14" ht="15.75" x14ac:dyDescent="0.25">
      <c r="A169" s="125" t="s">
        <v>187</v>
      </c>
      <c r="B169" s="125"/>
      <c r="C169" s="125"/>
      <c r="D169" s="125"/>
      <c r="E169" s="125"/>
      <c r="F169" s="125"/>
      <c r="G169" s="125"/>
      <c r="H169" s="125"/>
      <c r="I169" s="125"/>
    </row>
    <row r="170" spans="1:14" ht="15.75" x14ac:dyDescent="0.25">
      <c r="A170" s="159">
        <v>1</v>
      </c>
      <c r="B170" s="159"/>
      <c r="C170" s="61" t="s">
        <v>61</v>
      </c>
      <c r="D170" s="47">
        <f>((2.7*3.4)+(1.2*1.2)+(1.2*0.9)+(0.9*1.2)+(2.7*2.55)+(2.1*1.6)+(2.7*1)+(2.1*2)+(0.45*2.7))*10.764</f>
        <v>335.19095999999996</v>
      </c>
      <c r="E170" s="47">
        <f>2.8*1.5*10.764</f>
        <v>45.208799999999989</v>
      </c>
      <c r="F170" s="47">
        <f>D170*1.4+E170</f>
        <v>514.47614399999986</v>
      </c>
      <c r="G170" s="62" t="s">
        <v>60</v>
      </c>
      <c r="H170" s="171" t="str">
        <f>A169</f>
        <v>1st, 3rd &amp; 5th Floor For Residential</v>
      </c>
      <c r="I170" s="171"/>
      <c r="L170" s="69">
        <f>(F170-E170)/D170</f>
        <v>1.3999999999999997</v>
      </c>
      <c r="N170" s="28">
        <f>4250*F170</f>
        <v>2186523.6119999993</v>
      </c>
    </row>
    <row r="171" spans="1:14" ht="15.75" x14ac:dyDescent="0.25">
      <c r="A171" s="159">
        <v>2</v>
      </c>
      <c r="B171" s="159"/>
      <c r="C171" s="61" t="s">
        <v>61</v>
      </c>
      <c r="D171" s="47">
        <f>((2.7*3.4)+(1.2*1.2)+(1.2*0.9)+(0.9*1.2)+(2.7*2.55)+(2.1*1.6)+(2.7*1)+(2.1*2)+(0.45*2.7))*10.764</f>
        <v>335.19095999999996</v>
      </c>
      <c r="E171" s="47">
        <f>2.8*1.5*10.764</f>
        <v>45.208799999999989</v>
      </c>
      <c r="F171" s="47">
        <f t="shared" ref="F171:F177" si="0">D171*1.4+E171</f>
        <v>514.47614399999986</v>
      </c>
      <c r="G171" s="62" t="s">
        <v>60</v>
      </c>
      <c r="H171" s="171"/>
      <c r="I171" s="171"/>
      <c r="L171" s="69">
        <f t="shared" ref="L171:L183" si="1">(F171-E171)/D171</f>
        <v>1.3999999999999997</v>
      </c>
      <c r="N171" s="28">
        <f t="shared" ref="N171:N176" si="2">4250*F171</f>
        <v>2186523.6119999993</v>
      </c>
    </row>
    <row r="172" spans="1:14" ht="15.75" x14ac:dyDescent="0.25">
      <c r="A172" s="159">
        <v>3</v>
      </c>
      <c r="B172" s="159"/>
      <c r="C172" s="61" t="s">
        <v>61</v>
      </c>
      <c r="D172" s="47">
        <f>((2.7*3.4)+(1.2*1.2)+(1.2*0.9)+(0.9*1.2)+(2.7*2.55)+(2.1*1.6)+(2.7*1)+(2.1*2)+(0.45*2.7))*10.764</f>
        <v>335.19095999999996</v>
      </c>
      <c r="E172" s="47">
        <f>2.8*1.5*10.764</f>
        <v>45.208799999999989</v>
      </c>
      <c r="F172" s="47">
        <f t="shared" si="0"/>
        <v>514.47614399999986</v>
      </c>
      <c r="G172" s="62" t="s">
        <v>60</v>
      </c>
      <c r="H172" s="171"/>
      <c r="I172" s="171"/>
      <c r="L172" s="69">
        <f t="shared" si="1"/>
        <v>1.3999999999999997</v>
      </c>
      <c r="N172" s="28">
        <f t="shared" si="2"/>
        <v>2186523.6119999993</v>
      </c>
    </row>
    <row r="173" spans="1:14" ht="15.75" x14ac:dyDescent="0.25">
      <c r="A173" s="159">
        <v>4</v>
      </c>
      <c r="B173" s="159"/>
      <c r="C173" s="61" t="s">
        <v>62</v>
      </c>
      <c r="D173" s="47">
        <f>((3*3.15)+(2.1*3)+(1.8*1.2)+(1.8*1.2)+(2.35*1.95)+(2.55*2.7)+(1.25*2.4)+(2.55*0.9)+(0.45*3.35)+(2*0.45)+(3*1.125))*10.764</f>
        <v>458.70785999999998</v>
      </c>
      <c r="E173" s="47">
        <f>(3+3.15)*1.5*10.764</f>
        <v>99.297900000000013</v>
      </c>
      <c r="F173" s="47">
        <f t="shared" si="0"/>
        <v>741.48890399999993</v>
      </c>
      <c r="G173" s="62" t="s">
        <v>60</v>
      </c>
      <c r="H173" s="171"/>
      <c r="I173" s="171"/>
      <c r="L173" s="69">
        <f t="shared" si="1"/>
        <v>1.4</v>
      </c>
      <c r="N173" s="28">
        <f t="shared" si="2"/>
        <v>3151327.8419999997</v>
      </c>
    </row>
    <row r="174" spans="1:14" ht="15.75" x14ac:dyDescent="0.25">
      <c r="A174" s="159">
        <v>5</v>
      </c>
      <c r="B174" s="159"/>
      <c r="C174" s="61" t="s">
        <v>62</v>
      </c>
      <c r="D174" s="47">
        <f>((3*3.15)+(2.1*3.4)+(1.8*1.2)+(1.8*1.2)+(2.8*1.95)+(2.55*2.7)+(2.7*0.9)+(3*1.125)+(1.125*2.8)+(0.45*2.7))*10.764</f>
        <v>467.42670000000004</v>
      </c>
      <c r="E174" s="47">
        <f>(3+2.8)*1.5*10.764</f>
        <v>93.646799999999985</v>
      </c>
      <c r="F174" s="47">
        <f t="shared" si="0"/>
        <v>748.04417999999998</v>
      </c>
      <c r="G174" s="62" t="s">
        <v>60</v>
      </c>
      <c r="H174" s="171"/>
      <c r="I174" s="171"/>
      <c r="L174" s="69">
        <f t="shared" si="1"/>
        <v>1.4</v>
      </c>
      <c r="N174" s="28">
        <f t="shared" si="2"/>
        <v>3179187.7650000001</v>
      </c>
    </row>
    <row r="175" spans="1:14" ht="15.75" x14ac:dyDescent="0.25">
      <c r="A175" s="159">
        <v>6</v>
      </c>
      <c r="B175" s="159"/>
      <c r="C175" s="61" t="s">
        <v>62</v>
      </c>
      <c r="D175" s="47">
        <f>((2.1*3)+(3*3.15)+(2.55*2.7)+(2.8*1.95)+(1.8*1.2)+(1.8*1.2)+(2.55*1)+(2*0.45)+(2.8*1.125)+(1.125*3))*10.764</f>
        <v>456.28595999999987</v>
      </c>
      <c r="E175" s="47">
        <f>1.5*2.8*10.764</f>
        <v>45.208799999999989</v>
      </c>
      <c r="F175" s="47">
        <f t="shared" si="0"/>
        <v>684.00914399999976</v>
      </c>
      <c r="G175" s="62" t="s">
        <v>60</v>
      </c>
      <c r="H175" s="171"/>
      <c r="I175" s="171"/>
      <c r="L175" s="69">
        <f t="shared" si="1"/>
        <v>1.4</v>
      </c>
      <c r="N175" s="28">
        <f t="shared" si="2"/>
        <v>2907038.8619999988</v>
      </c>
    </row>
    <row r="176" spans="1:14" ht="15.75" x14ac:dyDescent="0.25">
      <c r="A176" s="159">
        <v>7</v>
      </c>
      <c r="B176" s="159"/>
      <c r="C176" s="61" t="s">
        <v>62</v>
      </c>
      <c r="D176" s="47">
        <f>((2.95*2.9)+(2.4*0.45)+(1.8*1.2)+(1.2*1.95)+(3.15*3)+(1.25*3.1)+(2.7*1.65)+(2*0.45)+(2.7*2.25)+(3.2*0.9))*10.764</f>
        <v>449.61228</v>
      </c>
      <c r="E176" s="47">
        <f>(3.1+1.8)*1.5*10.764</f>
        <v>79.115399999999994</v>
      </c>
      <c r="F176" s="47">
        <f t="shared" si="0"/>
        <v>708.57259199999999</v>
      </c>
      <c r="G176" s="62" t="s">
        <v>60</v>
      </c>
      <c r="H176" s="171"/>
      <c r="I176" s="171"/>
      <c r="L176" s="69">
        <f t="shared" si="1"/>
        <v>1.4</v>
      </c>
      <c r="N176" s="28">
        <f t="shared" si="2"/>
        <v>3011433.5159999998</v>
      </c>
    </row>
    <row r="177" spans="1:12" ht="15.75" x14ac:dyDescent="0.25">
      <c r="A177" s="159">
        <v>8</v>
      </c>
      <c r="B177" s="159"/>
      <c r="C177" s="61" t="s">
        <v>62</v>
      </c>
      <c r="D177" s="47">
        <f>((3.15*3)+(1.25*3)+(1.2*1.95)+(1.8*1.2)+(2.95*2.9)+(2.7*2.25)+(2.7*1.65)+(1.25*0.45)+(2*0.45)+(2*0.45)+(3.2*0.9))*10.764</f>
        <v>452.38400999999993</v>
      </c>
      <c r="E177" s="47">
        <f>(3.1+1.8)*1.5*10.764</f>
        <v>79.115399999999994</v>
      </c>
      <c r="F177" s="47">
        <f t="shared" si="0"/>
        <v>712.45301399999994</v>
      </c>
      <c r="G177" s="62" t="s">
        <v>60</v>
      </c>
      <c r="H177" s="171"/>
      <c r="I177" s="171"/>
      <c r="L177" s="69">
        <f t="shared" si="1"/>
        <v>1.4000000000000001</v>
      </c>
    </row>
    <row r="178" spans="1:12" ht="15.75" x14ac:dyDescent="0.25">
      <c r="A178" s="125" t="s">
        <v>190</v>
      </c>
      <c r="B178" s="125"/>
      <c r="C178" s="125"/>
      <c r="D178" s="125"/>
      <c r="E178" s="125"/>
      <c r="F178" s="125"/>
      <c r="G178" s="125"/>
      <c r="H178" s="125"/>
      <c r="I178" s="125"/>
      <c r="L178" s="69" t="e">
        <f t="shared" si="1"/>
        <v>#DIV/0!</v>
      </c>
    </row>
    <row r="179" spans="1:12" ht="15.75" x14ac:dyDescent="0.25">
      <c r="A179" s="159">
        <v>1</v>
      </c>
      <c r="B179" s="159"/>
      <c r="C179" s="61" t="s">
        <v>61</v>
      </c>
      <c r="D179" s="47">
        <f>((2.7*3.4)+(1.2*1.2)+(1.2*0.9)+(0.9*1.2)+(2.7*2.55)+(2.1*1.6)+(2.7*1)+(2.1*2)+(0.45*2.7))*10.764</f>
        <v>335.19095999999996</v>
      </c>
      <c r="E179" s="47">
        <f>(2.3+2.7)*10.764*1.5</f>
        <v>80.72999999999999</v>
      </c>
      <c r="F179" s="47">
        <f t="shared" ref="F179:F186" si="3">D179*1.4+E179</f>
        <v>549.99734399999988</v>
      </c>
      <c r="G179" s="61" t="s">
        <v>60</v>
      </c>
      <c r="H179" s="172" t="str">
        <f>A178</f>
        <v>2nd, 4th &amp; 6th Floor</v>
      </c>
      <c r="I179" s="172"/>
      <c r="L179" s="69">
        <f t="shared" si="1"/>
        <v>1.3999999999999997</v>
      </c>
    </row>
    <row r="180" spans="1:12" ht="15.75" x14ac:dyDescent="0.25">
      <c r="A180" s="159">
        <v>2</v>
      </c>
      <c r="B180" s="159"/>
      <c r="C180" s="61" t="s">
        <v>61</v>
      </c>
      <c r="D180" s="47">
        <f>((2.7*3.4)+(1.2*1.2)+(1.2*0.9)+(0.9*1.2)+(2.7*2.55)+(2.1*1.6)+(2.7*1)+(2.1*2)+(0.45*2.7))*10.764</f>
        <v>335.19095999999996</v>
      </c>
      <c r="E180" s="47">
        <f>(2.3+2.7)*10.764*1.5</f>
        <v>80.72999999999999</v>
      </c>
      <c r="F180" s="47">
        <f t="shared" si="3"/>
        <v>549.99734399999988</v>
      </c>
      <c r="G180" s="61" t="s">
        <v>60</v>
      </c>
      <c r="H180" s="172"/>
      <c r="I180" s="172"/>
      <c r="L180" s="69">
        <f t="shared" si="1"/>
        <v>1.3999999999999997</v>
      </c>
    </row>
    <row r="181" spans="1:12" ht="15.75" x14ac:dyDescent="0.25">
      <c r="A181" s="159">
        <v>3</v>
      </c>
      <c r="B181" s="159"/>
      <c r="C181" s="61" t="s">
        <v>61</v>
      </c>
      <c r="D181" s="47">
        <f>((2.7*3.4)+(1.2*1.2)+(1.2*0.9)+(0.9*1.2)+(2.7*2.55)+(2.1*1.6)+(2.7*1)+(2.1*2)+(0.45*2.7))*10.764</f>
        <v>335.19095999999996</v>
      </c>
      <c r="E181" s="47">
        <f>(2.3+2.85)*10.764*1.5</f>
        <v>83.151900000000012</v>
      </c>
      <c r="F181" s="47">
        <f t="shared" si="3"/>
        <v>552.41924399999994</v>
      </c>
      <c r="G181" s="61" t="s">
        <v>60</v>
      </c>
      <c r="H181" s="172"/>
      <c r="I181" s="172"/>
      <c r="L181" s="69">
        <f t="shared" si="1"/>
        <v>1.4</v>
      </c>
    </row>
    <row r="182" spans="1:12" ht="15.75" x14ac:dyDescent="0.25">
      <c r="A182" s="159">
        <v>4</v>
      </c>
      <c r="B182" s="159"/>
      <c r="C182" s="61" t="s">
        <v>62</v>
      </c>
      <c r="D182" s="47">
        <f>((3*3.15)+(2.1*3)+(1.8*1.2)+(1.8*1.2)+(2.35*1.95)+(2.55*2.7)+(1.25*2.4)+(2.55*0.9)+(0.45*3.35)+(2*0.45)+(3*1.25))*10.764</f>
        <v>462.74435999999997</v>
      </c>
      <c r="E182" s="47">
        <v>0</v>
      </c>
      <c r="F182" s="47">
        <f t="shared" si="3"/>
        <v>647.84210399999995</v>
      </c>
      <c r="G182" s="61" t="s">
        <v>60</v>
      </c>
      <c r="H182" s="172"/>
      <c r="I182" s="172"/>
      <c r="L182" s="69">
        <f t="shared" si="1"/>
        <v>1.4</v>
      </c>
    </row>
    <row r="183" spans="1:12" ht="15.75" x14ac:dyDescent="0.25">
      <c r="A183" s="159">
        <v>5</v>
      </c>
      <c r="B183" s="159"/>
      <c r="C183" s="61" t="s">
        <v>62</v>
      </c>
      <c r="D183" s="47">
        <f>((3*3.15)+(2.1*3.4)+(1.8*1.2)+(1.8*1.2)+(2.8*1.95)+(2.55*2.7)+(2.7*0.9)+(3*1.125)+(1.125*2.8)+(0.45*2.7))*10.764</f>
        <v>467.42670000000004</v>
      </c>
      <c r="E183" s="47">
        <v>0</v>
      </c>
      <c r="F183" s="47">
        <f t="shared" si="3"/>
        <v>654.39738</v>
      </c>
      <c r="G183" s="61" t="s">
        <v>60</v>
      </c>
      <c r="H183" s="172"/>
      <c r="I183" s="172"/>
      <c r="L183" s="69">
        <f t="shared" si="1"/>
        <v>1.4</v>
      </c>
    </row>
    <row r="184" spans="1:12" ht="15.75" x14ac:dyDescent="0.25">
      <c r="A184" s="159">
        <v>6</v>
      </c>
      <c r="B184" s="159"/>
      <c r="C184" s="61" t="s">
        <v>62</v>
      </c>
      <c r="D184" s="47">
        <f>((2.1*3)+(3*3.15)+(2.55*2.7)+(2.8*1.95)+(1.8*1.2)+(1.8*1.2)+(2.55*1.125)+(2*0.45)+(2.8*1.125)+(1.125*3))*10.764</f>
        <v>459.71698499999991</v>
      </c>
      <c r="E184" s="47">
        <f>1.65*2.7*10.764</f>
        <v>47.953620000000001</v>
      </c>
      <c r="F184" s="47">
        <f t="shared" si="3"/>
        <v>691.5573989999998</v>
      </c>
      <c r="G184" s="61" t="s">
        <v>60</v>
      </c>
      <c r="H184" s="172"/>
      <c r="I184" s="172"/>
      <c r="J184" s="28" t="s">
        <v>94</v>
      </c>
    </row>
    <row r="185" spans="1:12" ht="15.75" x14ac:dyDescent="0.25">
      <c r="A185" s="159">
        <v>7</v>
      </c>
      <c r="B185" s="159"/>
      <c r="C185" s="61" t="s">
        <v>62</v>
      </c>
      <c r="D185" s="47">
        <f>((2.95*2.9)+(2.4*0.45)+(1.8*1.2)+(1.2*1.95)+(3.15*3)+(1.25*3.1)+(2.7*1.65)+(2*0.45)+(2.7*2.25)+(3.2*0.9))*10.764</f>
        <v>449.61228</v>
      </c>
      <c r="E185" s="47">
        <f>5.15*10.764*1.5</f>
        <v>83.151900000000012</v>
      </c>
      <c r="F185" s="47">
        <f t="shared" si="3"/>
        <v>712.60909199999992</v>
      </c>
      <c r="G185" s="61" t="s">
        <v>60</v>
      </c>
      <c r="H185" s="172"/>
      <c r="I185" s="172"/>
    </row>
    <row r="186" spans="1:12" ht="15.75" x14ac:dyDescent="0.25">
      <c r="A186" s="159">
        <v>8</v>
      </c>
      <c r="B186" s="159"/>
      <c r="C186" s="61" t="s">
        <v>62</v>
      </c>
      <c r="D186" s="47">
        <f>((3.15*3)+(1.25*3)+(1.2*1.95)+(1.8*1.2)+(2.95*2.9)+(2.7*2.25)+(2.7*1.65)+(1.25*0.45)+(2*0.45)+(2*0.45))*10.764</f>
        <v>421.38368999999989</v>
      </c>
      <c r="E186" s="47">
        <f>5.15*10.764*1.5</f>
        <v>83.151900000000012</v>
      </c>
      <c r="F186" s="47">
        <f t="shared" si="3"/>
        <v>673.08906599999978</v>
      </c>
      <c r="G186" s="61" t="s">
        <v>60</v>
      </c>
      <c r="H186" s="172"/>
      <c r="I186" s="172"/>
    </row>
    <row r="187" spans="1:12" ht="15.75" x14ac:dyDescent="0.25">
      <c r="A187" s="125" t="s">
        <v>191</v>
      </c>
      <c r="B187" s="125"/>
      <c r="C187" s="125"/>
      <c r="D187" s="125"/>
      <c r="E187" s="125"/>
      <c r="F187" s="125"/>
      <c r="G187" s="125"/>
      <c r="H187" s="125"/>
      <c r="I187" s="125"/>
    </row>
    <row r="188" spans="1:12" ht="15.75" x14ac:dyDescent="0.25">
      <c r="A188" s="159">
        <v>1</v>
      </c>
      <c r="B188" s="159"/>
      <c r="C188" s="62" t="s">
        <v>61</v>
      </c>
      <c r="D188" s="66">
        <f>((2.7*3.4)+(1.2*1.2)+(1.2*0.9)+(0.9*1.2)+(2.7*2.55)+(2.1*1.6)+(2.7*1)+(2.1*2)+(0.45*2.7))*10.764</f>
        <v>335.19095999999996</v>
      </c>
      <c r="E188" s="66">
        <f>2.85*10.764*1.5</f>
        <v>46.016099999999994</v>
      </c>
      <c r="F188" s="47">
        <f t="shared" ref="F188:F195" si="4">D188*1.4+E188</f>
        <v>515.28344399999992</v>
      </c>
      <c r="G188" s="62" t="s">
        <v>60</v>
      </c>
      <c r="H188" s="171" t="str">
        <f>A187</f>
        <v>7th Floor</v>
      </c>
      <c r="I188" s="171"/>
    </row>
    <row r="189" spans="1:12" ht="15.75" x14ac:dyDescent="0.25">
      <c r="A189" s="159">
        <v>2</v>
      </c>
      <c r="B189" s="159"/>
      <c r="C189" s="62" t="s">
        <v>61</v>
      </c>
      <c r="D189" s="66">
        <f>((2.7*3.4)+(1.2*1.2)+(1.2*0.9)+(0.9*1.2)+(2.7*2.55)+(2.1*1.6)+(2.7*1)+(2.1*2)+(0.45*2.7))*10.764</f>
        <v>335.19095999999996</v>
      </c>
      <c r="E189" s="66">
        <f>2.85*10.764*1.5</f>
        <v>46.016099999999994</v>
      </c>
      <c r="F189" s="47">
        <f t="shared" si="4"/>
        <v>515.28344399999992</v>
      </c>
      <c r="G189" s="62" t="s">
        <v>60</v>
      </c>
      <c r="H189" s="171"/>
      <c r="I189" s="171"/>
    </row>
    <row r="190" spans="1:12" ht="15.75" x14ac:dyDescent="0.25">
      <c r="A190" s="159">
        <v>3</v>
      </c>
      <c r="B190" s="159"/>
      <c r="C190" s="62" t="s">
        <v>61</v>
      </c>
      <c r="D190" s="66">
        <f>((2.7*3.4)+(1.2*1.2)+(1.2*0.9)+(0.9*1.2)+(2.7*2.55)+(2.1*1.6)+(2.7*1)+(2.1*2)+(0.45*2.7))*10.764</f>
        <v>335.19095999999996</v>
      </c>
      <c r="E190" s="66">
        <f>2.85*10.764*1.5</f>
        <v>46.016099999999994</v>
      </c>
      <c r="F190" s="47">
        <f t="shared" si="4"/>
        <v>515.28344399999992</v>
      </c>
      <c r="G190" s="62" t="s">
        <v>60</v>
      </c>
      <c r="H190" s="171"/>
      <c r="I190" s="171"/>
    </row>
    <row r="191" spans="1:12" ht="15.75" x14ac:dyDescent="0.25">
      <c r="A191" s="159">
        <v>4</v>
      </c>
      <c r="B191" s="159"/>
      <c r="C191" s="62" t="s">
        <v>63</v>
      </c>
      <c r="D191" s="66">
        <f>(29.953+3.57+1.057+3.975)*10.764</f>
        <v>415.00601999999998</v>
      </c>
      <c r="E191" s="66">
        <f>(13.088+4.501)*10.764</f>
        <v>189.32799599999998</v>
      </c>
      <c r="F191" s="47">
        <f t="shared" si="4"/>
        <v>770.33642399999997</v>
      </c>
      <c r="G191" s="62" t="s">
        <v>60</v>
      </c>
      <c r="H191" s="171"/>
      <c r="I191" s="171"/>
    </row>
    <row r="192" spans="1:12" ht="15.75" x14ac:dyDescent="0.25">
      <c r="A192" s="159">
        <v>5</v>
      </c>
      <c r="B192" s="159"/>
      <c r="C192" s="62" t="s">
        <v>63</v>
      </c>
      <c r="D192" s="66">
        <f>((3*3.15)+(2.1*3.15)+(1.8*1.2)+(1.25*3)+(2.5*0.9)+(2.55*2.7)+(2.4*0.45))*10.764</f>
        <v>346.49315999999993</v>
      </c>
      <c r="E192" s="66">
        <f>((1.5*3)+(1.8*1.2)+(2.7*3.8))*10.764</f>
        <v>182.12688</v>
      </c>
      <c r="F192" s="47">
        <f t="shared" si="4"/>
        <v>667.2173039999999</v>
      </c>
      <c r="G192" s="62" t="s">
        <v>60</v>
      </c>
      <c r="H192" s="171"/>
      <c r="I192" s="171"/>
    </row>
    <row r="193" spans="1:9" ht="15.75" x14ac:dyDescent="0.25">
      <c r="A193" s="159">
        <v>6</v>
      </c>
      <c r="B193" s="159"/>
      <c r="C193" s="62" t="s">
        <v>63</v>
      </c>
      <c r="D193" s="66">
        <f>((3*3.15)+(2.1*3)+(2.55*2.7)+(1.8*1.2)+(0.9*2.55)+(1.25*3)+(2*0.45))*10.764</f>
        <v>341.64935999999994</v>
      </c>
      <c r="E193" s="66">
        <f>((1.8*1.2)+(2.7*3.8))*10.764</f>
        <v>133.68887999999998</v>
      </c>
      <c r="F193" s="47">
        <f t="shared" si="4"/>
        <v>611.99798399999986</v>
      </c>
      <c r="G193" s="62" t="s">
        <v>60</v>
      </c>
      <c r="H193" s="171"/>
      <c r="I193" s="171"/>
    </row>
    <row r="194" spans="1:9" ht="15.75" x14ac:dyDescent="0.25">
      <c r="A194" s="159">
        <v>7</v>
      </c>
      <c r="B194" s="159"/>
      <c r="C194" s="62" t="s">
        <v>63</v>
      </c>
      <c r="D194" s="66">
        <f>((3.15*3)+(1.2*1.95)+(1.8*1.2)+(2.95*2.9)+(3.2*0.9)+(2.7*1.65)+(1.25*3))*10.764</f>
        <v>361.56275999999991</v>
      </c>
      <c r="E194" s="66">
        <f>((1.8*1.5)+(2.7*2.7)+(1.5*3))*10.764</f>
        <v>155.97036</v>
      </c>
      <c r="F194" s="47">
        <f t="shared" si="4"/>
        <v>662.15822399999979</v>
      </c>
      <c r="G194" s="62" t="s">
        <v>60</v>
      </c>
      <c r="H194" s="171"/>
      <c r="I194" s="171"/>
    </row>
    <row r="195" spans="1:9" ht="15.75" x14ac:dyDescent="0.25">
      <c r="A195" s="159">
        <v>8</v>
      </c>
      <c r="B195" s="159"/>
      <c r="C195" s="62" t="s">
        <v>63</v>
      </c>
      <c r="D195" s="66">
        <f>((3.15*3)+(2.7*1.65)+(1.2*1.95)+(2.95*2.9)+(3.2*0.9)+(1.25*3)+(2*0.45))*10.764</f>
        <v>348.00011999999998</v>
      </c>
      <c r="E195" s="66">
        <f>((1.8*1.5)+(2.7*2.7)+(1.5*3))*10.764</f>
        <v>155.97036</v>
      </c>
      <c r="F195" s="47">
        <f t="shared" si="4"/>
        <v>643.17052799999999</v>
      </c>
      <c r="G195" s="62" t="s">
        <v>60</v>
      </c>
      <c r="H195" s="171"/>
      <c r="I195" s="171"/>
    </row>
    <row r="196" spans="1:9" ht="15.75" x14ac:dyDescent="0.25">
      <c r="A196" s="139" t="s">
        <v>193</v>
      </c>
      <c r="B196" s="139"/>
      <c r="C196" s="139"/>
      <c r="D196" s="139"/>
      <c r="E196" s="139"/>
      <c r="F196" s="139"/>
      <c r="G196" s="139"/>
      <c r="H196" s="139"/>
      <c r="I196" s="139"/>
    </row>
    <row r="197" spans="1:9" ht="15.75" x14ac:dyDescent="0.25">
      <c r="A197" s="173" t="s">
        <v>186</v>
      </c>
      <c r="B197" s="173"/>
      <c r="C197" s="173"/>
      <c r="D197" s="173"/>
      <c r="E197" s="173"/>
      <c r="F197" s="173"/>
      <c r="G197" s="173"/>
      <c r="H197" s="173"/>
      <c r="I197" s="173"/>
    </row>
    <row r="198" spans="1:9" ht="15.75" x14ac:dyDescent="0.25">
      <c r="A198" s="125" t="s">
        <v>265</v>
      </c>
      <c r="B198" s="125"/>
      <c r="C198" s="125"/>
      <c r="D198" s="125"/>
      <c r="E198" s="125"/>
      <c r="F198" s="125"/>
      <c r="G198" s="125"/>
      <c r="H198" s="125"/>
      <c r="I198" s="125"/>
    </row>
    <row r="199" spans="1:9" ht="15.75" x14ac:dyDescent="0.25">
      <c r="A199" s="159">
        <v>1</v>
      </c>
      <c r="B199" s="159"/>
      <c r="C199" s="84" t="s">
        <v>61</v>
      </c>
      <c r="D199" s="47">
        <f>((2.7*3.4)+(0.9*2.7)+(1.2*1.2)+(1.2*0.9)+(0.9*1.2)+(2.1*1.6)+(2.25*2.85)+(2*0.45)+(1.25*2))*10.764</f>
        <v>305.50923</v>
      </c>
      <c r="E199" s="47">
        <v>0</v>
      </c>
      <c r="F199" s="47">
        <f t="shared" ref="F199:F214" si="5">D199*1.4+E199</f>
        <v>427.71292199999999</v>
      </c>
      <c r="G199" s="84" t="s">
        <v>60</v>
      </c>
      <c r="H199" s="171" t="str">
        <f>A198</f>
        <v>1st, 3rd, 5th &amp; 7th Floor For Residential</v>
      </c>
      <c r="I199" s="171"/>
    </row>
    <row r="200" spans="1:9" ht="15.75" x14ac:dyDescent="0.25">
      <c r="A200" s="159">
        <v>2</v>
      </c>
      <c r="B200" s="159"/>
      <c r="C200" s="84" t="s">
        <v>61</v>
      </c>
      <c r="D200" s="47">
        <f>((3.4*2.7)+(1.2*1.2)+(1.2*0.9)+(0.9*1.2)+(1.6*2.1)+(2*0.45)+(2.4*2.7)+(2*2.1)+(0.9*2.7))*10.764</f>
        <v>324.53459999999995</v>
      </c>
      <c r="E200" s="47">
        <f>(2.2+2.7)*1.5*10.764</f>
        <v>79.115399999999994</v>
      </c>
      <c r="F200" s="47">
        <f t="shared" si="5"/>
        <v>533.46383999999989</v>
      </c>
      <c r="G200" s="84" t="s">
        <v>60</v>
      </c>
      <c r="H200" s="171"/>
      <c r="I200" s="171"/>
    </row>
    <row r="201" spans="1:9" ht="15.75" x14ac:dyDescent="0.25">
      <c r="A201" s="159">
        <v>3</v>
      </c>
      <c r="B201" s="159"/>
      <c r="C201" s="84" t="s">
        <v>61</v>
      </c>
      <c r="D201" s="47">
        <f>((3.4*2.7)+(1.2*1.2)+(1.2*0.9*2)+(1.6*2.1)+(2*2.1)+(2.4*2.7)+(0.9*2.7)+(2*0.45))*10.764</f>
        <v>324.53459999999995</v>
      </c>
      <c r="E201" s="47">
        <f>((1.8*2.1)+(2.7*1.8))*10.764</f>
        <v>93.000960000000006</v>
      </c>
      <c r="F201" s="47">
        <f t="shared" si="5"/>
        <v>547.34939999999995</v>
      </c>
      <c r="G201" s="84" t="s">
        <v>60</v>
      </c>
      <c r="H201" s="171"/>
      <c r="I201" s="171"/>
    </row>
    <row r="202" spans="1:9" ht="15.75" x14ac:dyDescent="0.25">
      <c r="A202" s="159">
        <v>4</v>
      </c>
      <c r="B202" s="159"/>
      <c r="C202" s="84" t="s">
        <v>61</v>
      </c>
      <c r="D202" s="47">
        <f>((2.7*3.4)+(1.2*1.2)+(0.9*1.2*2)+(2.4*2.7)+(2*0.45)+(0.9*2.1)+(0.9*2.7))*10.764</f>
        <v>263.50271999999995</v>
      </c>
      <c r="E202" s="47">
        <f t="shared" ref="E202:E210" si="6">1.8*2.7*10.764</f>
        <v>52.313040000000001</v>
      </c>
      <c r="F202" s="47">
        <f t="shared" si="5"/>
        <v>421.21684799999991</v>
      </c>
      <c r="G202" s="84" t="s">
        <v>60</v>
      </c>
      <c r="H202" s="171"/>
      <c r="I202" s="171"/>
    </row>
    <row r="203" spans="1:9" ht="15.75" x14ac:dyDescent="0.25">
      <c r="A203" s="159">
        <v>5</v>
      </c>
      <c r="B203" s="159"/>
      <c r="C203" s="84" t="s">
        <v>61</v>
      </c>
      <c r="D203" s="47">
        <f>((2.7*3.4)+(0.9*2.7)+(2.55*2.7)+(1.2*1.2)+(1.7*1.95)+(0.9*1.2)+(0.9*1.4)+(1*0.45)+(2*0.45))*10.764</f>
        <v>289.98215999999996</v>
      </c>
      <c r="E203" s="47">
        <f t="shared" si="6"/>
        <v>52.313040000000001</v>
      </c>
      <c r="F203" s="47">
        <f t="shared" si="5"/>
        <v>458.28806399999991</v>
      </c>
      <c r="G203" s="84" t="s">
        <v>60</v>
      </c>
      <c r="H203" s="171"/>
      <c r="I203" s="171"/>
    </row>
    <row r="204" spans="1:9" ht="15.75" x14ac:dyDescent="0.25">
      <c r="A204" s="159">
        <v>6</v>
      </c>
      <c r="B204" s="159"/>
      <c r="C204" s="84" t="s">
        <v>61</v>
      </c>
      <c r="D204" s="47">
        <f>((2.7*3.4)+(1.2*1.2)+(0.9*1.2*2)+(2.4*2.7)+(2*0.45)+(0.9*2.1)+(0.9*2.7))*10.764</f>
        <v>263.50271999999995</v>
      </c>
      <c r="E204" s="47">
        <f t="shared" si="6"/>
        <v>52.313040000000001</v>
      </c>
      <c r="F204" s="47">
        <f t="shared" si="5"/>
        <v>421.21684799999991</v>
      </c>
      <c r="G204" s="84" t="s">
        <v>60</v>
      </c>
      <c r="H204" s="171"/>
      <c r="I204" s="171"/>
    </row>
    <row r="205" spans="1:9" ht="15.75" x14ac:dyDescent="0.25">
      <c r="A205" s="159">
        <v>7</v>
      </c>
      <c r="B205" s="159"/>
      <c r="C205" s="84" t="s">
        <v>61</v>
      </c>
      <c r="D205" s="47">
        <f>((2.7*3.4)+(1.2*1.2)+(0.9*1.2*2)+(2.4*2.7)+(2*0.45)+(0.9*2.1)+(0.9*2.7))*10.764</f>
        <v>263.50271999999995</v>
      </c>
      <c r="E205" s="47">
        <f t="shared" si="6"/>
        <v>52.313040000000001</v>
      </c>
      <c r="F205" s="47">
        <f t="shared" si="5"/>
        <v>421.21684799999991</v>
      </c>
      <c r="G205" s="84" t="s">
        <v>60</v>
      </c>
      <c r="H205" s="171"/>
      <c r="I205" s="171"/>
    </row>
    <row r="206" spans="1:9" ht="15.75" x14ac:dyDescent="0.25">
      <c r="A206" s="159">
        <v>8</v>
      </c>
      <c r="B206" s="159"/>
      <c r="C206" s="84" t="s">
        <v>61</v>
      </c>
      <c r="D206" s="47">
        <f>((2.7*3.4)+(1.2*1.2)+(0.9*1.2*2)+(2.4*2.7)+(2*0.45)+(0.9*2.1)+(0.9*2.7))*10.764</f>
        <v>263.50271999999995</v>
      </c>
      <c r="E206" s="47">
        <f t="shared" si="6"/>
        <v>52.313040000000001</v>
      </c>
      <c r="F206" s="47">
        <f t="shared" si="5"/>
        <v>421.21684799999991</v>
      </c>
      <c r="G206" s="84" t="s">
        <v>60</v>
      </c>
      <c r="H206" s="171"/>
      <c r="I206" s="171"/>
    </row>
    <row r="207" spans="1:9" ht="15.75" x14ac:dyDescent="0.25">
      <c r="A207" s="159">
        <v>9</v>
      </c>
      <c r="B207" s="159"/>
      <c r="C207" s="84" t="s">
        <v>61</v>
      </c>
      <c r="D207" s="47">
        <f>((2.7*3.4)+(1.2*1.2)+(0.9*1.2*2)+(2.4*2.7)+(2*0.45)+(0.9*2.1)+(0.9*2.7))*10.764</f>
        <v>263.50271999999995</v>
      </c>
      <c r="E207" s="47">
        <f t="shared" si="6"/>
        <v>52.313040000000001</v>
      </c>
      <c r="F207" s="47">
        <f t="shared" si="5"/>
        <v>421.21684799999991</v>
      </c>
      <c r="G207" s="84" t="s">
        <v>60</v>
      </c>
      <c r="H207" s="171"/>
      <c r="I207" s="171"/>
    </row>
    <row r="208" spans="1:9" ht="15.75" x14ac:dyDescent="0.25">
      <c r="A208" s="159">
        <v>10</v>
      </c>
      <c r="B208" s="159"/>
      <c r="C208" s="84" t="s">
        <v>61</v>
      </c>
      <c r="D208" s="47">
        <f>((2.7*3.4)+(1.2*1.2)+(0.9*1.2*2)+(2.4*2.7)+(2*0.45)+(0.9*2.1)+(0.9*2.7))*10.764</f>
        <v>263.50271999999995</v>
      </c>
      <c r="E208" s="47">
        <f t="shared" si="6"/>
        <v>52.313040000000001</v>
      </c>
      <c r="F208" s="47">
        <f t="shared" si="5"/>
        <v>421.21684799999991</v>
      </c>
      <c r="G208" s="84" t="s">
        <v>60</v>
      </c>
      <c r="H208" s="171"/>
      <c r="I208" s="171"/>
    </row>
    <row r="209" spans="1:12" ht="15.75" x14ac:dyDescent="0.25">
      <c r="A209" s="159">
        <v>11</v>
      </c>
      <c r="B209" s="159"/>
      <c r="C209" s="84" t="s">
        <v>61</v>
      </c>
      <c r="D209" s="47">
        <f>((2.7*3.4)+(0.9*2.7)+(2.55*2.7)+(1.2*1.2)+(1.7*1.95)+(0.9*1.2)+(0.9*1.4)+(1*0.45)+(2*0.45))*10.764</f>
        <v>289.98215999999996</v>
      </c>
      <c r="E209" s="47">
        <f t="shared" si="6"/>
        <v>52.313040000000001</v>
      </c>
      <c r="F209" s="47">
        <f t="shared" si="5"/>
        <v>458.28806399999991</v>
      </c>
      <c r="G209" s="84" t="s">
        <v>60</v>
      </c>
      <c r="H209" s="171"/>
      <c r="I209" s="171"/>
    </row>
    <row r="210" spans="1:12" ht="15.75" x14ac:dyDescent="0.25">
      <c r="A210" s="159">
        <v>12</v>
      </c>
      <c r="B210" s="159"/>
      <c r="C210" s="84" t="s">
        <v>61</v>
      </c>
      <c r="D210" s="47">
        <f>((2.7*3.4)+(0.9*2.7)+(2.55*2.7)+(1.2*1.2)+(1.7*1.95)+(0.9*1.2)+(0.9*1.4)+(1*0.45)+(2*0.45))*10.764</f>
        <v>289.98215999999996</v>
      </c>
      <c r="E210" s="47">
        <f t="shared" si="6"/>
        <v>52.313040000000001</v>
      </c>
      <c r="F210" s="47">
        <f t="shared" si="5"/>
        <v>458.28806399999991</v>
      </c>
      <c r="G210" s="84" t="s">
        <v>60</v>
      </c>
      <c r="H210" s="171"/>
      <c r="I210" s="171"/>
    </row>
    <row r="211" spans="1:12" ht="15.75" x14ac:dyDescent="0.25">
      <c r="A211" s="159">
        <v>13</v>
      </c>
      <c r="B211" s="159"/>
      <c r="C211" s="84" t="s">
        <v>61</v>
      </c>
      <c r="D211" s="47">
        <f>((2.7*3.4)+(1.2*1.2)+(0.9*1.2)+(0.9*1.2)+(2.25*2.85)+(2.1*1.6)+(0.9*2.7)+(2*2.1))*10.764</f>
        <v>314.12042999999994</v>
      </c>
      <c r="E211" s="47">
        <f>((2.7+2.1)*1.8*10.764)</f>
        <v>93.000960000000021</v>
      </c>
      <c r="F211" s="47">
        <f t="shared" si="5"/>
        <v>532.76956199999995</v>
      </c>
      <c r="G211" s="84" t="s">
        <v>60</v>
      </c>
      <c r="H211" s="171"/>
      <c r="I211" s="171"/>
    </row>
    <row r="212" spans="1:12" ht="15.75" x14ac:dyDescent="0.25">
      <c r="A212" s="159">
        <v>14</v>
      </c>
      <c r="B212" s="159"/>
      <c r="C212" s="84" t="s">
        <v>61</v>
      </c>
      <c r="D212" s="47">
        <f>((3.4*2.7)+(0.9*2.7)+(1.6*2.1)+(1.2*1.2)+(1.2*0.9*2)+(2*2.1)+(2.4*2.7)+(2*0.45))*10.764</f>
        <v>324.53459999999995</v>
      </c>
      <c r="E212" s="47">
        <f>(2.7+2.1)*1.8*10.764</f>
        <v>93.000960000000021</v>
      </c>
      <c r="F212" s="47">
        <f t="shared" si="5"/>
        <v>547.34939999999995</v>
      </c>
      <c r="G212" s="84" t="s">
        <v>60</v>
      </c>
      <c r="H212" s="171"/>
      <c r="I212" s="171"/>
    </row>
    <row r="213" spans="1:12" ht="15.75" x14ac:dyDescent="0.25">
      <c r="A213" s="159">
        <v>15</v>
      </c>
      <c r="B213" s="159"/>
      <c r="C213" s="84" t="s">
        <v>61</v>
      </c>
      <c r="D213" s="47">
        <f>((3.4*2.7)+(0.9*2.7)+(1.6*2.1)+(1.2*1.2)+(1.2*0.9*2)+(2*2.1)+(2.4*2.7)+(2*0.45))*10.764</f>
        <v>324.53459999999995</v>
      </c>
      <c r="E213" s="47">
        <f>(2.7+2.1)*1.8*10.764</f>
        <v>93.000960000000021</v>
      </c>
      <c r="F213" s="47">
        <f t="shared" si="5"/>
        <v>547.34939999999995</v>
      </c>
      <c r="G213" s="84" t="s">
        <v>60</v>
      </c>
      <c r="H213" s="171"/>
      <c r="I213" s="171"/>
    </row>
    <row r="214" spans="1:12" ht="15.75" x14ac:dyDescent="0.25">
      <c r="A214" s="159">
        <v>16</v>
      </c>
      <c r="B214" s="159"/>
      <c r="C214" s="84" t="s">
        <v>61</v>
      </c>
      <c r="D214" s="47">
        <f>((2.7*3.4)+(0.9*2.7)+(1.2*1.2)+(1.2*0.9)+(0.9*1.2)+(2.1*1.6)+(2.25*2.85)+(2*0.45)+(1.25*2))*10.764</f>
        <v>305.50923</v>
      </c>
      <c r="E214" s="47">
        <v>0</v>
      </c>
      <c r="F214" s="47">
        <f t="shared" si="5"/>
        <v>427.71292199999999</v>
      </c>
      <c r="G214" s="84" t="s">
        <v>60</v>
      </c>
      <c r="H214" s="171"/>
      <c r="I214" s="171"/>
    </row>
    <row r="215" spans="1:12" ht="15.75" x14ac:dyDescent="0.25">
      <c r="A215" s="125" t="s">
        <v>147</v>
      </c>
      <c r="B215" s="125"/>
      <c r="C215" s="125"/>
      <c r="D215" s="125"/>
      <c r="E215" s="125"/>
      <c r="F215" s="125"/>
      <c r="G215" s="125"/>
      <c r="H215" s="125"/>
      <c r="I215" s="125"/>
      <c r="L215" s="28">
        <v>4250</v>
      </c>
    </row>
    <row r="216" spans="1:12" ht="15.75" x14ac:dyDescent="0.25">
      <c r="A216" s="159">
        <v>1</v>
      </c>
      <c r="B216" s="159"/>
      <c r="C216" s="61" t="s">
        <v>61</v>
      </c>
      <c r="D216" s="47">
        <f>((2.7*3.4)+(0.9*2.7)+(1.2*1.2)+(0.9*1.2*2)+(2.1*1.6)+(2.25*2.85)+(1.5*2.1))*10.764</f>
        <v>302.81822999999997</v>
      </c>
      <c r="E216" s="47">
        <v>0</v>
      </c>
      <c r="F216" s="47">
        <f t="shared" ref="F216:F231" si="7">D216*1.4+E216</f>
        <v>423.94552199999993</v>
      </c>
      <c r="G216" s="61" t="s">
        <v>60</v>
      </c>
      <c r="H216" s="171" t="str">
        <f>A215</f>
        <v xml:space="preserve">2nd, 4th &amp; 6th Floor </v>
      </c>
      <c r="I216" s="171"/>
      <c r="L216" s="28">
        <f>L$215*F216</f>
        <v>1801768.4684999997</v>
      </c>
    </row>
    <row r="217" spans="1:12" ht="15.75" x14ac:dyDescent="0.25">
      <c r="A217" s="159">
        <v>2</v>
      </c>
      <c r="B217" s="159"/>
      <c r="C217" s="61" t="s">
        <v>61</v>
      </c>
      <c r="D217" s="47">
        <f>((3.4*2.7)+(1.2*1.2)+(0.9*1.2*2)+(2.4*2.7)+(2.1*1.6)+(2*0.45)+(0.9*2.7)+(1.5*2.1))*10.764</f>
        <v>313.23239999999993</v>
      </c>
      <c r="E217" s="47">
        <f>1.8*2.7*10.764</f>
        <v>52.313040000000001</v>
      </c>
      <c r="F217" s="47">
        <f t="shared" si="7"/>
        <v>490.83839999999987</v>
      </c>
      <c r="G217" s="61" t="s">
        <v>60</v>
      </c>
      <c r="H217" s="171"/>
      <c r="I217" s="171"/>
      <c r="L217" s="28">
        <f t="shared" ref="L217:L231" si="8">L$215*F217</f>
        <v>2086063.1999999995</v>
      </c>
    </row>
    <row r="218" spans="1:12" ht="15.75" x14ac:dyDescent="0.25">
      <c r="A218" s="159">
        <v>3</v>
      </c>
      <c r="B218" s="159"/>
      <c r="C218" s="61" t="s">
        <v>61</v>
      </c>
      <c r="D218" s="47">
        <f>((3.4*2.7)+(1.2*1.2)+(0.9*1.2*2)+(2.4*2.7)+(2.1*1.6)+(2*0.45)+(0.9*2.7)+(1.5*2.1))*10.764</f>
        <v>313.23239999999993</v>
      </c>
      <c r="E218" s="47">
        <f>1.8*2.7*10.764</f>
        <v>52.313040000000001</v>
      </c>
      <c r="F218" s="47">
        <f t="shared" si="7"/>
        <v>490.83839999999987</v>
      </c>
      <c r="G218" s="61" t="s">
        <v>60</v>
      </c>
      <c r="H218" s="171"/>
      <c r="I218" s="171"/>
      <c r="L218" s="28">
        <f t="shared" si="8"/>
        <v>2086063.1999999995</v>
      </c>
    </row>
    <row r="219" spans="1:12" ht="15.75" x14ac:dyDescent="0.25">
      <c r="A219" s="159">
        <v>4</v>
      </c>
      <c r="B219" s="159"/>
      <c r="C219" s="61" t="s">
        <v>61</v>
      </c>
      <c r="D219" s="47">
        <f>((3.4*2.7)+(1.2*1.2)+(0.9*1.2*2)+(2.25*2.85)+(2*0.45)+(2.1*1.6)+(2*2.1)+(0.9*2.7))*10.764</f>
        <v>323.80802999999992</v>
      </c>
      <c r="E219" s="47">
        <f>1.8*2.1*10.764</f>
        <v>40.687919999999998</v>
      </c>
      <c r="F219" s="47">
        <f t="shared" si="7"/>
        <v>494.01916199999988</v>
      </c>
      <c r="G219" s="61" t="s">
        <v>60</v>
      </c>
      <c r="H219" s="171"/>
      <c r="I219" s="171"/>
      <c r="L219" s="28">
        <f t="shared" si="8"/>
        <v>2099581.4384999997</v>
      </c>
    </row>
    <row r="220" spans="1:12" ht="15.75" x14ac:dyDescent="0.25">
      <c r="A220" s="159">
        <v>5</v>
      </c>
      <c r="B220" s="159"/>
      <c r="C220" s="61" t="s">
        <v>61</v>
      </c>
      <c r="D220" s="47">
        <f>((2.7*3.4)+(0.9*2.7)+(1.2*0.9)+(1.4*0.9)+(1.7*1.95)+(1*0.45)+(1.2*1.2)+(2.55*2.7)+(2*0.45))*10.764</f>
        <v>289.98215999999996</v>
      </c>
      <c r="E220" s="47">
        <v>0</v>
      </c>
      <c r="F220" s="47">
        <f t="shared" si="7"/>
        <v>405.97502399999991</v>
      </c>
      <c r="G220" s="61" t="s">
        <v>60</v>
      </c>
      <c r="H220" s="171"/>
      <c r="I220" s="171"/>
      <c r="L220" s="28">
        <f t="shared" si="8"/>
        <v>1725393.8519999995</v>
      </c>
    </row>
    <row r="221" spans="1:12" ht="15.75" x14ac:dyDescent="0.25">
      <c r="A221" s="159">
        <v>6</v>
      </c>
      <c r="B221" s="159"/>
      <c r="C221" s="61" t="s">
        <v>61</v>
      </c>
      <c r="D221" s="47">
        <f>((2.7*3.4)+(0.9*2.7)+(1.2*0.9)+(1.4*0.9)+(1.7*1.95)+(1*0.45)+(1.2*1.2)+(2.55*2.7)+(2*0.45))*10.764</f>
        <v>289.98215999999996</v>
      </c>
      <c r="E221" s="47">
        <v>0</v>
      </c>
      <c r="F221" s="47">
        <f t="shared" si="7"/>
        <v>405.97502399999991</v>
      </c>
      <c r="G221" s="61" t="s">
        <v>60</v>
      </c>
      <c r="H221" s="171"/>
      <c r="I221" s="171"/>
      <c r="L221" s="28">
        <f t="shared" si="8"/>
        <v>1725393.8519999995</v>
      </c>
    </row>
    <row r="222" spans="1:12" ht="15.75" x14ac:dyDescent="0.25">
      <c r="A222" s="159">
        <v>7</v>
      </c>
      <c r="B222" s="159"/>
      <c r="C222" s="61" t="s">
        <v>61</v>
      </c>
      <c r="D222" s="47">
        <f>((2.7*3.4)+(0.9*2.7)+(2.1*1.6)+(1.5*0.9)+(2.7*2.4)+(2*0.45)+(1.2*1.2)+(0.9*1.2*2))*10.764</f>
        <v>293.85719999999998</v>
      </c>
      <c r="E222" s="47">
        <f>(2.1+2.7)*1.8*10.764</f>
        <v>93.000960000000021</v>
      </c>
      <c r="F222" s="47">
        <f t="shared" si="7"/>
        <v>504.40103999999997</v>
      </c>
      <c r="G222" s="61" t="s">
        <v>60</v>
      </c>
      <c r="H222" s="171"/>
      <c r="I222" s="171"/>
      <c r="L222" s="28">
        <f t="shared" si="8"/>
        <v>2143704.42</v>
      </c>
    </row>
    <row r="223" spans="1:12" ht="15.75" x14ac:dyDescent="0.25">
      <c r="A223" s="159">
        <v>8</v>
      </c>
      <c r="B223" s="159"/>
      <c r="C223" s="61" t="s">
        <v>61</v>
      </c>
      <c r="D223" s="47">
        <f>((2.7*3.4)+(0.9*2.7)+(2.1*1.6)+(1.5*0.9)+(2.7*2.4)+(2*0.45)+(1.2*1.2)+(0.9*1.2*2))*10.764</f>
        <v>293.85719999999998</v>
      </c>
      <c r="E223" s="47">
        <f>(2.1+2.7)*1.8*10.764</f>
        <v>93.000960000000021</v>
      </c>
      <c r="F223" s="47">
        <f t="shared" si="7"/>
        <v>504.40103999999997</v>
      </c>
      <c r="G223" s="61" t="s">
        <v>60</v>
      </c>
      <c r="H223" s="171"/>
      <c r="I223" s="171"/>
      <c r="L223" s="28">
        <f t="shared" si="8"/>
        <v>2143704.42</v>
      </c>
    </row>
    <row r="224" spans="1:12" ht="15.75" x14ac:dyDescent="0.25">
      <c r="A224" s="159">
        <v>9</v>
      </c>
      <c r="B224" s="159"/>
      <c r="C224" s="61" t="s">
        <v>61</v>
      </c>
      <c r="D224" s="47">
        <f>((2.7*3.4)+(0.9*2.7)+(2.1*1.6)+(1.5*0.9)+(2.7*2.4)+(2*0.45)+(1.2*1.2)+(0.9*1.2*2))*10.764</f>
        <v>293.85719999999998</v>
      </c>
      <c r="E224" s="47">
        <f>(2.1+2.7)*1.8*10.764</f>
        <v>93.000960000000021</v>
      </c>
      <c r="F224" s="47">
        <f t="shared" si="7"/>
        <v>504.40103999999997</v>
      </c>
      <c r="G224" s="61" t="s">
        <v>60</v>
      </c>
      <c r="H224" s="171"/>
      <c r="I224" s="171"/>
      <c r="L224" s="28">
        <f t="shared" si="8"/>
        <v>2143704.42</v>
      </c>
    </row>
    <row r="225" spans="1:12" ht="15.75" x14ac:dyDescent="0.25">
      <c r="A225" s="159">
        <v>10</v>
      </c>
      <c r="B225" s="159"/>
      <c r="C225" s="61" t="s">
        <v>61</v>
      </c>
      <c r="D225" s="47">
        <f>((2.7*3.4)+(0.9*2.7)+(2.1*1.6)+(1.5*0.9)+(2.7*2.4)+(2*0.45)+(1.2*1.2)+(0.9*1.2*2))*10.764</f>
        <v>293.85719999999998</v>
      </c>
      <c r="E225" s="47">
        <f>(2.1+2.7)*1.8*10.764</f>
        <v>93.000960000000021</v>
      </c>
      <c r="F225" s="47">
        <f t="shared" si="7"/>
        <v>504.40103999999997</v>
      </c>
      <c r="G225" s="61" t="s">
        <v>60</v>
      </c>
      <c r="H225" s="171"/>
      <c r="I225" s="171"/>
      <c r="L225" s="28">
        <f t="shared" si="8"/>
        <v>2143704.42</v>
      </c>
    </row>
    <row r="226" spans="1:12" ht="15.75" x14ac:dyDescent="0.25">
      <c r="A226" s="159">
        <v>11</v>
      </c>
      <c r="B226" s="159"/>
      <c r="C226" s="61" t="s">
        <v>61</v>
      </c>
      <c r="D226" s="47">
        <f>((2.7*3.4)+(0.9*2.7)+(1.2*0.9)+(1.4*0.9)+(1.7*1.95)+(1*0.45)+(1.2*1.2)+(2.55*2.7)+(2*0.45))*10.764</f>
        <v>289.98215999999996</v>
      </c>
      <c r="E226" s="47">
        <v>0</v>
      </c>
      <c r="F226" s="47">
        <f t="shared" si="7"/>
        <v>405.97502399999991</v>
      </c>
      <c r="G226" s="61" t="s">
        <v>60</v>
      </c>
      <c r="H226" s="171"/>
      <c r="I226" s="171"/>
      <c r="L226" s="28">
        <f t="shared" si="8"/>
        <v>1725393.8519999995</v>
      </c>
    </row>
    <row r="227" spans="1:12" ht="15.75" x14ac:dyDescent="0.25">
      <c r="A227" s="159">
        <v>12</v>
      </c>
      <c r="B227" s="159"/>
      <c r="C227" s="61" t="s">
        <v>61</v>
      </c>
      <c r="D227" s="47">
        <f>((2.7*3.4)+(0.9*2.7)+(1.2*0.9)+(1.4*0.9)+(1.7*1.95)+(1*0.45)+(1.2*1.2)+(2.55*2.7)+(2*0.45))*10.764</f>
        <v>289.98215999999996</v>
      </c>
      <c r="E227" s="47">
        <v>0</v>
      </c>
      <c r="F227" s="47">
        <f t="shared" si="7"/>
        <v>405.97502399999991</v>
      </c>
      <c r="G227" s="61" t="s">
        <v>60</v>
      </c>
      <c r="H227" s="171"/>
      <c r="I227" s="171"/>
      <c r="L227" s="28">
        <f t="shared" si="8"/>
        <v>1725393.8519999995</v>
      </c>
    </row>
    <row r="228" spans="1:12" ht="15.75" x14ac:dyDescent="0.25">
      <c r="A228" s="159">
        <v>13</v>
      </c>
      <c r="B228" s="159"/>
      <c r="C228" s="61" t="s">
        <v>61</v>
      </c>
      <c r="D228" s="47">
        <f>((2.7*3.4)+(0.9*2.7)+(1.2*1.2)+(0.9*1.2*2)+(2.1*1.6)+(2.25*2.85)+(2*0.45)+(2*2.1))*10.764</f>
        <v>323.80802999999997</v>
      </c>
      <c r="E228" s="47">
        <f>2.95*10.764*1.8</f>
        <v>57.156839999999995</v>
      </c>
      <c r="F228" s="47">
        <f t="shared" si="7"/>
        <v>510.48808199999991</v>
      </c>
      <c r="G228" s="61" t="s">
        <v>60</v>
      </c>
      <c r="H228" s="171"/>
      <c r="I228" s="171"/>
      <c r="L228" s="28">
        <f t="shared" si="8"/>
        <v>2169574.3484999994</v>
      </c>
    </row>
    <row r="229" spans="1:12" ht="15.75" x14ac:dyDescent="0.25">
      <c r="A229" s="159">
        <v>14</v>
      </c>
      <c r="B229" s="159"/>
      <c r="C229" s="61" t="s">
        <v>61</v>
      </c>
      <c r="D229" s="47">
        <f>((3.4*2.7)+(1.2*1.2)+(0.9*1.2*2)+(2.4*2.7)+(2.1*1.6)+(2*0.45)+(0.9*2.7)+(1.5*2.1))*10.764</f>
        <v>313.23239999999993</v>
      </c>
      <c r="E229" s="47">
        <f>1.8*2.7*10.764</f>
        <v>52.313040000000001</v>
      </c>
      <c r="F229" s="47">
        <f t="shared" si="7"/>
        <v>490.83839999999987</v>
      </c>
      <c r="G229" s="61" t="s">
        <v>60</v>
      </c>
      <c r="H229" s="171"/>
      <c r="I229" s="171"/>
      <c r="L229" s="28">
        <f t="shared" si="8"/>
        <v>2086063.1999999995</v>
      </c>
    </row>
    <row r="230" spans="1:12" ht="16.7" customHeight="1" x14ac:dyDescent="0.25">
      <c r="A230" s="159">
        <v>15</v>
      </c>
      <c r="B230" s="159"/>
      <c r="C230" s="61" t="s">
        <v>61</v>
      </c>
      <c r="D230" s="47">
        <f>((3.4*2.7)+(1.2*1.2)+(0.9*1.2*2)+(2.4*2.7)+(2.1*1.6)+(2*0.45)+(0.9*2.7)+(1.5*2.1))*10.764</f>
        <v>313.23239999999993</v>
      </c>
      <c r="E230" s="47">
        <f>1.8*2.7*10.764</f>
        <v>52.313040000000001</v>
      </c>
      <c r="F230" s="47">
        <f t="shared" si="7"/>
        <v>490.83839999999987</v>
      </c>
      <c r="G230" s="61" t="s">
        <v>60</v>
      </c>
      <c r="H230" s="171"/>
      <c r="I230" s="171"/>
      <c r="L230" s="28">
        <f t="shared" si="8"/>
        <v>2086063.1999999995</v>
      </c>
    </row>
    <row r="231" spans="1:12" ht="16.7" customHeight="1" x14ac:dyDescent="0.25">
      <c r="A231" s="159">
        <v>16</v>
      </c>
      <c r="B231" s="159"/>
      <c r="C231" s="61" t="s">
        <v>61</v>
      </c>
      <c r="D231" s="47">
        <f>((2.7*3.4)+(0.9*2.7)+(1.2*1.2)+(0.9*1.2*2)+(2.1*1.6)+(2.25*2.85)+(1.5*2.1))*10.764</f>
        <v>302.81822999999997</v>
      </c>
      <c r="E231" s="47">
        <v>0</v>
      </c>
      <c r="F231" s="47">
        <f t="shared" si="7"/>
        <v>423.94552199999993</v>
      </c>
      <c r="G231" s="61" t="s">
        <v>60</v>
      </c>
      <c r="H231" s="171"/>
      <c r="I231" s="171"/>
      <c r="J231" s="70">
        <v>10.763999999999999</v>
      </c>
      <c r="L231" s="28">
        <f t="shared" si="8"/>
        <v>1801768.4684999997</v>
      </c>
    </row>
    <row r="232" spans="1:12" ht="15.75" x14ac:dyDescent="0.25">
      <c r="A232" s="188" t="s">
        <v>228</v>
      </c>
      <c r="B232" s="188"/>
      <c r="C232" s="188"/>
      <c r="D232" s="188"/>
      <c r="E232" s="188"/>
      <c r="F232" s="188"/>
      <c r="G232" s="188"/>
      <c r="H232" s="188"/>
      <c r="I232" s="188"/>
      <c r="L232" s="56" t="s">
        <v>252</v>
      </c>
    </row>
    <row r="233" spans="1:12" ht="15.75" x14ac:dyDescent="0.25">
      <c r="A233" s="173" t="s">
        <v>251</v>
      </c>
      <c r="B233" s="173"/>
      <c r="C233" s="173"/>
      <c r="D233" s="173"/>
      <c r="E233" s="173"/>
      <c r="F233" s="173"/>
      <c r="G233" s="173"/>
      <c r="H233" s="173"/>
      <c r="I233" s="173"/>
      <c r="L233" s="57">
        <v>0.5</v>
      </c>
    </row>
    <row r="234" spans="1:12" ht="15.75" x14ac:dyDescent="0.25">
      <c r="A234" s="173" t="s">
        <v>275</v>
      </c>
      <c r="B234" s="173"/>
      <c r="C234" s="173"/>
      <c r="D234" s="173"/>
      <c r="E234" s="173"/>
      <c r="F234" s="173"/>
      <c r="G234" s="173"/>
      <c r="H234" s="173"/>
      <c r="I234" s="173"/>
      <c r="J234" s="48"/>
      <c r="K234" s="48"/>
    </row>
    <row r="235" spans="1:12" ht="15.75" x14ac:dyDescent="0.25">
      <c r="A235" s="159">
        <v>1</v>
      </c>
      <c r="B235" s="159"/>
      <c r="C235" s="61" t="s">
        <v>61</v>
      </c>
      <c r="D235" s="50">
        <f>(31.885+5.3)*10.764</f>
        <v>400.25934000000001</v>
      </c>
      <c r="E235" s="47">
        <v>0</v>
      </c>
      <c r="F235" s="47">
        <f t="shared" ref="F235:F243" si="9">D235*1.4+E235</f>
        <v>560.36307599999998</v>
      </c>
      <c r="G235" s="61" t="s">
        <v>60</v>
      </c>
      <c r="H235" s="171" t="str">
        <f>A234</f>
        <v>1st, 2nd, 3rd, 4th, 6th, 7th, 9th, 11th &amp; 14th Floor For Residential</v>
      </c>
      <c r="I235" s="171"/>
      <c r="J235" s="48">
        <f>4.45*2.75+2.3*2.9+2.75*2.5+1.6*1.2+1.48*1+1.5*1.2</f>
        <v>30.982500000000002</v>
      </c>
      <c r="K235" s="48">
        <f>2*1.2+2.75*1</f>
        <v>5.15</v>
      </c>
      <c r="L235" s="28">
        <f>2.15*1.2+2.75*0.9</f>
        <v>5.0549999999999997</v>
      </c>
    </row>
    <row r="236" spans="1:12" ht="15.75" x14ac:dyDescent="0.25">
      <c r="A236" s="159">
        <v>2</v>
      </c>
      <c r="B236" s="159"/>
      <c r="C236" s="61" t="s">
        <v>61</v>
      </c>
      <c r="D236" s="50">
        <f>(31.885+5.48)*10.764</f>
        <v>402.19686000000002</v>
      </c>
      <c r="E236" s="47">
        <v>0</v>
      </c>
      <c r="F236" s="47">
        <f t="shared" si="9"/>
        <v>563.075604</v>
      </c>
      <c r="G236" s="61" t="s">
        <v>60</v>
      </c>
      <c r="H236" s="171"/>
      <c r="I236" s="171"/>
      <c r="J236" s="48"/>
      <c r="K236" s="48"/>
    </row>
    <row r="237" spans="1:12" ht="15.75" x14ac:dyDescent="0.25">
      <c r="A237" s="159">
        <v>3</v>
      </c>
      <c r="B237" s="159"/>
      <c r="C237" s="61" t="s">
        <v>61</v>
      </c>
      <c r="D237" s="50">
        <f>(32.636+7.755)*10.764</f>
        <v>434.76872400000002</v>
      </c>
      <c r="E237" s="47">
        <v>0</v>
      </c>
      <c r="F237" s="47">
        <f t="shared" si="9"/>
        <v>608.67621359999998</v>
      </c>
      <c r="G237" s="61" t="s">
        <v>60</v>
      </c>
      <c r="H237" s="171"/>
      <c r="I237" s="171"/>
      <c r="J237" s="48"/>
      <c r="K237" s="48"/>
    </row>
    <row r="238" spans="1:12" ht="15.75" x14ac:dyDescent="0.25">
      <c r="A238" s="159">
        <v>4</v>
      </c>
      <c r="B238" s="159"/>
      <c r="C238" s="61" t="s">
        <v>61</v>
      </c>
      <c r="D238" s="50">
        <f>(32.636+8.085)*10.764</f>
        <v>438.32084400000002</v>
      </c>
      <c r="E238" s="47">
        <v>0</v>
      </c>
      <c r="F238" s="47">
        <f t="shared" si="9"/>
        <v>613.64918160000002</v>
      </c>
      <c r="G238" s="61" t="s">
        <v>60</v>
      </c>
      <c r="H238" s="171"/>
      <c r="I238" s="171"/>
      <c r="J238" s="48"/>
      <c r="K238" s="48"/>
    </row>
    <row r="239" spans="1:12" ht="15.75" x14ac:dyDescent="0.25">
      <c r="A239" s="159">
        <v>5</v>
      </c>
      <c r="B239" s="159"/>
      <c r="C239" s="61" t="s">
        <v>62</v>
      </c>
      <c r="D239" s="50">
        <f>(49.538+8.5)*10.764</f>
        <v>624.72103199999992</v>
      </c>
      <c r="E239" s="47">
        <v>0</v>
      </c>
      <c r="F239" s="47">
        <f t="shared" si="9"/>
        <v>874.60944479999989</v>
      </c>
      <c r="G239" s="61" t="s">
        <v>60</v>
      </c>
      <c r="H239" s="171"/>
      <c r="I239" s="171"/>
      <c r="J239" s="70">
        <f>(3.05*5.05+2.3*2.75+2.75*2.2+3.6*2.8+2*1.2+1.2*2+3.6*0.9+0.7)*10.764</f>
        <v>501.57549</v>
      </c>
      <c r="K239" s="48">
        <f>3.05*1.2+2.75+1.9</f>
        <v>8.31</v>
      </c>
    </row>
    <row r="240" spans="1:12" ht="15.75" x14ac:dyDescent="0.25">
      <c r="A240" s="159">
        <v>6</v>
      </c>
      <c r="B240" s="159"/>
      <c r="C240" s="61" t="s">
        <v>62</v>
      </c>
      <c r="D240" s="50">
        <f>(49.538+8.68)*10.764</f>
        <v>626.65855199999987</v>
      </c>
      <c r="E240" s="47">
        <v>0</v>
      </c>
      <c r="F240" s="47">
        <f t="shared" si="9"/>
        <v>877.3219727999998</v>
      </c>
      <c r="G240" s="61" t="s">
        <v>60</v>
      </c>
      <c r="H240" s="171"/>
      <c r="I240" s="171"/>
      <c r="J240" s="49"/>
      <c r="K240" s="49"/>
    </row>
    <row r="241" spans="1:13" s="31" customFormat="1" ht="16.7" customHeight="1" x14ac:dyDescent="0.25">
      <c r="A241" s="159">
        <v>7</v>
      </c>
      <c r="B241" s="159"/>
      <c r="C241" s="61" t="s">
        <v>62</v>
      </c>
      <c r="D241" s="50">
        <f>(45.535+12.43)*10.764</f>
        <v>623.93525999999997</v>
      </c>
      <c r="E241" s="47">
        <v>0</v>
      </c>
      <c r="F241" s="47">
        <f t="shared" si="9"/>
        <v>873.50936399999989</v>
      </c>
      <c r="G241" s="61" t="s">
        <v>60</v>
      </c>
      <c r="H241" s="171"/>
      <c r="I241" s="171"/>
      <c r="J241" s="28"/>
      <c r="K241" s="28">
        <f>3.1+3.15+2.4+2.75</f>
        <v>11.4</v>
      </c>
      <c r="L241" s="28"/>
      <c r="M241" s="28"/>
    </row>
    <row r="242" spans="1:13" s="31" customFormat="1" ht="16.7" customHeight="1" x14ac:dyDescent="0.25">
      <c r="A242" s="159">
        <v>8</v>
      </c>
      <c r="B242" s="159"/>
      <c r="C242" s="61" t="s">
        <v>62</v>
      </c>
      <c r="D242" s="50">
        <f>(43.618+9.01)*10.764</f>
        <v>566.48779200000001</v>
      </c>
      <c r="E242" s="47">
        <v>0</v>
      </c>
      <c r="F242" s="47">
        <f t="shared" si="9"/>
        <v>793.08290879999993</v>
      </c>
      <c r="G242" s="61" t="s">
        <v>60</v>
      </c>
      <c r="H242" s="171"/>
      <c r="I242" s="171"/>
      <c r="J242" s="28"/>
      <c r="K242" s="28"/>
      <c r="L242" s="28"/>
      <c r="M242" s="28"/>
    </row>
    <row r="243" spans="1:13" s="31" customFormat="1" ht="16.7" customHeight="1" x14ac:dyDescent="0.25">
      <c r="A243" s="159">
        <v>9</v>
      </c>
      <c r="B243" s="159"/>
      <c r="C243" s="61" t="s">
        <v>62</v>
      </c>
      <c r="D243" s="50">
        <f>(43.618+8.86)*10.764</f>
        <v>564.87319200000002</v>
      </c>
      <c r="E243" s="47">
        <v>0</v>
      </c>
      <c r="F243" s="47">
        <f t="shared" si="9"/>
        <v>790.82246880000002</v>
      </c>
      <c r="G243" s="61" t="s">
        <v>60</v>
      </c>
      <c r="H243" s="171"/>
      <c r="I243" s="171"/>
      <c r="J243" s="28"/>
      <c r="K243" s="28"/>
      <c r="L243" s="28"/>
      <c r="M243" s="28"/>
    </row>
    <row r="244" spans="1:13" ht="15.75" x14ac:dyDescent="0.25">
      <c r="A244" s="173" t="s">
        <v>273</v>
      </c>
      <c r="B244" s="173"/>
      <c r="C244" s="173"/>
      <c r="D244" s="173"/>
      <c r="E244" s="173"/>
      <c r="F244" s="173"/>
      <c r="G244" s="173"/>
      <c r="H244" s="173"/>
      <c r="I244" s="173"/>
      <c r="J244" s="48"/>
      <c r="K244" s="48"/>
    </row>
    <row r="245" spans="1:13" ht="15.75" x14ac:dyDescent="0.25">
      <c r="A245" s="159">
        <v>1</v>
      </c>
      <c r="B245" s="159"/>
      <c r="C245" s="84" t="s">
        <v>61</v>
      </c>
      <c r="D245" s="50">
        <f>(31.885+5.3)*10.764</f>
        <v>400.25934000000001</v>
      </c>
      <c r="E245" s="47">
        <v>0</v>
      </c>
      <c r="F245" s="47">
        <f t="shared" ref="F245:F253" si="10">D245*1.4+E245</f>
        <v>560.36307599999998</v>
      </c>
      <c r="G245" s="84" t="s">
        <v>60</v>
      </c>
      <c r="H245" s="171" t="str">
        <f>A244</f>
        <v>12th Floor</v>
      </c>
      <c r="I245" s="171"/>
      <c r="J245" s="48">
        <f>4.45*2.75+2.3*2.9+2.75*2.5+1.6*1.2+1.48*1+1.5*1.2</f>
        <v>30.982500000000002</v>
      </c>
      <c r="K245" s="48">
        <f>2*1.2+2.75*1</f>
        <v>5.15</v>
      </c>
      <c r="L245" s="28">
        <f>2.15*1.2+2.75*0.9</f>
        <v>5.0549999999999997</v>
      </c>
    </row>
    <row r="246" spans="1:13" ht="15.75" x14ac:dyDescent="0.25">
      <c r="A246" s="159">
        <v>2</v>
      </c>
      <c r="B246" s="159"/>
      <c r="C246" s="84" t="s">
        <v>61</v>
      </c>
      <c r="D246" s="50">
        <f>(31.885+5.48)*10.764</f>
        <v>402.19686000000002</v>
      </c>
      <c r="E246" s="47">
        <v>0</v>
      </c>
      <c r="F246" s="47">
        <f t="shared" si="10"/>
        <v>563.075604</v>
      </c>
      <c r="G246" s="84" t="s">
        <v>60</v>
      </c>
      <c r="H246" s="171"/>
      <c r="I246" s="171"/>
      <c r="J246" s="48"/>
      <c r="K246" s="48"/>
    </row>
    <row r="247" spans="1:13" ht="15.75" x14ac:dyDescent="0.25">
      <c r="A247" s="159">
        <v>3</v>
      </c>
      <c r="B247" s="159"/>
      <c r="C247" s="84" t="s">
        <v>61</v>
      </c>
      <c r="D247" s="50">
        <f>(32.636+7.755)*10.764</f>
        <v>434.76872400000002</v>
      </c>
      <c r="E247" s="47">
        <v>0</v>
      </c>
      <c r="F247" s="47">
        <f t="shared" si="10"/>
        <v>608.67621359999998</v>
      </c>
      <c r="G247" s="84" t="s">
        <v>60</v>
      </c>
      <c r="H247" s="171"/>
      <c r="I247" s="171"/>
      <c r="J247" s="48"/>
      <c r="K247" s="48"/>
    </row>
    <row r="248" spans="1:13" ht="15.75" x14ac:dyDescent="0.25">
      <c r="A248" s="159">
        <v>4</v>
      </c>
      <c r="B248" s="159"/>
      <c r="C248" s="84" t="s">
        <v>61</v>
      </c>
      <c r="D248" s="50">
        <f>(32.636+8.085)*10.764</f>
        <v>438.32084400000002</v>
      </c>
      <c r="E248" s="47">
        <v>0</v>
      </c>
      <c r="F248" s="47">
        <f t="shared" si="10"/>
        <v>613.64918160000002</v>
      </c>
      <c r="G248" s="84" t="s">
        <v>60</v>
      </c>
      <c r="H248" s="171"/>
      <c r="I248" s="171"/>
      <c r="J248" s="48"/>
      <c r="K248" s="48"/>
    </row>
    <row r="249" spans="1:13" ht="15.75" x14ac:dyDescent="0.25">
      <c r="A249" s="159">
        <v>5</v>
      </c>
      <c r="B249" s="159"/>
      <c r="C249" s="84" t="s">
        <v>62</v>
      </c>
      <c r="D249" s="50">
        <f>(49.538+8.5)*10.764</f>
        <v>624.72103199999992</v>
      </c>
      <c r="E249" s="47">
        <v>0</v>
      </c>
      <c r="F249" s="47">
        <f t="shared" si="10"/>
        <v>874.60944479999989</v>
      </c>
      <c r="G249" s="84" t="s">
        <v>60</v>
      </c>
      <c r="H249" s="171"/>
      <c r="I249" s="171"/>
      <c r="J249" s="70">
        <f>(3.05*5.05+2.3*2.75+2.75*2.2+3.6*2.8+2*1.2+1.2*2+3.6*0.9+0.7)*10.764</f>
        <v>501.57549</v>
      </c>
      <c r="K249" s="48">
        <f>3.05*1.2+2.75+1.9</f>
        <v>8.31</v>
      </c>
    </row>
    <row r="250" spans="1:13" ht="15.75" x14ac:dyDescent="0.25">
      <c r="A250" s="159">
        <v>6</v>
      </c>
      <c r="B250" s="159"/>
      <c r="C250" s="84" t="s">
        <v>62</v>
      </c>
      <c r="D250" s="50">
        <f>(49.538+8.68)*10.764</f>
        <v>626.65855199999987</v>
      </c>
      <c r="E250" s="47">
        <v>0</v>
      </c>
      <c r="F250" s="47">
        <f>D250*1.5+E250</f>
        <v>939.98782799999981</v>
      </c>
      <c r="G250" s="84" t="s">
        <v>60</v>
      </c>
      <c r="H250" s="171"/>
      <c r="I250" s="171"/>
      <c r="J250" s="76" t="s">
        <v>274</v>
      </c>
      <c r="K250" s="76"/>
    </row>
    <row r="251" spans="1:13" s="31" customFormat="1" ht="16.7" customHeight="1" x14ac:dyDescent="0.25">
      <c r="A251" s="159">
        <v>7</v>
      </c>
      <c r="B251" s="159"/>
      <c r="C251" s="84" t="s">
        <v>62</v>
      </c>
      <c r="D251" s="50">
        <f>(45.535+12.43)*10.764</f>
        <v>623.93525999999997</v>
      </c>
      <c r="E251" s="47">
        <v>0</v>
      </c>
      <c r="F251" s="47">
        <f t="shared" si="10"/>
        <v>873.50936399999989</v>
      </c>
      <c r="G251" s="84" t="s">
        <v>60</v>
      </c>
      <c r="H251" s="171"/>
      <c r="I251" s="171"/>
      <c r="J251" s="28"/>
      <c r="K251" s="28">
        <f>3.1+3.15+2.4+2.75</f>
        <v>11.4</v>
      </c>
      <c r="L251" s="28"/>
      <c r="M251" s="28"/>
    </row>
    <row r="252" spans="1:13" s="31" customFormat="1" ht="16.7" customHeight="1" x14ac:dyDescent="0.25">
      <c r="A252" s="159">
        <v>8</v>
      </c>
      <c r="B252" s="159"/>
      <c r="C252" s="84" t="s">
        <v>62</v>
      </c>
      <c r="D252" s="50">
        <f>(43.618+9.01)*10.764</f>
        <v>566.48779200000001</v>
      </c>
      <c r="E252" s="47">
        <v>0</v>
      </c>
      <c r="F252" s="47">
        <f t="shared" si="10"/>
        <v>793.08290879999993</v>
      </c>
      <c r="G252" s="84" t="s">
        <v>60</v>
      </c>
      <c r="H252" s="171"/>
      <c r="I252" s="171"/>
      <c r="J252" s="28"/>
      <c r="K252" s="28"/>
      <c r="L252" s="28"/>
      <c r="M252" s="28"/>
    </row>
    <row r="253" spans="1:13" s="31" customFormat="1" ht="16.7" customHeight="1" x14ac:dyDescent="0.25">
      <c r="A253" s="159">
        <v>9</v>
      </c>
      <c r="B253" s="159"/>
      <c r="C253" s="84" t="s">
        <v>62</v>
      </c>
      <c r="D253" s="50">
        <f>(43.618+8.86)*10.764</f>
        <v>564.87319200000002</v>
      </c>
      <c r="E253" s="47">
        <v>0</v>
      </c>
      <c r="F253" s="47">
        <f t="shared" si="10"/>
        <v>790.82246880000002</v>
      </c>
      <c r="G253" s="84" t="s">
        <v>60</v>
      </c>
      <c r="H253" s="171"/>
      <c r="I253" s="171"/>
      <c r="J253" s="28"/>
      <c r="K253" s="28"/>
      <c r="L253" s="28"/>
      <c r="M253" s="28"/>
    </row>
    <row r="254" spans="1:13" s="31" customFormat="1" ht="15.75" customHeight="1" x14ac:dyDescent="0.25">
      <c r="A254" s="125" t="s">
        <v>231</v>
      </c>
      <c r="B254" s="125"/>
      <c r="C254" s="125"/>
      <c r="D254" s="125"/>
      <c r="E254" s="125"/>
      <c r="F254" s="125"/>
      <c r="G254" s="125"/>
      <c r="H254" s="125"/>
      <c r="I254" s="125"/>
      <c r="J254" s="28"/>
      <c r="K254" s="28"/>
      <c r="L254" s="28"/>
      <c r="M254" s="28"/>
    </row>
    <row r="255" spans="1:13" s="33" customFormat="1" ht="15.75" x14ac:dyDescent="0.25">
      <c r="A255" s="159">
        <v>1</v>
      </c>
      <c r="B255" s="159"/>
      <c r="C255" s="61" t="s">
        <v>61</v>
      </c>
      <c r="D255" s="50">
        <f>(31.885+5.3)*10.764</f>
        <v>400.25934000000001</v>
      </c>
      <c r="E255" s="47">
        <v>0</v>
      </c>
      <c r="F255" s="47">
        <f t="shared" ref="F255:F263" si="11">D255*1.4+E255</f>
        <v>560.36307599999998</v>
      </c>
      <c r="G255" s="61" t="s">
        <v>60</v>
      </c>
      <c r="H255" s="171" t="str">
        <f>A254</f>
        <v>5th &amp; 10th Floor</v>
      </c>
      <c r="I255" s="171"/>
      <c r="J255" s="28"/>
      <c r="K255" s="28"/>
      <c r="L255" s="28"/>
      <c r="M255" s="28"/>
    </row>
    <row r="256" spans="1:13" s="33" customFormat="1" ht="15.75" customHeight="1" x14ac:dyDescent="0.25">
      <c r="A256" s="159">
        <v>2</v>
      </c>
      <c r="B256" s="159"/>
      <c r="C256" s="61" t="s">
        <v>61</v>
      </c>
      <c r="D256" s="50">
        <f>(31.885+5.48)*10.764</f>
        <v>402.19686000000002</v>
      </c>
      <c r="E256" s="47">
        <v>0</v>
      </c>
      <c r="F256" s="47">
        <f t="shared" si="11"/>
        <v>563.075604</v>
      </c>
      <c r="G256" s="61" t="s">
        <v>60</v>
      </c>
      <c r="H256" s="171"/>
      <c r="I256" s="171"/>
      <c r="J256" s="28"/>
      <c r="K256" s="28"/>
      <c r="L256" s="28"/>
      <c r="M256" s="28"/>
    </row>
    <row r="257" spans="1:13" s="31" customFormat="1" ht="16.7" customHeight="1" x14ac:dyDescent="0.25">
      <c r="A257" s="159">
        <v>3</v>
      </c>
      <c r="B257" s="159"/>
      <c r="C257" s="61" t="s">
        <v>61</v>
      </c>
      <c r="D257" s="50">
        <f>(32.636+7.755)*10.764</f>
        <v>434.76872400000002</v>
      </c>
      <c r="E257" s="47">
        <v>0</v>
      </c>
      <c r="F257" s="47">
        <f t="shared" si="11"/>
        <v>608.67621359999998</v>
      </c>
      <c r="G257" s="61" t="s">
        <v>60</v>
      </c>
      <c r="H257" s="171"/>
      <c r="I257" s="171"/>
      <c r="J257" s="28"/>
      <c r="K257" s="28"/>
      <c r="L257" s="28"/>
      <c r="M257" s="28"/>
    </row>
    <row r="258" spans="1:13" s="31" customFormat="1" ht="16.7" customHeight="1" x14ac:dyDescent="0.25">
      <c r="A258" s="159">
        <v>4</v>
      </c>
      <c r="B258" s="159"/>
      <c r="C258" s="61" t="s">
        <v>61</v>
      </c>
      <c r="D258" s="50">
        <f>(32.636+8.085)*10.764</f>
        <v>438.32084400000002</v>
      </c>
      <c r="E258" s="47">
        <v>0</v>
      </c>
      <c r="F258" s="47">
        <f t="shared" si="11"/>
        <v>613.64918160000002</v>
      </c>
      <c r="G258" s="61" t="s">
        <v>60</v>
      </c>
      <c r="H258" s="171"/>
      <c r="I258" s="171"/>
      <c r="J258" s="28"/>
      <c r="K258" s="28"/>
      <c r="L258" s="28"/>
      <c r="M258" s="28"/>
    </row>
    <row r="259" spans="1:13" s="31" customFormat="1" ht="16.7" customHeight="1" x14ac:dyDescent="0.25">
      <c r="A259" s="159">
        <v>5</v>
      </c>
      <c r="B259" s="159"/>
      <c r="C259" s="61" t="s">
        <v>62</v>
      </c>
      <c r="D259" s="50">
        <f>(49.538+8.5)*10.764</f>
        <v>624.72103199999992</v>
      </c>
      <c r="E259" s="47">
        <v>0</v>
      </c>
      <c r="F259" s="47">
        <f t="shared" si="11"/>
        <v>874.60944479999989</v>
      </c>
      <c r="G259" s="61" t="s">
        <v>60</v>
      </c>
      <c r="H259" s="171"/>
      <c r="I259" s="171"/>
      <c r="J259" s="28"/>
      <c r="K259" s="28"/>
      <c r="L259" s="28"/>
      <c r="M259" s="28"/>
    </row>
    <row r="260" spans="1:13" s="31" customFormat="1" ht="16.7" customHeight="1" x14ac:dyDescent="0.25">
      <c r="A260" s="159">
        <v>6</v>
      </c>
      <c r="B260" s="159"/>
      <c r="C260" s="61" t="s">
        <v>62</v>
      </c>
      <c r="D260" s="50">
        <f>(49.538+8.68)*10.764</f>
        <v>626.65855199999987</v>
      </c>
      <c r="E260" s="47">
        <v>0</v>
      </c>
      <c r="F260" s="47">
        <f t="shared" si="11"/>
        <v>877.3219727999998</v>
      </c>
      <c r="G260" s="61" t="s">
        <v>60</v>
      </c>
      <c r="H260" s="171"/>
      <c r="I260" s="171"/>
      <c r="J260" s="28"/>
      <c r="K260" s="28"/>
      <c r="L260" s="28"/>
      <c r="M260" s="28"/>
    </row>
    <row r="261" spans="1:13" s="31" customFormat="1" ht="16.7" customHeight="1" x14ac:dyDescent="0.25">
      <c r="A261" s="159">
        <v>7</v>
      </c>
      <c r="B261" s="159"/>
      <c r="C261" s="61" t="s">
        <v>62</v>
      </c>
      <c r="D261" s="50">
        <f>(45.535+12.43)*10.764</f>
        <v>623.93525999999997</v>
      </c>
      <c r="E261" s="47">
        <v>0</v>
      </c>
      <c r="F261" s="47">
        <f t="shared" si="11"/>
        <v>873.50936399999989</v>
      </c>
      <c r="G261" s="61" t="s">
        <v>60</v>
      </c>
      <c r="H261" s="171"/>
      <c r="I261" s="171"/>
      <c r="J261" s="28"/>
      <c r="K261" s="28"/>
      <c r="L261" s="28"/>
      <c r="M261" s="28"/>
    </row>
    <row r="262" spans="1:13" s="31" customFormat="1" ht="16.7" customHeight="1" x14ac:dyDescent="0.25">
      <c r="A262" s="159">
        <v>8</v>
      </c>
      <c r="B262" s="159"/>
      <c r="C262" s="61" t="s">
        <v>62</v>
      </c>
      <c r="D262" s="50">
        <f>(43.618+9.01)*10.764</f>
        <v>566.48779200000001</v>
      </c>
      <c r="E262" s="47">
        <v>0</v>
      </c>
      <c r="F262" s="47">
        <f t="shared" si="11"/>
        <v>793.08290879999993</v>
      </c>
      <c r="G262" s="61" t="s">
        <v>60</v>
      </c>
      <c r="H262" s="171"/>
      <c r="I262" s="171"/>
      <c r="J262" s="28"/>
      <c r="K262" s="28"/>
      <c r="L262" s="28"/>
      <c r="M262" s="28"/>
    </row>
    <row r="263" spans="1:13" s="31" customFormat="1" ht="16.7" customHeight="1" x14ac:dyDescent="0.25">
      <c r="A263" s="159">
        <v>9</v>
      </c>
      <c r="B263" s="159"/>
      <c r="C263" s="61" t="s">
        <v>61</v>
      </c>
      <c r="D263" s="50">
        <f>(31.885+6.16)*10.764</f>
        <v>409.51637999999997</v>
      </c>
      <c r="E263" s="47">
        <v>0</v>
      </c>
      <c r="F263" s="47">
        <f t="shared" si="11"/>
        <v>573.32293199999992</v>
      </c>
      <c r="G263" s="61" t="s">
        <v>60</v>
      </c>
      <c r="H263" s="171"/>
      <c r="I263" s="171"/>
      <c r="J263" s="28"/>
      <c r="K263" s="28"/>
      <c r="L263" s="28"/>
      <c r="M263" s="28"/>
    </row>
    <row r="264" spans="1:13" s="31" customFormat="1" ht="16.7" customHeight="1" x14ac:dyDescent="0.25">
      <c r="A264" s="125" t="s">
        <v>232</v>
      </c>
      <c r="B264" s="125"/>
      <c r="C264" s="125"/>
      <c r="D264" s="125"/>
      <c r="E264" s="125"/>
      <c r="F264" s="125"/>
      <c r="G264" s="125"/>
      <c r="H264" s="125"/>
      <c r="I264" s="125"/>
      <c r="J264" s="28"/>
      <c r="K264" s="28"/>
      <c r="L264" s="28"/>
      <c r="M264" s="28"/>
    </row>
    <row r="265" spans="1:13" s="31" customFormat="1" ht="16.7" customHeight="1" x14ac:dyDescent="0.25">
      <c r="A265" s="115">
        <v>1</v>
      </c>
      <c r="B265" s="115"/>
      <c r="C265" s="61" t="s">
        <v>61</v>
      </c>
      <c r="D265" s="50">
        <f>(31.885+5.3)*10.764</f>
        <v>400.25934000000001</v>
      </c>
      <c r="E265" s="47">
        <v>0</v>
      </c>
      <c r="F265" s="47">
        <f t="shared" ref="F265:F267" si="12">D265*1.4+E265</f>
        <v>560.36307599999998</v>
      </c>
      <c r="G265" s="62" t="s">
        <v>60</v>
      </c>
      <c r="H265" s="171" t="str">
        <f>A264</f>
        <v>8th &amp; 13th Floor (Part Refuge Area)</v>
      </c>
      <c r="I265" s="171"/>
      <c r="J265" s="28"/>
      <c r="K265" s="28"/>
      <c r="L265" s="28"/>
    </row>
    <row r="266" spans="1:13" s="31" customFormat="1" ht="16.7" customHeight="1" x14ac:dyDescent="0.25">
      <c r="A266" s="115">
        <v>2</v>
      </c>
      <c r="B266" s="115"/>
      <c r="C266" s="61" t="s">
        <v>61</v>
      </c>
      <c r="D266" s="50">
        <f>(31.885+5.48)*10.764</f>
        <v>402.19686000000002</v>
      </c>
      <c r="E266" s="47">
        <v>0</v>
      </c>
      <c r="F266" s="47">
        <f t="shared" si="12"/>
        <v>563.075604</v>
      </c>
      <c r="G266" s="62" t="s">
        <v>60</v>
      </c>
      <c r="H266" s="171"/>
      <c r="I266" s="171"/>
      <c r="J266" s="28"/>
      <c r="K266" s="28"/>
      <c r="L266" s="28"/>
    </row>
    <row r="267" spans="1:13" s="31" customFormat="1" ht="16.7" customHeight="1" x14ac:dyDescent="0.25">
      <c r="A267" s="115">
        <v>3</v>
      </c>
      <c r="B267" s="115"/>
      <c r="C267" s="61" t="s">
        <v>61</v>
      </c>
      <c r="D267" s="50">
        <f>(32.636+7.903)*10.764</f>
        <v>436.36179599999997</v>
      </c>
      <c r="E267" s="47">
        <v>0</v>
      </c>
      <c r="F267" s="47">
        <f t="shared" si="12"/>
        <v>610.90651439999988</v>
      </c>
      <c r="G267" s="62" t="s">
        <v>60</v>
      </c>
      <c r="H267" s="171"/>
      <c r="I267" s="171"/>
      <c r="J267" s="28"/>
      <c r="K267" s="28"/>
      <c r="L267" s="28"/>
    </row>
    <row r="268" spans="1:13" s="31" customFormat="1" ht="16.7" customHeight="1" x14ac:dyDescent="0.25">
      <c r="A268" s="115">
        <v>4</v>
      </c>
      <c r="B268" s="115"/>
      <c r="C268" s="159" t="s">
        <v>233</v>
      </c>
      <c r="D268" s="159"/>
      <c r="E268" s="159"/>
      <c r="F268" s="159"/>
      <c r="G268" s="159"/>
      <c r="H268" s="171"/>
      <c r="I268" s="171"/>
      <c r="J268" s="28"/>
      <c r="K268" s="28"/>
      <c r="L268" s="28"/>
    </row>
    <row r="269" spans="1:13" s="31" customFormat="1" ht="16.7" customHeight="1" x14ac:dyDescent="0.25">
      <c r="A269" s="115">
        <v>5</v>
      </c>
      <c r="B269" s="115"/>
      <c r="C269" s="61" t="s">
        <v>62</v>
      </c>
      <c r="D269" s="50">
        <f>(49.538+8.5)*10.764</f>
        <v>624.72103199999992</v>
      </c>
      <c r="E269" s="47">
        <v>0</v>
      </c>
      <c r="F269" s="47">
        <f t="shared" ref="F269:F273" si="13">D269*1.4+E269</f>
        <v>874.60944479999989</v>
      </c>
      <c r="G269" s="62" t="s">
        <v>60</v>
      </c>
      <c r="H269" s="171"/>
      <c r="I269" s="171"/>
      <c r="J269" s="28"/>
      <c r="K269" s="28"/>
      <c r="L269" s="28"/>
    </row>
    <row r="270" spans="1:13" s="31" customFormat="1" ht="16.7" customHeight="1" x14ac:dyDescent="0.25">
      <c r="A270" s="115">
        <v>6</v>
      </c>
      <c r="B270" s="115"/>
      <c r="C270" s="61" t="s">
        <v>62</v>
      </c>
      <c r="D270" s="50">
        <f>(49.538+8.68)*10.764</f>
        <v>626.65855199999987</v>
      </c>
      <c r="E270" s="47">
        <v>0</v>
      </c>
      <c r="F270" s="47">
        <f t="shared" si="13"/>
        <v>877.3219727999998</v>
      </c>
      <c r="G270" s="62" t="s">
        <v>60</v>
      </c>
      <c r="H270" s="171"/>
      <c r="I270" s="171"/>
      <c r="J270" s="28"/>
      <c r="K270" s="28"/>
      <c r="L270" s="28"/>
      <c r="M270" s="33"/>
    </row>
    <row r="271" spans="1:13" s="31" customFormat="1" ht="16.7" customHeight="1" x14ac:dyDescent="0.25">
      <c r="A271" s="115">
        <v>7</v>
      </c>
      <c r="B271" s="115"/>
      <c r="C271" s="61" t="s">
        <v>62</v>
      </c>
      <c r="D271" s="50">
        <f>(45.535+12.43)*10.764</f>
        <v>623.93525999999997</v>
      </c>
      <c r="E271" s="47">
        <v>0</v>
      </c>
      <c r="F271" s="47">
        <f t="shared" si="13"/>
        <v>873.50936399999989</v>
      </c>
      <c r="G271" s="62" t="s">
        <v>60</v>
      </c>
      <c r="H271" s="171"/>
      <c r="I271" s="171"/>
      <c r="J271" s="28"/>
      <c r="K271" s="28"/>
      <c r="L271" s="28"/>
    </row>
    <row r="272" spans="1:13" s="31" customFormat="1" ht="16.7" customHeight="1" x14ac:dyDescent="0.25">
      <c r="A272" s="115">
        <v>8</v>
      </c>
      <c r="B272" s="115"/>
      <c r="C272" s="61" t="s">
        <v>62</v>
      </c>
      <c r="D272" s="50">
        <f>(43.618+9.01)*10.764</f>
        <v>566.48779200000001</v>
      </c>
      <c r="E272" s="47">
        <v>0</v>
      </c>
      <c r="F272" s="47">
        <f t="shared" si="13"/>
        <v>793.08290879999993</v>
      </c>
      <c r="G272" s="62" t="s">
        <v>60</v>
      </c>
      <c r="H272" s="171"/>
      <c r="I272" s="171"/>
      <c r="J272" s="28"/>
      <c r="K272" s="28"/>
      <c r="L272" s="28"/>
    </row>
    <row r="273" spans="1:12" s="31" customFormat="1" ht="16.7" customHeight="1" x14ac:dyDescent="0.25">
      <c r="A273" s="115">
        <v>9</v>
      </c>
      <c r="B273" s="115"/>
      <c r="C273" s="61" t="s">
        <v>62</v>
      </c>
      <c r="D273" s="50">
        <f>(43.618+8.86)*10.764</f>
        <v>564.87319200000002</v>
      </c>
      <c r="E273" s="47">
        <v>0</v>
      </c>
      <c r="F273" s="47">
        <f t="shared" si="13"/>
        <v>790.82246880000002</v>
      </c>
      <c r="G273" s="62" t="s">
        <v>60</v>
      </c>
      <c r="H273" s="171"/>
      <c r="I273" s="171"/>
      <c r="J273" s="28"/>
      <c r="K273" s="28"/>
      <c r="L273" s="28"/>
    </row>
    <row r="274" spans="1:12" s="31" customFormat="1" ht="16.7" customHeight="1" x14ac:dyDescent="0.25">
      <c r="A274" s="139" t="s">
        <v>229</v>
      </c>
      <c r="B274" s="139"/>
      <c r="C274" s="139"/>
      <c r="D274" s="139"/>
      <c r="E274" s="139"/>
      <c r="F274" s="139"/>
      <c r="G274" s="139"/>
      <c r="H274" s="139"/>
      <c r="I274" s="139"/>
      <c r="J274" s="28"/>
      <c r="K274" s="28"/>
      <c r="L274" s="28"/>
    </row>
    <row r="275" spans="1:12" s="31" customFormat="1" ht="16.7" customHeight="1" x14ac:dyDescent="0.25">
      <c r="A275" s="173" t="s">
        <v>186</v>
      </c>
      <c r="B275" s="173"/>
      <c r="C275" s="173"/>
      <c r="D275" s="173"/>
      <c r="E275" s="173"/>
      <c r="F275" s="173"/>
      <c r="G275" s="173"/>
      <c r="H275" s="173"/>
      <c r="I275" s="173"/>
      <c r="J275" s="28"/>
      <c r="K275" s="28"/>
      <c r="L275" s="28"/>
    </row>
    <row r="276" spans="1:12" s="31" customFormat="1" ht="16.7" customHeight="1" x14ac:dyDescent="0.25">
      <c r="A276" s="125" t="s">
        <v>187</v>
      </c>
      <c r="B276" s="125"/>
      <c r="C276" s="125"/>
      <c r="D276" s="125"/>
      <c r="E276" s="125"/>
      <c r="F276" s="125"/>
      <c r="G276" s="125"/>
      <c r="H276" s="125"/>
      <c r="I276" s="125"/>
      <c r="J276" s="53"/>
      <c r="K276" s="28"/>
      <c r="L276" s="28"/>
    </row>
    <row r="277" spans="1:12" s="31" customFormat="1" ht="16.7" customHeight="1" x14ac:dyDescent="0.25">
      <c r="A277" s="159">
        <v>1</v>
      </c>
      <c r="B277" s="159"/>
      <c r="C277" s="61" t="s">
        <v>61</v>
      </c>
      <c r="D277" s="52">
        <f>(3.4*2.7+1.6*2.1+2.85*2.65+1.2*0.9+1.2*1.2+0.9*1.2+(0.9*2.7+2*2.1)+0.75*2.65)*10.764</f>
        <v>347.78484000000003</v>
      </c>
      <c r="E277" s="47">
        <f>1.5*(2.7+2.2)*10.764</f>
        <v>79.115399999999994</v>
      </c>
      <c r="F277" s="47">
        <f t="shared" ref="F277:F288" si="14">D277*1.4+E277</f>
        <v>566.01417600000002</v>
      </c>
      <c r="G277" s="61" t="s">
        <v>60</v>
      </c>
      <c r="H277" s="171" t="str">
        <f>A276</f>
        <v>1st, 3rd &amp; 5th Floor For Residential</v>
      </c>
      <c r="I277" s="171"/>
      <c r="J277" s="28"/>
      <c r="K277" s="28"/>
      <c r="L277" s="28"/>
    </row>
    <row r="278" spans="1:12" s="31" customFormat="1" ht="16.7" customHeight="1" x14ac:dyDescent="0.25">
      <c r="A278" s="159">
        <v>2</v>
      </c>
      <c r="B278" s="159"/>
      <c r="C278" s="61" t="s">
        <v>61</v>
      </c>
      <c r="D278" s="47">
        <f>(3.4*2.7+1.6*2.1+2.85*2.7+1.2*0.9+1.2*1.2+0.9*1.2+(0.9*2.7+2*2.1)+0.75*2.7)*10.764</f>
        <v>349.72235999999998</v>
      </c>
      <c r="E278" s="47">
        <f>1.5*(2.7+2.1)*10.764</f>
        <v>77.500800000000012</v>
      </c>
      <c r="F278" s="47">
        <f t="shared" si="14"/>
        <v>567.11210399999993</v>
      </c>
      <c r="G278" s="61" t="s">
        <v>60</v>
      </c>
      <c r="H278" s="171"/>
      <c r="I278" s="171"/>
      <c r="J278" s="28"/>
      <c r="K278" s="28"/>
      <c r="L278" s="28"/>
    </row>
    <row r="279" spans="1:12" s="31" customFormat="1" ht="16.7" customHeight="1" x14ac:dyDescent="0.25">
      <c r="A279" s="159">
        <v>3</v>
      </c>
      <c r="B279" s="159"/>
      <c r="C279" s="61" t="s">
        <v>62</v>
      </c>
      <c r="D279" s="47">
        <f>(3.4*3+2.9*2.1+2.7*2.9+2.2*2.8+1.2*1.8*2+3*0.9+0.45*1.1+0.45*0.9+0.9*(3+2.8)+0.75*(2.2+2.9))*10.764</f>
        <v>508.54517999999996</v>
      </c>
      <c r="E279" s="47">
        <f>1.5*(2.8+3)*10.764</f>
        <v>93.646799999999985</v>
      </c>
      <c r="F279" s="47">
        <f t="shared" si="14"/>
        <v>805.61005199999988</v>
      </c>
      <c r="G279" s="61" t="s">
        <v>60</v>
      </c>
      <c r="H279" s="171"/>
      <c r="I279" s="171"/>
      <c r="J279" s="48" t="s">
        <v>236</v>
      </c>
      <c r="K279" s="28"/>
      <c r="L279" s="28"/>
    </row>
    <row r="280" spans="1:12" s="31" customFormat="1" ht="16.7" customHeight="1" x14ac:dyDescent="0.25">
      <c r="A280" s="159">
        <v>4</v>
      </c>
      <c r="B280" s="159"/>
      <c r="C280" s="61" t="s">
        <v>61</v>
      </c>
      <c r="D280" s="47">
        <f>(2.7*3.4+2.1*1.6+2.7*2.85+1.2*1.2+1.2*0.9+1.2*0.9+(2.7*0.9+2.1*2)+0.75*(2.7))*10.764</f>
        <v>349.72235999999998</v>
      </c>
      <c r="E280" s="47">
        <f>1.5*(2.7+2.1)*10.764</f>
        <v>77.500800000000012</v>
      </c>
      <c r="F280" s="47">
        <f t="shared" si="14"/>
        <v>567.11210399999993</v>
      </c>
      <c r="G280" s="61" t="s">
        <v>60</v>
      </c>
      <c r="H280" s="171"/>
      <c r="I280" s="171"/>
      <c r="J280" s="28"/>
      <c r="K280" s="28"/>
      <c r="L280" s="28"/>
    </row>
    <row r="281" spans="1:12" s="31" customFormat="1" ht="16.7" customHeight="1" x14ac:dyDescent="0.25">
      <c r="A281" s="159">
        <v>5</v>
      </c>
      <c r="B281" s="159"/>
      <c r="C281" s="61" t="s">
        <v>61</v>
      </c>
      <c r="D281" s="47">
        <f>(2.7*3.4+2.1*1.6+2.7*2.85+0.9*1.2+1.2*1.2+1.2*0.9+(2.1*1.7+2.7*0.9)+2.7*0.75)*10.764</f>
        <v>342.94103999999999</v>
      </c>
      <c r="E281" s="47">
        <f>1.5*(2.7+2.1)*10.764</f>
        <v>77.500800000000012</v>
      </c>
      <c r="F281" s="47">
        <f t="shared" si="14"/>
        <v>557.61825599999997</v>
      </c>
      <c r="G281" s="61" t="s">
        <v>60</v>
      </c>
      <c r="H281" s="171"/>
      <c r="I281" s="171"/>
      <c r="J281" s="28"/>
      <c r="K281" s="28"/>
      <c r="L281" s="28"/>
    </row>
    <row r="282" spans="1:12" s="31" customFormat="1" ht="15.75" customHeight="1" x14ac:dyDescent="0.25">
      <c r="A282" s="159">
        <v>6</v>
      </c>
      <c r="B282" s="159"/>
      <c r="C282" s="61" t="s">
        <v>61</v>
      </c>
      <c r="D282" s="47">
        <f>(2.7*3.4+2.1*1.6+2.7*2.85+0.9*1.2+1.2*1.2+1.2*0.9+(2.1*1.7+2.7*0.9)+2.7*0.75)*10.764</f>
        <v>342.94103999999999</v>
      </c>
      <c r="E282" s="47">
        <f>1.5*(2.7+2.1)*10.764</f>
        <v>77.500800000000012</v>
      </c>
      <c r="F282" s="47">
        <f t="shared" si="14"/>
        <v>557.61825599999997</v>
      </c>
      <c r="G282" s="61" t="s">
        <v>60</v>
      </c>
      <c r="H282" s="171"/>
      <c r="I282" s="171"/>
      <c r="J282" s="28">
        <f>4250*F282</f>
        <v>2369877.588</v>
      </c>
      <c r="K282" s="28"/>
      <c r="L282" s="28"/>
    </row>
    <row r="283" spans="1:12" s="31" customFormat="1" ht="16.7" customHeight="1" x14ac:dyDescent="0.25">
      <c r="A283" s="159">
        <v>7</v>
      </c>
      <c r="B283" s="159"/>
      <c r="C283" s="61" t="s">
        <v>61</v>
      </c>
      <c r="D283" s="47">
        <f>(2.7*3.4+2.1*1.6+2.7*2.85+0.9*1.2+1.2*1.2+1.2*0.9+(2.1*1.7+2.7*0.9)+2.7*0.75)*10.764</f>
        <v>342.94103999999999</v>
      </c>
      <c r="E283" s="47">
        <f>1.5*(2.7+2.1)*10.764</f>
        <v>77.500800000000012</v>
      </c>
      <c r="F283" s="47">
        <f t="shared" si="14"/>
        <v>557.61825599999997</v>
      </c>
      <c r="G283" s="61" t="s">
        <v>60</v>
      </c>
      <c r="H283" s="171"/>
      <c r="I283" s="171"/>
      <c r="J283" s="28">
        <f>2.9*2.7*10.764</f>
        <v>84.282119999999992</v>
      </c>
      <c r="K283" s="28"/>
      <c r="L283" s="28"/>
    </row>
    <row r="284" spans="1:12" s="31" customFormat="1" ht="16.7" customHeight="1" x14ac:dyDescent="0.25">
      <c r="A284" s="159">
        <v>8</v>
      </c>
      <c r="B284" s="159"/>
      <c r="C284" s="61" t="s">
        <v>62</v>
      </c>
      <c r="D284" s="47">
        <f>(3.4*3+2.9*2.1+2.7*2.9+2.2*2.8+1.2*1.8*2+3*0.9+0.45*1.1+0.45*0.9+0.9*(3+2.8)+0.75*(2.2+2.9))*10.764</f>
        <v>508.54517999999996</v>
      </c>
      <c r="E284" s="47">
        <f>1.5*(2.7+3)*10.764</f>
        <v>92.032200000000003</v>
      </c>
      <c r="F284" s="47">
        <f t="shared" si="14"/>
        <v>803.99545199999989</v>
      </c>
      <c r="G284" s="61" t="s">
        <v>60</v>
      </c>
      <c r="H284" s="171"/>
      <c r="I284" s="171"/>
      <c r="J284" s="28">
        <f>313*1.45+44</f>
        <v>497.84999999999997</v>
      </c>
      <c r="K284" s="28"/>
      <c r="L284" s="28"/>
    </row>
    <row r="285" spans="1:12" s="31" customFormat="1" ht="16.7" customHeight="1" x14ac:dyDescent="0.25">
      <c r="A285" s="159">
        <v>9</v>
      </c>
      <c r="B285" s="159"/>
      <c r="C285" s="61" t="s">
        <v>62</v>
      </c>
      <c r="D285" s="47">
        <f>(3*3.4+2.1*3+2.9*2.7+2.8*2.2+1.8*1.2*2+3*0.9+1.1*0.45+0.9*(3+2.8)+0.75*(2.9+2))*10.764</f>
        <v>504.83159999999998</v>
      </c>
      <c r="E285" s="47">
        <f>1.5*(2.8+3)*10.764</f>
        <v>93.646799999999985</v>
      </c>
      <c r="F285" s="47">
        <f t="shared" si="14"/>
        <v>800.41103999999996</v>
      </c>
      <c r="G285" s="61" t="s">
        <v>60</v>
      </c>
      <c r="H285" s="171"/>
      <c r="I285" s="171"/>
      <c r="J285" s="28"/>
      <c r="K285" s="28"/>
      <c r="L285" s="28"/>
    </row>
    <row r="286" spans="1:12" s="31" customFormat="1" ht="16.7" customHeight="1" x14ac:dyDescent="0.25">
      <c r="A286" s="159">
        <v>10</v>
      </c>
      <c r="B286" s="159"/>
      <c r="C286" s="61" t="s">
        <v>62</v>
      </c>
      <c r="D286" s="47">
        <f>(3*3.4+2*2.7+2.7*2.7+3.3*2.7+1.95*1.2+1.2*1.3+3.2*0.9+1.3*1+(0.9*3)+0.75*(2+2.7))*10.764</f>
        <v>496.27422000000001</v>
      </c>
      <c r="E286" s="47">
        <f>1.5*(1.8+3)*10.764</f>
        <v>77.500799999999984</v>
      </c>
      <c r="F286" s="47">
        <f t="shared" si="14"/>
        <v>772.28470800000002</v>
      </c>
      <c r="G286" s="61" t="s">
        <v>60</v>
      </c>
      <c r="H286" s="171"/>
      <c r="I286" s="171"/>
      <c r="J286" s="28"/>
      <c r="K286" s="28"/>
      <c r="L286" s="28"/>
    </row>
    <row r="287" spans="1:12" s="31" customFormat="1" ht="16.7" customHeight="1" x14ac:dyDescent="0.25">
      <c r="A287" s="159">
        <v>11</v>
      </c>
      <c r="B287" s="159"/>
      <c r="C287" s="61" t="s">
        <v>62</v>
      </c>
      <c r="D287" s="47">
        <f>(3*3.4+2*2.7+2.7*2.7+3.3*2.7+1.95*1.2+1.2*1.3+3.2*0.9+1.3*1+(0.9*3)+0.75*(2+2.7))*10.764</f>
        <v>496.27422000000001</v>
      </c>
      <c r="E287" s="47">
        <f>1.5*(1.8+3)*10.764</f>
        <v>77.500799999999984</v>
      </c>
      <c r="F287" s="47">
        <f t="shared" si="14"/>
        <v>772.28470800000002</v>
      </c>
      <c r="G287" s="61" t="s">
        <v>60</v>
      </c>
      <c r="H287" s="171"/>
      <c r="I287" s="171"/>
      <c r="J287" s="28">
        <f>2.7*2.7*10.764</f>
        <v>78.469560000000001</v>
      </c>
      <c r="K287" s="28"/>
      <c r="L287" s="28"/>
    </row>
    <row r="288" spans="1:12" s="31" customFormat="1" ht="16.7" customHeight="1" x14ac:dyDescent="0.25">
      <c r="A288" s="159">
        <v>12</v>
      </c>
      <c r="B288" s="159"/>
      <c r="C288" s="61" t="s">
        <v>61</v>
      </c>
      <c r="D288" s="47">
        <f>(2.7*3.4+2.1*1.6+2.7*2.85+1.2*1.3+1.2*1.2+1.2*0.9+(2.7*0.9+2.1*2+2.7*0.75))*10.764</f>
        <v>354.88907999999998</v>
      </c>
      <c r="E288" s="47">
        <f>1.5*(2.7+2.1)*10.764</f>
        <v>77.500800000000012</v>
      </c>
      <c r="F288" s="47">
        <f t="shared" si="14"/>
        <v>574.34551199999999</v>
      </c>
      <c r="G288" s="61" t="s">
        <v>60</v>
      </c>
      <c r="H288" s="171"/>
      <c r="I288" s="171"/>
      <c r="J288" s="28"/>
      <c r="K288" s="28"/>
      <c r="L288" s="28"/>
    </row>
    <row r="289" spans="1:13" s="31" customFormat="1" ht="16.7" customHeight="1" x14ac:dyDescent="0.25">
      <c r="A289" s="125" t="s">
        <v>190</v>
      </c>
      <c r="B289" s="125"/>
      <c r="C289" s="125"/>
      <c r="D289" s="125"/>
      <c r="E289" s="125"/>
      <c r="F289" s="125"/>
      <c r="G289" s="125"/>
      <c r="H289" s="125"/>
      <c r="I289" s="125"/>
      <c r="J289" s="28"/>
      <c r="K289" s="28"/>
      <c r="L289" s="28"/>
    </row>
    <row r="290" spans="1:13" s="31" customFormat="1" ht="16.7" customHeight="1" x14ac:dyDescent="0.25">
      <c r="A290" s="159">
        <v>1</v>
      </c>
      <c r="B290" s="159"/>
      <c r="C290" s="84" t="s">
        <v>61</v>
      </c>
      <c r="D290" s="52">
        <f>(3.4*2.7+1.6*2.1+2.85*2.65+1.2*0.9+1.2*1.2+0.9*1.2+(0.9*2.7+2*2.1))*10.764</f>
        <v>326.39139000000006</v>
      </c>
      <c r="E290" s="47">
        <f>1.2*(2.6)*10.764</f>
        <v>33.583680000000001</v>
      </c>
      <c r="F290" s="47">
        <f t="shared" ref="F290:F301" si="15">D290*1.4+E290</f>
        <v>490.53162600000007</v>
      </c>
      <c r="G290" s="84" t="s">
        <v>60</v>
      </c>
      <c r="H290" s="171" t="str">
        <f>A289</f>
        <v>2nd, 4th &amp; 6th Floor</v>
      </c>
      <c r="I290" s="171"/>
      <c r="J290" s="28"/>
      <c r="K290" s="28"/>
      <c r="L290" s="28"/>
    </row>
    <row r="291" spans="1:13" s="31" customFormat="1" ht="16.7" customHeight="1" x14ac:dyDescent="0.25">
      <c r="A291" s="159">
        <v>2</v>
      </c>
      <c r="B291" s="159"/>
      <c r="C291" s="84" t="s">
        <v>61</v>
      </c>
      <c r="D291" s="47">
        <f>(3.4*2.7+1.6*2.1+2.85*2.7+1.2*0.9+1.2*1.2+0.9*1.2+(2.7*0.9+2.1*2))*10.764</f>
        <v>327.92526000000004</v>
      </c>
      <c r="E291" s="47">
        <f>1.5*(2.7)*10.764</f>
        <v>43.594200000000008</v>
      </c>
      <c r="F291" s="47">
        <f t="shared" si="15"/>
        <v>502.68956400000002</v>
      </c>
      <c r="G291" s="84" t="s">
        <v>60</v>
      </c>
      <c r="H291" s="171"/>
      <c r="I291" s="171"/>
      <c r="J291" s="28"/>
      <c r="K291" s="28"/>
      <c r="L291" s="28"/>
    </row>
    <row r="292" spans="1:13" s="31" customFormat="1" ht="16.7" customHeight="1" x14ac:dyDescent="0.25">
      <c r="A292" s="159">
        <v>3</v>
      </c>
      <c r="B292" s="159"/>
      <c r="C292" s="84" t="s">
        <v>62</v>
      </c>
      <c r="D292" s="47">
        <f>(3.4*3+2.9*2.1+2.7*2.9+2.2*2.8+1.2*1.8*2+3*0.9+0.45*1.1+0.45*0.9+0.9*(3+2.8)+0.75*(2.2))*10.764</f>
        <v>485.13347999999991</v>
      </c>
      <c r="E292" s="47">
        <f>1.5*(2.8)*10.764</f>
        <v>45.208799999999989</v>
      </c>
      <c r="F292" s="47">
        <f t="shared" si="15"/>
        <v>724.39567199999988</v>
      </c>
      <c r="G292" s="84" t="s">
        <v>60</v>
      </c>
      <c r="H292" s="171"/>
      <c r="I292" s="171"/>
      <c r="J292" s="28">
        <f>2.7*3*10.764</f>
        <v>87.188400000000016</v>
      </c>
      <c r="K292" s="28">
        <f>3.35*3*10.764</f>
        <v>108.1782</v>
      </c>
      <c r="L292" s="28"/>
    </row>
    <row r="293" spans="1:13" s="31" customFormat="1" ht="16.7" customHeight="1" x14ac:dyDescent="0.25">
      <c r="A293" s="159">
        <v>4</v>
      </c>
      <c r="B293" s="159"/>
      <c r="C293" s="84" t="s">
        <v>61</v>
      </c>
      <c r="D293" s="47">
        <f>(2.7*3.4+2.1*1.6+2.7*2.85+1.2*1.2+1.2*0.9+1.2*0.9+(2.7*0.9+2.1*2))*10.764</f>
        <v>327.92526000000004</v>
      </c>
      <c r="E293" s="47">
        <f>1.5*(2.7)*10.764</f>
        <v>43.594200000000008</v>
      </c>
      <c r="F293" s="47">
        <f t="shared" si="15"/>
        <v>502.68956400000002</v>
      </c>
      <c r="G293" s="84" t="s">
        <v>60</v>
      </c>
      <c r="H293" s="171"/>
      <c r="I293" s="171"/>
      <c r="J293" s="28"/>
      <c r="K293" s="28"/>
      <c r="L293" s="28"/>
    </row>
    <row r="294" spans="1:13" ht="15.75" x14ac:dyDescent="0.25">
      <c r="A294" s="159">
        <v>5</v>
      </c>
      <c r="B294" s="159"/>
      <c r="C294" s="84" t="s">
        <v>61</v>
      </c>
      <c r="D294" s="47">
        <f>(2.7*3.4+2.1*1.6+2.7*2.85+0.9*1.2+1.2*1.2+1.2*0.9+(2.1*1.7+2.7*0.9))*10.764</f>
        <v>321.14393999999999</v>
      </c>
      <c r="E294" s="47">
        <f>1.5*(2.7)*10.764</f>
        <v>43.594200000000008</v>
      </c>
      <c r="F294" s="47">
        <f t="shared" si="15"/>
        <v>493.19571599999995</v>
      </c>
      <c r="G294" s="84" t="s">
        <v>60</v>
      </c>
      <c r="H294" s="171"/>
      <c r="I294" s="171"/>
      <c r="J294" s="51" t="s">
        <v>237</v>
      </c>
      <c r="M294" s="31"/>
    </row>
    <row r="295" spans="1:13" ht="15.75" x14ac:dyDescent="0.25">
      <c r="A295" s="159">
        <v>6</v>
      </c>
      <c r="B295" s="159"/>
      <c r="C295" s="84" t="s">
        <v>61</v>
      </c>
      <c r="D295" s="47">
        <f>(2.7*3.4+2.1*1.6+2.7*2.85+0.9*1.2+1.2*1.2+1.2*0.9+(2.1*1.7+2.7*0.9))*10.764</f>
        <v>321.14393999999999</v>
      </c>
      <c r="E295" s="47">
        <f>1.5*(2.7)*10.764</f>
        <v>43.594200000000008</v>
      </c>
      <c r="F295" s="47">
        <f t="shared" si="15"/>
        <v>493.19571599999995</v>
      </c>
      <c r="G295" s="84" t="s">
        <v>60</v>
      </c>
      <c r="H295" s="171"/>
      <c r="I295" s="171"/>
      <c r="M295" s="31"/>
    </row>
    <row r="296" spans="1:13" ht="15.75" x14ac:dyDescent="0.25">
      <c r="A296" s="159">
        <v>7</v>
      </c>
      <c r="B296" s="159"/>
      <c r="C296" s="84" t="s">
        <v>61</v>
      </c>
      <c r="D296" s="47">
        <f>(2.7*3.4+2.1*1.6+2.7*2.85+0.9*1.2+1.2*1.2+1.2*0.9+(2.1*1.7+2.7*0.9))*10.764</f>
        <v>321.14393999999999</v>
      </c>
      <c r="E296" s="47">
        <f>1.5*(2.7)*10.764</f>
        <v>43.594200000000008</v>
      </c>
      <c r="F296" s="47">
        <f t="shared" si="15"/>
        <v>493.19571599999995</v>
      </c>
      <c r="G296" s="84" t="s">
        <v>60</v>
      </c>
      <c r="H296" s="171"/>
      <c r="I296" s="171"/>
      <c r="M296" s="31"/>
    </row>
    <row r="297" spans="1:13" ht="15.75" x14ac:dyDescent="0.25">
      <c r="A297" s="159">
        <v>8</v>
      </c>
      <c r="B297" s="159"/>
      <c r="C297" s="84" t="s">
        <v>62</v>
      </c>
      <c r="D297" s="47">
        <f>(3.4*3+2.9*2.1+2.7*2.9+2.2*2.8+1.2*1.8*2+3*0.9+0.45*1.1+0.45*0.9+0.9*(3+2.8)+0.75*(2.2))*10.764</f>
        <v>485.13347999999991</v>
      </c>
      <c r="E297" s="47">
        <f>1.5*(2.8)*10.764</f>
        <v>45.208799999999989</v>
      </c>
      <c r="F297" s="47">
        <f t="shared" si="15"/>
        <v>724.39567199999988</v>
      </c>
      <c r="G297" s="84" t="s">
        <v>60</v>
      </c>
      <c r="H297" s="171"/>
      <c r="I297" s="171"/>
      <c r="M297" s="31"/>
    </row>
    <row r="298" spans="1:13" ht="15.75" x14ac:dyDescent="0.25">
      <c r="A298" s="159">
        <v>9</v>
      </c>
      <c r="B298" s="159"/>
      <c r="C298" s="84" t="s">
        <v>62</v>
      </c>
      <c r="D298" s="47">
        <f>(3*3.4+2.1*3+2.9*2.7+2.8*2.2+1.8*1.2*2+3*0.9+1.1*0.45+0.9*(3+2.8)+0.75*(2))*10.764</f>
        <v>481.41989999999998</v>
      </c>
      <c r="E298" s="47">
        <f>1.5*(2.8)*10.764</f>
        <v>45.208799999999989</v>
      </c>
      <c r="F298" s="47">
        <f t="shared" si="15"/>
        <v>719.19665999999995</v>
      </c>
      <c r="G298" s="84" t="s">
        <v>60</v>
      </c>
      <c r="H298" s="171"/>
      <c r="I298" s="171"/>
      <c r="M298" s="31"/>
    </row>
    <row r="299" spans="1:13" ht="15.75" x14ac:dyDescent="0.25">
      <c r="A299" s="159">
        <v>10</v>
      </c>
      <c r="B299" s="159"/>
      <c r="C299" s="84" t="s">
        <v>62</v>
      </c>
      <c r="D299" s="47">
        <f>(3*3.4+2*2.7+2.7*2.7+3.3*2.7+1.95*1.2+1.2*1.3+3.2*0.9+1.3*1+(0.9*3)+0.75*(1.8))*10.764</f>
        <v>472.86252000000002</v>
      </c>
      <c r="E299" s="47">
        <f>1.5*(2+2.7)*10.764</f>
        <v>75.886200000000002</v>
      </c>
      <c r="F299" s="47">
        <f t="shared" si="15"/>
        <v>737.89372800000001</v>
      </c>
      <c r="G299" s="84" t="s">
        <v>60</v>
      </c>
      <c r="H299" s="171"/>
      <c r="I299" s="171"/>
      <c r="M299" s="31"/>
    </row>
    <row r="300" spans="1:13" ht="15.75" x14ac:dyDescent="0.25">
      <c r="A300" s="159">
        <v>11</v>
      </c>
      <c r="B300" s="159"/>
      <c r="C300" s="84" t="s">
        <v>62</v>
      </c>
      <c r="D300" s="47">
        <f>(3*3.4+2*2.7+2.7*2.7+3.3*2.7+1.95*1.2+1.2*1.3+3.2*0.9+1.3*1+(0.9*3)+0.75*(1.8))*10.764</f>
        <v>472.86252000000002</v>
      </c>
      <c r="E300" s="47">
        <f>1.5*(2+2.7)*10.764</f>
        <v>75.886200000000002</v>
      </c>
      <c r="F300" s="47">
        <f t="shared" si="15"/>
        <v>737.89372800000001</v>
      </c>
      <c r="G300" s="84" t="s">
        <v>60</v>
      </c>
      <c r="H300" s="171"/>
      <c r="I300" s="171"/>
      <c r="M300" s="31"/>
    </row>
    <row r="301" spans="1:13" ht="15.75" x14ac:dyDescent="0.25">
      <c r="A301" s="159">
        <v>12</v>
      </c>
      <c r="B301" s="159"/>
      <c r="C301" s="84" t="s">
        <v>61</v>
      </c>
      <c r="D301" s="47">
        <f>(2.7*3.4+2.1*1.6+2.7*2.85+1.2*1.3+1.2*1.2+1.2*0.9+(2.7*0.9+2.1*2))*10.764</f>
        <v>333.09197999999998</v>
      </c>
      <c r="E301" s="47">
        <f>(2.7*1.5)*10.764</f>
        <v>43.594200000000008</v>
      </c>
      <c r="F301" s="47">
        <f t="shared" si="15"/>
        <v>509.92297199999996</v>
      </c>
      <c r="G301" s="84" t="s">
        <v>60</v>
      </c>
      <c r="H301" s="171"/>
      <c r="I301" s="171"/>
      <c r="M301" s="31"/>
    </row>
    <row r="302" spans="1:13" ht="15.75" x14ac:dyDescent="0.25">
      <c r="A302" s="173" t="s">
        <v>191</v>
      </c>
      <c r="B302" s="173"/>
      <c r="C302" s="173"/>
      <c r="D302" s="173"/>
      <c r="E302" s="173"/>
      <c r="F302" s="173"/>
      <c r="G302" s="173"/>
      <c r="H302" s="173"/>
      <c r="I302" s="173"/>
      <c r="L302" s="55">
        <v>2.5</v>
      </c>
      <c r="M302" s="31"/>
    </row>
    <row r="303" spans="1:13" ht="15" customHeight="1" x14ac:dyDescent="0.25">
      <c r="A303" s="159">
        <v>1</v>
      </c>
      <c r="B303" s="159"/>
      <c r="C303" s="61" t="s">
        <v>61</v>
      </c>
      <c r="D303" s="52">
        <f>(3.4*2.7+1.6*2.1+2.85*2.65+1.2*0.9+1.2*1.2+0.9*1.2+(0.9*2.7+2*2.1)+0.75*2.65)*10.764</f>
        <v>347.78484000000003</v>
      </c>
      <c r="E303" s="47">
        <f>1.5*(2.7+2.2)*10.764</f>
        <v>79.115399999999994</v>
      </c>
      <c r="F303" s="47">
        <f t="shared" ref="F303:F314" si="16">D303*1.4+E303</f>
        <v>566.01417600000002</v>
      </c>
      <c r="G303" s="62" t="s">
        <v>60</v>
      </c>
      <c r="H303" s="159" t="str">
        <f>A302</f>
        <v>7th Floor</v>
      </c>
      <c r="I303" s="159"/>
      <c r="M303" s="31"/>
    </row>
    <row r="304" spans="1:13" ht="15.75" x14ac:dyDescent="0.25">
      <c r="A304" s="159">
        <v>2</v>
      </c>
      <c r="B304" s="159"/>
      <c r="C304" s="61" t="s">
        <v>61</v>
      </c>
      <c r="D304" s="47">
        <f>(3.4*2.7+1.6*2.1+2.85*2.7+1.2*0.9+1.2*1.2+0.9*1.2+(0.9*2.7+2*2.1)+0.75*2.7)*10.764</f>
        <v>349.72235999999998</v>
      </c>
      <c r="E304" s="47">
        <f>1.5*(2.7+2.1)*10.764</f>
        <v>77.500800000000012</v>
      </c>
      <c r="F304" s="47">
        <f t="shared" si="16"/>
        <v>567.11210399999993</v>
      </c>
      <c r="G304" s="62" t="s">
        <v>60</v>
      </c>
      <c r="H304" s="159"/>
      <c r="I304" s="159"/>
      <c r="M304" s="31"/>
    </row>
    <row r="305" spans="1:13" ht="15.75" x14ac:dyDescent="0.25">
      <c r="A305" s="159">
        <v>3</v>
      </c>
      <c r="B305" s="159"/>
      <c r="C305" s="61" t="s">
        <v>62</v>
      </c>
      <c r="D305" s="47">
        <f>(3.4*3+2.9*2.1+2.7*2.9+2.2*2.8+1.2*1.8*2+3*0.9+0.45*1.1+0.45*0.9+0.9*(3+2.8)+0.75*(2.2+2.9))*10.764</f>
        <v>508.54517999999996</v>
      </c>
      <c r="E305" s="47">
        <f>1.5*(2.8+3)*10.764</f>
        <v>93.646799999999985</v>
      </c>
      <c r="F305" s="47">
        <f t="shared" si="16"/>
        <v>805.61005199999988</v>
      </c>
      <c r="G305" s="62" t="s">
        <v>60</v>
      </c>
      <c r="H305" s="159"/>
      <c r="I305" s="159"/>
      <c r="M305" s="31"/>
    </row>
    <row r="306" spans="1:13" ht="15.75" x14ac:dyDescent="0.25">
      <c r="A306" s="159">
        <v>4</v>
      </c>
      <c r="B306" s="159"/>
      <c r="C306" s="61" t="s">
        <v>61</v>
      </c>
      <c r="D306" s="47">
        <f>(2.7*3.4+2.1*1.6+2.7*2.85+1.2*1.2+1.2*0.9+1.2*0.9+(2.7*0.9+2.1*2)+0.75*(2.7))*10.764</f>
        <v>349.72235999999998</v>
      </c>
      <c r="E306" s="47">
        <f>1.5*(2.7+2.1)*10.764</f>
        <v>77.500800000000012</v>
      </c>
      <c r="F306" s="47">
        <f t="shared" si="16"/>
        <v>567.11210399999993</v>
      </c>
      <c r="G306" s="62" t="s">
        <v>60</v>
      </c>
      <c r="H306" s="159"/>
      <c r="I306" s="159"/>
      <c r="M306" s="31"/>
    </row>
    <row r="307" spans="1:13" ht="15.75" x14ac:dyDescent="0.25">
      <c r="A307" s="159">
        <v>5</v>
      </c>
      <c r="B307" s="159"/>
      <c r="C307" s="61" t="s">
        <v>61</v>
      </c>
      <c r="D307" s="47">
        <f>(2.7*3.4+2.1*1.6+2.7*2.85+0.9*1.2+1.2*1.2+1.2*0.9+(2.1*1.7+2.7*0.9)+2.7*0.75)*10.764</f>
        <v>342.94103999999999</v>
      </c>
      <c r="E307" s="47">
        <f>1.5*(2.7+2.1)*10.764</f>
        <v>77.500800000000012</v>
      </c>
      <c r="F307" s="47">
        <f t="shared" si="16"/>
        <v>557.61825599999997</v>
      </c>
      <c r="G307" s="62" t="s">
        <v>60</v>
      </c>
      <c r="H307" s="159"/>
      <c r="I307" s="159"/>
      <c r="M307" s="31"/>
    </row>
    <row r="308" spans="1:13" s="41" customFormat="1" ht="15.75" x14ac:dyDescent="0.25">
      <c r="A308" s="159">
        <v>6</v>
      </c>
      <c r="B308" s="159"/>
      <c r="C308" s="61" t="s">
        <v>61</v>
      </c>
      <c r="D308" s="47">
        <f>(2.7*3.4+2.1*1.6+2.7*2.85+0.9*1.2+1.2*1.2+1.2*0.9+(2.1*1.7+2.7*0.9)+2.7*0.75)*10.764</f>
        <v>342.94103999999999</v>
      </c>
      <c r="E308" s="47">
        <f>1.5*(2.7+2.1)*10.764</f>
        <v>77.500800000000012</v>
      </c>
      <c r="F308" s="47">
        <f t="shared" si="16"/>
        <v>557.61825599999997</v>
      </c>
      <c r="G308" s="62" t="s">
        <v>60</v>
      </c>
      <c r="H308" s="159"/>
      <c r="I308" s="159"/>
      <c r="J308" s="31"/>
      <c r="K308" s="31"/>
      <c r="L308" s="31"/>
      <c r="M308" s="31"/>
    </row>
    <row r="309" spans="1:13" ht="15.75" x14ac:dyDescent="0.25">
      <c r="A309" s="159">
        <v>7</v>
      </c>
      <c r="B309" s="159"/>
      <c r="C309" s="61" t="s">
        <v>61</v>
      </c>
      <c r="D309" s="47">
        <f>(2.7*3.4+2.1*1.6+2.7*2.85+0.9*1.2+1.2*1.2+1.2*0.9+(2.1*1.7+2.7*0.9)+2.7*0.75)*10.764</f>
        <v>342.94103999999999</v>
      </c>
      <c r="E309" s="47">
        <f>1.5*(2.7+2.1)*10.764</f>
        <v>77.500800000000012</v>
      </c>
      <c r="F309" s="47">
        <f t="shared" si="16"/>
        <v>557.61825599999997</v>
      </c>
      <c r="G309" s="62" t="s">
        <v>60</v>
      </c>
      <c r="H309" s="159"/>
      <c r="I309" s="159"/>
      <c r="J309" s="31"/>
      <c r="K309" s="31"/>
      <c r="L309" s="31"/>
    </row>
    <row r="310" spans="1:13" ht="15.75" x14ac:dyDescent="0.25">
      <c r="A310" s="159">
        <v>8</v>
      </c>
      <c r="B310" s="159"/>
      <c r="C310" s="61" t="s">
        <v>62</v>
      </c>
      <c r="D310" s="47">
        <f>(3.4*3+2.9*2.1+2.7*2.9+2.2*2.8+1.2*1.8*2+3*0.9+0.45*1.1+0.45*0.9+0.9*(3+2.8)+0.75*(2.2+2.9))*10.764</f>
        <v>508.54517999999996</v>
      </c>
      <c r="E310" s="47">
        <f>1.5*(2.7+3)*10.764</f>
        <v>92.032200000000003</v>
      </c>
      <c r="F310" s="47">
        <f t="shared" si="16"/>
        <v>803.99545199999989</v>
      </c>
      <c r="G310" s="62" t="s">
        <v>60</v>
      </c>
      <c r="H310" s="159"/>
      <c r="I310" s="159"/>
      <c r="J310" s="31"/>
      <c r="K310" s="31"/>
      <c r="L310" s="31"/>
    </row>
    <row r="311" spans="1:13" ht="15.75" x14ac:dyDescent="0.25">
      <c r="A311" s="159">
        <v>9</v>
      </c>
      <c r="B311" s="159"/>
      <c r="C311" s="61" t="s">
        <v>62</v>
      </c>
      <c r="D311" s="47">
        <f>(3*3.4+2.1*3+2.9*2.7+2.8*2.2+1.8*1.2*2+3*0.9+1.1*0.45+0.9*(3+2.8)+0.75*(2.9+2))*10.764</f>
        <v>504.83159999999998</v>
      </c>
      <c r="E311" s="47">
        <f>1.5*(2.8+3)*10.764</f>
        <v>93.646799999999985</v>
      </c>
      <c r="F311" s="47">
        <f t="shared" si="16"/>
        <v>800.41103999999996</v>
      </c>
      <c r="G311" s="62" t="s">
        <v>60</v>
      </c>
      <c r="H311" s="159"/>
      <c r="I311" s="159"/>
    </row>
    <row r="312" spans="1:13" ht="15.75" x14ac:dyDescent="0.25">
      <c r="A312" s="159">
        <v>10</v>
      </c>
      <c r="B312" s="159"/>
      <c r="C312" s="61" t="s">
        <v>62</v>
      </c>
      <c r="D312" s="47">
        <f>(3*3.4+2*2.7+2.7*2.7+3.3*2.7+1.95*1.2+1.2*1.3+3.2*0.9+1.3*1+(0.9*3)+0.75*(2+2.7))*10.764</f>
        <v>496.27422000000001</v>
      </c>
      <c r="E312" s="47">
        <f>1.5*(1.8+3)*10.764</f>
        <v>77.500799999999984</v>
      </c>
      <c r="F312" s="47">
        <f t="shared" si="16"/>
        <v>772.28470800000002</v>
      </c>
      <c r="G312" s="62" t="s">
        <v>60</v>
      </c>
      <c r="H312" s="159"/>
      <c r="I312" s="159"/>
    </row>
    <row r="313" spans="1:13" ht="15.75" x14ac:dyDescent="0.25">
      <c r="A313" s="159">
        <v>11</v>
      </c>
      <c r="B313" s="159"/>
      <c r="C313" s="61" t="s">
        <v>62</v>
      </c>
      <c r="D313" s="47">
        <f>(3*3.4+2*2.7+2.7*2.7+3.3*2.7+1.95*1.2+1.2*1.3+3.2*0.9+1.3*1+(0.9*3)+0.75*(2+2.7))*10.764</f>
        <v>496.27422000000001</v>
      </c>
      <c r="E313" s="47">
        <f>1.5*(1.8+3)*10.764</f>
        <v>77.500799999999984</v>
      </c>
      <c r="F313" s="47">
        <f t="shared" si="16"/>
        <v>772.28470800000002</v>
      </c>
      <c r="G313" s="62" t="s">
        <v>60</v>
      </c>
      <c r="H313" s="159"/>
      <c r="I313" s="159"/>
    </row>
    <row r="314" spans="1:13" ht="15.75" x14ac:dyDescent="0.25">
      <c r="A314" s="159">
        <v>12</v>
      </c>
      <c r="B314" s="159"/>
      <c r="C314" s="61" t="s">
        <v>61</v>
      </c>
      <c r="D314" s="47">
        <f>(2.7*3.4+2.1*1.6+2.7*2.85+1.2*1.3+1.2*1.2+1.2*0.9+(2.7*0.9+2.1*2+2.7*0.75))*10.764</f>
        <v>354.88907999999998</v>
      </c>
      <c r="E314" s="47">
        <f>1.5*(2.7+2.1)*10.764</f>
        <v>77.500800000000012</v>
      </c>
      <c r="F314" s="47">
        <f t="shared" si="16"/>
        <v>574.34551199999999</v>
      </c>
      <c r="G314" s="62" t="s">
        <v>60</v>
      </c>
      <c r="H314" s="159"/>
      <c r="I314" s="159"/>
    </row>
    <row r="315" spans="1:13" ht="15.75" hidden="1" x14ac:dyDescent="0.25">
      <c r="A315" s="139" t="s">
        <v>230</v>
      </c>
      <c r="B315" s="139"/>
      <c r="C315" s="139"/>
      <c r="D315" s="139"/>
      <c r="E315" s="139"/>
      <c r="F315" s="139"/>
      <c r="G315" s="139"/>
      <c r="H315" s="139"/>
      <c r="I315" s="139"/>
    </row>
    <row r="316" spans="1:13" ht="15.75" hidden="1" x14ac:dyDescent="0.25">
      <c r="A316" s="173" t="s">
        <v>186</v>
      </c>
      <c r="B316" s="173"/>
      <c r="C316" s="173"/>
      <c r="D316" s="173"/>
      <c r="E316" s="173"/>
      <c r="F316" s="173"/>
      <c r="G316" s="173"/>
      <c r="H316" s="173"/>
      <c r="I316" s="173"/>
    </row>
    <row r="317" spans="1:13" ht="15.75" hidden="1" x14ac:dyDescent="0.25">
      <c r="A317" s="125" t="s">
        <v>234</v>
      </c>
      <c r="B317" s="125"/>
      <c r="C317" s="125"/>
      <c r="D317" s="125"/>
      <c r="E317" s="125"/>
      <c r="F317" s="125"/>
      <c r="G317" s="125"/>
      <c r="H317" s="125"/>
      <c r="I317" s="125"/>
    </row>
    <row r="318" spans="1:13" ht="15.75" hidden="1" customHeight="1" x14ac:dyDescent="0.25">
      <c r="A318" s="159">
        <v>1</v>
      </c>
      <c r="B318" s="159"/>
      <c r="C318" s="61" t="s">
        <v>62</v>
      </c>
      <c r="D318" s="50">
        <f>(6.05*2.75+2.908*1+2.79*3.05+3.05*2.75+2.65*3.05+1.2*2.4*2+0.9*1.2+3.9*0.9+0.9*1.2+0.9*(3.05*3+2.9))*10.764</f>
        <v>719.0351999999998</v>
      </c>
      <c r="E318" s="47">
        <v>0</v>
      </c>
      <c r="F318" s="47">
        <f>D318*1.45+E318</f>
        <v>1042.6010399999998</v>
      </c>
      <c r="G318" s="61" t="s">
        <v>60</v>
      </c>
      <c r="H318" s="171" t="str">
        <f>A317</f>
        <v>1st &amp; 2nd Floor For Residential</v>
      </c>
      <c r="I318" s="171"/>
      <c r="J318" s="70">
        <v>10.763999999999999</v>
      </c>
    </row>
    <row r="319" spans="1:13" ht="15.75" hidden="1" x14ac:dyDescent="0.25">
      <c r="A319" s="125" t="s">
        <v>235</v>
      </c>
      <c r="B319" s="125"/>
      <c r="C319" s="125"/>
      <c r="D319" s="125"/>
      <c r="E319" s="125"/>
      <c r="F319" s="125"/>
      <c r="G319" s="125"/>
      <c r="H319" s="125"/>
      <c r="I319" s="125"/>
    </row>
    <row r="320" spans="1:13" ht="15.75" hidden="1" x14ac:dyDescent="0.25">
      <c r="A320" s="159">
        <v>1</v>
      </c>
      <c r="B320" s="159"/>
      <c r="C320" s="61" t="s">
        <v>61</v>
      </c>
      <c r="D320" s="50">
        <f>(6.05*2.75+2.908*1+2.79*3.05+3.05*2.75+1.2*2.4*2+0.9*1.2+3.9*0.9+0.9*1.2+3.05+0.9*(3.05*2+2.9))*10.764</f>
        <v>635.31818999999984</v>
      </c>
      <c r="E320" s="50">
        <f>(2.6*3.05)*10.764</f>
        <v>85.358519999999999</v>
      </c>
      <c r="F320" s="47">
        <f>D320*1.45+E320</f>
        <v>1006.5698954999998</v>
      </c>
      <c r="G320" s="61" t="s">
        <v>60</v>
      </c>
      <c r="H320" s="185" t="str">
        <f>A319</f>
        <v>3rd Floor</v>
      </c>
      <c r="I320" s="185"/>
    </row>
    <row r="321" spans="1:13" ht="15.75" hidden="1" x14ac:dyDescent="0.25">
      <c r="A321" s="159"/>
      <c r="B321" s="159"/>
      <c r="C321" s="159"/>
      <c r="D321" s="159"/>
      <c r="E321" s="159"/>
      <c r="F321" s="159"/>
      <c r="G321" s="159"/>
      <c r="H321" s="159"/>
      <c r="I321" s="159"/>
      <c r="J321" s="41"/>
      <c r="K321" s="41"/>
      <c r="L321" s="41"/>
      <c r="M321" s="41"/>
    </row>
    <row r="322" spans="1:13" ht="243.95" customHeight="1" x14ac:dyDescent="0.25">
      <c r="A322" s="183" t="s">
        <v>278</v>
      </c>
      <c r="B322" s="183"/>
      <c r="C322" s="183"/>
      <c r="D322" s="183"/>
      <c r="E322" s="183"/>
      <c r="F322" s="183"/>
      <c r="G322" s="183"/>
      <c r="H322" s="183"/>
      <c r="I322" s="183"/>
      <c r="J322" s="58"/>
      <c r="K322" s="28" t="s">
        <v>267</v>
      </c>
    </row>
    <row r="323" spans="1:13" ht="15.75" x14ac:dyDescent="0.25">
      <c r="A323" s="119" t="s">
        <v>26</v>
      </c>
      <c r="B323" s="119"/>
      <c r="C323" s="119"/>
      <c r="D323" s="119"/>
      <c r="E323" s="119"/>
      <c r="F323" s="119"/>
      <c r="G323" s="119"/>
      <c r="H323" s="119"/>
      <c r="I323" s="119"/>
    </row>
    <row r="324" spans="1:13" ht="15.75" x14ac:dyDescent="0.25">
      <c r="A324" s="119" t="s">
        <v>33</v>
      </c>
      <c r="B324" s="119"/>
      <c r="C324" s="119"/>
      <c r="D324" s="119"/>
      <c r="E324" s="119"/>
      <c r="F324" s="119"/>
      <c r="G324" s="119"/>
      <c r="H324" s="119"/>
      <c r="I324" s="119"/>
    </row>
    <row r="325" spans="1:13" ht="15.75" x14ac:dyDescent="0.25">
      <c r="A325" s="119" t="s">
        <v>28</v>
      </c>
      <c r="B325" s="119"/>
      <c r="C325" s="119"/>
      <c r="D325" s="119"/>
      <c r="E325" s="119"/>
      <c r="F325" s="119"/>
      <c r="G325" s="119"/>
      <c r="H325" s="119"/>
      <c r="I325" s="119"/>
    </row>
    <row r="326" spans="1:13" ht="15.75" x14ac:dyDescent="0.25">
      <c r="A326" s="119" t="s">
        <v>38</v>
      </c>
      <c r="B326" s="119"/>
      <c r="C326" s="119"/>
      <c r="D326" s="119"/>
      <c r="E326" s="119"/>
      <c r="F326" s="119"/>
      <c r="G326" s="119"/>
      <c r="H326" s="119"/>
      <c r="I326" s="119"/>
    </row>
    <row r="327" spans="1:13" ht="15.75" x14ac:dyDescent="0.25">
      <c r="A327" s="120" t="s">
        <v>65</v>
      </c>
      <c r="B327" s="120"/>
      <c r="C327" s="120"/>
      <c r="D327" s="120"/>
      <c r="E327" s="120"/>
      <c r="F327" s="120"/>
      <c r="G327" s="120"/>
      <c r="H327" s="120"/>
      <c r="I327" s="120"/>
    </row>
    <row r="328" spans="1:13" ht="15.75" x14ac:dyDescent="0.25">
      <c r="A328" s="119" t="s">
        <v>39</v>
      </c>
      <c r="B328" s="119"/>
      <c r="C328" s="119"/>
      <c r="D328" s="119"/>
      <c r="E328" s="119"/>
      <c r="F328" s="119"/>
      <c r="G328" s="119"/>
      <c r="H328" s="119"/>
      <c r="I328" s="119"/>
    </row>
    <row r="329" spans="1:13" ht="15.75" x14ac:dyDescent="0.25">
      <c r="A329" s="119" t="s">
        <v>40</v>
      </c>
      <c r="B329" s="119"/>
      <c r="C329" s="119"/>
      <c r="D329" s="119"/>
      <c r="E329" s="119"/>
      <c r="F329" s="119"/>
      <c r="G329" s="119"/>
      <c r="H329" s="119"/>
      <c r="I329" s="119"/>
    </row>
    <row r="330" spans="1:13" ht="15.75" x14ac:dyDescent="0.25">
      <c r="A330" s="120" t="s">
        <v>64</v>
      </c>
      <c r="B330" s="120"/>
      <c r="C330" s="120"/>
      <c r="D330" s="120"/>
      <c r="E330" s="120"/>
      <c r="F330" s="120"/>
      <c r="G330" s="120"/>
      <c r="H330" s="120"/>
      <c r="I330" s="120"/>
    </row>
    <row r="331" spans="1:13" ht="15.75" x14ac:dyDescent="0.25">
      <c r="A331" s="184" t="s">
        <v>200</v>
      </c>
      <c r="B331" s="184"/>
      <c r="C331" s="184"/>
      <c r="D331" s="115" t="s">
        <v>202</v>
      </c>
      <c r="E331" s="115"/>
      <c r="F331" s="184" t="s">
        <v>201</v>
      </c>
      <c r="G331" s="184"/>
      <c r="H331" s="184" t="s">
        <v>288</v>
      </c>
      <c r="I331" s="184"/>
    </row>
    <row r="332" spans="1:13" x14ac:dyDescent="0.25">
      <c r="A332" s="174" t="s">
        <v>27</v>
      </c>
      <c r="B332" s="175"/>
      <c r="C332" s="175"/>
      <c r="D332" s="175"/>
      <c r="E332" s="175"/>
      <c r="F332" s="175"/>
      <c r="G332" s="175"/>
      <c r="H332" s="175"/>
      <c r="I332" s="176"/>
    </row>
    <row r="333" spans="1:13" x14ac:dyDescent="0.25">
      <c r="A333" s="177"/>
      <c r="B333" s="178"/>
      <c r="C333" s="178"/>
      <c r="D333" s="178"/>
      <c r="E333" s="178"/>
      <c r="F333" s="178"/>
      <c r="G333" s="178"/>
      <c r="H333" s="178"/>
      <c r="I333" s="179"/>
    </row>
    <row r="334" spans="1:13" ht="24" customHeight="1" x14ac:dyDescent="0.25">
      <c r="A334" s="180"/>
      <c r="B334" s="181"/>
      <c r="C334" s="181"/>
      <c r="D334" s="181"/>
      <c r="E334" s="181"/>
      <c r="F334" s="181"/>
      <c r="G334" s="181"/>
      <c r="H334" s="181"/>
      <c r="I334" s="182"/>
    </row>
    <row r="335" spans="1:13" ht="15.75" x14ac:dyDescent="0.25">
      <c r="A335" s="44" t="s">
        <v>238</v>
      </c>
      <c r="B335" s="48"/>
      <c r="C335" s="48"/>
      <c r="D335" s="44" t="str">
        <f>F10</f>
        <v xml:space="preserve">Sai Krupa Valley - Phase 1
</v>
      </c>
      <c r="E335" s="48"/>
      <c r="F335" s="41"/>
      <c r="G335" s="41"/>
      <c r="H335" s="41"/>
    </row>
    <row r="349" spans="4:6" x14ac:dyDescent="0.25">
      <c r="D349" s="42"/>
      <c r="E349" s="42"/>
      <c r="F349" s="42"/>
    </row>
    <row r="379" spans="1:1" ht="15.75" x14ac:dyDescent="0.25">
      <c r="A379" s="44" t="s">
        <v>203</v>
      </c>
    </row>
    <row r="423" spans="1:1" ht="15.75" x14ac:dyDescent="0.25">
      <c r="A423" s="44" t="s">
        <v>279</v>
      </c>
    </row>
    <row r="465" spans="1:1" ht="15.75" x14ac:dyDescent="0.25">
      <c r="A465" s="44" t="s">
        <v>148</v>
      </c>
    </row>
  </sheetData>
  <mergeCells count="554">
    <mergeCell ref="H119:I120"/>
    <mergeCell ref="C54:F54"/>
    <mergeCell ref="H54:I54"/>
    <mergeCell ref="A55:B55"/>
    <mergeCell ref="C55:F55"/>
    <mergeCell ref="H55:I55"/>
    <mergeCell ref="A251:B251"/>
    <mergeCell ref="A252:B252"/>
    <mergeCell ref="A253:B253"/>
    <mergeCell ref="A61:C61"/>
    <mergeCell ref="A62:C62"/>
    <mergeCell ref="A249:B249"/>
    <mergeCell ref="A250:B250"/>
    <mergeCell ref="A232:I232"/>
    <mergeCell ref="A233:I233"/>
    <mergeCell ref="A234:I234"/>
    <mergeCell ref="A235:B235"/>
    <mergeCell ref="A236:B236"/>
    <mergeCell ref="A237:B237"/>
    <mergeCell ref="A238:B238"/>
    <mergeCell ref="A239:B239"/>
    <mergeCell ref="A240:B240"/>
    <mergeCell ref="A215:I215"/>
    <mergeCell ref="H216:I231"/>
    <mergeCell ref="A119:B120"/>
    <mergeCell ref="F14:G14"/>
    <mergeCell ref="A320:B320"/>
    <mergeCell ref="A319:I319"/>
    <mergeCell ref="H318:I318"/>
    <mergeCell ref="A274:I274"/>
    <mergeCell ref="A275:I275"/>
    <mergeCell ref="A276:I276"/>
    <mergeCell ref="H277:I288"/>
    <mergeCell ref="A277:B277"/>
    <mergeCell ref="A278:B278"/>
    <mergeCell ref="A279:B279"/>
    <mergeCell ref="A280:B280"/>
    <mergeCell ref="A281:B281"/>
    <mergeCell ref="A282:B282"/>
    <mergeCell ref="A283:B283"/>
    <mergeCell ref="A284:B284"/>
    <mergeCell ref="A285:B285"/>
    <mergeCell ref="A286:B286"/>
    <mergeCell ref="A317:I317"/>
    <mergeCell ref="A318:B318"/>
    <mergeCell ref="A298:B298"/>
    <mergeCell ref="A299:B299"/>
    <mergeCell ref="A300:B300"/>
    <mergeCell ref="A54:B54"/>
    <mergeCell ref="A321:I321"/>
    <mergeCell ref="H320:I320"/>
    <mergeCell ref="C70:I70"/>
    <mergeCell ref="C72:I72"/>
    <mergeCell ref="H75:I75"/>
    <mergeCell ref="H76:I85"/>
    <mergeCell ref="H121:I121"/>
    <mergeCell ref="H122:I131"/>
    <mergeCell ref="E71:F71"/>
    <mergeCell ref="D76:E76"/>
    <mergeCell ref="D127:E127"/>
    <mergeCell ref="E117:F117"/>
    <mergeCell ref="D126:E126"/>
    <mergeCell ref="A315:I315"/>
    <mergeCell ref="A316:I316"/>
    <mergeCell ref="A289:I289"/>
    <mergeCell ref="A293:B293"/>
    <mergeCell ref="A294:B294"/>
    <mergeCell ref="A295:B295"/>
    <mergeCell ref="A296:B296"/>
    <mergeCell ref="A297:B297"/>
    <mergeCell ref="A301:B301"/>
    <mergeCell ref="H290:I301"/>
    <mergeCell ref="A302:I302"/>
    <mergeCell ref="A330:I330"/>
    <mergeCell ref="A332:I334"/>
    <mergeCell ref="A328:I328"/>
    <mergeCell ref="A329:I329"/>
    <mergeCell ref="A322:I322"/>
    <mergeCell ref="A323:I323"/>
    <mergeCell ref="A325:I325"/>
    <mergeCell ref="A326:I326"/>
    <mergeCell ref="A327:I327"/>
    <mergeCell ref="A331:C331"/>
    <mergeCell ref="D331:E331"/>
    <mergeCell ref="F331:G331"/>
    <mergeCell ref="H331:I331"/>
    <mergeCell ref="H303:I314"/>
    <mergeCell ref="A303:B303"/>
    <mergeCell ref="A304:B304"/>
    <mergeCell ref="A305:B305"/>
    <mergeCell ref="A306:B306"/>
    <mergeCell ref="A307:B307"/>
    <mergeCell ref="A308:B308"/>
    <mergeCell ref="A309:B309"/>
    <mergeCell ref="A310:B310"/>
    <mergeCell ref="A311:B311"/>
    <mergeCell ref="A312:B312"/>
    <mergeCell ref="A313:B313"/>
    <mergeCell ref="A314:B314"/>
    <mergeCell ref="A290:B290"/>
    <mergeCell ref="A291:B291"/>
    <mergeCell ref="A292:B292"/>
    <mergeCell ref="A273:B273"/>
    <mergeCell ref="H265:I273"/>
    <mergeCell ref="A265:B265"/>
    <mergeCell ref="A266:B266"/>
    <mergeCell ref="A267:B267"/>
    <mergeCell ref="A268:B268"/>
    <mergeCell ref="A269:B269"/>
    <mergeCell ref="A270:B270"/>
    <mergeCell ref="A271:B271"/>
    <mergeCell ref="A272:B272"/>
    <mergeCell ref="C268:G268"/>
    <mergeCell ref="A287:B287"/>
    <mergeCell ref="A288:B288"/>
    <mergeCell ref="A264:I264"/>
    <mergeCell ref="A241:B241"/>
    <mergeCell ref="A242:B242"/>
    <mergeCell ref="A243:B243"/>
    <mergeCell ref="H235:I243"/>
    <mergeCell ref="A254:I254"/>
    <mergeCell ref="H255:I263"/>
    <mergeCell ref="A255:B255"/>
    <mergeCell ref="A256:B256"/>
    <mergeCell ref="A257:B257"/>
    <mergeCell ref="A258:B258"/>
    <mergeCell ref="A259:B259"/>
    <mergeCell ref="A260:B260"/>
    <mergeCell ref="A261:B261"/>
    <mergeCell ref="A262:B262"/>
    <mergeCell ref="A263:B263"/>
    <mergeCell ref="A244:I244"/>
    <mergeCell ref="A245:B245"/>
    <mergeCell ref="H245:I253"/>
    <mergeCell ref="A246:B246"/>
    <mergeCell ref="A247:B247"/>
    <mergeCell ref="A248:B248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197:I197"/>
    <mergeCell ref="A198:I198"/>
    <mergeCell ref="A199:B199"/>
    <mergeCell ref="A200:B200"/>
    <mergeCell ref="A201:B201"/>
    <mergeCell ref="A202:B202"/>
    <mergeCell ref="A203:B203"/>
    <mergeCell ref="A204:B204"/>
    <mergeCell ref="A205:B205"/>
    <mergeCell ref="H199:I214"/>
    <mergeCell ref="A206:B206"/>
    <mergeCell ref="A207:B207"/>
    <mergeCell ref="A208:B208"/>
    <mergeCell ref="A209:B209"/>
    <mergeCell ref="A210:B210"/>
    <mergeCell ref="A211:B211"/>
    <mergeCell ref="A212:B212"/>
    <mergeCell ref="A213:B213"/>
    <mergeCell ref="A214:B214"/>
    <mergeCell ref="H188:I195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67:I167"/>
    <mergeCell ref="A168:I168"/>
    <mergeCell ref="A169:I169"/>
    <mergeCell ref="A178:I178"/>
    <mergeCell ref="A187:I187"/>
    <mergeCell ref="H166:I166"/>
    <mergeCell ref="H170:I177"/>
    <mergeCell ref="A170:B170"/>
    <mergeCell ref="A171:B171"/>
    <mergeCell ref="A172:B172"/>
    <mergeCell ref="A173:B173"/>
    <mergeCell ref="A174:B174"/>
    <mergeCell ref="A175:B175"/>
    <mergeCell ref="A176:B176"/>
    <mergeCell ref="A177:B177"/>
    <mergeCell ref="H179:I186"/>
    <mergeCell ref="A179:B179"/>
    <mergeCell ref="A180:B180"/>
    <mergeCell ref="A181:B181"/>
    <mergeCell ref="A182:B182"/>
    <mergeCell ref="A183:B183"/>
    <mergeCell ref="A184:B184"/>
    <mergeCell ref="A185:B185"/>
    <mergeCell ref="A186:B186"/>
    <mergeCell ref="A164:I164"/>
    <mergeCell ref="A165:I165"/>
    <mergeCell ref="A65:C65"/>
    <mergeCell ref="D65:I65"/>
    <mergeCell ref="D61:I61"/>
    <mergeCell ref="D62:I62"/>
    <mergeCell ref="A60:C60"/>
    <mergeCell ref="D146:E146"/>
    <mergeCell ref="A147:B147"/>
    <mergeCell ref="A125:B125"/>
    <mergeCell ref="D125:E125"/>
    <mergeCell ref="A70:B70"/>
    <mergeCell ref="A76:B76"/>
    <mergeCell ref="F75:G75"/>
    <mergeCell ref="C86:I86"/>
    <mergeCell ref="E87:F87"/>
    <mergeCell ref="A73:B74"/>
    <mergeCell ref="A85:B85"/>
    <mergeCell ref="D85:E85"/>
    <mergeCell ref="A80:B80"/>
    <mergeCell ref="D80:E80"/>
    <mergeCell ref="A81:B81"/>
    <mergeCell ref="D81:E81"/>
    <mergeCell ref="A82:B82"/>
    <mergeCell ref="A57:B57"/>
    <mergeCell ref="C57:F57"/>
    <mergeCell ref="H57:I57"/>
    <mergeCell ref="A58:I58"/>
    <mergeCell ref="A48:B48"/>
    <mergeCell ref="A50:B51"/>
    <mergeCell ref="D67:I67"/>
    <mergeCell ref="A66:C66"/>
    <mergeCell ref="D66:I66"/>
    <mergeCell ref="C48:F48"/>
    <mergeCell ref="C50:F50"/>
    <mergeCell ref="D59:I59"/>
    <mergeCell ref="D60:I60"/>
    <mergeCell ref="H49:I49"/>
    <mergeCell ref="C51:I51"/>
    <mergeCell ref="A52:B53"/>
    <mergeCell ref="C52:F52"/>
    <mergeCell ref="H52:I52"/>
    <mergeCell ref="C53:I53"/>
    <mergeCell ref="A59:C59"/>
    <mergeCell ref="H48:I48"/>
    <mergeCell ref="H50:I50"/>
    <mergeCell ref="A56:B56"/>
    <mergeCell ref="H56:I56"/>
    <mergeCell ref="C56:F56"/>
    <mergeCell ref="A46:B46"/>
    <mergeCell ref="A47:B47"/>
    <mergeCell ref="C46:I46"/>
    <mergeCell ref="G30:I30"/>
    <mergeCell ref="G31:I31"/>
    <mergeCell ref="G32:I32"/>
    <mergeCell ref="G33:I33"/>
    <mergeCell ref="A30:C30"/>
    <mergeCell ref="D30:F30"/>
    <mergeCell ref="A33:C33"/>
    <mergeCell ref="A34:C34"/>
    <mergeCell ref="D31:F31"/>
    <mergeCell ref="D32:F32"/>
    <mergeCell ref="D33:F33"/>
    <mergeCell ref="D34:F34"/>
    <mergeCell ref="G34:I34"/>
    <mergeCell ref="A41:E41"/>
    <mergeCell ref="A42:E42"/>
    <mergeCell ref="F41:I41"/>
    <mergeCell ref="F42:I42"/>
    <mergeCell ref="D36:I36"/>
    <mergeCell ref="A36:C36"/>
    <mergeCell ref="C47:F47"/>
    <mergeCell ref="A32:C32"/>
    <mergeCell ref="A19:B19"/>
    <mergeCell ref="C19:E19"/>
    <mergeCell ref="C18:E18"/>
    <mergeCell ref="A18:B18"/>
    <mergeCell ref="F19:G19"/>
    <mergeCell ref="H47:I47"/>
    <mergeCell ref="H19:I19"/>
    <mergeCell ref="A4:E4"/>
    <mergeCell ref="F4:I4"/>
    <mergeCell ref="A15:B15"/>
    <mergeCell ref="C15:I15"/>
    <mergeCell ref="H18:I18"/>
    <mergeCell ref="F18:G18"/>
    <mergeCell ref="F13:I13"/>
    <mergeCell ref="A9:E9"/>
    <mergeCell ref="F9:I9"/>
    <mergeCell ref="A13:E13"/>
    <mergeCell ref="A16:B16"/>
    <mergeCell ref="A17:B17"/>
    <mergeCell ref="A12:E12"/>
    <mergeCell ref="F12:I12"/>
    <mergeCell ref="A29:E29"/>
    <mergeCell ref="F29:I29"/>
    <mergeCell ref="A1:I1"/>
    <mergeCell ref="A155:F155"/>
    <mergeCell ref="A149:F149"/>
    <mergeCell ref="G156:I156"/>
    <mergeCell ref="A28:E28"/>
    <mergeCell ref="F26:I26"/>
    <mergeCell ref="F27:I27"/>
    <mergeCell ref="F28:I28"/>
    <mergeCell ref="A150:F150"/>
    <mergeCell ref="A40:E40"/>
    <mergeCell ref="F40:I40"/>
    <mergeCell ref="A39:E39"/>
    <mergeCell ref="F39:I39"/>
    <mergeCell ref="A43:E43"/>
    <mergeCell ref="F43:I43"/>
    <mergeCell ref="A44:E44"/>
    <mergeCell ref="F44:I44"/>
    <mergeCell ref="A45:I45"/>
    <mergeCell ref="A35:I35"/>
    <mergeCell ref="A38:I38"/>
    <mergeCell ref="A37:C37"/>
    <mergeCell ref="D37:I37"/>
    <mergeCell ref="A31:C31"/>
    <mergeCell ref="F11:I11"/>
    <mergeCell ref="A154:F154"/>
    <mergeCell ref="A152:F152"/>
    <mergeCell ref="A68:C68"/>
    <mergeCell ref="D68:I68"/>
    <mergeCell ref="A69:C69"/>
    <mergeCell ref="D69:I69"/>
    <mergeCell ref="A67:C67"/>
    <mergeCell ref="A64:C64"/>
    <mergeCell ref="D64:I64"/>
    <mergeCell ref="F73:G74"/>
    <mergeCell ref="D141:E141"/>
    <mergeCell ref="A142:B142"/>
    <mergeCell ref="D142:E142"/>
    <mergeCell ref="A143:B143"/>
    <mergeCell ref="D143:E143"/>
    <mergeCell ref="A144:B144"/>
    <mergeCell ref="D144:E144"/>
    <mergeCell ref="A145:B145"/>
    <mergeCell ref="C73:E74"/>
    <mergeCell ref="H73:I74"/>
    <mergeCell ref="A72:B72"/>
    <mergeCell ref="A86:B86"/>
    <mergeCell ref="C119:E120"/>
    <mergeCell ref="F119:G120"/>
    <mergeCell ref="A2:I2"/>
    <mergeCell ref="A3:E3"/>
    <mergeCell ref="F3:I3"/>
    <mergeCell ref="A5:E5"/>
    <mergeCell ref="F5:I5"/>
    <mergeCell ref="F6:I6"/>
    <mergeCell ref="A26:E26"/>
    <mergeCell ref="A27:E27"/>
    <mergeCell ref="A22:E23"/>
    <mergeCell ref="F22:I23"/>
    <mergeCell ref="A25:E25"/>
    <mergeCell ref="F25:I25"/>
    <mergeCell ref="A24:E24"/>
    <mergeCell ref="F24:I24"/>
    <mergeCell ref="A7:E7"/>
    <mergeCell ref="F7:I7"/>
    <mergeCell ref="A6:E6"/>
    <mergeCell ref="A8:E8"/>
    <mergeCell ref="F8:I8"/>
    <mergeCell ref="A11:E11"/>
    <mergeCell ref="A14:E14"/>
    <mergeCell ref="C16:I16"/>
    <mergeCell ref="C17:I17"/>
    <mergeCell ref="H14:I14"/>
    <mergeCell ref="D82:E82"/>
    <mergeCell ref="A83:B83"/>
    <mergeCell ref="D83:E83"/>
    <mergeCell ref="A84:B84"/>
    <mergeCell ref="D84:E84"/>
    <mergeCell ref="A75:B75"/>
    <mergeCell ref="D75:E75"/>
    <mergeCell ref="A123:B123"/>
    <mergeCell ref="A124:B124"/>
    <mergeCell ref="D124:E124"/>
    <mergeCell ref="C116:I116"/>
    <mergeCell ref="C118:I118"/>
    <mergeCell ref="A116:B116"/>
    <mergeCell ref="A118:B118"/>
    <mergeCell ref="F121:G121"/>
    <mergeCell ref="A121:B121"/>
    <mergeCell ref="D121:E121"/>
    <mergeCell ref="A122:B122"/>
    <mergeCell ref="D123:E123"/>
    <mergeCell ref="D122:E122"/>
    <mergeCell ref="F122:G131"/>
    <mergeCell ref="A126:B126"/>
    <mergeCell ref="A88:B88"/>
    <mergeCell ref="C88:I88"/>
    <mergeCell ref="G155:I155"/>
    <mergeCell ref="A324:I324"/>
    <mergeCell ref="F138:G147"/>
    <mergeCell ref="H138:I147"/>
    <mergeCell ref="A139:B139"/>
    <mergeCell ref="D139:E139"/>
    <mergeCell ref="A140:B140"/>
    <mergeCell ref="D140:E140"/>
    <mergeCell ref="A141:B141"/>
    <mergeCell ref="A138:B138"/>
    <mergeCell ref="D138:E138"/>
    <mergeCell ref="H162:I162"/>
    <mergeCell ref="D147:E147"/>
    <mergeCell ref="A157:I157"/>
    <mergeCell ref="A158:C158"/>
    <mergeCell ref="D158:E158"/>
    <mergeCell ref="F158:G158"/>
    <mergeCell ref="H158:I158"/>
    <mergeCell ref="D145:E145"/>
    <mergeCell ref="A146:B146"/>
    <mergeCell ref="A196:I196"/>
    <mergeCell ref="A156:F156"/>
    <mergeCell ref="A153:F153"/>
    <mergeCell ref="A151:F151"/>
    <mergeCell ref="L63:P63"/>
    <mergeCell ref="Q63:T63"/>
    <mergeCell ref="A63:C63"/>
    <mergeCell ref="D63:I63"/>
    <mergeCell ref="A10:E10"/>
    <mergeCell ref="F10:I10"/>
    <mergeCell ref="A131:B131"/>
    <mergeCell ref="D131:E131"/>
    <mergeCell ref="A127:B127"/>
    <mergeCell ref="A128:B128"/>
    <mergeCell ref="D128:E128"/>
    <mergeCell ref="A129:B129"/>
    <mergeCell ref="D129:E129"/>
    <mergeCell ref="A130:B130"/>
    <mergeCell ref="D130:E130"/>
    <mergeCell ref="F76:G85"/>
    <mergeCell ref="A77:B77"/>
    <mergeCell ref="D77:E77"/>
    <mergeCell ref="A78:B78"/>
    <mergeCell ref="D78:E78"/>
    <mergeCell ref="A79:B79"/>
    <mergeCell ref="D79:E79"/>
    <mergeCell ref="A49:B49"/>
    <mergeCell ref="C49:F49"/>
    <mergeCell ref="A163:C163"/>
    <mergeCell ref="D163:E163"/>
    <mergeCell ref="F163:G163"/>
    <mergeCell ref="H163:I163"/>
    <mergeCell ref="J11:M11"/>
    <mergeCell ref="A159:C159"/>
    <mergeCell ref="D159:E159"/>
    <mergeCell ref="F159:G159"/>
    <mergeCell ref="H159:I159"/>
    <mergeCell ref="A160:C160"/>
    <mergeCell ref="D160:E160"/>
    <mergeCell ref="F160:G160"/>
    <mergeCell ref="H160:I160"/>
    <mergeCell ref="A161:C161"/>
    <mergeCell ref="D161:E161"/>
    <mergeCell ref="F161:G161"/>
    <mergeCell ref="H161:I161"/>
    <mergeCell ref="A132:B132"/>
    <mergeCell ref="C132:I132"/>
    <mergeCell ref="E133:F133"/>
    <mergeCell ref="A134:B134"/>
    <mergeCell ref="C134:I134"/>
    <mergeCell ref="A137:B137"/>
    <mergeCell ref="D137:E137"/>
    <mergeCell ref="A162:C162"/>
    <mergeCell ref="D162:E162"/>
    <mergeCell ref="F162:G162"/>
    <mergeCell ref="A21:B21"/>
    <mergeCell ref="C21:E21"/>
    <mergeCell ref="F21:G21"/>
    <mergeCell ref="H21:I21"/>
    <mergeCell ref="F20:G20"/>
    <mergeCell ref="H20:I20"/>
    <mergeCell ref="A20:B20"/>
    <mergeCell ref="C20:E20"/>
    <mergeCell ref="A148:I148"/>
    <mergeCell ref="G149:I149"/>
    <mergeCell ref="G150:I150"/>
    <mergeCell ref="F137:G137"/>
    <mergeCell ref="H137:I137"/>
    <mergeCell ref="A135:B136"/>
    <mergeCell ref="C135:E136"/>
    <mergeCell ref="F135:G136"/>
    <mergeCell ref="H135:I136"/>
    <mergeCell ref="G151:I151"/>
    <mergeCell ref="G152:I152"/>
    <mergeCell ref="G153:I153"/>
    <mergeCell ref="G154:I154"/>
    <mergeCell ref="A89:B89"/>
    <mergeCell ref="D89:E89"/>
    <mergeCell ref="F89:G89"/>
    <mergeCell ref="H89:I89"/>
    <mergeCell ref="A90:B90"/>
    <mergeCell ref="D90:E90"/>
    <mergeCell ref="F90:G99"/>
    <mergeCell ref="H90:I99"/>
    <mergeCell ref="A91:B91"/>
    <mergeCell ref="D91:E91"/>
    <mergeCell ref="A92:B92"/>
    <mergeCell ref="D92:E92"/>
    <mergeCell ref="A93:B93"/>
    <mergeCell ref="D93:E93"/>
    <mergeCell ref="A94:B94"/>
    <mergeCell ref="D94:E94"/>
    <mergeCell ref="A95:B95"/>
    <mergeCell ref="D95:E95"/>
    <mergeCell ref="A96:B96"/>
    <mergeCell ref="D96:E96"/>
    <mergeCell ref="A97:B97"/>
    <mergeCell ref="D97:E97"/>
    <mergeCell ref="A110:B110"/>
    <mergeCell ref="D110:E110"/>
    <mergeCell ref="A111:B111"/>
    <mergeCell ref="D111:E111"/>
    <mergeCell ref="A112:B112"/>
    <mergeCell ref="D112:E112"/>
    <mergeCell ref="A98:B98"/>
    <mergeCell ref="D98:E98"/>
    <mergeCell ref="A99:B99"/>
    <mergeCell ref="D99:E99"/>
    <mergeCell ref="A100:B100"/>
    <mergeCell ref="C100:I100"/>
    <mergeCell ref="E101:F101"/>
    <mergeCell ref="A102:B102"/>
    <mergeCell ref="C102:I102"/>
    <mergeCell ref="A113:B113"/>
    <mergeCell ref="D113:E113"/>
    <mergeCell ref="A114:C115"/>
    <mergeCell ref="D114:E115"/>
    <mergeCell ref="F114:G115"/>
    <mergeCell ref="H114:I115"/>
    <mergeCell ref="A103:B103"/>
    <mergeCell ref="D103:E103"/>
    <mergeCell ref="F103:G103"/>
    <mergeCell ref="H103:I103"/>
    <mergeCell ref="A104:B104"/>
    <mergeCell ref="D104:E104"/>
    <mergeCell ref="F104:G113"/>
    <mergeCell ref="H104:I113"/>
    <mergeCell ref="A105:B105"/>
    <mergeCell ref="D105:E105"/>
    <mergeCell ref="A106:B106"/>
    <mergeCell ref="D106:E106"/>
    <mergeCell ref="A107:B107"/>
    <mergeCell ref="D107:E107"/>
    <mergeCell ref="A108:B108"/>
    <mergeCell ref="D108:E108"/>
    <mergeCell ref="A109:B109"/>
    <mergeCell ref="D109:E109"/>
  </mergeCells>
  <phoneticPr fontId="0" type="noConversion"/>
  <dataValidations disablePrompts="1" count="2">
    <dataValidation type="list" allowBlank="1" showInputMessage="1" showErrorMessage="1" sqref="C46">
      <formula1>OFFSET(#REF!,1,MATCH($G14,#REF!,0)-1,15,1)</formula1>
    </dataValidation>
    <dataValidation type="list" allowBlank="1" showInputMessage="1" showErrorMessage="1" sqref="L233">
      <formula1>".45,.50,.55,.60"</formula1>
    </dataValidation>
  </dataValidations>
  <hyperlinks>
    <hyperlink ref="D37" r:id="rId1"/>
    <hyperlink ref="J65" r:id="rId2"/>
  </hyperlinks>
  <pageMargins left="0.35433070866141736" right="0.35433070866141736" top="0.98425196850393704" bottom="0.78740157480314965" header="0.19685039370078741" footer="0.19685039370078741"/>
  <pageSetup paperSize="9" scale="85" fitToHeight="0" orientation="portrait" r:id="rId3"/>
  <headerFooter>
    <oddHeader>&amp;C&amp;G</oddHeader>
    <oddFooter>&amp;L&amp;"Times New Roman,Bold"Ref No: &amp;F&amp;C&amp;G&amp;R&amp;P</oddFooter>
  </headerFooter>
  <rowBreaks count="5" manualBreakCount="5">
    <brk id="85" max="8" man="1"/>
    <brk id="334" max="8" man="1"/>
    <brk id="378" max="8" man="1"/>
    <brk id="421" max="16383" man="1"/>
    <brk id="464" max="8" man="1"/>
  </rowBreaks>
  <colBreaks count="1" manualBreakCount="1">
    <brk id="2" max="506" man="1"/>
  </colBreaks>
  <drawing r:id="rId4"/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topLeftCell="A10" workbookViewId="0">
      <selection activeCell="F5" sqref="F5"/>
    </sheetView>
  </sheetViews>
  <sheetFormatPr defaultRowHeight="15" x14ac:dyDescent="0.25"/>
  <cols>
    <col min="2" max="2" width="11.5703125" customWidth="1"/>
  </cols>
  <sheetData>
    <row r="2" spans="1:15" x14ac:dyDescent="0.25">
      <c r="A2" t="s">
        <v>66</v>
      </c>
      <c r="B2" s="1" t="s">
        <v>67</v>
      </c>
      <c r="C2" s="1">
        <v>7</v>
      </c>
      <c r="D2" s="2"/>
    </row>
    <row r="3" spans="1:15" x14ac:dyDescent="0.25">
      <c r="B3" t="s">
        <v>68</v>
      </c>
      <c r="C3" t="s">
        <v>69</v>
      </c>
    </row>
    <row r="4" spans="1:15" x14ac:dyDescent="0.25">
      <c r="A4" t="s">
        <v>70</v>
      </c>
      <c r="B4" s="3">
        <v>10</v>
      </c>
      <c r="C4" s="3">
        <v>10</v>
      </c>
      <c r="D4" s="4"/>
      <c r="E4" s="5">
        <f>(100/B4)*C4</f>
        <v>100</v>
      </c>
    </row>
    <row r="5" spans="1:15" x14ac:dyDescent="0.25">
      <c r="A5" t="s">
        <v>71</v>
      </c>
      <c r="B5" t="s">
        <v>72</v>
      </c>
      <c r="C5" t="s">
        <v>73</v>
      </c>
      <c r="E5" s="5">
        <f>(100/B6)*C6</f>
        <v>100</v>
      </c>
      <c r="I5" s="3" t="s">
        <v>74</v>
      </c>
      <c r="J5" s="3" t="s">
        <v>75</v>
      </c>
      <c r="K5" s="3" t="s">
        <v>76</v>
      </c>
      <c r="L5" s="3" t="s">
        <v>37</v>
      </c>
      <c r="M5" s="3" t="s">
        <v>42</v>
      </c>
      <c r="N5" s="3" t="s">
        <v>77</v>
      </c>
      <c r="O5" s="3" t="s">
        <v>43</v>
      </c>
    </row>
    <row r="6" spans="1:15" x14ac:dyDescent="0.25">
      <c r="B6" s="3">
        <f>C2+1</f>
        <v>8</v>
      </c>
      <c r="C6" s="3">
        <v>8</v>
      </c>
      <c r="D6" s="4"/>
      <c r="E6" s="5">
        <f>(100/B8)*C8</f>
        <v>100</v>
      </c>
      <c r="F6" s="6" t="s">
        <v>78</v>
      </c>
      <c r="I6" s="6">
        <f>C4</f>
        <v>10</v>
      </c>
      <c r="J6" s="6">
        <f>40/B6*C6</f>
        <v>40</v>
      </c>
      <c r="K6" s="6">
        <f>15/B8*C8</f>
        <v>15</v>
      </c>
      <c r="L6" s="6">
        <f>10/B10*C10</f>
        <v>10</v>
      </c>
      <c r="M6" s="6">
        <f>10/B12*C12</f>
        <v>10</v>
      </c>
      <c r="N6" s="6">
        <f>5/B14*C14</f>
        <v>5</v>
      </c>
      <c r="O6" s="6">
        <f>5/B16*C16</f>
        <v>5</v>
      </c>
    </row>
    <row r="7" spans="1:15" x14ac:dyDescent="0.25">
      <c r="A7" t="s">
        <v>79</v>
      </c>
      <c r="B7" t="s">
        <v>80</v>
      </c>
      <c r="C7" t="s">
        <v>81</v>
      </c>
      <c r="E7" s="5">
        <f>(100/B10)*C10</f>
        <v>100</v>
      </c>
      <c r="F7" s="3" t="s">
        <v>82</v>
      </c>
      <c r="G7" s="3"/>
      <c r="H7" s="3"/>
      <c r="I7" s="3">
        <f>I6+20</f>
        <v>30</v>
      </c>
      <c r="J7" s="3">
        <f>30/B6*C6</f>
        <v>30</v>
      </c>
      <c r="K7" s="3">
        <f>15/B8*C8</f>
        <v>15</v>
      </c>
      <c r="L7" s="3">
        <f>10/B10*C10</f>
        <v>10</v>
      </c>
      <c r="M7" s="3">
        <f>5/B12*C12</f>
        <v>5</v>
      </c>
      <c r="N7" s="3">
        <f>5/B14*C14</f>
        <v>5</v>
      </c>
      <c r="O7" s="3">
        <f>5/B16*C16</f>
        <v>5</v>
      </c>
    </row>
    <row r="8" spans="1:15" x14ac:dyDescent="0.25">
      <c r="B8" s="3">
        <f>C2</f>
        <v>7</v>
      </c>
      <c r="C8" s="3">
        <v>7</v>
      </c>
      <c r="D8" s="4"/>
      <c r="E8" s="5">
        <f>(100/B12)*C12</f>
        <v>100</v>
      </c>
    </row>
    <row r="9" spans="1:15" x14ac:dyDescent="0.25">
      <c r="A9" t="s">
        <v>83</v>
      </c>
      <c r="B9" t="s">
        <v>80</v>
      </c>
      <c r="C9" t="s">
        <v>81</v>
      </c>
      <c r="E9" s="5">
        <f>(100/B14)*C14</f>
        <v>100</v>
      </c>
    </row>
    <row r="10" spans="1:15" x14ac:dyDescent="0.25">
      <c r="B10" s="3">
        <f>C2</f>
        <v>7</v>
      </c>
      <c r="C10" s="3">
        <v>7</v>
      </c>
      <c r="D10" s="4"/>
      <c r="E10" s="5">
        <f>(100/B16)*C16</f>
        <v>100</v>
      </c>
    </row>
    <row r="11" spans="1:15" x14ac:dyDescent="0.25">
      <c r="A11" t="s">
        <v>42</v>
      </c>
      <c r="B11" t="s">
        <v>80</v>
      </c>
      <c r="C11" t="s">
        <v>81</v>
      </c>
    </row>
    <row r="12" spans="1:15" x14ac:dyDescent="0.25">
      <c r="B12" s="3">
        <f>C2</f>
        <v>7</v>
      </c>
      <c r="C12" s="3">
        <v>7</v>
      </c>
      <c r="D12" s="4"/>
      <c r="F12" s="3"/>
      <c r="G12" s="3" t="s">
        <v>78</v>
      </c>
      <c r="H12" s="3" t="s">
        <v>84</v>
      </c>
      <c r="L12" s="4" t="s">
        <v>85</v>
      </c>
    </row>
    <row r="13" spans="1:15" ht="30" x14ac:dyDescent="0.25">
      <c r="A13" s="7" t="s">
        <v>77</v>
      </c>
      <c r="B13" t="s">
        <v>80</v>
      </c>
      <c r="C13" t="s">
        <v>81</v>
      </c>
      <c r="F13" s="3" t="s">
        <v>35</v>
      </c>
      <c r="G13" s="3">
        <f>I6</f>
        <v>10</v>
      </c>
      <c r="H13" s="3">
        <f>I7</f>
        <v>30</v>
      </c>
      <c r="L13" s="4" t="s">
        <v>85</v>
      </c>
    </row>
    <row r="14" spans="1:15" x14ac:dyDescent="0.25">
      <c r="B14" s="3">
        <f>C2</f>
        <v>7</v>
      </c>
      <c r="C14" s="3">
        <v>7</v>
      </c>
      <c r="D14" s="4"/>
      <c r="F14" s="3" t="s">
        <v>36</v>
      </c>
      <c r="G14" s="3">
        <f>J6</f>
        <v>40</v>
      </c>
      <c r="H14" s="3">
        <f>J7</f>
        <v>30</v>
      </c>
      <c r="L14" s="4"/>
    </row>
    <row r="15" spans="1:15" x14ac:dyDescent="0.25">
      <c r="A15" t="s">
        <v>43</v>
      </c>
      <c r="B15" t="s">
        <v>80</v>
      </c>
      <c r="C15" t="s">
        <v>81</v>
      </c>
      <c r="F15" s="3" t="s">
        <v>76</v>
      </c>
      <c r="G15" s="3">
        <f>K6</f>
        <v>15</v>
      </c>
      <c r="H15" s="3">
        <f>K7</f>
        <v>15</v>
      </c>
      <c r="L15" s="4"/>
    </row>
    <row r="16" spans="1:15" x14ac:dyDescent="0.25">
      <c r="B16" s="3">
        <f>C2</f>
        <v>7</v>
      </c>
      <c r="C16" s="3">
        <v>7</v>
      </c>
      <c r="D16" s="4"/>
      <c r="F16" s="3" t="s">
        <v>37</v>
      </c>
      <c r="G16" s="3">
        <f>L6</f>
        <v>10</v>
      </c>
      <c r="H16" s="3">
        <f>L7</f>
        <v>10</v>
      </c>
      <c r="L16" s="4"/>
    </row>
    <row r="17" spans="6:12" x14ac:dyDescent="0.25">
      <c r="F17" s="3" t="s">
        <v>42</v>
      </c>
      <c r="G17" s="3">
        <f>M6</f>
        <v>10</v>
      </c>
      <c r="H17" s="3">
        <f>M7</f>
        <v>5</v>
      </c>
      <c r="L17" s="4"/>
    </row>
    <row r="18" spans="6:12" ht="30" x14ac:dyDescent="0.25">
      <c r="F18" s="8" t="s">
        <v>77</v>
      </c>
      <c r="G18" s="3">
        <f>N6</f>
        <v>5</v>
      </c>
      <c r="H18" s="3">
        <f>N7</f>
        <v>5</v>
      </c>
      <c r="L18" s="4"/>
    </row>
    <row r="19" spans="6:12" x14ac:dyDescent="0.25">
      <c r="F19" s="3" t="s">
        <v>43</v>
      </c>
      <c r="G19" s="3">
        <f>O6</f>
        <v>5</v>
      </c>
      <c r="H19" s="3">
        <f>O7</f>
        <v>5</v>
      </c>
      <c r="L19" s="4"/>
    </row>
    <row r="20" spans="6:12" x14ac:dyDescent="0.25">
      <c r="F20" s="3" t="s">
        <v>86</v>
      </c>
      <c r="G20" s="9">
        <f>G13+G14+G15+G16+G17+G18+G19</f>
        <v>95</v>
      </c>
      <c r="H20" s="9">
        <f>H13+H14+H15+H16+H17+H18+H19</f>
        <v>100</v>
      </c>
      <c r="L2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C17" sqref="C17"/>
    </sheetView>
  </sheetViews>
  <sheetFormatPr defaultRowHeight="15" x14ac:dyDescent="0.25"/>
  <cols>
    <col min="2" max="2" width="11.5703125" customWidth="1"/>
  </cols>
  <sheetData>
    <row r="2" spans="1:15" x14ac:dyDescent="0.25">
      <c r="A2" t="s">
        <v>66</v>
      </c>
      <c r="B2" s="1" t="s">
        <v>67</v>
      </c>
      <c r="C2" s="1">
        <v>7</v>
      </c>
      <c r="D2" s="2"/>
    </row>
    <row r="3" spans="1:15" x14ac:dyDescent="0.25">
      <c r="B3" t="s">
        <v>68</v>
      </c>
      <c r="C3" t="s">
        <v>69</v>
      </c>
    </row>
    <row r="4" spans="1:15" x14ac:dyDescent="0.25">
      <c r="A4" t="s">
        <v>70</v>
      </c>
      <c r="B4" s="3">
        <v>10</v>
      </c>
      <c r="C4" s="3">
        <v>10</v>
      </c>
      <c r="D4" s="4"/>
      <c r="E4" s="5">
        <f>(100/B4)*C4</f>
        <v>100</v>
      </c>
    </row>
    <row r="5" spans="1:15" x14ac:dyDescent="0.25">
      <c r="A5" t="s">
        <v>71</v>
      </c>
      <c r="B5" t="s">
        <v>72</v>
      </c>
      <c r="C5" t="s">
        <v>73</v>
      </c>
      <c r="E5" s="5">
        <f>(100/B6)*C6</f>
        <v>100</v>
      </c>
      <c r="I5" s="3" t="s">
        <v>74</v>
      </c>
      <c r="J5" s="3" t="s">
        <v>75</v>
      </c>
      <c r="K5" s="3" t="s">
        <v>76</v>
      </c>
      <c r="L5" s="3" t="s">
        <v>37</v>
      </c>
      <c r="M5" s="3" t="s">
        <v>42</v>
      </c>
      <c r="N5" s="3" t="s">
        <v>77</v>
      </c>
      <c r="O5" s="3" t="s">
        <v>43</v>
      </c>
    </row>
    <row r="6" spans="1:15" x14ac:dyDescent="0.25">
      <c r="B6" s="3">
        <f>C2+1</f>
        <v>8</v>
      </c>
      <c r="C6" s="3">
        <v>8</v>
      </c>
      <c r="D6" s="4"/>
      <c r="E6" s="5">
        <f>(100/B8)*C8</f>
        <v>100</v>
      </c>
      <c r="F6" s="6" t="s">
        <v>78</v>
      </c>
      <c r="I6" s="6">
        <f>C4</f>
        <v>10</v>
      </c>
      <c r="J6" s="6">
        <f>40/B6*C6</f>
        <v>40</v>
      </c>
      <c r="K6" s="6">
        <f>15/B8*C8</f>
        <v>15</v>
      </c>
      <c r="L6" s="6">
        <f>10/B10*C10</f>
        <v>10</v>
      </c>
      <c r="M6" s="6">
        <f>10/B12*C12</f>
        <v>10</v>
      </c>
      <c r="N6" s="6">
        <f>5/B14*C14</f>
        <v>5</v>
      </c>
      <c r="O6" s="6">
        <f>5/B16*C16</f>
        <v>5</v>
      </c>
    </row>
    <row r="7" spans="1:15" x14ac:dyDescent="0.25">
      <c r="A7" t="s">
        <v>79</v>
      </c>
      <c r="B7" t="s">
        <v>80</v>
      </c>
      <c r="C7" t="s">
        <v>81</v>
      </c>
      <c r="E7" s="5">
        <f>(100/B10)*C10</f>
        <v>100</v>
      </c>
      <c r="F7" s="3" t="s">
        <v>82</v>
      </c>
      <c r="G7" s="3"/>
      <c r="H7" s="3"/>
      <c r="I7" s="3">
        <f>I6+20</f>
        <v>30</v>
      </c>
      <c r="J7" s="3">
        <f>30/B6*C6</f>
        <v>30</v>
      </c>
      <c r="K7" s="3">
        <f>15/B8*C8</f>
        <v>15</v>
      </c>
      <c r="L7" s="3">
        <f>10/B10*C10</f>
        <v>10</v>
      </c>
      <c r="M7" s="3">
        <f>5/B12*C12</f>
        <v>5</v>
      </c>
      <c r="N7" s="3">
        <f>5/B14*C14</f>
        <v>5</v>
      </c>
      <c r="O7" s="3">
        <f>5/B16*C16</f>
        <v>5</v>
      </c>
    </row>
    <row r="8" spans="1:15" x14ac:dyDescent="0.25">
      <c r="B8" s="3">
        <f>C2</f>
        <v>7</v>
      </c>
      <c r="C8" s="3">
        <v>7</v>
      </c>
      <c r="D8" s="4"/>
      <c r="E8" s="5">
        <f>(100/B12)*C12</f>
        <v>100</v>
      </c>
    </row>
    <row r="9" spans="1:15" x14ac:dyDescent="0.25">
      <c r="A9" t="s">
        <v>83</v>
      </c>
      <c r="B9" t="s">
        <v>80</v>
      </c>
      <c r="C9" t="s">
        <v>81</v>
      </c>
      <c r="E9" s="5">
        <f>(100/B14)*C14</f>
        <v>100</v>
      </c>
    </row>
    <row r="10" spans="1:15" x14ac:dyDescent="0.25">
      <c r="B10" s="3">
        <f>C2</f>
        <v>7</v>
      </c>
      <c r="C10" s="3">
        <v>7</v>
      </c>
      <c r="D10" s="4"/>
      <c r="E10" s="5">
        <f>(100/B16)*C16</f>
        <v>100</v>
      </c>
    </row>
    <row r="11" spans="1:15" x14ac:dyDescent="0.25">
      <c r="A11" t="s">
        <v>42</v>
      </c>
      <c r="B11" t="s">
        <v>80</v>
      </c>
      <c r="C11" t="s">
        <v>81</v>
      </c>
    </row>
    <row r="12" spans="1:15" x14ac:dyDescent="0.25">
      <c r="B12" s="3">
        <f>C2</f>
        <v>7</v>
      </c>
      <c r="C12" s="3">
        <v>7</v>
      </c>
      <c r="D12" s="4"/>
      <c r="F12" s="3"/>
      <c r="G12" s="3" t="s">
        <v>78</v>
      </c>
      <c r="H12" s="3" t="s">
        <v>84</v>
      </c>
      <c r="L12" s="4" t="s">
        <v>85</v>
      </c>
    </row>
    <row r="13" spans="1:15" ht="30" x14ac:dyDescent="0.25">
      <c r="A13" s="7" t="s">
        <v>77</v>
      </c>
      <c r="B13" t="s">
        <v>80</v>
      </c>
      <c r="C13" t="s">
        <v>81</v>
      </c>
      <c r="F13" s="3" t="s">
        <v>35</v>
      </c>
      <c r="G13" s="3">
        <f>I6</f>
        <v>10</v>
      </c>
      <c r="H13" s="3">
        <f>I7</f>
        <v>30</v>
      </c>
      <c r="L13" s="4" t="s">
        <v>85</v>
      </c>
    </row>
    <row r="14" spans="1:15" x14ac:dyDescent="0.25">
      <c r="B14" s="3">
        <f>C2</f>
        <v>7</v>
      </c>
      <c r="C14" s="3">
        <v>7</v>
      </c>
      <c r="D14" s="4"/>
      <c r="F14" s="3" t="s">
        <v>36</v>
      </c>
      <c r="G14" s="3">
        <f>J6</f>
        <v>40</v>
      </c>
      <c r="H14" s="3">
        <f>J7</f>
        <v>30</v>
      </c>
      <c r="L14" s="4"/>
    </row>
    <row r="15" spans="1:15" x14ac:dyDescent="0.25">
      <c r="A15" t="s">
        <v>43</v>
      </c>
      <c r="B15" t="s">
        <v>80</v>
      </c>
      <c r="C15" t="s">
        <v>81</v>
      </c>
      <c r="F15" s="3" t="s">
        <v>76</v>
      </c>
      <c r="G15" s="3">
        <f>K6</f>
        <v>15</v>
      </c>
      <c r="H15" s="3">
        <f>K7</f>
        <v>15</v>
      </c>
      <c r="L15" s="4"/>
    </row>
    <row r="16" spans="1:15" x14ac:dyDescent="0.25">
      <c r="B16" s="3">
        <f>C2</f>
        <v>7</v>
      </c>
      <c r="C16" s="3">
        <v>7</v>
      </c>
      <c r="D16" s="4"/>
      <c r="F16" s="3" t="s">
        <v>37</v>
      </c>
      <c r="G16" s="3">
        <f>L6</f>
        <v>10</v>
      </c>
      <c r="H16" s="3">
        <f>L7</f>
        <v>10</v>
      </c>
      <c r="L16" s="4"/>
    </row>
    <row r="17" spans="6:12" x14ac:dyDescent="0.25">
      <c r="F17" s="3" t="s">
        <v>42</v>
      </c>
      <c r="G17" s="3">
        <f>M6</f>
        <v>10</v>
      </c>
      <c r="H17" s="3">
        <f>M7</f>
        <v>5</v>
      </c>
      <c r="L17" s="4"/>
    </row>
    <row r="18" spans="6:12" ht="30" x14ac:dyDescent="0.25">
      <c r="F18" s="8" t="s">
        <v>77</v>
      </c>
      <c r="G18" s="3">
        <f>N6</f>
        <v>5</v>
      </c>
      <c r="H18" s="3">
        <f>N7</f>
        <v>5</v>
      </c>
      <c r="L18" s="4"/>
    </row>
    <row r="19" spans="6:12" x14ac:dyDescent="0.25">
      <c r="F19" s="3" t="s">
        <v>43</v>
      </c>
      <c r="G19" s="3">
        <f>O6</f>
        <v>5</v>
      </c>
      <c r="H19" s="3">
        <f>O7</f>
        <v>5</v>
      </c>
      <c r="L19" s="4"/>
    </row>
    <row r="20" spans="6:12" x14ac:dyDescent="0.25">
      <c r="F20" s="3" t="s">
        <v>86</v>
      </c>
      <c r="G20" s="9">
        <f>G13+G14+G15+G16+G17+G18+G19</f>
        <v>95</v>
      </c>
      <c r="H20" s="9">
        <f>H13+H14+H15+H16+H17+H18+H19</f>
        <v>100</v>
      </c>
      <c r="L2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B13" sqref="B13"/>
    </sheetView>
  </sheetViews>
  <sheetFormatPr defaultRowHeight="15" x14ac:dyDescent="0.25"/>
  <cols>
    <col min="2" max="2" width="11.5703125" customWidth="1"/>
  </cols>
  <sheetData>
    <row r="2" spans="1:15" x14ac:dyDescent="0.25">
      <c r="A2" t="s">
        <v>66</v>
      </c>
      <c r="B2" s="1" t="s">
        <v>67</v>
      </c>
      <c r="C2" s="1">
        <v>7</v>
      </c>
      <c r="D2" s="2"/>
    </row>
    <row r="3" spans="1:15" x14ac:dyDescent="0.25">
      <c r="B3" t="s">
        <v>68</v>
      </c>
      <c r="C3" t="s">
        <v>69</v>
      </c>
    </row>
    <row r="4" spans="1:15" x14ac:dyDescent="0.25">
      <c r="A4" t="s">
        <v>70</v>
      </c>
      <c r="B4" s="3">
        <v>10</v>
      </c>
      <c r="C4" s="3">
        <v>10</v>
      </c>
      <c r="D4" s="4"/>
      <c r="E4" s="5">
        <f>(100/B4)*C4</f>
        <v>100</v>
      </c>
    </row>
    <row r="5" spans="1:15" x14ac:dyDescent="0.25">
      <c r="A5" t="s">
        <v>71</v>
      </c>
      <c r="B5" t="s">
        <v>72</v>
      </c>
      <c r="C5" t="s">
        <v>73</v>
      </c>
      <c r="E5" s="5">
        <f>(100/B6)*C6</f>
        <v>6.25</v>
      </c>
      <c r="I5" s="3" t="s">
        <v>74</v>
      </c>
      <c r="J5" s="3" t="s">
        <v>75</v>
      </c>
      <c r="K5" s="3" t="s">
        <v>76</v>
      </c>
      <c r="L5" s="3" t="s">
        <v>37</v>
      </c>
      <c r="M5" s="3" t="s">
        <v>42</v>
      </c>
      <c r="N5" s="3" t="s">
        <v>77</v>
      </c>
      <c r="O5" s="3" t="s">
        <v>43</v>
      </c>
    </row>
    <row r="6" spans="1:15" x14ac:dyDescent="0.25">
      <c r="B6" s="3">
        <f>C2+1</f>
        <v>8</v>
      </c>
      <c r="C6" s="3">
        <v>0.5</v>
      </c>
      <c r="D6" s="4"/>
      <c r="E6" s="5">
        <f>(100/B8)*C8</f>
        <v>0</v>
      </c>
      <c r="F6" s="6" t="s">
        <v>78</v>
      </c>
      <c r="I6" s="6">
        <f>C4</f>
        <v>10</v>
      </c>
      <c r="J6" s="6">
        <f>40/B6*C6</f>
        <v>2.5</v>
      </c>
      <c r="K6" s="6">
        <f>15/B8*C8</f>
        <v>0</v>
      </c>
      <c r="L6" s="6">
        <f>10/B10*C10</f>
        <v>0</v>
      </c>
      <c r="M6" s="6">
        <f>10/B12*C12</f>
        <v>0</v>
      </c>
      <c r="N6" s="6">
        <f>5/B14*C14</f>
        <v>0</v>
      </c>
      <c r="O6" s="6">
        <f>5/B16*C16</f>
        <v>0</v>
      </c>
    </row>
    <row r="7" spans="1:15" x14ac:dyDescent="0.25">
      <c r="A7" t="s">
        <v>79</v>
      </c>
      <c r="B7" t="s">
        <v>80</v>
      </c>
      <c r="C7" t="s">
        <v>81</v>
      </c>
      <c r="E7" s="5">
        <f>(100/B10)*C10</f>
        <v>0</v>
      </c>
      <c r="F7" s="3" t="s">
        <v>82</v>
      </c>
      <c r="G7" s="3"/>
      <c r="H7" s="3"/>
      <c r="I7" s="3">
        <f>I6+20</f>
        <v>30</v>
      </c>
      <c r="J7" s="3">
        <f>30/B6*C6</f>
        <v>1.875</v>
      </c>
      <c r="K7" s="3">
        <f>15/B8*C8</f>
        <v>0</v>
      </c>
      <c r="L7" s="3">
        <f>10/B10*C10</f>
        <v>0</v>
      </c>
      <c r="M7" s="3">
        <f>5/B12*C12</f>
        <v>0</v>
      </c>
      <c r="N7" s="3">
        <f>5/B14*C14</f>
        <v>0</v>
      </c>
      <c r="O7" s="3">
        <f>5/B16*C16</f>
        <v>0</v>
      </c>
    </row>
    <row r="8" spans="1:15" x14ac:dyDescent="0.25">
      <c r="B8" s="3">
        <f>C2</f>
        <v>7</v>
      </c>
      <c r="C8" s="3">
        <v>0</v>
      </c>
      <c r="D8" s="4"/>
      <c r="E8" s="5">
        <f>(100/B12)*C12</f>
        <v>0</v>
      </c>
    </row>
    <row r="9" spans="1:15" x14ac:dyDescent="0.25">
      <c r="A9" t="s">
        <v>83</v>
      </c>
      <c r="B9" t="s">
        <v>80</v>
      </c>
      <c r="C9" t="s">
        <v>81</v>
      </c>
      <c r="E9" s="5">
        <f>(100/B14)*C14</f>
        <v>0</v>
      </c>
    </row>
    <row r="10" spans="1:15" x14ac:dyDescent="0.25">
      <c r="B10" s="3">
        <f>C2</f>
        <v>7</v>
      </c>
      <c r="C10" s="3">
        <v>0</v>
      </c>
      <c r="D10" s="4"/>
      <c r="E10" s="5">
        <f>(100/B16)*C16</f>
        <v>0</v>
      </c>
    </row>
    <row r="11" spans="1:15" x14ac:dyDescent="0.25">
      <c r="A11" t="s">
        <v>42</v>
      </c>
      <c r="B11" t="s">
        <v>80</v>
      </c>
      <c r="C11" t="s">
        <v>81</v>
      </c>
    </row>
    <row r="12" spans="1:15" x14ac:dyDescent="0.25">
      <c r="B12" s="3">
        <f>C2</f>
        <v>7</v>
      </c>
      <c r="C12" s="3">
        <v>0</v>
      </c>
      <c r="D12" s="4"/>
      <c r="F12" s="3"/>
      <c r="G12" s="3" t="s">
        <v>78</v>
      </c>
      <c r="H12" s="3" t="s">
        <v>84</v>
      </c>
      <c r="L12" s="4" t="s">
        <v>85</v>
      </c>
    </row>
    <row r="13" spans="1:15" ht="30" x14ac:dyDescent="0.25">
      <c r="A13" s="7" t="s">
        <v>77</v>
      </c>
      <c r="B13" t="s">
        <v>80</v>
      </c>
      <c r="C13" t="s">
        <v>81</v>
      </c>
      <c r="F13" s="3" t="s">
        <v>35</v>
      </c>
      <c r="G13" s="3">
        <f>I6</f>
        <v>10</v>
      </c>
      <c r="H13" s="3">
        <f>I7</f>
        <v>30</v>
      </c>
      <c r="L13" s="4" t="s">
        <v>85</v>
      </c>
    </row>
    <row r="14" spans="1:15" x14ac:dyDescent="0.25">
      <c r="B14" s="3">
        <f>C2</f>
        <v>7</v>
      </c>
      <c r="C14" s="3">
        <v>0</v>
      </c>
      <c r="D14" s="4"/>
      <c r="F14" s="3" t="s">
        <v>36</v>
      </c>
      <c r="G14" s="3">
        <f>J6</f>
        <v>2.5</v>
      </c>
      <c r="H14" s="3">
        <f>J7</f>
        <v>1.875</v>
      </c>
      <c r="L14" s="4"/>
    </row>
    <row r="15" spans="1:15" x14ac:dyDescent="0.25">
      <c r="A15" t="s">
        <v>43</v>
      </c>
      <c r="B15" t="s">
        <v>80</v>
      </c>
      <c r="C15" t="s">
        <v>81</v>
      </c>
      <c r="F15" s="3" t="s">
        <v>76</v>
      </c>
      <c r="G15" s="3">
        <f>K6</f>
        <v>0</v>
      </c>
      <c r="H15" s="3">
        <f>K7</f>
        <v>0</v>
      </c>
      <c r="L15" s="4"/>
    </row>
    <row r="16" spans="1:15" x14ac:dyDescent="0.25">
      <c r="B16" s="3">
        <f>C2</f>
        <v>7</v>
      </c>
      <c r="C16" s="3">
        <v>0</v>
      </c>
      <c r="D16" s="4"/>
      <c r="F16" s="3" t="s">
        <v>37</v>
      </c>
      <c r="G16" s="3">
        <f>L6</f>
        <v>0</v>
      </c>
      <c r="H16" s="3">
        <f>L7</f>
        <v>0</v>
      </c>
      <c r="L16" s="4"/>
    </row>
    <row r="17" spans="6:12" x14ac:dyDescent="0.25">
      <c r="F17" s="3" t="s">
        <v>42</v>
      </c>
      <c r="G17" s="3">
        <f>M6</f>
        <v>0</v>
      </c>
      <c r="H17" s="3">
        <f>M7</f>
        <v>0</v>
      </c>
      <c r="L17" s="4"/>
    </row>
    <row r="18" spans="6:12" ht="30" x14ac:dyDescent="0.25">
      <c r="F18" s="8" t="s">
        <v>77</v>
      </c>
      <c r="G18" s="3">
        <f>N6</f>
        <v>0</v>
      </c>
      <c r="H18" s="3">
        <f>N7</f>
        <v>0</v>
      </c>
      <c r="L18" s="4"/>
    </row>
    <row r="19" spans="6:12" x14ac:dyDescent="0.25">
      <c r="F19" s="3" t="s">
        <v>43</v>
      </c>
      <c r="G19" s="3">
        <f>O6</f>
        <v>0</v>
      </c>
      <c r="H19" s="3">
        <f>O7</f>
        <v>0</v>
      </c>
      <c r="L19" s="4"/>
    </row>
    <row r="20" spans="6:12" x14ac:dyDescent="0.25">
      <c r="F20" s="3" t="s">
        <v>86</v>
      </c>
      <c r="G20" s="9">
        <f>G13+G14+G15+G16+G17+G18+G19</f>
        <v>12.5</v>
      </c>
      <c r="H20" s="9">
        <f>H13+H14+H15+H16+H17+H18+H19</f>
        <v>31.875</v>
      </c>
      <c r="L20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C9" sqref="C9"/>
    </sheetView>
  </sheetViews>
  <sheetFormatPr defaultRowHeight="15" x14ac:dyDescent="0.25"/>
  <cols>
    <col min="2" max="2" width="11.5703125" customWidth="1"/>
  </cols>
  <sheetData>
    <row r="2" spans="1:15" x14ac:dyDescent="0.25">
      <c r="A2" t="s">
        <v>66</v>
      </c>
      <c r="B2" s="1" t="s">
        <v>67</v>
      </c>
      <c r="C2" s="1">
        <v>7</v>
      </c>
      <c r="D2" s="2"/>
    </row>
    <row r="3" spans="1:15" x14ac:dyDescent="0.25">
      <c r="B3" t="s">
        <v>68</v>
      </c>
      <c r="C3" t="s">
        <v>69</v>
      </c>
    </row>
    <row r="4" spans="1:15" x14ac:dyDescent="0.25">
      <c r="A4" t="s">
        <v>70</v>
      </c>
      <c r="B4" s="3">
        <v>10</v>
      </c>
      <c r="C4" s="3">
        <v>10</v>
      </c>
      <c r="D4" s="4"/>
      <c r="E4" s="5">
        <f>(100/B4)*C4</f>
        <v>100</v>
      </c>
    </row>
    <row r="5" spans="1:15" x14ac:dyDescent="0.25">
      <c r="A5" t="s">
        <v>71</v>
      </c>
      <c r="B5" t="s">
        <v>72</v>
      </c>
      <c r="C5" t="s">
        <v>73</v>
      </c>
      <c r="E5" s="5">
        <f>(100/B6)*C6</f>
        <v>100</v>
      </c>
      <c r="I5" s="3" t="s">
        <v>74</v>
      </c>
      <c r="J5" s="3" t="s">
        <v>75</v>
      </c>
      <c r="K5" s="3" t="s">
        <v>76</v>
      </c>
      <c r="L5" s="3" t="s">
        <v>37</v>
      </c>
      <c r="M5" s="3" t="s">
        <v>42</v>
      </c>
      <c r="N5" s="3" t="s">
        <v>77</v>
      </c>
      <c r="O5" s="3" t="s">
        <v>43</v>
      </c>
    </row>
    <row r="6" spans="1:15" x14ac:dyDescent="0.25">
      <c r="B6" s="3">
        <f>C2+1</f>
        <v>8</v>
      </c>
      <c r="C6" s="3">
        <v>8</v>
      </c>
      <c r="D6" s="4"/>
      <c r="E6" s="5">
        <f>(100/B8)*C8</f>
        <v>100</v>
      </c>
      <c r="F6" s="6" t="s">
        <v>78</v>
      </c>
      <c r="I6" s="6">
        <f>C4</f>
        <v>10</v>
      </c>
      <c r="J6" s="6">
        <f>40/B6*C6</f>
        <v>40</v>
      </c>
      <c r="K6" s="6">
        <f>15/B8*C8</f>
        <v>15</v>
      </c>
      <c r="L6" s="6">
        <f>10/B10*C10</f>
        <v>0</v>
      </c>
      <c r="M6" s="6">
        <f>10/B12*C12</f>
        <v>0</v>
      </c>
      <c r="N6" s="6">
        <f>5/B14*C14</f>
        <v>0</v>
      </c>
      <c r="O6" s="6">
        <f>5/B16*C16</f>
        <v>0</v>
      </c>
    </row>
    <row r="7" spans="1:15" x14ac:dyDescent="0.25">
      <c r="A7" t="s">
        <v>79</v>
      </c>
      <c r="B7" t="s">
        <v>80</v>
      </c>
      <c r="C7" t="s">
        <v>81</v>
      </c>
      <c r="E7" s="5">
        <f>(100/B10)*C10</f>
        <v>0</v>
      </c>
      <c r="F7" s="3" t="s">
        <v>82</v>
      </c>
      <c r="G7" s="3"/>
      <c r="H7" s="3"/>
      <c r="I7" s="3">
        <f>I6+20</f>
        <v>30</v>
      </c>
      <c r="J7" s="3">
        <f>30/B6*C6</f>
        <v>30</v>
      </c>
      <c r="K7" s="3">
        <f>15/B8*C8</f>
        <v>15</v>
      </c>
      <c r="L7" s="3">
        <f>10/B10*C10</f>
        <v>0</v>
      </c>
      <c r="M7" s="3">
        <f>5/B12*C12</f>
        <v>0</v>
      </c>
      <c r="N7" s="3">
        <f>5/B14*C14</f>
        <v>0</v>
      </c>
      <c r="O7" s="3">
        <f>5/B16*C16</f>
        <v>0</v>
      </c>
    </row>
    <row r="8" spans="1:15" x14ac:dyDescent="0.25">
      <c r="B8" s="3">
        <f>C2</f>
        <v>7</v>
      </c>
      <c r="C8" s="3">
        <v>7</v>
      </c>
      <c r="D8" s="4"/>
      <c r="E8" s="5">
        <f>(100/B12)*C12</f>
        <v>0</v>
      </c>
    </row>
    <row r="9" spans="1:15" x14ac:dyDescent="0.25">
      <c r="A9" t="s">
        <v>83</v>
      </c>
      <c r="B9" t="s">
        <v>80</v>
      </c>
      <c r="C9" t="s">
        <v>81</v>
      </c>
      <c r="E9" s="5">
        <f>(100/B14)*C14</f>
        <v>0</v>
      </c>
    </row>
    <row r="10" spans="1:15" x14ac:dyDescent="0.25">
      <c r="B10" s="3">
        <f>C2</f>
        <v>7</v>
      </c>
      <c r="C10" s="3">
        <v>0</v>
      </c>
      <c r="D10" s="4"/>
      <c r="E10" s="5">
        <f>(100/B16)*C16</f>
        <v>0</v>
      </c>
    </row>
    <row r="11" spans="1:15" x14ac:dyDescent="0.25">
      <c r="A11" t="s">
        <v>42</v>
      </c>
      <c r="B11" t="s">
        <v>80</v>
      </c>
      <c r="C11" t="s">
        <v>81</v>
      </c>
    </row>
    <row r="12" spans="1:15" x14ac:dyDescent="0.25">
      <c r="B12" s="3">
        <f>C2</f>
        <v>7</v>
      </c>
      <c r="C12" s="3">
        <v>0</v>
      </c>
      <c r="D12" s="4"/>
      <c r="F12" s="3"/>
      <c r="G12" s="3" t="s">
        <v>78</v>
      </c>
      <c r="H12" s="3" t="s">
        <v>84</v>
      </c>
      <c r="L12" s="4" t="s">
        <v>85</v>
      </c>
    </row>
    <row r="13" spans="1:15" ht="30" x14ac:dyDescent="0.25">
      <c r="A13" s="7" t="s">
        <v>77</v>
      </c>
      <c r="B13" t="s">
        <v>80</v>
      </c>
      <c r="C13" t="s">
        <v>81</v>
      </c>
      <c r="F13" s="3" t="s">
        <v>35</v>
      </c>
      <c r="G13" s="3">
        <f>I6</f>
        <v>10</v>
      </c>
      <c r="H13" s="3">
        <f>I7</f>
        <v>30</v>
      </c>
      <c r="L13" s="4" t="s">
        <v>85</v>
      </c>
    </row>
    <row r="14" spans="1:15" x14ac:dyDescent="0.25">
      <c r="B14" s="3">
        <f>C2</f>
        <v>7</v>
      </c>
      <c r="C14" s="3">
        <v>0</v>
      </c>
      <c r="D14" s="4"/>
      <c r="F14" s="3" t="s">
        <v>36</v>
      </c>
      <c r="G14" s="3">
        <f>J6</f>
        <v>40</v>
      </c>
      <c r="H14" s="3">
        <f>J7</f>
        <v>30</v>
      </c>
      <c r="L14" s="4"/>
    </row>
    <row r="15" spans="1:15" x14ac:dyDescent="0.25">
      <c r="A15" t="s">
        <v>43</v>
      </c>
      <c r="B15" t="s">
        <v>80</v>
      </c>
      <c r="C15" t="s">
        <v>81</v>
      </c>
      <c r="F15" s="3" t="s">
        <v>76</v>
      </c>
      <c r="G15" s="3">
        <f>K6</f>
        <v>15</v>
      </c>
      <c r="H15" s="3">
        <f>K7</f>
        <v>15</v>
      </c>
      <c r="L15" s="4"/>
    </row>
    <row r="16" spans="1:15" x14ac:dyDescent="0.25">
      <c r="B16" s="3">
        <f>C2</f>
        <v>7</v>
      </c>
      <c r="C16" s="3">
        <v>0</v>
      </c>
      <c r="D16" s="4"/>
      <c r="F16" s="3" t="s">
        <v>37</v>
      </c>
      <c r="G16" s="3">
        <f>L6</f>
        <v>0</v>
      </c>
      <c r="H16" s="3">
        <f>L7</f>
        <v>0</v>
      </c>
      <c r="L16" s="4"/>
    </row>
    <row r="17" spans="6:12" x14ac:dyDescent="0.25">
      <c r="F17" s="3" t="s">
        <v>42</v>
      </c>
      <c r="G17" s="3">
        <f>M6</f>
        <v>0</v>
      </c>
      <c r="H17" s="3">
        <f>M7</f>
        <v>0</v>
      </c>
      <c r="L17" s="4"/>
    </row>
    <row r="18" spans="6:12" ht="30" x14ac:dyDescent="0.25">
      <c r="F18" s="8" t="s">
        <v>77</v>
      </c>
      <c r="G18" s="3">
        <f>N6</f>
        <v>0</v>
      </c>
      <c r="H18" s="3">
        <f>N7</f>
        <v>0</v>
      </c>
      <c r="L18" s="4"/>
    </row>
    <row r="19" spans="6:12" x14ac:dyDescent="0.25">
      <c r="F19" s="3" t="s">
        <v>43</v>
      </c>
      <c r="G19" s="3">
        <f>O6</f>
        <v>0</v>
      </c>
      <c r="H19" s="3">
        <f>O7</f>
        <v>0</v>
      </c>
      <c r="L19" s="4"/>
    </row>
    <row r="20" spans="6:12" x14ac:dyDescent="0.25">
      <c r="F20" s="3" t="s">
        <v>86</v>
      </c>
      <c r="G20" s="9">
        <f>G13+G14+G15+G16+G17+G18+G19</f>
        <v>65</v>
      </c>
      <c r="H20" s="9">
        <f>H13+H14+H15+H16+H17+H18+H19</f>
        <v>75</v>
      </c>
      <c r="L20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7"/>
  <sheetViews>
    <sheetView workbookViewId="0">
      <selection activeCell="C27" sqref="C27"/>
    </sheetView>
  </sheetViews>
  <sheetFormatPr defaultRowHeight="15" x14ac:dyDescent="0.25"/>
  <cols>
    <col min="1" max="1" width="10.42578125" bestFit="1" customWidth="1"/>
  </cols>
  <sheetData>
    <row r="2" spans="1:2" x14ac:dyDescent="0.25">
      <c r="A2" s="10">
        <v>44131</v>
      </c>
      <c r="B2" t="s">
        <v>95</v>
      </c>
    </row>
    <row r="27" spans="1:2" x14ac:dyDescent="0.25">
      <c r="A27" s="10">
        <v>44240</v>
      </c>
      <c r="B27" t="s">
        <v>95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L11" sqref="L11"/>
    </sheetView>
  </sheetViews>
  <sheetFormatPr defaultColWidth="8.5703125" defaultRowHeight="15" x14ac:dyDescent="0.25"/>
  <cols>
    <col min="1" max="1" width="10.42578125" style="11" bestFit="1" customWidth="1"/>
    <col min="2" max="2" width="22.140625" style="11" customWidth="1"/>
    <col min="3" max="3" width="37" style="11" customWidth="1"/>
    <col min="4" max="5" width="11.42578125" style="11" customWidth="1"/>
    <col min="6" max="6" width="14" style="11" customWidth="1"/>
    <col min="7" max="7" width="20" style="11" customWidth="1"/>
    <col min="8" max="8" width="16.42578125" style="11" customWidth="1"/>
    <col min="9" max="16384" width="8.5703125" style="11"/>
  </cols>
  <sheetData>
    <row r="1" spans="1:9" ht="15" customHeight="1" x14ac:dyDescent="0.25">
      <c r="A1" s="21">
        <v>44131</v>
      </c>
      <c r="B1" s="11" t="s">
        <v>95</v>
      </c>
    </row>
    <row r="2" spans="1:9" ht="15" customHeight="1" x14ac:dyDescent="0.25">
      <c r="A2" s="12"/>
      <c r="B2" s="12"/>
      <c r="C2" s="12"/>
      <c r="D2" s="12"/>
      <c r="E2" s="12"/>
      <c r="F2" s="12"/>
      <c r="G2" s="12"/>
      <c r="H2" s="12"/>
    </row>
    <row r="3" spans="1:9" ht="15.75" customHeight="1" x14ac:dyDescent="0.25">
      <c r="A3" s="12"/>
      <c r="B3" s="189" t="s">
        <v>96</v>
      </c>
      <c r="C3" s="189"/>
      <c r="D3" s="189"/>
      <c r="E3" s="189"/>
      <c r="F3" s="189"/>
      <c r="G3" s="189"/>
      <c r="H3" s="189"/>
    </row>
    <row r="4" spans="1:9" x14ac:dyDescent="0.25">
      <c r="A4" s="12"/>
      <c r="B4" s="13" t="s">
        <v>97</v>
      </c>
      <c r="C4" s="13" t="s">
        <v>98</v>
      </c>
      <c r="D4" s="13" t="s">
        <v>99</v>
      </c>
      <c r="E4" s="13" t="s">
        <v>100</v>
      </c>
      <c r="F4" s="13" t="s">
        <v>101</v>
      </c>
      <c r="G4" s="13" t="s">
        <v>102</v>
      </c>
      <c r="H4" s="13" t="s">
        <v>103</v>
      </c>
    </row>
    <row r="5" spans="1:9" ht="15" customHeight="1" x14ac:dyDescent="0.25">
      <c r="A5" s="12"/>
      <c r="B5" s="22" t="s">
        <v>106</v>
      </c>
      <c r="C5" s="23" t="s">
        <v>93</v>
      </c>
      <c r="D5" s="22" t="s">
        <v>107</v>
      </c>
      <c r="E5" s="14">
        <v>353</v>
      </c>
      <c r="F5" s="15">
        <f>E5*1.45</f>
        <v>511.84999999999997</v>
      </c>
      <c r="G5" s="15">
        <f>H5/F5</f>
        <v>3424.8314936016413</v>
      </c>
      <c r="H5" s="16">
        <v>1753000</v>
      </c>
    </row>
    <row r="6" spans="1:9" x14ac:dyDescent="0.25">
      <c r="A6" s="12"/>
      <c r="B6" s="22" t="s">
        <v>106</v>
      </c>
      <c r="C6" s="23" t="s">
        <v>93</v>
      </c>
      <c r="D6" s="22" t="s">
        <v>108</v>
      </c>
      <c r="E6" s="14">
        <v>620</v>
      </c>
      <c r="F6" s="15">
        <f>E6*1.45</f>
        <v>899</v>
      </c>
      <c r="G6" s="15">
        <f>H6/F6</f>
        <v>3418.2424916573973</v>
      </c>
      <c r="H6" s="16">
        <v>3073000</v>
      </c>
    </row>
    <row r="7" spans="1:9" ht="15" customHeight="1" x14ac:dyDescent="0.25">
      <c r="A7" s="12"/>
      <c r="B7" s="22" t="s">
        <v>109</v>
      </c>
      <c r="C7" s="23" t="s">
        <v>93</v>
      </c>
      <c r="D7" s="22" t="s">
        <v>107</v>
      </c>
      <c r="E7" s="14">
        <v>230</v>
      </c>
      <c r="F7" s="15">
        <f>E7*1.45</f>
        <v>333.5</v>
      </c>
      <c r="G7" s="15">
        <f>H7/F7</f>
        <v>5697.1514242878557</v>
      </c>
      <c r="H7" s="16">
        <v>1900000</v>
      </c>
    </row>
    <row r="8" spans="1:9" x14ac:dyDescent="0.25">
      <c r="A8" s="12"/>
      <c r="B8" s="22" t="s">
        <v>109</v>
      </c>
      <c r="C8" s="23" t="s">
        <v>93</v>
      </c>
      <c r="D8" s="22" t="s">
        <v>108</v>
      </c>
      <c r="E8" s="14">
        <v>653</v>
      </c>
      <c r="F8" s="15">
        <f>E8*1.45</f>
        <v>946.85</v>
      </c>
      <c r="G8" s="15">
        <f>H8/F8</f>
        <v>4029.1492844695567</v>
      </c>
      <c r="H8" s="16">
        <v>3815000</v>
      </c>
    </row>
    <row r="9" spans="1:9" ht="15" customHeight="1" x14ac:dyDescent="0.25">
      <c r="A9" s="12"/>
      <c r="B9" s="17" t="s">
        <v>104</v>
      </c>
      <c r="C9" s="14"/>
      <c r="D9" s="14"/>
      <c r="E9" s="14"/>
      <c r="F9" s="14"/>
      <c r="G9" s="18">
        <f>AVERAGE(G5:G8)</f>
        <v>4142.3436735041123</v>
      </c>
      <c r="H9" s="14"/>
    </row>
    <row r="10" spans="1:9" ht="15" customHeight="1" x14ac:dyDescent="0.25">
      <c r="B10" s="17" t="s">
        <v>105</v>
      </c>
      <c r="C10" s="14"/>
      <c r="D10" s="14"/>
      <c r="E10" s="14"/>
      <c r="F10" s="19"/>
      <c r="G10" s="17">
        <v>4200</v>
      </c>
      <c r="H10" s="17"/>
      <c r="I10" s="20"/>
    </row>
    <row r="11" spans="1:9" ht="15" customHeight="1" x14ac:dyDescent="0.25"/>
    <row r="12" spans="1:9" ht="15" customHeight="1" x14ac:dyDescent="0.25"/>
    <row r="13" spans="1:9" ht="15" customHeight="1" x14ac:dyDescent="0.25"/>
  </sheetData>
  <mergeCells count="1">
    <mergeCell ref="B3:H3"/>
  </mergeCells>
  <phoneticPr fontId="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Sheet1</vt:lpstr>
      <vt:lpstr>C %</vt:lpstr>
      <vt:lpstr>C % (2)</vt:lpstr>
      <vt:lpstr>C % (3)</vt:lpstr>
      <vt:lpstr>C % (4)</vt:lpstr>
      <vt:lpstr>Note</vt:lpstr>
      <vt:lpstr>Valuation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PC-51</cp:lastModifiedBy>
  <cp:lastPrinted>2025-07-08T07:32:37Z</cp:lastPrinted>
  <dcterms:created xsi:type="dcterms:W3CDTF">2013-11-23T05:32:33Z</dcterms:created>
  <dcterms:modified xsi:type="dcterms:W3CDTF">2025-07-08T07:34:14Z</dcterms:modified>
</cp:coreProperties>
</file>