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90" windowHeight="6555" tabRatio="770"/>
  </bookViews>
  <sheets>
    <sheet name="Sheet1" sheetId="1" r:id="rId1"/>
    <sheet name="A" sheetId="14" r:id="rId2"/>
    <sheet name="B" sheetId="17" r:id="rId3"/>
    <sheet name="C" sheetId="16" r:id="rId4"/>
    <sheet name="D" sheetId="18" r:id="rId5"/>
  </sheets>
  <definedNames>
    <definedName name="_xlnm.Print_Area" localSheetId="0">Sheet1!$A$1:$J$570</definedName>
  </definedNames>
  <calcPr calcId="152511"/>
</workbook>
</file>

<file path=xl/calcChain.xml><?xml version="1.0" encoding="utf-8"?>
<calcChain xmlns="http://schemas.openxmlformats.org/spreadsheetml/2006/main">
  <c r="K43" i="1" l="1"/>
  <c r="D331" i="1" l="1"/>
  <c r="G331" i="1" s="1"/>
  <c r="D330" i="1"/>
  <c r="G330" i="1" s="1"/>
  <c r="D329" i="1"/>
  <c r="G329" i="1" s="1"/>
  <c r="D328" i="1"/>
  <c r="G328" i="1" s="1"/>
  <c r="D327" i="1"/>
  <c r="G327" i="1" s="1"/>
  <c r="D326" i="1"/>
  <c r="G326" i="1" s="1"/>
  <c r="A326" i="1"/>
  <c r="A327" i="1" s="1"/>
  <c r="A328" i="1" s="1"/>
  <c r="A329" i="1" s="1"/>
  <c r="A330" i="1" s="1"/>
  <c r="A331" i="1" s="1"/>
  <c r="D325" i="1"/>
  <c r="G325" i="1" s="1"/>
  <c r="A325" i="1"/>
  <c r="I324" i="1"/>
  <c r="D324" i="1"/>
  <c r="G324" i="1" s="1"/>
  <c r="D322" i="1"/>
  <c r="G322" i="1" s="1"/>
  <c r="D321" i="1"/>
  <c r="G321" i="1" s="1"/>
  <c r="D320" i="1"/>
  <c r="G320" i="1" s="1"/>
  <c r="D319" i="1"/>
  <c r="G319" i="1" s="1"/>
  <c r="D318" i="1"/>
  <c r="G318" i="1" s="1"/>
  <c r="D317" i="1"/>
  <c r="G317" i="1" s="1"/>
  <c r="D316" i="1"/>
  <c r="G316" i="1" s="1"/>
  <c r="A316" i="1"/>
  <c r="A317" i="1" s="1"/>
  <c r="A318" i="1" s="1"/>
  <c r="A319" i="1" s="1"/>
  <c r="A320" i="1" s="1"/>
  <c r="A321" i="1" s="1"/>
  <c r="A322" i="1" s="1"/>
  <c r="I315" i="1"/>
  <c r="D315" i="1"/>
  <c r="G315" i="1" s="1"/>
  <c r="D424" i="1"/>
  <c r="D423" i="1"/>
  <c r="G423" i="1" s="1"/>
  <c r="D421" i="1"/>
  <c r="G421" i="1" s="1"/>
  <c r="D420" i="1"/>
  <c r="G420" i="1" s="1"/>
  <c r="D419" i="1"/>
  <c r="G419" i="1" s="1"/>
  <c r="D417" i="1"/>
  <c r="G417" i="1" s="1"/>
  <c r="D416" i="1"/>
  <c r="G416" i="1" s="1"/>
  <c r="D415" i="1"/>
  <c r="G415" i="1" s="1"/>
  <c r="D413" i="1"/>
  <c r="D412" i="1"/>
  <c r="G412" i="1" s="1"/>
  <c r="D411" i="1"/>
  <c r="G411" i="1" s="1"/>
  <c r="D409" i="1"/>
  <c r="G409" i="1" s="1"/>
  <c r="D408" i="1"/>
  <c r="G408" i="1" s="1"/>
  <c r="D407" i="1"/>
  <c r="G407" i="1" s="1"/>
  <c r="D404" i="1"/>
  <c r="G404" i="1" s="1"/>
  <c r="D403" i="1"/>
  <c r="G403" i="1" s="1"/>
  <c r="D401" i="1"/>
  <c r="D400" i="1"/>
  <c r="G400" i="1" s="1"/>
  <c r="D399" i="1"/>
  <c r="G399" i="1" s="1"/>
  <c r="D397" i="1"/>
  <c r="G397" i="1" s="1"/>
  <c r="D396" i="1"/>
  <c r="G396" i="1" s="1"/>
  <c r="D395" i="1"/>
  <c r="G395" i="1" s="1"/>
  <c r="D393" i="1"/>
  <c r="G393" i="1" s="1"/>
  <c r="D392" i="1"/>
  <c r="G392" i="1" s="1"/>
  <c r="D391" i="1"/>
  <c r="G391" i="1" s="1"/>
  <c r="D385" i="1"/>
  <c r="G385" i="1" s="1"/>
  <c r="D384" i="1"/>
  <c r="G384" i="1" s="1"/>
  <c r="D381" i="1"/>
  <c r="G381" i="1" s="1"/>
  <c r="D380" i="1"/>
  <c r="G380" i="1" s="1"/>
  <c r="D379" i="1"/>
  <c r="G379" i="1" s="1"/>
  <c r="D378" i="1"/>
  <c r="G378" i="1" s="1"/>
  <c r="D376" i="1"/>
  <c r="G376" i="1" s="1"/>
  <c r="D375" i="1"/>
  <c r="G375" i="1" s="1"/>
  <c r="D374" i="1"/>
  <c r="G374" i="1" s="1"/>
  <c r="D373" i="1"/>
  <c r="G373" i="1" s="1"/>
  <c r="D372" i="1"/>
  <c r="G372" i="1" s="1"/>
  <c r="D371" i="1"/>
  <c r="G371" i="1" s="1"/>
  <c r="D370" i="1"/>
  <c r="G370" i="1" s="1"/>
  <c r="D369" i="1"/>
  <c r="G369" i="1" s="1"/>
  <c r="D367" i="1"/>
  <c r="D366" i="1"/>
  <c r="G366" i="1" s="1"/>
  <c r="D365" i="1"/>
  <c r="G365" i="1" s="1"/>
  <c r="D364" i="1"/>
  <c r="G364" i="1" s="1"/>
  <c r="D363" i="1"/>
  <c r="G363" i="1" s="1"/>
  <c r="D362" i="1"/>
  <c r="G362" i="1" s="1"/>
  <c r="D361" i="1"/>
  <c r="G361" i="1" s="1"/>
  <c r="D360" i="1"/>
  <c r="G360" i="1" s="1"/>
  <c r="D358" i="1"/>
  <c r="G358" i="1" s="1"/>
  <c r="D357" i="1"/>
  <c r="G357" i="1" s="1"/>
  <c r="D356" i="1"/>
  <c r="G356" i="1" s="1"/>
  <c r="D355" i="1"/>
  <c r="G355" i="1" s="1"/>
  <c r="D354" i="1"/>
  <c r="D353" i="1"/>
  <c r="G353" i="1" s="1"/>
  <c r="D352" i="1"/>
  <c r="G352" i="1" s="1"/>
  <c r="D351" i="1"/>
  <c r="G351" i="1" s="1"/>
  <c r="D349" i="1"/>
  <c r="G349" i="1" s="1"/>
  <c r="D348" i="1"/>
  <c r="G348" i="1" s="1"/>
  <c r="D347" i="1"/>
  <c r="G347" i="1" s="1"/>
  <c r="D346" i="1"/>
  <c r="G346" i="1" s="1"/>
  <c r="D345" i="1"/>
  <c r="G345" i="1" s="1"/>
  <c r="D344" i="1"/>
  <c r="G344" i="1" s="1"/>
  <c r="D343" i="1"/>
  <c r="G343" i="1" s="1"/>
  <c r="D342" i="1"/>
  <c r="G342" i="1" s="1"/>
  <c r="D340" i="1"/>
  <c r="G340" i="1" s="1"/>
  <c r="D339" i="1"/>
  <c r="G339" i="1" s="1"/>
  <c r="D336" i="1"/>
  <c r="G336" i="1" s="1"/>
  <c r="D335" i="1"/>
  <c r="G335" i="1" s="1"/>
  <c r="D334" i="1"/>
  <c r="G334" i="1" s="1"/>
  <c r="D333" i="1"/>
  <c r="G333" i="1" s="1"/>
  <c r="D313" i="1"/>
  <c r="G313" i="1" s="1"/>
  <c r="D312" i="1"/>
  <c r="G312" i="1" s="1"/>
  <c r="D311" i="1"/>
  <c r="G311" i="1" s="1"/>
  <c r="D310" i="1"/>
  <c r="G310" i="1" s="1"/>
  <c r="D309" i="1"/>
  <c r="G309" i="1" s="1"/>
  <c r="D308" i="1"/>
  <c r="G308" i="1" s="1"/>
  <c r="D307" i="1"/>
  <c r="G307" i="1" s="1"/>
  <c r="D306" i="1"/>
  <c r="D304" i="1"/>
  <c r="G304" i="1" s="1"/>
  <c r="D303" i="1"/>
  <c r="G303" i="1" s="1"/>
  <c r="D302" i="1"/>
  <c r="D301" i="1"/>
  <c r="G301" i="1" s="1"/>
  <c r="D298" i="1"/>
  <c r="G298" i="1" s="1"/>
  <c r="D297" i="1"/>
  <c r="G297" i="1" s="1"/>
  <c r="D294" i="1"/>
  <c r="G294" i="1" s="1"/>
  <c r="D293" i="1"/>
  <c r="G293" i="1" s="1"/>
  <c r="D291" i="1"/>
  <c r="G291" i="1" s="1"/>
  <c r="D290" i="1"/>
  <c r="G290" i="1" s="1"/>
  <c r="D289" i="1"/>
  <c r="G289" i="1" s="1"/>
  <c r="D287" i="1"/>
  <c r="G287" i="1" s="1"/>
  <c r="D286" i="1"/>
  <c r="G286" i="1" s="1"/>
  <c r="D285" i="1"/>
  <c r="G285" i="1" s="1"/>
  <c r="D284" i="1"/>
  <c r="G284" i="1" s="1"/>
  <c r="D283" i="1"/>
  <c r="G283" i="1" s="1"/>
  <c r="D282" i="1"/>
  <c r="G282" i="1" s="1"/>
  <c r="D280" i="1"/>
  <c r="G280" i="1" s="1"/>
  <c r="D279" i="1"/>
  <c r="G279" i="1" s="1"/>
  <c r="D278" i="1"/>
  <c r="G278" i="1" s="1"/>
  <c r="D277" i="1"/>
  <c r="G277" i="1" s="1"/>
  <c r="D276" i="1"/>
  <c r="G276" i="1" s="1"/>
  <c r="D275" i="1"/>
  <c r="G275" i="1" s="1"/>
  <c r="D273" i="1"/>
  <c r="G273" i="1" s="1"/>
  <c r="D272" i="1"/>
  <c r="G272" i="1" s="1"/>
  <c r="D271" i="1"/>
  <c r="G271" i="1" s="1"/>
  <c r="D270" i="1"/>
  <c r="G270" i="1" s="1"/>
  <c r="D269" i="1"/>
  <c r="G269" i="1" s="1"/>
  <c r="D268" i="1"/>
  <c r="G268" i="1" s="1"/>
  <c r="D266" i="1"/>
  <c r="G266" i="1" s="1"/>
  <c r="D265" i="1"/>
  <c r="G265" i="1" s="1"/>
  <c r="D264" i="1"/>
  <c r="G264" i="1" s="1"/>
  <c r="D263" i="1"/>
  <c r="G263" i="1" s="1"/>
  <c r="D262" i="1"/>
  <c r="G262" i="1" s="1"/>
  <c r="D261" i="1"/>
  <c r="G261" i="1" s="1"/>
  <c r="D259" i="1"/>
  <c r="G259" i="1" s="1"/>
  <c r="D258" i="1"/>
  <c r="G258" i="1" s="1"/>
  <c r="D256" i="1"/>
  <c r="G256" i="1" s="1"/>
  <c r="D255" i="1"/>
  <c r="G255" i="1" s="1"/>
  <c r="D254" i="1"/>
  <c r="G254" i="1" s="1"/>
  <c r="D252" i="1"/>
  <c r="G252" i="1" s="1"/>
  <c r="D251" i="1"/>
  <c r="G251" i="1" s="1"/>
  <c r="D250" i="1"/>
  <c r="G250" i="1" s="1"/>
  <c r="D249" i="1"/>
  <c r="G249" i="1" s="1"/>
  <c r="D248" i="1"/>
  <c r="G248" i="1" s="1"/>
  <c r="D247" i="1"/>
  <c r="G247" i="1" s="1"/>
  <c r="D245" i="1"/>
  <c r="G245" i="1" s="1"/>
  <c r="D244" i="1"/>
  <c r="G244" i="1" s="1"/>
  <c r="D243" i="1"/>
  <c r="G243" i="1" s="1"/>
  <c r="D242" i="1"/>
  <c r="G242" i="1" s="1"/>
  <c r="D241" i="1"/>
  <c r="G241" i="1" s="1"/>
  <c r="D240" i="1"/>
  <c r="G240" i="1" s="1"/>
  <c r="D237" i="1"/>
  <c r="G237" i="1" s="1"/>
  <c r="D234" i="1"/>
  <c r="G234" i="1" s="1"/>
  <c r="D233" i="1"/>
  <c r="G233" i="1" s="1"/>
  <c r="D227" i="1"/>
  <c r="G227" i="1" s="1"/>
  <c r="D226" i="1"/>
  <c r="G226" i="1" s="1"/>
  <c r="D224" i="1"/>
  <c r="G224" i="1" s="1"/>
  <c r="D221" i="1"/>
  <c r="G221" i="1" s="1"/>
  <c r="D220" i="1"/>
  <c r="G220" i="1" s="1"/>
  <c r="D219" i="1"/>
  <c r="G219" i="1" s="1"/>
  <c r="D218" i="1"/>
  <c r="G218" i="1" s="1"/>
  <c r="D217" i="1"/>
  <c r="D215" i="1"/>
  <c r="G215" i="1" s="1"/>
  <c r="D214" i="1"/>
  <c r="G214" i="1" s="1"/>
  <c r="D213" i="1"/>
  <c r="G213" i="1" s="1"/>
  <c r="D212" i="1"/>
  <c r="G212" i="1" s="1"/>
  <c r="D211" i="1"/>
  <c r="G211" i="1" s="1"/>
  <c r="D209" i="1"/>
  <c r="G209" i="1" s="1"/>
  <c r="D208" i="1"/>
  <c r="G208" i="1" s="1"/>
  <c r="D207" i="1"/>
  <c r="G207" i="1" s="1"/>
  <c r="D206" i="1"/>
  <c r="G206" i="1" s="1"/>
  <c r="D205" i="1"/>
  <c r="G205" i="1" s="1"/>
  <c r="D203" i="1"/>
  <c r="G203" i="1" s="1"/>
  <c r="D202" i="1"/>
  <c r="G202" i="1" s="1"/>
  <c r="D201" i="1"/>
  <c r="G201" i="1" s="1"/>
  <c r="D200" i="1"/>
  <c r="G200" i="1" s="1"/>
  <c r="D199" i="1"/>
  <c r="G199" i="1" s="1"/>
  <c r="D197" i="1"/>
  <c r="G197" i="1" s="1"/>
  <c r="D196" i="1"/>
  <c r="G196" i="1" s="1"/>
  <c r="D194" i="1"/>
  <c r="G194" i="1" s="1"/>
  <c r="D191" i="1"/>
  <c r="G191" i="1" s="1"/>
  <c r="D190" i="1"/>
  <c r="D189" i="1"/>
  <c r="G189" i="1" s="1"/>
  <c r="D188" i="1"/>
  <c r="G188" i="1" s="1"/>
  <c r="D187" i="1"/>
  <c r="G187" i="1" s="1"/>
  <c r="D185" i="1"/>
  <c r="G185" i="1" s="1"/>
  <c r="D184" i="1"/>
  <c r="G184" i="1" s="1"/>
  <c r="D183" i="1"/>
  <c r="G183" i="1" s="1"/>
  <c r="D182" i="1"/>
  <c r="G182" i="1" s="1"/>
  <c r="D181" i="1"/>
  <c r="G181" i="1" s="1"/>
  <c r="D179" i="1"/>
  <c r="G179" i="1" s="1"/>
  <c r="D176" i="1"/>
  <c r="G176" i="1" s="1"/>
  <c r="D175" i="1"/>
  <c r="G175" i="1" s="1"/>
  <c r="D166" i="1"/>
  <c r="D165" i="1"/>
  <c r="G165" i="1" s="1"/>
  <c r="D164" i="1"/>
  <c r="G164" i="1" s="1"/>
  <c r="D163" i="1"/>
  <c r="G163" i="1" s="1"/>
  <c r="D162" i="1"/>
  <c r="G162" i="1" s="1"/>
  <c r="D160" i="1"/>
  <c r="G160" i="1" s="1"/>
  <c r="D159" i="1"/>
  <c r="G159" i="1" s="1"/>
  <c r="D158" i="1"/>
  <c r="G158" i="1" s="1"/>
  <c r="D157" i="1"/>
  <c r="G157" i="1" s="1"/>
  <c r="G424" i="1"/>
  <c r="A424" i="1"/>
  <c r="A425" i="1" s="1"/>
  <c r="I423" i="1"/>
  <c r="A379" i="1"/>
  <c r="A380" i="1" s="1"/>
  <c r="A381" i="1" s="1"/>
  <c r="A382" i="1" s="1"/>
  <c r="A383" i="1" s="1"/>
  <c r="A384" i="1" s="1"/>
  <c r="A385" i="1" s="1"/>
  <c r="I378" i="1"/>
  <c r="A290" i="1"/>
  <c r="A291" i="1" s="1"/>
  <c r="A292" i="1" s="1"/>
  <c r="A293" i="1" s="1"/>
  <c r="A294" i="1" s="1"/>
  <c r="I289" i="1"/>
  <c r="A224" i="1"/>
  <c r="A225" i="1" s="1"/>
  <c r="A226" i="1" s="1"/>
  <c r="A227" i="1" s="1"/>
  <c r="I223" i="1"/>
  <c r="A420" i="1"/>
  <c r="A421" i="1" s="1"/>
  <c r="I419" i="1"/>
  <c r="A370" i="1"/>
  <c r="A371" i="1" s="1"/>
  <c r="A372" i="1" s="1"/>
  <c r="A373" i="1" s="1"/>
  <c r="A374" i="1" s="1"/>
  <c r="A375" i="1" s="1"/>
  <c r="A376" i="1" s="1"/>
  <c r="I369" i="1"/>
  <c r="A283" i="1"/>
  <c r="A284" i="1" s="1"/>
  <c r="A285" i="1" s="1"/>
  <c r="A286" i="1" s="1"/>
  <c r="A287" i="1" s="1"/>
  <c r="I282" i="1"/>
  <c r="A218" i="1"/>
  <c r="A219" i="1" s="1"/>
  <c r="A220" i="1" s="1"/>
  <c r="A221" i="1" s="1"/>
  <c r="I217" i="1"/>
  <c r="G217" i="1"/>
  <c r="A416" i="1"/>
  <c r="A417" i="1" s="1"/>
  <c r="I415" i="1"/>
  <c r="G367" i="1"/>
  <c r="A361" i="1"/>
  <c r="A362" i="1" s="1"/>
  <c r="A363" i="1" s="1"/>
  <c r="A364" i="1" s="1"/>
  <c r="A365" i="1" s="1"/>
  <c r="A366" i="1" s="1"/>
  <c r="A367" i="1" s="1"/>
  <c r="I360" i="1"/>
  <c r="A276" i="1"/>
  <c r="A277" i="1" s="1"/>
  <c r="A278" i="1" s="1"/>
  <c r="A279" i="1" s="1"/>
  <c r="A280" i="1" s="1"/>
  <c r="I275" i="1"/>
  <c r="A212" i="1"/>
  <c r="A213" i="1" s="1"/>
  <c r="A214" i="1" s="1"/>
  <c r="A215" i="1" s="1"/>
  <c r="I211" i="1"/>
  <c r="G413" i="1"/>
  <c r="A412" i="1"/>
  <c r="A413" i="1" s="1"/>
  <c r="I411" i="1"/>
  <c r="G354" i="1"/>
  <c r="A352" i="1"/>
  <c r="A353" i="1" s="1"/>
  <c r="A354" i="1" s="1"/>
  <c r="A355" i="1" s="1"/>
  <c r="A356" i="1" s="1"/>
  <c r="A357" i="1" s="1"/>
  <c r="A358" i="1" s="1"/>
  <c r="I351" i="1"/>
  <c r="A269" i="1"/>
  <c r="A270" i="1" s="1"/>
  <c r="A271" i="1" s="1"/>
  <c r="A272" i="1" s="1"/>
  <c r="A273" i="1" s="1"/>
  <c r="I268" i="1"/>
  <c r="A206" i="1"/>
  <c r="A207" i="1" s="1"/>
  <c r="A208" i="1" s="1"/>
  <c r="A209" i="1" s="1"/>
  <c r="I205" i="1"/>
  <c r="A408" i="1"/>
  <c r="A409" i="1" s="1"/>
  <c r="I407" i="1"/>
  <c r="A343" i="1"/>
  <c r="A344" i="1" s="1"/>
  <c r="A345" i="1" s="1"/>
  <c r="A346" i="1" s="1"/>
  <c r="A347" i="1" s="1"/>
  <c r="A348" i="1" s="1"/>
  <c r="A349" i="1" s="1"/>
  <c r="I342" i="1"/>
  <c r="A262" i="1"/>
  <c r="A263" i="1" s="1"/>
  <c r="A264" i="1" s="1"/>
  <c r="A265" i="1" s="1"/>
  <c r="A266" i="1" s="1"/>
  <c r="I261" i="1"/>
  <c r="A200" i="1"/>
  <c r="A201" i="1" s="1"/>
  <c r="A202" i="1" s="1"/>
  <c r="A203" i="1" s="1"/>
  <c r="I199" i="1"/>
  <c r="A404" i="1"/>
  <c r="A405" i="1" s="1"/>
  <c r="I403" i="1"/>
  <c r="A255" i="1"/>
  <c r="A256" i="1" s="1"/>
  <c r="A257" i="1" s="1"/>
  <c r="A258" i="1" s="1"/>
  <c r="A259" i="1" s="1"/>
  <c r="I254" i="1"/>
  <c r="A194" i="1"/>
  <c r="A195" i="1" s="1"/>
  <c r="A196" i="1" s="1"/>
  <c r="A197" i="1" s="1"/>
  <c r="I193" i="1"/>
  <c r="G401" i="1"/>
  <c r="A400" i="1"/>
  <c r="A401" i="1" s="1"/>
  <c r="I399" i="1"/>
  <c r="A334" i="1"/>
  <c r="A335" i="1" s="1"/>
  <c r="A336" i="1" s="1"/>
  <c r="A337" i="1" s="1"/>
  <c r="A338" i="1" s="1"/>
  <c r="A339" i="1" s="1"/>
  <c r="A340" i="1" s="1"/>
  <c r="I333" i="1"/>
  <c r="A248" i="1"/>
  <c r="A249" i="1" s="1"/>
  <c r="A250" i="1" s="1"/>
  <c r="A251" i="1" s="1"/>
  <c r="A252" i="1" s="1"/>
  <c r="I247" i="1"/>
  <c r="I306" i="1"/>
  <c r="G306" i="1"/>
  <c r="G190" i="1"/>
  <c r="A188" i="1"/>
  <c r="A189" i="1" s="1"/>
  <c r="A190" i="1" s="1"/>
  <c r="A191" i="1" s="1"/>
  <c r="I187" i="1"/>
  <c r="A396" i="1"/>
  <c r="A397" i="1" s="1"/>
  <c r="I395" i="1"/>
  <c r="G302" i="1"/>
  <c r="A298" i="1"/>
  <c r="A299" i="1" s="1"/>
  <c r="A300" i="1" s="1"/>
  <c r="A301" i="1" s="1"/>
  <c r="A302" i="1" s="1"/>
  <c r="A303" i="1" s="1"/>
  <c r="A304" i="1" s="1"/>
  <c r="I297" i="1"/>
  <c r="I240" i="1"/>
  <c r="A241" i="1"/>
  <c r="A242" i="1" s="1"/>
  <c r="A243" i="1" s="1"/>
  <c r="A244" i="1" s="1"/>
  <c r="A245" i="1" s="1"/>
  <c r="A182" i="1"/>
  <c r="A183" i="1" s="1"/>
  <c r="A184" i="1" s="1"/>
  <c r="A185" i="1" s="1"/>
  <c r="G166" i="1"/>
  <c r="I162" i="1"/>
  <c r="I391" i="1"/>
  <c r="I233" i="1"/>
  <c r="K160" i="1"/>
  <c r="K156" i="1"/>
  <c r="I181" i="1"/>
  <c r="I175" i="1"/>
  <c r="I157" i="1"/>
  <c r="A392" i="1"/>
  <c r="A393" i="1" s="1"/>
  <c r="A307" i="1"/>
  <c r="A308" i="1" s="1"/>
  <c r="A309" i="1" s="1"/>
  <c r="A310" i="1" s="1"/>
  <c r="A311" i="1" s="1"/>
  <c r="A312" i="1" s="1"/>
  <c r="A313" i="1" s="1"/>
  <c r="A234" i="1"/>
  <c r="A235" i="1" s="1"/>
  <c r="A236" i="1" s="1"/>
  <c r="A237" i="1" s="1"/>
  <c r="A238" i="1" s="1"/>
  <c r="A176" i="1"/>
  <c r="A177" i="1" s="1"/>
  <c r="A178" i="1" s="1"/>
  <c r="A179" i="1" s="1"/>
  <c r="A158" i="1"/>
  <c r="A159" i="1" s="1"/>
  <c r="A160" i="1" s="1"/>
  <c r="C101" i="1"/>
  <c r="C115" i="1"/>
  <c r="C76" i="1"/>
  <c r="C60" i="1"/>
  <c r="C144" i="1" l="1"/>
  <c r="G144" i="1"/>
  <c r="G143" i="1"/>
  <c r="C143" i="1"/>
  <c r="D143" i="1"/>
  <c r="D146" i="1" s="1"/>
  <c r="D144" i="1"/>
  <c r="G145" i="1"/>
  <c r="C139" i="1"/>
  <c r="D145" i="1"/>
  <c r="C145" i="1"/>
  <c r="C138" i="1"/>
  <c r="C137" i="1"/>
  <c r="G138" i="1"/>
  <c r="G139" i="1"/>
  <c r="G132" i="1"/>
  <c r="G133" i="1"/>
  <c r="G137" i="1"/>
  <c r="D139" i="1"/>
  <c r="D137" i="1"/>
  <c r="D138" i="1"/>
  <c r="C133" i="1"/>
  <c r="D133" i="1"/>
  <c r="D132" i="1"/>
  <c r="C132" i="1"/>
  <c r="D134" i="1" l="1"/>
  <c r="C140" i="1"/>
  <c r="G134" i="1"/>
  <c r="G146" i="1"/>
  <c r="G140" i="1"/>
  <c r="C146" i="1"/>
  <c r="D140" i="1"/>
  <c r="D147" i="1" s="1"/>
  <c r="C134" i="1"/>
  <c r="G147" i="1" l="1"/>
  <c r="C147" i="1"/>
  <c r="F41" i="1" l="1"/>
  <c r="C117" i="1" l="1"/>
  <c r="C62" i="1"/>
  <c r="F3" i="1" l="1"/>
  <c r="L110" i="1"/>
  <c r="L109" i="1"/>
  <c r="L108" i="1"/>
  <c r="L107" i="1"/>
  <c r="L96" i="1"/>
  <c r="L95" i="1"/>
  <c r="L94" i="1"/>
  <c r="L93" i="1"/>
  <c r="L87" i="1"/>
  <c r="L86" i="1"/>
  <c r="L85" i="1"/>
  <c r="L84" i="1"/>
  <c r="L73" i="1"/>
  <c r="L72" i="1"/>
  <c r="L71" i="1"/>
  <c r="L70" i="1"/>
  <c r="I102" i="1"/>
  <c r="I116" i="1"/>
  <c r="I77" i="1"/>
  <c r="I61" i="1"/>
  <c r="C107" i="1" l="1"/>
  <c r="D107" i="1" s="1"/>
  <c r="L103" i="1"/>
  <c r="D113" i="1"/>
  <c r="D109" i="1"/>
  <c r="D114" i="1"/>
  <c r="D112" i="1"/>
  <c r="D110" i="1"/>
  <c r="D108" i="1"/>
  <c r="L104" i="1"/>
  <c r="C105" i="1" s="1"/>
  <c r="D105" i="1" s="1"/>
  <c r="L102" i="1"/>
  <c r="L105" i="1"/>
  <c r="L106" i="1" s="1"/>
  <c r="L111" i="1" s="1"/>
  <c r="L112" i="1" s="1"/>
  <c r="C106" i="1" s="1"/>
  <c r="D111" i="1"/>
  <c r="C93" i="1"/>
  <c r="D93" i="1" s="1"/>
  <c r="D100" i="1"/>
  <c r="D98" i="1"/>
  <c r="D96" i="1"/>
  <c r="D94" i="1"/>
  <c r="L90" i="1"/>
  <c r="C91" i="1" s="1"/>
  <c r="D91" i="1" s="1"/>
  <c r="L119" i="1"/>
  <c r="D99" i="1"/>
  <c r="D95" i="1"/>
  <c r="L91" i="1"/>
  <c r="L92" i="1" s="1"/>
  <c r="L97" i="1" s="1"/>
  <c r="L98" i="1" s="1"/>
  <c r="C92" i="1" s="1"/>
  <c r="D97" i="1"/>
  <c r="D82" i="1"/>
  <c r="L80" i="1"/>
  <c r="D89" i="1"/>
  <c r="D87" i="1"/>
  <c r="D85" i="1"/>
  <c r="D83" i="1"/>
  <c r="L81" i="1"/>
  <c r="C80" i="1" s="1"/>
  <c r="D80" i="1" s="1"/>
  <c r="L79" i="1"/>
  <c r="L82" i="1"/>
  <c r="L83" i="1" s="1"/>
  <c r="L88" i="1" s="1"/>
  <c r="L89" i="1" s="1"/>
  <c r="C81" i="1" s="1"/>
  <c r="D86" i="1"/>
  <c r="D88" i="1"/>
  <c r="D84" i="1"/>
  <c r="C68" i="1"/>
  <c r="D68" i="1" s="1"/>
  <c r="L66" i="1"/>
  <c r="D75" i="1"/>
  <c r="D73" i="1"/>
  <c r="D71" i="1"/>
  <c r="D69" i="1"/>
  <c r="L67" i="1"/>
  <c r="C66" i="1" s="1"/>
  <c r="D66" i="1" s="1"/>
  <c r="L65" i="1"/>
  <c r="L68" i="1"/>
  <c r="L69" i="1" s="1"/>
  <c r="L74" i="1" s="1"/>
  <c r="L75" i="1" s="1"/>
  <c r="C67" i="1" s="1"/>
  <c r="D74" i="1"/>
  <c r="D72" i="1"/>
  <c r="D70" i="1"/>
  <c r="G15" i="17"/>
  <c r="G16" i="17" s="1"/>
  <c r="C15" i="17" s="1"/>
  <c r="B15" i="17"/>
  <c r="B7" i="17"/>
  <c r="H16" i="17" s="1"/>
  <c r="C16" i="17" s="1"/>
  <c r="D6" i="17"/>
  <c r="C5" i="17"/>
  <c r="B10" i="17" s="1"/>
  <c r="G15" i="16"/>
  <c r="G16" i="16" s="1"/>
  <c r="C15" i="16" s="1"/>
  <c r="C7" i="16"/>
  <c r="B7" i="16"/>
  <c r="D6" i="16"/>
  <c r="C5" i="16"/>
  <c r="B10" i="16" s="1"/>
  <c r="C7" i="14"/>
  <c r="G15" i="18"/>
  <c r="G16" i="18" s="1"/>
  <c r="C15" i="18" s="1"/>
  <c r="B7" i="18"/>
  <c r="H16" i="18" s="1"/>
  <c r="C16" i="18" s="1"/>
  <c r="D6" i="18"/>
  <c r="C5" i="18"/>
  <c r="B11" i="18" s="1"/>
  <c r="C9" i="14"/>
  <c r="F7" i="1"/>
  <c r="D440" i="1"/>
  <c r="G15" i="14"/>
  <c r="B15" i="14" s="1"/>
  <c r="B7" i="14"/>
  <c r="D6" i="14"/>
  <c r="C5" i="14"/>
  <c r="B10" i="14" s="1"/>
  <c r="B12" i="14"/>
  <c r="M15" i="14" s="1"/>
  <c r="B21" i="14" s="1"/>
  <c r="D50" i="1"/>
  <c r="D52" i="1"/>
  <c r="G129" i="1"/>
  <c r="B8" i="14"/>
  <c r="D8" i="14" s="1"/>
  <c r="B11" i="14"/>
  <c r="L15" i="14" s="1"/>
  <c r="B20" i="14" s="1"/>
  <c r="I16" i="14"/>
  <c r="C17" i="14" s="1"/>
  <c r="D12" i="14"/>
  <c r="D7" i="16"/>
  <c r="B9" i="14"/>
  <c r="D9" i="14" s="1"/>
  <c r="H15" i="17" l="1"/>
  <c r="B16" i="17" s="1"/>
  <c r="H15" i="18"/>
  <c r="B16" i="18" s="1"/>
  <c r="M16" i="14"/>
  <c r="C21" i="14" s="1"/>
  <c r="H16" i="16"/>
  <c r="C16" i="16" s="1"/>
  <c r="B12" i="18"/>
  <c r="M15" i="18" s="1"/>
  <c r="B21" i="18" s="1"/>
  <c r="L16" i="14"/>
  <c r="C20" i="14" s="1"/>
  <c r="G16" i="14"/>
  <c r="C15" i="14" s="1"/>
  <c r="D7" i="14"/>
  <c r="B12" i="16"/>
  <c r="M15" i="16" s="1"/>
  <c r="B21" i="16" s="1"/>
  <c r="D7" i="17"/>
  <c r="J15" i="14"/>
  <c r="B18" i="14" s="1"/>
  <c r="B15" i="16"/>
  <c r="I15" i="14"/>
  <c r="B17" i="14" s="1"/>
  <c r="H16" i="14"/>
  <c r="C16" i="14" s="1"/>
  <c r="J16" i="14"/>
  <c r="C18" i="14" s="1"/>
  <c r="C22" i="14" s="1"/>
  <c r="B11" i="16"/>
  <c r="D7" i="18"/>
  <c r="B9" i="16"/>
  <c r="H15" i="16"/>
  <c r="B16" i="16" s="1"/>
  <c r="K16" i="14"/>
  <c r="C19" i="14" s="1"/>
  <c r="D10" i="14"/>
  <c r="K15" i="14"/>
  <c r="B19" i="14" s="1"/>
  <c r="D10" i="17"/>
  <c r="K16" i="17"/>
  <c r="C19" i="17" s="1"/>
  <c r="K15" i="17"/>
  <c r="B19" i="17" s="1"/>
  <c r="D11" i="18"/>
  <c r="L16" i="18"/>
  <c r="C20" i="18" s="1"/>
  <c r="L15" i="18"/>
  <c r="B20" i="18" s="1"/>
  <c r="K16" i="16"/>
  <c r="C19" i="16" s="1"/>
  <c r="D10" i="16"/>
  <c r="K15" i="16"/>
  <c r="B19" i="16" s="1"/>
  <c r="M16" i="18"/>
  <c r="C21" i="18" s="1"/>
  <c r="B9" i="17"/>
  <c r="B10" i="18"/>
  <c r="B8" i="18"/>
  <c r="D12" i="18"/>
  <c r="D11" i="14"/>
  <c r="H15" i="14"/>
  <c r="B16" i="14" s="1"/>
  <c r="B11" i="17"/>
  <c r="B8" i="17"/>
  <c r="B15" i="18"/>
  <c r="J15" i="16"/>
  <c r="B18" i="16" s="1"/>
  <c r="B9" i="18"/>
  <c r="B8" i="16"/>
  <c r="B12" i="17"/>
  <c r="F105" i="1"/>
  <c r="K99" i="1" s="1"/>
  <c r="C103" i="1" s="1"/>
  <c r="D106" i="1"/>
  <c r="H105" i="1"/>
  <c r="F91" i="1"/>
  <c r="K115" i="1" s="1"/>
  <c r="D92" i="1"/>
  <c r="H91" i="1"/>
  <c r="F80" i="1"/>
  <c r="K76" i="1" s="1"/>
  <c r="C78" i="1" s="1"/>
  <c r="D81" i="1"/>
  <c r="H80" i="1"/>
  <c r="F66" i="1"/>
  <c r="K60" i="1" s="1"/>
  <c r="D67" i="1"/>
  <c r="H66" i="1"/>
  <c r="M16" i="16" l="1"/>
  <c r="C21" i="16" s="1"/>
  <c r="D12" i="16"/>
  <c r="J16" i="16"/>
  <c r="C18" i="16" s="1"/>
  <c r="D9" i="16"/>
  <c r="L16" i="16"/>
  <c r="C20" i="16" s="1"/>
  <c r="D11" i="16"/>
  <c r="L15" i="16"/>
  <c r="B20" i="16" s="1"/>
  <c r="B22" i="14"/>
  <c r="M16" i="17"/>
  <c r="C21" i="17" s="1"/>
  <c r="M15" i="17"/>
  <c r="B21" i="17" s="1"/>
  <c r="D12" i="17"/>
  <c r="D10" i="18"/>
  <c r="K16" i="18"/>
  <c r="C19" i="18" s="1"/>
  <c r="K15" i="18"/>
  <c r="B19" i="18" s="1"/>
  <c r="I16" i="16"/>
  <c r="C17" i="16" s="1"/>
  <c r="I15" i="16"/>
  <c r="B17" i="16" s="1"/>
  <c r="B22" i="16" s="1"/>
  <c r="D8" i="16"/>
  <c r="I15" i="17"/>
  <c r="B17" i="17" s="1"/>
  <c r="D8" i="17"/>
  <c r="I16" i="17"/>
  <c r="C17" i="17" s="1"/>
  <c r="I15" i="18"/>
  <c r="B17" i="18" s="1"/>
  <c r="I16" i="18"/>
  <c r="C17" i="18" s="1"/>
  <c r="D8" i="18"/>
  <c r="J16" i="18"/>
  <c r="C18" i="18" s="1"/>
  <c r="D9" i="18"/>
  <c r="J15" i="18"/>
  <c r="B18" i="18" s="1"/>
  <c r="L16" i="17"/>
  <c r="C20" i="17" s="1"/>
  <c r="D11" i="17"/>
  <c r="L15" i="17"/>
  <c r="B20" i="17" s="1"/>
  <c r="J15" i="17"/>
  <c r="B18" i="17" s="1"/>
  <c r="D9" i="17"/>
  <c r="J16" i="17"/>
  <c r="C18" i="17" s="1"/>
  <c r="B22" i="18" l="1"/>
  <c r="C22" i="16"/>
  <c r="C22" i="18"/>
  <c r="B22" i="17"/>
  <c r="C22" i="17"/>
  <c r="F42" i="1"/>
</calcChain>
</file>

<file path=xl/sharedStrings.xml><?xml version="1.0" encoding="utf-8"?>
<sst xmlns="http://schemas.openxmlformats.org/spreadsheetml/2006/main" count="1232" uniqueCount="269">
  <si>
    <t>Date:</t>
  </si>
  <si>
    <t>CPC Name:</t>
  </si>
  <si>
    <t>Date Of Property Visit</t>
  </si>
  <si>
    <t>Name of the builder group</t>
  </si>
  <si>
    <t>Name of the builder company</t>
  </si>
  <si>
    <t>Name of the Project</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</si>
  <si>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</si>
  <si>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</si>
  <si>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</si>
  <si>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</si>
  <si>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</si>
  <si>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</si>
  <si>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</si>
  <si>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</si>
  <si>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</si>
  <si>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</si>
  <si>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</si>
  <si>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</si>
  <si>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</si>
  <si>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</si>
  <si>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</si>
  <si>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</si>
  <si>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</si>
  <si>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</si>
  <si>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</si>
  <si>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</si>
  <si>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</si>
  <si>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</si>
  <si>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</si>
  <si>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</si>
  <si>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</si>
  <si>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</si>
  <si>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</si>
  <si>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</si>
  <si>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</si>
  <si>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</si>
  <si>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</si>
  <si>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</si>
  <si>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Yes</t>
  </si>
  <si>
    <t>Type of Structure : RCC Framed Structure</t>
  </si>
  <si>
    <t>Approved usage of the Property: Residential                                                                                                                                                      (Restrictive convenants in regards to land use , if any)</t>
  </si>
  <si>
    <t>Quality of construction: Good</t>
  </si>
  <si>
    <t>Violations Observed if any : NA</t>
  </si>
  <si>
    <t>South</t>
  </si>
  <si>
    <t xml:space="preserve">Distance from city centre: </t>
  </si>
  <si>
    <t>Plane</t>
  </si>
  <si>
    <t>Accessibility of the project from the city:(Proximities to civic amenities like school, hospital &amp; market,etc.)</t>
  </si>
  <si>
    <t>Projected life of the structure: 60 Years After Completion</t>
  </si>
  <si>
    <t>Material laying at Site: :Bricks, Cement &amp; Steel etc.</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</si>
  <si>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</si>
  <si>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</si>
  <si>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</si>
  <si>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</si>
  <si>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</si>
  <si>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</si>
  <si>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</si>
  <si>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</si>
  <si>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</si>
  <si>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</si>
  <si>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</si>
  <si>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 xml:space="preserve">Layout Approval No     </t>
  </si>
  <si>
    <t xml:space="preserve">Approval Detail : Plan approval </t>
  </si>
  <si>
    <t xml:space="preserve">Building plan approval No    </t>
  </si>
  <si>
    <t>Expected Completion</t>
  </si>
  <si>
    <t>Approved no of Floors</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</si>
  <si>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</si>
  <si>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</si>
  <si>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</si>
  <si>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Approved area of the building in Sq.Mt</t>
  </si>
  <si>
    <t>Recommended rate of the flat Per Sq. Ft. ( on Saleble area)</t>
  </si>
  <si>
    <t xml:space="preserve">Date of approval: </t>
  </si>
  <si>
    <t>4) Legal title of the property is not verified by us.</t>
  </si>
  <si>
    <t>5) Gross carpet area =  Net Carpet area + Fungible area.</t>
  </si>
  <si>
    <t>6) Fungible Area= Enclosed Balcony + Flower Bed + Covered Balcony + Service Slab + Duct + Chajja + Wheather Shed area.</t>
  </si>
  <si>
    <t>Particulars</t>
  </si>
  <si>
    <t>plinth</t>
  </si>
  <si>
    <t>slab</t>
  </si>
  <si>
    <t>rcc</t>
  </si>
  <si>
    <t>Bricks</t>
  </si>
  <si>
    <t>Wood &amp; painting</t>
  </si>
  <si>
    <t>Progress</t>
  </si>
  <si>
    <t xml:space="preserve">Bricks </t>
  </si>
  <si>
    <t xml:space="preserve">Recommended </t>
  </si>
  <si>
    <t>plaster</t>
  </si>
  <si>
    <t>Recommended</t>
  </si>
  <si>
    <t>total</t>
  </si>
  <si>
    <t>Google Map :</t>
  </si>
  <si>
    <t>Basement</t>
  </si>
  <si>
    <t>Podium</t>
  </si>
  <si>
    <t>Ground</t>
  </si>
  <si>
    <t>Upper Floor</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</si>
  <si>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</si>
  <si>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</si>
  <si>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</si>
  <si>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</si>
  <si>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</si>
  <si>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</si>
  <si>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</si>
  <si>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</si>
  <si>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</si>
  <si>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</si>
  <si>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</si>
  <si>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</si>
  <si>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</si>
  <si>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</si>
  <si>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</si>
  <si>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</si>
  <si>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</si>
  <si>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</si>
  <si>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</si>
  <si>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</si>
  <si>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</si>
  <si>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</si>
  <si>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</si>
  <si>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</si>
  <si>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</si>
  <si>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</si>
  <si>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RERA No.</t>
  </si>
  <si>
    <t>PHOTOGRAPHS OF PROPERTY :</t>
  </si>
  <si>
    <t>M/s. Trident Ozone LLP.</t>
  </si>
  <si>
    <t>Platinum Heights</t>
  </si>
  <si>
    <t>Name &amp; No. of the Building</t>
  </si>
  <si>
    <t>P51800006845</t>
  </si>
  <si>
    <t xml:space="preserve">Bhandup (W) </t>
  </si>
  <si>
    <t xml:space="preserve">Mumbai </t>
  </si>
  <si>
    <t>400 078</t>
  </si>
  <si>
    <t xml:space="preserve"> Slum </t>
  </si>
  <si>
    <t>Upper class</t>
  </si>
  <si>
    <t>Developed</t>
  </si>
  <si>
    <t>04 wings</t>
  </si>
  <si>
    <t>Floor rise rate</t>
  </si>
  <si>
    <t>proposed no of Floors</t>
  </si>
  <si>
    <t>50/- From 2nd Floor</t>
  </si>
  <si>
    <t>Recommended Car Parking (Subjected to authentic documnetation)</t>
  </si>
  <si>
    <t>About 1.5 Km Distance From Bhandup Railway Station</t>
  </si>
  <si>
    <t>Shivram Park</t>
  </si>
  <si>
    <t>Kurla</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</si>
  <si>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</si>
  <si>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</si>
  <si>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</si>
  <si>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</si>
  <si>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</si>
  <si>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</si>
  <si>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</si>
  <si>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</si>
  <si>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</si>
  <si>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</si>
  <si>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</si>
  <si>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</si>
  <si>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</si>
  <si>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</si>
  <si>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</si>
  <si>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</si>
  <si>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</si>
  <si>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</si>
  <si>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</si>
  <si>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</si>
  <si>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</si>
  <si>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</si>
  <si>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</si>
  <si>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</si>
  <si>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Location Link</t>
  </si>
  <si>
    <t>https://goo.gl/maps/1ThAJTXf5rJDChTy7</t>
  </si>
  <si>
    <t>Office No. 1031, Wing J, Akshar Business Park, Plot No. 03 Sector 25, Near APMC Market,
Vashi, Navi Mumbai, Maharashtra 400703 TEL: 022-46090378/79/80                                                                                                     Email : vsjcapf@gmail.com. Web site : www.vsjadon.com</t>
  </si>
  <si>
    <t>Contact Details ( Name &amp; Contact No.)</t>
  </si>
  <si>
    <t>Documents Provided</t>
  </si>
  <si>
    <t>SRA/ENG/3171/S/PL &amp; STGL/AP
Full OCC to Wing A (Sale), Part OCC to Wing C(Rehab) &amp; Part OCC to Wing D (Rahab + Sale)</t>
  </si>
  <si>
    <t xml:space="preserve">O. Certificate No.: 
Valid For : </t>
  </si>
  <si>
    <t>Axis Thane</t>
  </si>
  <si>
    <t>Site Person - Contact Details (Name &amp; Contact No.)</t>
  </si>
  <si>
    <t xml:space="preserve"> 30/12/2025</t>
  </si>
  <si>
    <t>19.146455,72.927151</t>
  </si>
  <si>
    <t>As per Layout</t>
  </si>
  <si>
    <t>Other Plot</t>
  </si>
  <si>
    <t>Laxmi Narayan SRA Co Op Society</t>
  </si>
  <si>
    <t>Layout:</t>
  </si>
  <si>
    <t xml:space="preserve"> </t>
  </si>
  <si>
    <t>Open Nalla</t>
  </si>
  <si>
    <t>Name / No of the Existing Building</t>
  </si>
  <si>
    <t>Total Permissible Builtup area of the project in Sq. Mt.</t>
  </si>
  <si>
    <t>SRA/ENG/3171/S/PL &amp; STGL/AP</t>
  </si>
  <si>
    <t>Sale Wing A &amp; B
Rehab Wing C
(Sale + Rehab) Wing D</t>
  </si>
  <si>
    <t>Building &amp; Wing</t>
  </si>
  <si>
    <t>No. of Units</t>
  </si>
  <si>
    <t>Total Carpet Area</t>
  </si>
  <si>
    <t>Total Saleable Area</t>
  </si>
  <si>
    <t>Residential Area Details :</t>
  </si>
  <si>
    <t>Building details Floor Wise</t>
  </si>
  <si>
    <t>Description</t>
  </si>
  <si>
    <t>Gross Carpet area</t>
  </si>
  <si>
    <t>Attached Terrace area</t>
  </si>
  <si>
    <t>PLC Y/N</t>
  </si>
  <si>
    <t>Floor</t>
  </si>
  <si>
    <t>1BHK</t>
  </si>
  <si>
    <t>N</t>
  </si>
  <si>
    <t>2BHK</t>
  </si>
  <si>
    <t>Saleable area Loading :</t>
  </si>
  <si>
    <t xml:space="preserve">Sale Wing A </t>
  </si>
  <si>
    <t>Basement Floor For Service Area, Pump Room, Domestic &amp; Flushing Water Tank</t>
  </si>
  <si>
    <t>Sale Wing B</t>
  </si>
  <si>
    <t>Rehab Wing C</t>
  </si>
  <si>
    <t>Basement Floor For Service Area (Pump Room), Domestic &amp; Flushing Water Tank</t>
  </si>
  <si>
    <t>Basement Floor For Domestic Water &amp; Rainwater Harvesting Tank</t>
  </si>
  <si>
    <t>Sale Wing D</t>
  </si>
  <si>
    <t>(Sale + Rehab) Wing D</t>
  </si>
  <si>
    <t>check wing D</t>
  </si>
  <si>
    <t>Lower Ground Floor For Electric Meter Room &amp; Parking</t>
  </si>
  <si>
    <t>Lower Ground Floor For Parking</t>
  </si>
  <si>
    <t xml:space="preserve">Sale Wing A = B + LW Gr + Gr/P1 + 1st to 22nd Floor
</t>
  </si>
  <si>
    <t xml:space="preserve">Sale Wing B = B + LW Gr + Gr/P1 + 1st to 22nd Floor
</t>
  </si>
  <si>
    <t>Rehab Wing C = B + LW Gr + Gr/P1 + 1st to 22nd Floor</t>
  </si>
  <si>
    <t>(Sale + Rehab) Wing D = B + LW Gr + Gr/P1 + 1st to 22nd Floor</t>
  </si>
  <si>
    <t>Ground/Podium Floor For Parking</t>
  </si>
  <si>
    <t>Ground/Podium Floor For Commercial &amp; Parking</t>
  </si>
  <si>
    <t xml:space="preserve">Details of Residential &amp; Commercials in Building      </t>
  </si>
  <si>
    <t>1st Floor For Residential &amp; (Part Gent Fitness Center Area)</t>
  </si>
  <si>
    <t>1st Floor For Residential &amp; (Part Ladies Fitness Center &amp; Society Office Area)</t>
  </si>
  <si>
    <t>Society Office Area</t>
  </si>
  <si>
    <t>Business Office</t>
  </si>
  <si>
    <t>1st Floor For Commercial, Balwadi, Society Office &amp; Welfare Center</t>
  </si>
  <si>
    <t>1st Floor For Residential</t>
  </si>
  <si>
    <t>1RK</t>
  </si>
  <si>
    <t>Sale/Rehab
 Shop/Office No.</t>
  </si>
  <si>
    <t>Sale</t>
  </si>
  <si>
    <t>Rehab</t>
  </si>
  <si>
    <t>2nd Floor</t>
  </si>
  <si>
    <t>Amenity 2</t>
  </si>
  <si>
    <t>Amenity 1</t>
  </si>
  <si>
    <t>3rd to 7th Floor</t>
  </si>
  <si>
    <t>2nd Floor For Residential</t>
  </si>
  <si>
    <t>8th Floor (Part Refuge Area)</t>
  </si>
  <si>
    <t>Refuge Area</t>
  </si>
  <si>
    <t xml:space="preserve"> Refuge Area</t>
  </si>
  <si>
    <t>9th Floor</t>
  </si>
  <si>
    <t>10th Floor</t>
  </si>
  <si>
    <t>11th &amp; 12th Floor</t>
  </si>
  <si>
    <t>13th, 14th &amp; 16th to 22nd Floor</t>
  </si>
  <si>
    <t>15th Floor (Part Refuge Area)</t>
  </si>
  <si>
    <t>Total</t>
  </si>
  <si>
    <t>Commercial Area Details : (Rehab Wing C)</t>
  </si>
  <si>
    <t xml:space="preserve">Sale Wing B </t>
  </si>
  <si>
    <t>Residential Area Details : (Sale Flat)</t>
  </si>
  <si>
    <t>Residential Area Details : (Rehab &amp; PAP Flat)</t>
  </si>
  <si>
    <t>Grand Total</t>
  </si>
  <si>
    <t>Rehab Flat</t>
  </si>
  <si>
    <t>PAP Flat</t>
  </si>
  <si>
    <t>5th Floor</t>
  </si>
  <si>
    <t>6th &amp; 7th Floor</t>
  </si>
  <si>
    <t>PAP</t>
  </si>
  <si>
    <t>3rd &amp; 4th Floor</t>
  </si>
  <si>
    <t>NA</t>
  </si>
  <si>
    <t xml:space="preserve">Approved no of units </t>
  </si>
  <si>
    <t>6. We have received an Approved Floor Plans Sheet No 9 of 15 &amp; CC (dtd 22/02/2022). Please provide Approved layout, Remaining Floor plan, Revised CC (if available) to proceed for updating APF Report.</t>
  </si>
  <si>
    <t>Approved plans, CC &amp; OC</t>
  </si>
  <si>
    <t>CTS No 189 (Pt), 190, Survey No.118, Hissa No.1</t>
  </si>
  <si>
    <t>Village</t>
  </si>
  <si>
    <t>Kanjur</t>
  </si>
  <si>
    <t>Jamil Nagar Road</t>
  </si>
  <si>
    <t xml:space="preserve">Platinum Heights, Near Shivram Park, Utkarsh Nagar Road, Gadhav Naka,Village Kanjur, Bhandup (W), Mumbai - 400078. </t>
  </si>
  <si>
    <t>Sale Wing A &amp; B = B + LW Gr + Gr/P1 + 1st to 22nd Floor
Rehab Wing C = B + LW Gr + Gr/P1 + 1st to 22nd Floor
(Sale + Rehab) Wing D = LW Gr/P1 + Gr + 1st to 22nd Floor</t>
  </si>
  <si>
    <t xml:space="preserve">C.certificate No  
Valid Up to: </t>
  </si>
  <si>
    <t>SRA/ENG/3171/S/PL&amp; STGL/AP  
This C.C is re-endorsed as per amended plans approved dated 22/02/2022 of Composite Building u/r.</t>
  </si>
  <si>
    <t>Fitness Center Area</t>
  </si>
  <si>
    <t xml:space="preserve"> Fitness Center Area</t>
  </si>
  <si>
    <t>Commercial</t>
  </si>
  <si>
    <t xml:space="preserve">Sale Flat = 275
Sale Business Office = 4
Rehab Flat = 138
PAP Flat = 44 
Rehab Commercial =  5
</t>
  </si>
  <si>
    <t xml:space="preserve">Flat No.
Sale/Rehab
</t>
  </si>
  <si>
    <t>Recommended rate of the Business Office Per Sq. Ft. ( on Saleble area)</t>
  </si>
  <si>
    <t>Remarks:  
1. Wing A &amp; C =  All work completed. OC Received.    
    Wing D = Construction work Same as last visit on 25/11/2023.    
    Wing B = Construction work was in process at the time of visit. Internal photo was not allowed.
2. We have considered Saleable area of Flats as per our Calculation.
3. We have considered rate by verifying it from market inquire.
4. We considered Gross carpet area = Net carpet + E.F  Area.
5. We have considered saleble area as per our calculation.
6. Car parking is subjected to authentic documentation.
7. We have updated approved Plans &amp; OC on 12/04/2024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</si>
</sst>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Calibri"/>
      <family val="2"/>
    </font>
    <font>
      <b/>
      <sz val="11"/>
      <name val="Times New Roman"/>
      <family val="1"/>
    </font>
    <font>
      <sz val="11"/>
      <name val="Times New Roman"/>
      <family val="1"/>
    </font>
    <font>
      <b/>
      <sz val="11"/>
      <color theme="1"/>
      <name val="Times New Roman"/>
      <family val="1"/>
    </font>
    <font>
      <sz val="11"/>
      <color rgb="FF000000"/>
      <name val="Times New Roman"/>
      <family val="1"/>
    </font>
    <font>
      <b/>
      <sz val="11"/>
      <color rgb="FF000000"/>
      <name val="Times New Roman"/>
      <family val="1"/>
    </font>
    <font>
      <sz val="11"/>
      <color theme="1"/>
      <name val="Times New Roman"/>
      <family val="1"/>
    </font>
    <font>
      <sz val="11"/>
      <color theme="1"/>
      <name val="Calibri"/>
      <family val="2"/>
      <scheme val="minor"/>
    </font>
    <font>
      <sz val="12"/>
      <color theme="1"/>
      <name val="Times New Roman"/>
      <family val="1"/>
    </font>
    <font>
      <sz val="12"/>
      <name val="Times New Roman"/>
      <family val="1"/>
    </font>
    <font>
      <b/>
      <sz val="12"/>
      <name val="Times New Roman"/>
      <family val="1"/>
    </font>
    <font>
      <u/>
      <sz val="11"/>
      <color theme="10"/>
      <name val="Calibri"/>
      <family val="2"/>
      <scheme val="minor"/>
    </font>
    <font>
      <sz val="11"/>
      <color rgb="FFFF0000"/>
      <name val="Times New Roman"/>
      <family val="1"/>
    </font>
    <font>
      <b/>
      <sz val="11"/>
      <color rgb="FFFF0000"/>
      <name val="Times New Roman"/>
      <family val="1"/>
    </font>
    <font>
      <b/>
      <sz val="12"/>
      <color indexed="8"/>
      <name val="Times New Roman"/>
      <family val="1"/>
    </font>
    <font>
      <b/>
      <sz val="12"/>
      <color theme="1"/>
      <name val="Times New Roman"/>
      <family val="1"/>
    </font>
    <font>
      <sz val="12"/>
      <color indexed="8"/>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5">
    <xf numFmtId="0" fontId="0" fillId="0" borderId="0"/>
    <xf numFmtId="0" fontId="1" fillId="0" borderId="0"/>
    <xf numFmtId="9" fontId="4" fillId="0" borderId="0" applyFont="0" applyFill="0" applyBorder="0" applyAlignment="0" applyProtection="0"/>
    <xf numFmtId="0" fontId="11" fillId="0" borderId="0"/>
    <xf numFmtId="0" fontId="15" fillId="0" borderId="0" applyNumberFormat="0" applyFill="0" applyBorder="0" applyAlignment="0" applyProtection="0"/>
  </cellStyleXfs>
  <cellXfs count="262">
    <xf numFmtId="0" fontId="0" fillId="0" borderId="0" xfId="0"/>
    <xf numFmtId="0" fontId="3" fillId="0" borderId="1" xfId="0" applyFont="1" applyBorder="1" applyAlignment="1">
      <alignment vertical="top"/>
    </xf>
    <xf numFmtId="0" fontId="3" fillId="0" borderId="2" xfId="0" applyFont="1" applyBorder="1" applyAlignment="1">
      <alignment vertical="top"/>
    </xf>
    <xf numFmtId="0" fontId="3" fillId="2" borderId="2" xfId="0" applyFont="1" applyFill="1" applyBorder="1" applyAlignment="1">
      <alignment vertical="top"/>
    </xf>
    <xf numFmtId="0" fontId="7" fillId="0" borderId="0" xfId="0" applyFont="1"/>
    <xf numFmtId="0" fontId="3" fillId="0" borderId="3" xfId="0" applyFont="1" applyBorder="1" applyAlignment="1">
      <alignment vertical="top"/>
    </xf>
    <xf numFmtId="0" fontId="8" fillId="0" borderId="2" xfId="0" applyFont="1" applyBorder="1"/>
    <xf numFmtId="0" fontId="8" fillId="0" borderId="0" xfId="0" applyFont="1"/>
    <xf numFmtId="0" fontId="8" fillId="3" borderId="2" xfId="0" applyFont="1" applyFill="1" applyBorder="1"/>
    <xf numFmtId="0" fontId="7" fillId="0" borderId="2" xfId="0" applyFont="1" applyBorder="1" applyAlignment="1">
      <alignment horizontal="center"/>
    </xf>
    <xf numFmtId="0" fontId="7" fillId="0" borderId="0" xfId="0" applyFont="1" applyAlignment="1">
      <alignment horizontal="center"/>
    </xf>
    <xf numFmtId="0" fontId="8" fillId="0" borderId="2" xfId="0" applyFont="1" applyBorder="1" applyAlignment="1">
      <alignment horizontal="center"/>
    </xf>
    <xf numFmtId="0" fontId="8" fillId="3" borderId="2" xfId="0" applyFont="1" applyFill="1" applyBorder="1" applyAlignment="1">
      <alignment horizontal="center"/>
    </xf>
    <xf numFmtId="9" fontId="8" fillId="0" borderId="0" xfId="2" applyFont="1" applyBorder="1"/>
    <xf numFmtId="0" fontId="9" fillId="0" borderId="2" xfId="0" applyFont="1" applyBorder="1" applyAlignment="1">
      <alignment horizontal="center"/>
    </xf>
    <xf numFmtId="0" fontId="8" fillId="0" borderId="0" xfId="0" applyFont="1" applyAlignment="1">
      <alignment horizontal="right"/>
    </xf>
    <xf numFmtId="0" fontId="8" fillId="0" borderId="0" xfId="0" applyFont="1" applyAlignment="1">
      <alignment wrapText="1"/>
    </xf>
    <xf numFmtId="0" fontId="8" fillId="0" borderId="4" xfId="0" applyFont="1" applyBorder="1"/>
    <xf numFmtId="0" fontId="8" fillId="0" borderId="2" xfId="0" applyFont="1" applyBorder="1" applyAlignment="1">
      <alignment wrapText="1"/>
    </xf>
    <xf numFmtId="9" fontId="8" fillId="0" borderId="2" xfId="2" applyFont="1" applyBorder="1"/>
    <xf numFmtId="9" fontId="8" fillId="0" borderId="0" xfId="0" applyNumberFormat="1" applyFont="1"/>
    <xf numFmtId="0" fontId="10" fillId="0" borderId="0" xfId="0" applyFont="1"/>
    <xf numFmtId="0" fontId="3" fillId="0" borderId="0" xfId="1" applyFont="1"/>
    <xf numFmtId="0" fontId="12" fillId="0" borderId="0" xfId="3" applyFont="1" applyProtection="1">
      <protection hidden="1"/>
    </xf>
    <xf numFmtId="0" fontId="8" fillId="0" borderId="0" xfId="0" applyFont="1" applyProtection="1">
      <protection hidden="1"/>
    </xf>
    <xf numFmtId="0" fontId="12" fillId="0" borderId="0" xfId="3" applyFont="1"/>
    <xf numFmtId="1" fontId="0" fillId="0" borderId="0" xfId="0" applyNumberFormat="1"/>
    <xf numFmtId="1" fontId="0" fillId="0" borderId="0" xfId="0" applyNumberFormat="1" applyAlignment="1">
      <alignment horizontal="right"/>
    </xf>
    <xf numFmtId="0" fontId="13" fillId="0" borderId="2" xfId="3" applyFont="1" applyBorder="1" applyAlignment="1" applyProtection="1">
      <alignment horizontal="center" wrapText="1"/>
      <protection locked="0"/>
    </xf>
    <xf numFmtId="1" fontId="13" fillId="0" borderId="2" xfId="3" applyNumberFormat="1" applyFont="1" applyBorder="1" applyAlignment="1" applyProtection="1">
      <alignment horizontal="center" wrapText="1"/>
      <protection locked="0"/>
    </xf>
    <xf numFmtId="0" fontId="13" fillId="0" borderId="2" xfId="3" applyFont="1" applyBorder="1" applyAlignment="1" applyProtection="1">
      <alignment horizontal="center" vertical="top"/>
      <protection locked="0"/>
    </xf>
    <xf numFmtId="0" fontId="13" fillId="0" borderId="2" xfId="3" applyFont="1" applyBorder="1" applyAlignment="1" applyProtection="1">
      <alignment horizontal="center" vertical="top" wrapText="1"/>
      <protection locked="0"/>
    </xf>
    <xf numFmtId="0" fontId="13" fillId="0" borderId="17" xfId="3" applyFont="1" applyBorder="1" applyAlignment="1" applyProtection="1">
      <alignment horizontal="center" vertical="top"/>
      <protection locked="0"/>
    </xf>
    <xf numFmtId="0" fontId="13" fillId="0" borderId="20" xfId="3" applyFont="1" applyBorder="1" applyAlignment="1" applyProtection="1">
      <alignment horizontal="center" wrapText="1"/>
      <protection locked="0"/>
    </xf>
    <xf numFmtId="0" fontId="7" fillId="0" borderId="0" xfId="0" applyFont="1" applyAlignment="1">
      <alignment wrapText="1"/>
    </xf>
    <xf numFmtId="0" fontId="10" fillId="0" borderId="0" xfId="0" applyFont="1" applyAlignment="1">
      <alignment wrapText="1"/>
    </xf>
    <xf numFmtId="0" fontId="7" fillId="0" borderId="0" xfId="0" applyFont="1" applyAlignment="1"/>
    <xf numFmtId="0" fontId="6" fillId="0" borderId="0" xfId="0" applyFont="1"/>
    <xf numFmtId="0" fontId="19" fillId="0" borderId="2" xfId="0" applyFont="1" applyBorder="1" applyAlignment="1">
      <alignment horizontal="center" vertical="center"/>
    </xf>
    <xf numFmtId="1" fontId="20" fillId="0" borderId="2" xfId="3" applyNumberFormat="1" applyFont="1" applyFill="1" applyBorder="1" applyAlignment="1">
      <alignment horizontal="center" vertical="center" wrapText="1"/>
    </xf>
    <xf numFmtId="0" fontId="16" fillId="0" borderId="0" xfId="0" applyFont="1"/>
    <xf numFmtId="1" fontId="14" fillId="0" borderId="4" xfId="3" applyNumberFormat="1" applyFont="1" applyBorder="1" applyAlignment="1" applyProtection="1">
      <alignment horizontal="center" vertical="top" wrapText="1"/>
      <protection locked="0"/>
    </xf>
    <xf numFmtId="9" fontId="14" fillId="0" borderId="22" xfId="2" applyFont="1" applyFill="1" applyBorder="1" applyAlignment="1" applyProtection="1">
      <alignment horizontal="center" vertical="top" wrapText="1"/>
      <protection locked="0"/>
    </xf>
    <xf numFmtId="1" fontId="20" fillId="0" borderId="2" xfId="0" applyNumberFormat="1" applyFont="1" applyFill="1" applyBorder="1" applyAlignment="1">
      <alignment horizontal="center" vertical="center" wrapText="1"/>
    </xf>
    <xf numFmtId="1" fontId="12" fillId="0" borderId="2" xfId="0" applyNumberFormat="1" applyFont="1" applyBorder="1" applyAlignment="1">
      <alignment horizontal="center" vertical="center"/>
    </xf>
    <xf numFmtId="1" fontId="19" fillId="0" borderId="2" xfId="0" applyNumberFormat="1" applyFont="1" applyBorder="1" applyAlignment="1">
      <alignment horizontal="center" vertical="center"/>
    </xf>
    <xf numFmtId="1" fontId="20" fillId="0" borderId="2" xfId="0" applyNumberFormat="1" applyFont="1" applyFill="1" applyBorder="1" applyAlignment="1">
      <alignment horizontal="center" vertical="center"/>
    </xf>
    <xf numFmtId="1" fontId="20" fillId="0" borderId="2" xfId="3" applyNumberFormat="1" applyFont="1" applyFill="1" applyBorder="1" applyAlignment="1">
      <alignment horizontal="center" vertical="center"/>
    </xf>
    <xf numFmtId="1" fontId="20" fillId="0" borderId="2" xfId="3" applyNumberFormat="1" applyFont="1" applyFill="1" applyBorder="1" applyAlignment="1">
      <alignment horizontal="center" vertical="center" wrapText="1"/>
    </xf>
    <xf numFmtId="1" fontId="13" fillId="0" borderId="2" xfId="3" applyNumberFormat="1" applyFont="1" applyFill="1" applyBorder="1" applyAlignment="1">
      <alignment horizontal="center" vertical="center" wrapText="1"/>
    </xf>
    <xf numFmtId="0" fontId="6" fillId="0" borderId="2" xfId="0" applyFont="1" applyBorder="1" applyAlignment="1">
      <alignment vertical="top" wrapText="1"/>
    </xf>
    <xf numFmtId="0" fontId="6" fillId="0" borderId="1" xfId="0" applyFont="1" applyBorder="1" applyAlignment="1">
      <alignment vertical="top"/>
    </xf>
    <xf numFmtId="0" fontId="2" fillId="0" borderId="2" xfId="0" applyFont="1" applyBorder="1" applyAlignment="1">
      <alignment vertical="top" wrapText="1"/>
    </xf>
    <xf numFmtId="0" fontId="2" fillId="0" borderId="1" xfId="0" applyFont="1" applyBorder="1" applyAlignment="1">
      <alignment horizontal="center" vertical="top"/>
    </xf>
    <xf numFmtId="0" fontId="2" fillId="0" borderId="3" xfId="0" applyFont="1" applyBorder="1" applyAlignment="1">
      <alignment horizontal="center" vertical="top"/>
    </xf>
    <xf numFmtId="0" fontId="2" fillId="0" borderId="5" xfId="0" applyFont="1" applyBorder="1" applyAlignment="1">
      <alignment horizontal="center" vertical="top"/>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6" fillId="0" borderId="1" xfId="0" applyFont="1" applyBorder="1" applyAlignment="1">
      <alignment horizontal="center" vertical="top" wrapText="1"/>
    </xf>
    <xf numFmtId="0" fontId="6" fillId="0" borderId="5" xfId="0" applyFont="1" applyBorder="1" applyAlignment="1">
      <alignment horizontal="center" vertical="top" wrapText="1"/>
    </xf>
    <xf numFmtId="0" fontId="14" fillId="0" borderId="23" xfId="3" applyFont="1" applyBorder="1" applyAlignment="1" applyProtection="1">
      <alignment horizontal="center" vertical="center"/>
      <protection locked="0"/>
    </xf>
    <xf numFmtId="0" fontId="14" fillId="0" borderId="7" xfId="3" applyFont="1" applyBorder="1" applyAlignment="1" applyProtection="1">
      <alignment horizontal="center" vertical="center"/>
      <protection locked="0"/>
    </xf>
    <xf numFmtId="0" fontId="14" fillId="0" borderId="24" xfId="3" applyFont="1" applyBorder="1" applyAlignment="1" applyProtection="1">
      <alignment horizontal="center" vertical="center"/>
      <protection locked="0"/>
    </xf>
    <xf numFmtId="0" fontId="14" fillId="0" borderId="11" xfId="3" applyFont="1" applyBorder="1" applyAlignment="1" applyProtection="1">
      <alignment horizontal="center" vertical="center"/>
      <protection locked="0"/>
    </xf>
    <xf numFmtId="9" fontId="14" fillId="0" borderId="6" xfId="3" applyNumberFormat="1" applyFont="1" applyBorder="1" applyAlignment="1" applyProtection="1">
      <alignment horizontal="center" vertical="center" wrapText="1"/>
      <protection locked="0"/>
    </xf>
    <xf numFmtId="0" fontId="14" fillId="0" borderId="12" xfId="3" applyFont="1" applyBorder="1" applyAlignment="1" applyProtection="1">
      <alignment horizontal="center" vertical="center" wrapText="1"/>
      <protection locked="0"/>
    </xf>
    <xf numFmtId="0" fontId="14" fillId="0" borderId="7" xfId="3" applyFont="1" applyBorder="1" applyAlignment="1" applyProtection="1">
      <alignment horizontal="center" vertical="center" wrapText="1"/>
      <protection locked="0"/>
    </xf>
    <xf numFmtId="0" fontId="14" fillId="0" borderId="10" xfId="3" applyFont="1" applyBorder="1" applyAlignment="1" applyProtection="1">
      <alignment horizontal="center" vertical="center" wrapText="1"/>
      <protection locked="0"/>
    </xf>
    <xf numFmtId="0" fontId="14" fillId="0" borderId="13" xfId="3" applyFont="1" applyBorder="1" applyAlignment="1" applyProtection="1">
      <alignment horizontal="center" vertical="center" wrapText="1"/>
      <protection locked="0"/>
    </xf>
    <xf numFmtId="0" fontId="14" fillId="0" borderId="11" xfId="3" applyFont="1" applyBorder="1" applyAlignment="1" applyProtection="1">
      <alignment horizontal="center" vertical="center" wrapText="1"/>
      <protection locked="0"/>
    </xf>
    <xf numFmtId="0" fontId="14" fillId="0" borderId="6" xfId="3" applyFont="1" applyBorder="1" applyAlignment="1" applyProtection="1">
      <alignment horizontal="center" vertical="center" wrapText="1"/>
      <protection locked="0"/>
    </xf>
    <xf numFmtId="0" fontId="14" fillId="0" borderId="25" xfId="3" applyFont="1" applyBorder="1" applyAlignment="1" applyProtection="1">
      <alignment horizontal="center" vertical="center" wrapText="1"/>
      <protection locked="0"/>
    </xf>
    <xf numFmtId="0" fontId="14" fillId="0" borderId="26" xfId="3" applyFont="1" applyBorder="1" applyAlignment="1" applyProtection="1">
      <alignment horizontal="center" vertical="center" wrapText="1"/>
      <protection locked="0"/>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3" fillId="2" borderId="1"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0" borderId="1" xfId="0" applyFont="1" applyBorder="1" applyAlignment="1">
      <alignment horizontal="left" vertical="top"/>
    </xf>
    <xf numFmtId="0" fontId="3" fillId="0" borderId="3" xfId="0" applyFont="1" applyBorder="1" applyAlignment="1">
      <alignment horizontal="left" vertical="top"/>
    </xf>
    <xf numFmtId="0" fontId="3" fillId="0" borderId="5" xfId="0" applyFont="1" applyBorder="1" applyAlignment="1">
      <alignment horizontal="left" vertical="top"/>
    </xf>
    <xf numFmtId="0" fontId="5" fillId="0" borderId="6" xfId="0" applyFont="1" applyBorder="1" applyAlignment="1">
      <alignment vertical="top" wrapText="1"/>
    </xf>
    <xf numFmtId="0" fontId="5" fillId="0" borderId="12"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0" xfId="0" applyFont="1" applyAlignment="1">
      <alignment vertical="top" wrapText="1"/>
    </xf>
    <xf numFmtId="0" fontId="5" fillId="0" borderId="9" xfId="0" applyFont="1" applyBorder="1" applyAlignment="1">
      <alignment vertical="top" wrapText="1"/>
    </xf>
    <xf numFmtId="0" fontId="2" fillId="0" borderId="1" xfId="0" applyFont="1" applyBorder="1" applyAlignment="1">
      <alignment horizontal="left" vertical="top"/>
    </xf>
    <xf numFmtId="0" fontId="2" fillId="0" borderId="3" xfId="0" applyFont="1" applyBorder="1" applyAlignment="1">
      <alignment horizontal="left" vertical="top"/>
    </xf>
    <xf numFmtId="0" fontId="2" fillId="0" borderId="5" xfId="0" applyFont="1" applyBorder="1" applyAlignment="1">
      <alignment horizontal="left" vertical="top"/>
    </xf>
    <xf numFmtId="0" fontId="3" fillId="0" borderId="6" xfId="0" applyFont="1" applyBorder="1" applyAlignment="1">
      <alignment horizontal="left" vertical="top"/>
    </xf>
    <xf numFmtId="0" fontId="3" fillId="0" borderId="12" xfId="0" applyFont="1" applyBorder="1" applyAlignment="1">
      <alignment horizontal="left" vertical="top"/>
    </xf>
    <xf numFmtId="0" fontId="3" fillId="0" borderId="7" xfId="0" applyFont="1" applyBorder="1" applyAlignment="1">
      <alignment horizontal="left" vertical="top"/>
    </xf>
    <xf numFmtId="0" fontId="14" fillId="0" borderId="15" xfId="3" applyFont="1" applyBorder="1" applyAlignment="1" applyProtection="1">
      <alignment horizontal="left" vertical="top" wrapText="1"/>
      <protection locked="0"/>
    </xf>
    <xf numFmtId="0" fontId="14" fillId="0" borderId="16" xfId="3" applyFont="1" applyBorder="1" applyAlignment="1" applyProtection="1">
      <alignment horizontal="left" vertical="top" wrapText="1"/>
      <protection locked="0"/>
    </xf>
    <xf numFmtId="0" fontId="13" fillId="0" borderId="2" xfId="3" applyFont="1" applyBorder="1" applyAlignment="1" applyProtection="1">
      <alignment horizontal="center" vertical="top"/>
      <protection locked="0"/>
    </xf>
    <xf numFmtId="0" fontId="13" fillId="0" borderId="18" xfId="3" applyFont="1" applyBorder="1" applyAlignment="1" applyProtection="1">
      <alignment horizontal="center" vertical="top"/>
      <protection locked="0"/>
    </xf>
    <xf numFmtId="0" fontId="13" fillId="0" borderId="2" xfId="3" applyFont="1" applyBorder="1" applyAlignment="1" applyProtection="1">
      <alignment horizontal="center" vertical="top" wrapText="1"/>
      <protection locked="0"/>
    </xf>
    <xf numFmtId="0" fontId="13" fillId="0" borderId="18" xfId="3" applyFont="1" applyBorder="1" applyAlignment="1" applyProtection="1">
      <alignment horizontal="center" vertical="top" wrapText="1"/>
      <protection locked="0"/>
    </xf>
    <xf numFmtId="0" fontId="13" fillId="0" borderId="17" xfId="3" applyFont="1" applyBorder="1" applyAlignment="1" applyProtection="1">
      <alignment horizontal="center" vertical="top" wrapText="1"/>
      <protection locked="0"/>
    </xf>
    <xf numFmtId="9" fontId="13" fillId="2" borderId="2" xfId="3" applyNumberFormat="1" applyFont="1" applyFill="1" applyBorder="1" applyAlignment="1" applyProtection="1">
      <alignment horizontal="center" vertical="center" wrapText="1"/>
      <protection hidden="1"/>
    </xf>
    <xf numFmtId="0" fontId="13" fillId="0" borderId="19" xfId="3" applyFont="1" applyBorder="1" applyAlignment="1" applyProtection="1">
      <alignment horizontal="center" vertical="top" wrapText="1"/>
      <protection locked="0"/>
    </xf>
    <xf numFmtId="0" fontId="13" fillId="0" borderId="20" xfId="3" applyFont="1" applyBorder="1" applyAlignment="1" applyProtection="1">
      <alignment horizontal="center" vertical="top" wrapText="1"/>
      <protection locked="0"/>
    </xf>
    <xf numFmtId="0" fontId="3" fillId="2" borderId="1" xfId="0" applyFont="1" applyFill="1" applyBorder="1" applyAlignment="1">
      <alignment horizontal="left" vertical="top"/>
    </xf>
    <xf numFmtId="0" fontId="3" fillId="2" borderId="3" xfId="0" applyFont="1" applyFill="1" applyBorder="1" applyAlignment="1">
      <alignment horizontal="left" vertical="top"/>
    </xf>
    <xf numFmtId="0" fontId="3" fillId="2" borderId="5" xfId="0" applyFont="1" applyFill="1" applyBorder="1" applyAlignment="1">
      <alignment horizontal="left" vertical="top"/>
    </xf>
    <xf numFmtId="0" fontId="6" fillId="0" borderId="1" xfId="0" applyFont="1" applyBorder="1" applyAlignment="1">
      <alignment horizontal="left" vertical="top"/>
    </xf>
    <xf numFmtId="0" fontId="6" fillId="0" borderId="5" xfId="0" applyFont="1" applyBorder="1" applyAlignment="1">
      <alignment horizontal="left"/>
    </xf>
    <xf numFmtId="3" fontId="2" fillId="2" borderId="1" xfId="0" applyNumberFormat="1" applyFont="1" applyFill="1" applyBorder="1" applyAlignment="1">
      <alignment horizontal="left" vertical="top"/>
    </xf>
    <xf numFmtId="0" fontId="2" fillId="2" borderId="3" xfId="0" applyFont="1" applyFill="1" applyBorder="1" applyAlignment="1">
      <alignment horizontal="left" vertical="top"/>
    </xf>
    <xf numFmtId="0" fontId="2" fillId="2" borderId="5" xfId="0" applyFont="1" applyFill="1" applyBorder="1" applyAlignment="1">
      <alignment horizontal="left" vertical="top"/>
    </xf>
    <xf numFmtId="14" fontId="3" fillId="0" borderId="2"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10" xfId="0" applyFont="1" applyBorder="1" applyAlignment="1">
      <alignment horizontal="left" vertical="top"/>
    </xf>
    <xf numFmtId="0" fontId="3" fillId="0" borderId="13" xfId="0" applyFont="1" applyBorder="1" applyAlignment="1">
      <alignment horizontal="left" vertical="top"/>
    </xf>
    <xf numFmtId="0" fontId="3" fillId="0" borderId="11" xfId="0" applyFont="1" applyBorder="1" applyAlignment="1">
      <alignment horizontal="left" vertical="top"/>
    </xf>
    <xf numFmtId="9" fontId="13" fillId="2" borderId="20" xfId="3" applyNumberFormat="1" applyFont="1" applyFill="1" applyBorder="1" applyAlignment="1" applyProtection="1">
      <alignment horizontal="center" vertical="center" wrapText="1"/>
      <protection hidden="1"/>
    </xf>
    <xf numFmtId="9" fontId="13" fillId="2" borderId="18" xfId="3" applyNumberFormat="1" applyFont="1" applyFill="1" applyBorder="1" applyAlignment="1" applyProtection="1">
      <alignment horizontal="center" vertical="center" wrapText="1"/>
      <protection hidden="1"/>
    </xf>
    <xf numFmtId="9" fontId="13" fillId="2" borderId="21" xfId="3" applyNumberFormat="1" applyFont="1" applyFill="1" applyBorder="1" applyAlignment="1" applyProtection="1">
      <alignment horizontal="center" vertical="center" wrapText="1"/>
      <protection hidden="1"/>
    </xf>
    <xf numFmtId="0" fontId="13" fillId="0" borderId="17" xfId="3" applyFont="1" applyBorder="1" applyAlignment="1" applyProtection="1">
      <alignment horizontal="center" vertical="top"/>
      <protection locked="0"/>
    </xf>
    <xf numFmtId="0" fontId="14" fillId="0" borderId="2" xfId="3" applyFont="1" applyBorder="1" applyAlignment="1" applyProtection="1">
      <alignment horizontal="left" vertical="top" wrapText="1"/>
      <protection locked="0"/>
    </xf>
    <xf numFmtId="0" fontId="14" fillId="0" borderId="18" xfId="3" applyFont="1" applyBorder="1" applyAlignment="1" applyProtection="1">
      <alignment horizontal="left" vertical="top" wrapText="1"/>
      <protection locked="0"/>
    </xf>
    <xf numFmtId="0" fontId="2" fillId="0" borderId="1" xfId="0" applyFont="1" applyBorder="1" applyAlignment="1">
      <alignment horizontal="center" vertical="top" wrapText="1"/>
    </xf>
    <xf numFmtId="0" fontId="2" fillId="0" borderId="3" xfId="0" applyFont="1" applyBorder="1" applyAlignment="1">
      <alignment horizontal="center" vertical="top" wrapText="1"/>
    </xf>
    <xf numFmtId="0" fontId="2" fillId="0" borderId="5" xfId="0" applyFont="1" applyBorder="1" applyAlignment="1">
      <alignment horizontal="center" vertical="top" wrapText="1"/>
    </xf>
    <xf numFmtId="164" fontId="3" fillId="0" borderId="1" xfId="0" applyNumberFormat="1" applyFont="1" applyBorder="1" applyAlignment="1">
      <alignment horizontal="left" vertical="top"/>
    </xf>
    <xf numFmtId="164" fontId="3" fillId="0" borderId="3" xfId="0" applyNumberFormat="1" applyFont="1" applyBorder="1" applyAlignment="1">
      <alignment horizontal="left" vertical="top"/>
    </xf>
    <xf numFmtId="164" fontId="3" fillId="0" borderId="5" xfId="0" applyNumberFormat="1" applyFont="1" applyBorder="1" applyAlignment="1">
      <alignment horizontal="left" vertical="top"/>
    </xf>
    <xf numFmtId="0" fontId="2" fillId="0" borderId="1" xfId="0" applyFont="1" applyBorder="1" applyAlignment="1">
      <alignment vertical="top"/>
    </xf>
    <xf numFmtId="0" fontId="2" fillId="0" borderId="3" xfId="0" applyFont="1" applyBorder="1" applyAlignment="1">
      <alignment vertical="top"/>
    </xf>
    <xf numFmtId="0" fontId="2" fillId="0" borderId="5" xfId="0" applyFont="1" applyBorder="1" applyAlignment="1">
      <alignment vertical="top"/>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2" xfId="0" applyFont="1" applyBorder="1" applyAlignment="1">
      <alignment horizontal="left" vertical="top"/>
    </xf>
    <xf numFmtId="14" fontId="3" fillId="2" borderId="1" xfId="0" applyNumberFormat="1" applyFont="1" applyFill="1" applyBorder="1" applyAlignment="1">
      <alignment horizontal="left" vertical="top"/>
    </xf>
    <xf numFmtId="17" fontId="3" fillId="0" borderId="1" xfId="0" applyNumberFormat="1" applyFont="1" applyBorder="1" applyAlignment="1">
      <alignment horizontal="left" vertical="top"/>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7" fillId="0" borderId="1" xfId="0" applyFont="1" applyBorder="1" applyAlignment="1">
      <alignment horizontal="left" vertical="top"/>
    </xf>
    <xf numFmtId="0" fontId="7" fillId="0" borderId="3" xfId="0" applyFont="1" applyBorder="1" applyAlignment="1">
      <alignment horizontal="left" vertical="top"/>
    </xf>
    <xf numFmtId="0" fontId="7" fillId="0" borderId="5" xfId="0" applyFont="1" applyBorder="1" applyAlignment="1">
      <alignment horizontal="left" vertical="top"/>
    </xf>
    <xf numFmtId="0" fontId="5" fillId="0" borderId="1" xfId="0" applyFont="1" applyBorder="1" applyAlignment="1">
      <alignment horizontal="left" vertical="top"/>
    </xf>
    <xf numFmtId="0" fontId="5" fillId="0" borderId="5" xfId="0" applyFont="1" applyBorder="1" applyAlignment="1">
      <alignment horizontal="left" vertical="top"/>
    </xf>
    <xf numFmtId="0" fontId="17" fillId="0" borderId="5" xfId="0" applyFont="1" applyBorder="1" applyAlignment="1">
      <alignment horizontal="left" vertical="top"/>
    </xf>
    <xf numFmtId="0" fontId="15" fillId="0" borderId="1" xfId="4" applyBorder="1" applyAlignment="1">
      <alignment horizontal="left" vertical="top"/>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14" fontId="2" fillId="0" borderId="1" xfId="0" applyNumberFormat="1" applyFont="1" applyBorder="1" applyAlignment="1">
      <alignment horizontal="left" vertical="top"/>
    </xf>
    <xf numFmtId="14" fontId="2" fillId="0" borderId="3" xfId="0" applyNumberFormat="1" applyFont="1" applyBorder="1" applyAlignment="1">
      <alignment horizontal="left" vertical="top"/>
    </xf>
    <xf numFmtId="14" fontId="2" fillId="0" borderId="5" xfId="0" applyNumberFormat="1" applyFont="1" applyBorder="1" applyAlignment="1">
      <alignment horizontal="left" vertical="top"/>
    </xf>
    <xf numFmtId="0" fontId="3" fillId="0" borderId="1" xfId="0" applyFont="1" applyBorder="1" applyAlignment="1">
      <alignment vertical="top"/>
    </xf>
    <xf numFmtId="0" fontId="3" fillId="0" borderId="3" xfId="0" applyFont="1" applyBorder="1" applyAlignment="1">
      <alignment vertical="top"/>
    </xf>
    <xf numFmtId="0" fontId="3" fillId="0" borderId="5" xfId="0" applyFont="1" applyBorder="1" applyAlignment="1">
      <alignment vertical="top"/>
    </xf>
    <xf numFmtId="0" fontId="2" fillId="0" borderId="6" xfId="0" applyFont="1" applyBorder="1" applyAlignment="1">
      <alignment horizontal="center" vertical="top" wrapText="1"/>
    </xf>
    <xf numFmtId="0" fontId="2" fillId="0" borderId="12"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0" xfId="0" applyFont="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3" xfId="0" applyFont="1" applyBorder="1" applyAlignment="1">
      <alignment horizontal="center" vertical="top" wrapText="1"/>
    </xf>
    <xf numFmtId="0" fontId="2" fillId="0" borderId="11" xfId="0" applyFont="1" applyBorder="1" applyAlignment="1">
      <alignment horizontal="center" vertical="top" wrapText="1"/>
    </xf>
    <xf numFmtId="0" fontId="5" fillId="0" borderId="6" xfId="1" applyFont="1" applyBorder="1" applyAlignment="1">
      <alignment horizontal="left" vertical="top" wrapText="1"/>
    </xf>
    <xf numFmtId="0" fontId="5" fillId="0" borderId="12" xfId="1" applyFont="1" applyBorder="1" applyAlignment="1">
      <alignment horizontal="left" vertical="top" wrapText="1"/>
    </xf>
    <xf numFmtId="0" fontId="5" fillId="0" borderId="7" xfId="1" applyFont="1" applyBorder="1" applyAlignment="1">
      <alignment horizontal="left" vertical="top" wrapText="1"/>
    </xf>
    <xf numFmtId="0" fontId="5" fillId="0" borderId="10" xfId="1" applyFont="1" applyBorder="1" applyAlignment="1">
      <alignment horizontal="left" vertical="top" wrapText="1"/>
    </xf>
    <xf numFmtId="0" fontId="5" fillId="0" borderId="13" xfId="1" applyFont="1" applyBorder="1" applyAlignment="1">
      <alignment horizontal="left" vertical="top" wrapText="1"/>
    </xf>
    <xf numFmtId="0" fontId="5" fillId="0" borderId="11" xfId="1" applyFont="1" applyBorder="1" applyAlignment="1">
      <alignment horizontal="left" vertical="top" wrapText="1"/>
    </xf>
    <xf numFmtId="0" fontId="14" fillId="0" borderId="17" xfId="3" applyFont="1" applyBorder="1" applyAlignment="1" applyProtection="1">
      <alignment horizontal="left" vertical="top"/>
      <protection locked="0"/>
    </xf>
    <xf numFmtId="0" fontId="14" fillId="0" borderId="2" xfId="3" applyFont="1" applyBorder="1" applyAlignment="1" applyProtection="1">
      <alignment horizontal="left" vertical="top"/>
      <protection locked="0"/>
    </xf>
    <xf numFmtId="0" fontId="6" fillId="0" borderId="3" xfId="0" applyFont="1" applyBorder="1" applyAlignment="1">
      <alignment horizontal="left" vertical="top"/>
    </xf>
    <xf numFmtId="0" fontId="6" fillId="0" borderId="5" xfId="0" applyFont="1" applyBorder="1" applyAlignment="1">
      <alignment horizontal="left" vertical="top"/>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13" xfId="0" applyFont="1" applyBorder="1" applyAlignment="1">
      <alignment horizontal="left" vertical="top" wrapText="1"/>
    </xf>
    <xf numFmtId="0" fontId="3" fillId="0" borderId="11" xfId="0" applyFont="1" applyBorder="1" applyAlignment="1">
      <alignment horizontal="left" vertical="top" wrapText="1"/>
    </xf>
    <xf numFmtId="14" fontId="3" fillId="0" borderId="1" xfId="0" applyNumberFormat="1" applyFont="1" applyBorder="1" applyAlignment="1">
      <alignment horizontal="left" vertical="top"/>
    </xf>
    <xf numFmtId="14" fontId="3" fillId="0" borderId="3" xfId="0" applyNumberFormat="1" applyFont="1" applyBorder="1" applyAlignment="1">
      <alignment horizontal="left" vertical="top"/>
    </xf>
    <xf numFmtId="14" fontId="3" fillId="0" borderId="5" xfId="0" applyNumberFormat="1" applyFont="1" applyBorder="1" applyAlignment="1">
      <alignment horizontal="left" vertical="top"/>
    </xf>
    <xf numFmtId="0" fontId="6" fillId="0" borderId="2" xfId="0" applyFont="1" applyBorder="1" applyAlignment="1">
      <alignment horizontal="left" vertical="top"/>
    </xf>
    <xf numFmtId="0" fontId="3" fillId="2" borderId="2" xfId="0" applyFont="1" applyFill="1" applyBorder="1" applyAlignment="1">
      <alignment horizontal="left" vertical="top"/>
    </xf>
    <xf numFmtId="0" fontId="14" fillId="0" borderId="14" xfId="3" applyFont="1" applyBorder="1" applyAlignment="1" applyProtection="1">
      <alignment horizontal="center" vertical="top" wrapText="1"/>
      <protection locked="0"/>
    </xf>
    <xf numFmtId="0" fontId="14" fillId="0" borderId="15" xfId="3" applyFont="1" applyBorder="1" applyAlignment="1" applyProtection="1">
      <alignment horizontal="center" vertical="top" wrapText="1"/>
      <protection locked="0"/>
    </xf>
    <xf numFmtId="0" fontId="16" fillId="0" borderId="1" xfId="0" applyFont="1" applyBorder="1" applyAlignment="1">
      <alignment horizontal="left" vertical="top"/>
    </xf>
    <xf numFmtId="0" fontId="16" fillId="0" borderId="3" xfId="0" applyFont="1" applyBorder="1" applyAlignment="1">
      <alignment horizontal="left" vertical="top"/>
    </xf>
    <xf numFmtId="0" fontId="16" fillId="0" borderId="5" xfId="0" applyFont="1" applyBorder="1" applyAlignment="1">
      <alignment horizontal="left" vertical="top"/>
    </xf>
    <xf numFmtId="0" fontId="3" fillId="0" borderId="6" xfId="0" applyFont="1" applyBorder="1" applyAlignment="1">
      <alignment vertical="top"/>
    </xf>
    <xf numFmtId="0" fontId="3" fillId="0" borderId="12"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10" xfId="0" applyFont="1" applyBorder="1" applyAlignment="1">
      <alignment vertical="top"/>
    </xf>
    <xf numFmtId="0" fontId="3" fillId="0" borderId="13" xfId="0" applyFont="1" applyBorder="1" applyAlignment="1">
      <alignment vertical="top"/>
    </xf>
    <xf numFmtId="1" fontId="18" fillId="0" borderId="1" xfId="0" applyNumberFormat="1" applyFont="1" applyFill="1" applyBorder="1" applyAlignment="1">
      <alignment horizontal="center" vertical="center" wrapText="1"/>
    </xf>
    <xf numFmtId="1" fontId="18" fillId="0" borderId="3" xfId="0" applyNumberFormat="1" applyFont="1" applyFill="1" applyBorder="1" applyAlignment="1">
      <alignment horizontal="center" vertical="center" wrapText="1"/>
    </xf>
    <xf numFmtId="1" fontId="18" fillId="0" borderId="5"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top" wrapText="1"/>
    </xf>
    <xf numFmtId="1" fontId="18" fillId="0" borderId="5" xfId="0" applyNumberFormat="1" applyFont="1" applyFill="1" applyBorder="1" applyAlignment="1">
      <alignment horizontal="center" vertical="top" wrapText="1"/>
    </xf>
    <xf numFmtId="0" fontId="19" fillId="0" borderId="1" xfId="0" applyFont="1" applyBorder="1" applyAlignment="1">
      <alignment horizontal="center" vertical="top" wrapText="1"/>
    </xf>
    <xf numFmtId="0" fontId="19" fillId="0" borderId="3" xfId="0" applyFont="1" applyBorder="1" applyAlignment="1">
      <alignment horizontal="center" vertical="top" wrapText="1"/>
    </xf>
    <xf numFmtId="0" fontId="19" fillId="0" borderId="5" xfId="0" applyFont="1" applyBorder="1" applyAlignment="1">
      <alignment horizontal="center" vertical="top" wrapText="1"/>
    </xf>
    <xf numFmtId="1" fontId="18" fillId="0" borderId="3" xfId="0" applyNumberFormat="1" applyFont="1" applyFill="1" applyBorder="1" applyAlignment="1">
      <alignment horizontal="center" vertical="top" wrapText="1"/>
    </xf>
    <xf numFmtId="1" fontId="12" fillId="0" borderId="1" xfId="0" applyNumberFormat="1" applyFont="1" applyBorder="1" applyAlignment="1">
      <alignment horizontal="center" vertical="top" wrapText="1"/>
    </xf>
    <xf numFmtId="1" fontId="12" fillId="0" borderId="3" xfId="0" applyNumberFormat="1" applyFont="1" applyBorder="1" applyAlignment="1">
      <alignment horizontal="center" vertical="top" wrapText="1"/>
    </xf>
    <xf numFmtId="1" fontId="12" fillId="0" borderId="5" xfId="0" applyNumberFormat="1" applyFont="1" applyBorder="1" applyAlignment="1">
      <alignment horizontal="center" vertical="top" wrapText="1"/>
    </xf>
    <xf numFmtId="1" fontId="20" fillId="0" borderId="1" xfId="0" applyNumberFormat="1" applyFont="1" applyFill="1" applyBorder="1" applyAlignment="1">
      <alignment horizontal="center" vertical="top" wrapText="1"/>
    </xf>
    <xf numFmtId="1" fontId="20" fillId="0" borderId="3" xfId="0" applyNumberFormat="1" applyFont="1" applyFill="1" applyBorder="1" applyAlignment="1">
      <alignment horizontal="center" vertical="top" wrapText="1"/>
    </xf>
    <xf numFmtId="1" fontId="20" fillId="0" borderId="5" xfId="0" applyNumberFormat="1" applyFont="1" applyFill="1" applyBorder="1" applyAlignment="1">
      <alignment horizontal="center" vertical="top" wrapText="1"/>
    </xf>
    <xf numFmtId="1" fontId="20" fillId="0" borderId="2" xfId="1" applyNumberFormat="1" applyFont="1" applyBorder="1" applyAlignment="1">
      <alignment horizontal="center"/>
    </xf>
    <xf numFmtId="1" fontId="19" fillId="0" borderId="1" xfId="0" applyNumberFormat="1" applyFont="1" applyBorder="1" applyAlignment="1">
      <alignment horizontal="center" vertical="top" wrapText="1"/>
    </xf>
    <xf numFmtId="1" fontId="19" fillId="0" borderId="3" xfId="0" applyNumberFormat="1" applyFont="1" applyBorder="1" applyAlignment="1">
      <alignment horizontal="center" vertical="top" wrapText="1"/>
    </xf>
    <xf numFmtId="1" fontId="19" fillId="0" borderId="5" xfId="0" applyNumberFormat="1" applyFont="1" applyBorder="1" applyAlignment="1">
      <alignment horizontal="center" vertical="top" wrapText="1"/>
    </xf>
    <xf numFmtId="1" fontId="20" fillId="0" borderId="1" xfId="0" applyNumberFormat="1" applyFont="1" applyFill="1" applyBorder="1" applyAlignment="1">
      <alignment horizontal="center" vertical="center" wrapText="1"/>
    </xf>
    <xf numFmtId="1" fontId="20" fillId="0" borderId="3" xfId="0" applyNumberFormat="1" applyFont="1" applyFill="1" applyBorder="1" applyAlignment="1">
      <alignment horizontal="center" vertical="center" wrapText="1"/>
    </xf>
    <xf numFmtId="1" fontId="20" fillId="0" borderId="5" xfId="0" applyNumberFormat="1" applyFont="1" applyFill="1" applyBorder="1" applyAlignment="1">
      <alignment horizontal="center" vertical="center" wrapText="1"/>
    </xf>
    <xf numFmtId="1" fontId="19" fillId="0" borderId="1" xfId="0" applyNumberFormat="1" applyFont="1" applyBorder="1" applyAlignment="1">
      <alignment horizontal="center" vertical="center" wrapText="1"/>
    </xf>
    <xf numFmtId="1" fontId="19" fillId="0" borderId="3" xfId="0" applyNumberFormat="1" applyFont="1" applyBorder="1" applyAlignment="1">
      <alignment horizontal="center" vertical="center" wrapText="1"/>
    </xf>
    <xf numFmtId="1" fontId="19" fillId="0" borderId="5" xfId="0" applyNumberFormat="1" applyFont="1" applyBorder="1" applyAlignment="1">
      <alignment horizontal="center" vertical="center" wrapText="1"/>
    </xf>
    <xf numFmtId="0" fontId="18" fillId="0" borderId="1" xfId="3" applyFont="1" applyFill="1" applyBorder="1" applyAlignment="1">
      <alignment horizontal="center" vertical="top"/>
    </xf>
    <xf numFmtId="0" fontId="18" fillId="0" borderId="3" xfId="3" applyFont="1" applyFill="1" applyBorder="1" applyAlignment="1">
      <alignment horizontal="center" vertical="top"/>
    </xf>
    <xf numFmtId="0" fontId="18" fillId="0" borderId="5" xfId="3" applyFont="1" applyFill="1" applyBorder="1" applyAlignment="1">
      <alignment horizontal="center" vertical="top"/>
    </xf>
    <xf numFmtId="1" fontId="18" fillId="0" borderId="2" xfId="3" applyNumberFormat="1" applyFont="1" applyFill="1" applyBorder="1" applyAlignment="1">
      <alignment horizontal="center" vertical="top" wrapText="1"/>
    </xf>
    <xf numFmtId="1" fontId="2" fillId="0" borderId="2" xfId="3" applyNumberFormat="1" applyFont="1" applyFill="1" applyBorder="1" applyAlignment="1">
      <alignment horizontal="center" vertical="top" wrapText="1"/>
    </xf>
    <xf numFmtId="1" fontId="18" fillId="0" borderId="2" xfId="3" applyNumberFormat="1" applyFont="1" applyFill="1" applyBorder="1" applyAlignment="1">
      <alignment horizontal="center" vertical="center" wrapText="1"/>
    </xf>
    <xf numFmtId="1" fontId="18" fillId="0" borderId="1" xfId="3" applyNumberFormat="1" applyFont="1" applyFill="1" applyBorder="1" applyAlignment="1">
      <alignment horizontal="center" vertical="center" wrapText="1"/>
    </xf>
    <xf numFmtId="1" fontId="18" fillId="0" borderId="3" xfId="3" applyNumberFormat="1" applyFont="1" applyFill="1" applyBorder="1" applyAlignment="1">
      <alignment horizontal="center" vertical="center" wrapText="1"/>
    </xf>
    <xf numFmtId="1" fontId="18" fillId="0" borderId="5" xfId="3" applyNumberFormat="1" applyFont="1" applyFill="1" applyBorder="1" applyAlignment="1">
      <alignment horizontal="center" vertical="center" wrapText="1"/>
    </xf>
    <xf numFmtId="1" fontId="20" fillId="0" borderId="2" xfId="3" applyNumberFormat="1" applyFont="1" applyFill="1" applyBorder="1" applyAlignment="1">
      <alignment horizontal="center" vertical="center" wrapText="1"/>
    </xf>
    <xf numFmtId="1" fontId="20" fillId="0" borderId="12" xfId="3" applyNumberFormat="1" applyFont="1" applyFill="1" applyBorder="1" applyAlignment="1">
      <alignment horizontal="center" vertical="center" wrapText="1"/>
    </xf>
    <xf numFmtId="1" fontId="20" fillId="0" borderId="7" xfId="3" applyNumberFormat="1" applyFont="1" applyFill="1" applyBorder="1" applyAlignment="1">
      <alignment horizontal="center" vertical="center" wrapText="1"/>
    </xf>
    <xf numFmtId="1" fontId="20" fillId="0" borderId="0" xfId="3" applyNumberFormat="1" applyFont="1" applyFill="1" applyBorder="1" applyAlignment="1">
      <alignment horizontal="center" vertical="center" wrapText="1"/>
    </xf>
    <xf numFmtId="1" fontId="20" fillId="0" borderId="9" xfId="3" applyNumberFormat="1" applyFont="1" applyFill="1" applyBorder="1" applyAlignment="1">
      <alignment horizontal="center" vertical="center" wrapText="1"/>
    </xf>
    <xf numFmtId="1" fontId="20" fillId="0" borderId="13" xfId="3" applyNumberFormat="1" applyFont="1" applyFill="1" applyBorder="1" applyAlignment="1">
      <alignment horizontal="center" vertical="center" wrapText="1"/>
    </xf>
    <xf numFmtId="1" fontId="20" fillId="0" borderId="11" xfId="3" applyNumberFormat="1" applyFont="1" applyFill="1" applyBorder="1" applyAlignment="1">
      <alignment horizontal="center" vertical="center" wrapText="1"/>
    </xf>
    <xf numFmtId="1" fontId="18" fillId="0" borderId="10" xfId="3" applyNumberFormat="1" applyFont="1" applyFill="1" applyBorder="1" applyAlignment="1">
      <alignment horizontal="center" vertical="center" wrapText="1"/>
    </xf>
    <xf numFmtId="1" fontId="18" fillId="0" borderId="13" xfId="3" applyNumberFormat="1" applyFont="1" applyFill="1" applyBorder="1" applyAlignment="1">
      <alignment horizontal="center" vertical="center" wrapText="1"/>
    </xf>
    <xf numFmtId="1" fontId="18" fillId="0" borderId="11" xfId="3" applyNumberFormat="1" applyFont="1" applyFill="1" applyBorder="1" applyAlignment="1">
      <alignment horizontal="center" vertical="center" wrapText="1"/>
    </xf>
    <xf numFmtId="1" fontId="20" fillId="0" borderId="1" xfId="3" applyNumberFormat="1" applyFont="1" applyFill="1" applyBorder="1" applyAlignment="1">
      <alignment horizontal="center" vertical="center" wrapText="1"/>
    </xf>
    <xf numFmtId="1" fontId="20" fillId="0" borderId="3" xfId="3" applyNumberFormat="1" applyFont="1" applyFill="1" applyBorder="1" applyAlignment="1">
      <alignment horizontal="center" vertical="center" wrapText="1"/>
    </xf>
    <xf numFmtId="1" fontId="20" fillId="0" borderId="5" xfId="3" applyNumberFormat="1" applyFont="1" applyFill="1" applyBorder="1" applyAlignment="1">
      <alignment horizontal="center" vertical="center" wrapText="1"/>
    </xf>
    <xf numFmtId="1" fontId="20" fillId="0" borderId="6" xfId="3" applyNumberFormat="1" applyFont="1" applyFill="1" applyBorder="1" applyAlignment="1">
      <alignment horizontal="center" vertical="center" wrapText="1"/>
    </xf>
    <xf numFmtId="1" fontId="20" fillId="0" borderId="8" xfId="3" applyNumberFormat="1" applyFont="1" applyFill="1" applyBorder="1" applyAlignment="1">
      <alignment horizontal="center" vertical="center" wrapText="1"/>
    </xf>
    <xf numFmtId="1" fontId="14" fillId="0" borderId="1" xfId="3" applyNumberFormat="1" applyFont="1" applyFill="1" applyBorder="1" applyAlignment="1">
      <alignment horizontal="center" vertical="center" wrapText="1"/>
    </xf>
    <xf numFmtId="1" fontId="14" fillId="0" borderId="3" xfId="3" applyNumberFormat="1" applyFont="1" applyFill="1" applyBorder="1" applyAlignment="1">
      <alignment horizontal="center" vertical="center" wrapText="1"/>
    </xf>
    <xf numFmtId="1" fontId="14" fillId="0" borderId="5" xfId="3" applyNumberFormat="1" applyFont="1" applyFill="1" applyBorder="1" applyAlignment="1">
      <alignment horizontal="center" vertical="center" wrapText="1"/>
    </xf>
    <xf numFmtId="1" fontId="20" fillId="0" borderId="10" xfId="3" applyNumberFormat="1" applyFont="1" applyFill="1" applyBorder="1" applyAlignment="1">
      <alignment horizontal="center" vertical="center" wrapText="1"/>
    </xf>
    <xf numFmtId="1" fontId="12" fillId="0" borderId="1" xfId="0" applyNumberFormat="1" applyFont="1" applyBorder="1" applyAlignment="1">
      <alignment horizontal="center" vertical="center" wrapText="1"/>
    </xf>
    <xf numFmtId="1" fontId="12" fillId="0" borderId="3"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 fontId="20" fillId="0" borderId="4" xfId="0" applyNumberFormat="1" applyFont="1" applyFill="1" applyBorder="1" applyAlignment="1">
      <alignment horizontal="center" vertical="center" wrapText="1"/>
    </xf>
    <xf numFmtId="1" fontId="20" fillId="0" borderId="22" xfId="0" applyNumberFormat="1" applyFont="1" applyFill="1" applyBorder="1" applyAlignment="1">
      <alignment horizontal="center" vertical="center" wrapText="1"/>
    </xf>
    <xf numFmtId="3" fontId="3" fillId="2" borderId="1" xfId="0" applyNumberFormat="1" applyFont="1" applyFill="1" applyBorder="1" applyAlignment="1">
      <alignment horizontal="left" vertical="top"/>
    </xf>
    <xf numFmtId="0" fontId="8" fillId="0" borderId="2" xfId="0" applyFont="1" applyBorder="1" applyAlignment="1">
      <alignment horizontal="center"/>
    </xf>
    <xf numFmtId="0" fontId="8" fillId="3" borderId="2" xfId="0" applyFont="1" applyFill="1" applyBorder="1" applyAlignment="1">
      <alignment horizontal="center"/>
    </xf>
    <xf numFmtId="0" fontId="9" fillId="0" borderId="2" xfId="0" applyFont="1" applyBorder="1" applyAlignment="1">
      <alignment horizontal="center"/>
    </xf>
    <xf numFmtId="0" fontId="8" fillId="0" borderId="2" xfId="0" applyFont="1" applyBorder="1" applyAlignment="1">
      <alignment horizontal="left"/>
    </xf>
  </cellXfs>
  <cellStyles count="5">
    <cellStyle name="Excel Built-in Normal" xfId="1"/>
    <cellStyle name="Hyperlink" xfId="4" builtinId="8"/>
    <cellStyle name="Normal" xfId="0" builtinId="0"/>
    <cellStyle name="Normal 3" xfId="3"/>
    <cellStyle name="Percent"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192457</xdr:colOff>
      <xdr:row>528</xdr:row>
      <xdr:rowOff>117001</xdr:rowOff>
    </xdr:from>
    <xdr:to>
      <xdr:col>6</xdr:col>
      <xdr:colOff>629479</xdr:colOff>
      <xdr:row>544</xdr:row>
      <xdr:rowOff>174687</xdr:rowOff>
    </xdr:to>
    <xdr:pic>
      <xdr:nvPicPr>
        <xdr:cNvPr id="1429" name="Picture 13">
          <a:extLst>
            <a:ext uri="{FF2B5EF4-FFF2-40B4-BE49-F238E27FC236}">
              <a16:creationId xmlns:a16="http://schemas.microsoft.com/office/drawing/2014/main" xmlns="" id="{00000000-0008-0000-0000-000095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772240" y="50723740"/>
          <a:ext cx="4106217" cy="310568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469851</xdr:colOff>
      <xdr:row>545</xdr:row>
      <xdr:rowOff>120311</xdr:rowOff>
    </xdr:from>
    <xdr:to>
      <xdr:col>7</xdr:col>
      <xdr:colOff>346364</xdr:colOff>
      <xdr:row>567</xdr:row>
      <xdr:rowOff>31878</xdr:rowOff>
    </xdr:to>
    <xdr:grpSp>
      <xdr:nvGrpSpPr>
        <xdr:cNvPr id="4" name="Group 3"/>
        <xdr:cNvGrpSpPr/>
      </xdr:nvGrpSpPr>
      <xdr:grpSpPr>
        <a:xfrm>
          <a:off x="469851" y="109105361"/>
          <a:ext cx="4781888" cy="4102567"/>
          <a:chOff x="494698" y="53973832"/>
          <a:chExt cx="4779817" cy="4102567"/>
        </a:xfrm>
      </xdr:grpSpPr>
      <xdr:pic>
        <xdr:nvPicPr>
          <xdr:cNvPr id="2" name="Picture 1"/>
          <xdr:cNvPicPr>
            <a:picLocks noChangeAspect="1"/>
          </xdr:cNvPicPr>
        </xdr:nvPicPr>
        <xdr:blipFill>
          <a:blip xmlns:r="http://schemas.openxmlformats.org/officeDocument/2006/relationships" r:embed="rId2"/>
          <a:stretch>
            <a:fillRect/>
          </a:stretch>
        </xdr:blipFill>
        <xdr:spPr>
          <a:xfrm>
            <a:off x="494698" y="53973832"/>
            <a:ext cx="4779817" cy="4102567"/>
          </a:xfrm>
          <a:prstGeom prst="rect">
            <a:avLst/>
          </a:prstGeom>
          <a:ln>
            <a:solidFill>
              <a:sysClr val="windowText" lastClr="000000"/>
            </a:solidFill>
          </a:ln>
        </xdr:spPr>
      </xdr:pic>
      <xdr:sp macro="" textlink="">
        <xdr:nvSpPr>
          <xdr:cNvPr id="3" name="Rectangle 2"/>
          <xdr:cNvSpPr/>
        </xdr:nvSpPr>
        <xdr:spPr>
          <a:xfrm rot="363320">
            <a:off x="2464350" y="55334679"/>
            <a:ext cx="861392" cy="1202204"/>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2</xdr:col>
      <xdr:colOff>155888</xdr:colOff>
      <xdr:row>484</xdr:row>
      <xdr:rowOff>144859</xdr:rowOff>
    </xdr:from>
    <xdr:to>
      <xdr:col>6</xdr:col>
      <xdr:colOff>127303</xdr:colOff>
      <xdr:row>499</xdr:row>
      <xdr:rowOff>40952</xdr:rowOff>
    </xdr:to>
    <xdr:pic>
      <xdr:nvPicPr>
        <xdr:cNvPr id="33" name="Picture 32"/>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708463" y="99100084"/>
          <a:ext cx="2666990" cy="2753593"/>
        </a:xfrm>
        <a:prstGeom prst="rect">
          <a:avLst/>
        </a:prstGeom>
        <a:ln>
          <a:solidFill>
            <a:schemeClr val="tx1"/>
          </a:solidFill>
        </a:ln>
      </xdr:spPr>
    </xdr:pic>
    <xdr:clientData/>
  </xdr:twoCellAnchor>
  <xdr:twoCellAnchor>
    <xdr:from>
      <xdr:col>0</xdr:col>
      <xdr:colOff>522724</xdr:colOff>
      <xdr:row>500</xdr:row>
      <xdr:rowOff>29830</xdr:rowOff>
    </xdr:from>
    <xdr:to>
      <xdr:col>8</xdr:col>
      <xdr:colOff>209760</xdr:colOff>
      <xdr:row>522</xdr:row>
      <xdr:rowOff>120975</xdr:rowOff>
    </xdr:to>
    <xdr:grpSp>
      <xdr:nvGrpSpPr>
        <xdr:cNvPr id="6" name="Group 5"/>
        <xdr:cNvGrpSpPr/>
      </xdr:nvGrpSpPr>
      <xdr:grpSpPr>
        <a:xfrm>
          <a:off x="522724" y="100442380"/>
          <a:ext cx="5249636" cy="4282145"/>
          <a:chOff x="744520" y="62380480"/>
          <a:chExt cx="5248275" cy="4282145"/>
        </a:xfrm>
      </xdr:grpSpPr>
      <xdr:grpSp>
        <xdr:nvGrpSpPr>
          <xdr:cNvPr id="35" name="Group 34"/>
          <xdr:cNvGrpSpPr/>
        </xdr:nvGrpSpPr>
        <xdr:grpSpPr>
          <a:xfrm>
            <a:off x="744520" y="62380480"/>
            <a:ext cx="5248275" cy="4282145"/>
            <a:chOff x="867682" y="2615593"/>
            <a:chExt cx="5249636" cy="4282145"/>
          </a:xfrm>
        </xdr:grpSpPr>
        <xdr:pic>
          <xdr:nvPicPr>
            <xdr:cNvPr id="36" name="Picture 35"/>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867682" y="2615593"/>
              <a:ext cx="5249636" cy="4282145"/>
            </a:xfrm>
            <a:prstGeom prst="rect">
              <a:avLst/>
            </a:prstGeom>
            <a:ln>
              <a:solidFill>
                <a:schemeClr val="tx1"/>
              </a:solidFill>
            </a:ln>
          </xdr:spPr>
        </xdr:pic>
        <xdr:sp macro="" textlink="">
          <xdr:nvSpPr>
            <xdr:cNvPr id="45" name="Rectangle 44"/>
            <xdr:cNvSpPr/>
          </xdr:nvSpPr>
          <xdr:spPr>
            <a:xfrm>
              <a:off x="3346451" y="3495675"/>
              <a:ext cx="735013" cy="552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6" name="Rectangle 45"/>
            <xdr:cNvSpPr/>
          </xdr:nvSpPr>
          <xdr:spPr>
            <a:xfrm>
              <a:off x="3132930" y="4062414"/>
              <a:ext cx="971889" cy="604063"/>
            </a:xfrm>
            <a:prstGeom prst="rect">
              <a:avLst/>
            </a:prstGeom>
            <a:noFill/>
            <a:ln>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7" name="Rectangle 46"/>
            <xdr:cNvSpPr/>
          </xdr:nvSpPr>
          <xdr:spPr>
            <a:xfrm>
              <a:off x="2052639" y="4243113"/>
              <a:ext cx="545905" cy="49688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8" name="TextBox 26"/>
            <xdr:cNvSpPr txBox="1"/>
          </xdr:nvSpPr>
          <xdr:spPr>
            <a:xfrm>
              <a:off x="2306536" y="3320407"/>
              <a:ext cx="1074420" cy="2539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solidFill>
                    <a:srgbClr val="0000FF"/>
                  </a:solidFill>
                  <a:latin typeface="Times New Roman" panose="02020603050405020304" pitchFamily="18" charset="0"/>
                  <a:cs typeface="Times New Roman" panose="02020603050405020304" pitchFamily="18" charset="0"/>
                </a:rPr>
                <a:t>Rehab Wing C</a:t>
              </a:r>
              <a:endParaRPr lang="en-IN" sz="1050" b="1">
                <a:solidFill>
                  <a:srgbClr val="0000FF"/>
                </a:solidFill>
                <a:latin typeface="Times New Roman" panose="02020603050405020304" pitchFamily="18" charset="0"/>
                <a:cs typeface="Times New Roman" panose="02020603050405020304" pitchFamily="18" charset="0"/>
              </a:endParaRPr>
            </a:p>
          </xdr:txBody>
        </xdr:sp>
        <xdr:sp macro="" textlink="">
          <xdr:nvSpPr>
            <xdr:cNvPr id="49" name="TextBox 27"/>
            <xdr:cNvSpPr txBox="1"/>
          </xdr:nvSpPr>
          <xdr:spPr>
            <a:xfrm>
              <a:off x="3327400" y="3252229"/>
              <a:ext cx="1074420" cy="2539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solidFill>
                    <a:srgbClr val="CC0000"/>
                  </a:solidFill>
                  <a:latin typeface="Times New Roman" panose="02020603050405020304" pitchFamily="18" charset="0"/>
                  <a:cs typeface="Times New Roman" panose="02020603050405020304" pitchFamily="18" charset="0"/>
                </a:rPr>
                <a:t>Sale Wing A</a:t>
              </a:r>
              <a:endParaRPr lang="en-IN" sz="1050" b="1">
                <a:solidFill>
                  <a:srgbClr val="CC0000"/>
                </a:solidFill>
                <a:latin typeface="Times New Roman" panose="02020603050405020304" pitchFamily="18" charset="0"/>
                <a:cs typeface="Times New Roman" panose="02020603050405020304" pitchFamily="18" charset="0"/>
              </a:endParaRPr>
            </a:p>
          </xdr:txBody>
        </xdr:sp>
        <xdr:sp macro="" textlink="">
          <xdr:nvSpPr>
            <xdr:cNvPr id="50" name="TextBox 28"/>
            <xdr:cNvSpPr txBox="1"/>
          </xdr:nvSpPr>
          <xdr:spPr>
            <a:xfrm>
              <a:off x="3186272" y="4635282"/>
              <a:ext cx="1074420" cy="2539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solidFill>
                    <a:srgbClr val="FF00FF"/>
                  </a:solidFill>
                  <a:latin typeface="Times New Roman" panose="02020603050405020304" pitchFamily="18" charset="0"/>
                  <a:cs typeface="Times New Roman" panose="02020603050405020304" pitchFamily="18" charset="0"/>
                </a:rPr>
                <a:t>Sale Wing B</a:t>
              </a:r>
              <a:endParaRPr lang="en-IN" sz="1050" b="1">
                <a:solidFill>
                  <a:srgbClr val="FF00FF"/>
                </a:solidFill>
                <a:latin typeface="Times New Roman" panose="02020603050405020304" pitchFamily="18" charset="0"/>
                <a:cs typeface="Times New Roman" panose="02020603050405020304" pitchFamily="18" charset="0"/>
              </a:endParaRPr>
            </a:p>
          </xdr:txBody>
        </xdr:sp>
        <xdr:sp macro="" textlink="">
          <xdr:nvSpPr>
            <xdr:cNvPr id="51" name="TextBox 29"/>
            <xdr:cNvSpPr txBox="1"/>
          </xdr:nvSpPr>
          <xdr:spPr>
            <a:xfrm>
              <a:off x="2026974" y="4762240"/>
              <a:ext cx="1074420" cy="2539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latin typeface="Times New Roman" panose="02020603050405020304" pitchFamily="18" charset="0"/>
                  <a:cs typeface="Times New Roman" panose="02020603050405020304" pitchFamily="18" charset="0"/>
                </a:rPr>
                <a:t>Sale Wing D</a:t>
              </a:r>
              <a:endParaRPr lang="en-IN" sz="1050" b="1">
                <a:latin typeface="Times New Roman" panose="02020603050405020304" pitchFamily="18" charset="0"/>
                <a:cs typeface="Times New Roman" panose="02020603050405020304" pitchFamily="18" charset="0"/>
              </a:endParaRPr>
            </a:p>
          </xdr:txBody>
        </xdr:sp>
      </xdr:grpSp>
      <xdr:sp macro="" textlink="">
        <xdr:nvSpPr>
          <xdr:cNvPr id="5" name="Freeform 4"/>
          <xdr:cNvSpPr/>
        </xdr:nvSpPr>
        <xdr:spPr>
          <a:xfrm>
            <a:off x="2239946" y="63311313"/>
            <a:ext cx="982886" cy="1181100"/>
          </a:xfrm>
          <a:custGeom>
            <a:avLst/>
            <a:gdLst>
              <a:gd name="connsiteX0" fmla="*/ 968828 w 979714"/>
              <a:gd name="connsiteY0" fmla="*/ 0 h 1181100"/>
              <a:gd name="connsiteX1" fmla="*/ 0 w 979714"/>
              <a:gd name="connsiteY1" fmla="*/ 0 h 1181100"/>
              <a:gd name="connsiteX2" fmla="*/ 5443 w 979714"/>
              <a:gd name="connsiteY2" fmla="*/ 669472 h 1181100"/>
              <a:gd name="connsiteX3" fmla="*/ 304800 w 979714"/>
              <a:gd name="connsiteY3" fmla="*/ 664029 h 1181100"/>
              <a:gd name="connsiteX4" fmla="*/ 283028 w 979714"/>
              <a:gd name="connsiteY4" fmla="*/ 1181100 h 1181100"/>
              <a:gd name="connsiteX5" fmla="*/ 658585 w 979714"/>
              <a:gd name="connsiteY5" fmla="*/ 1170215 h 1181100"/>
              <a:gd name="connsiteX6" fmla="*/ 647700 w 979714"/>
              <a:gd name="connsiteY6" fmla="*/ 767443 h 1181100"/>
              <a:gd name="connsiteX7" fmla="*/ 397328 w 979714"/>
              <a:gd name="connsiteY7" fmla="*/ 762000 h 1181100"/>
              <a:gd name="connsiteX8" fmla="*/ 386443 w 979714"/>
              <a:gd name="connsiteY8" fmla="*/ 370115 h 1181100"/>
              <a:gd name="connsiteX9" fmla="*/ 979714 w 979714"/>
              <a:gd name="connsiteY9" fmla="*/ 353786 h 1181100"/>
              <a:gd name="connsiteX10" fmla="*/ 968828 w 979714"/>
              <a:gd name="connsiteY10" fmla="*/ 0 h 1181100"/>
              <a:gd name="connsiteX0" fmla="*/ 968828 w 979714"/>
              <a:gd name="connsiteY0" fmla="*/ 0 h 1181100"/>
              <a:gd name="connsiteX1" fmla="*/ 0 w 979714"/>
              <a:gd name="connsiteY1" fmla="*/ 0 h 1181100"/>
              <a:gd name="connsiteX2" fmla="*/ 5443 w 979714"/>
              <a:gd name="connsiteY2" fmla="*/ 669472 h 1181100"/>
              <a:gd name="connsiteX3" fmla="*/ 281104 w 979714"/>
              <a:gd name="connsiteY3" fmla="*/ 669982 h 1181100"/>
              <a:gd name="connsiteX4" fmla="*/ 283028 w 979714"/>
              <a:gd name="connsiteY4" fmla="*/ 1181100 h 1181100"/>
              <a:gd name="connsiteX5" fmla="*/ 658585 w 979714"/>
              <a:gd name="connsiteY5" fmla="*/ 1170215 h 1181100"/>
              <a:gd name="connsiteX6" fmla="*/ 647700 w 979714"/>
              <a:gd name="connsiteY6" fmla="*/ 767443 h 1181100"/>
              <a:gd name="connsiteX7" fmla="*/ 397328 w 979714"/>
              <a:gd name="connsiteY7" fmla="*/ 762000 h 1181100"/>
              <a:gd name="connsiteX8" fmla="*/ 386443 w 979714"/>
              <a:gd name="connsiteY8" fmla="*/ 370115 h 1181100"/>
              <a:gd name="connsiteX9" fmla="*/ 979714 w 979714"/>
              <a:gd name="connsiteY9" fmla="*/ 353786 h 1181100"/>
              <a:gd name="connsiteX10" fmla="*/ 968828 w 979714"/>
              <a:gd name="connsiteY10" fmla="*/ 0 h 1181100"/>
              <a:gd name="connsiteX0" fmla="*/ 963859 w 974745"/>
              <a:gd name="connsiteY0" fmla="*/ 0 h 1181100"/>
              <a:gd name="connsiteX1" fmla="*/ 955 w 974745"/>
              <a:gd name="connsiteY1" fmla="*/ 23812 h 1181100"/>
              <a:gd name="connsiteX2" fmla="*/ 474 w 974745"/>
              <a:gd name="connsiteY2" fmla="*/ 669472 h 1181100"/>
              <a:gd name="connsiteX3" fmla="*/ 276135 w 974745"/>
              <a:gd name="connsiteY3" fmla="*/ 669982 h 1181100"/>
              <a:gd name="connsiteX4" fmla="*/ 278059 w 974745"/>
              <a:gd name="connsiteY4" fmla="*/ 1181100 h 1181100"/>
              <a:gd name="connsiteX5" fmla="*/ 653616 w 974745"/>
              <a:gd name="connsiteY5" fmla="*/ 1170215 h 1181100"/>
              <a:gd name="connsiteX6" fmla="*/ 642731 w 974745"/>
              <a:gd name="connsiteY6" fmla="*/ 767443 h 1181100"/>
              <a:gd name="connsiteX7" fmla="*/ 392359 w 974745"/>
              <a:gd name="connsiteY7" fmla="*/ 762000 h 1181100"/>
              <a:gd name="connsiteX8" fmla="*/ 381474 w 974745"/>
              <a:gd name="connsiteY8" fmla="*/ 370115 h 1181100"/>
              <a:gd name="connsiteX9" fmla="*/ 974745 w 974745"/>
              <a:gd name="connsiteY9" fmla="*/ 353786 h 1181100"/>
              <a:gd name="connsiteX10" fmla="*/ 963859 w 974745"/>
              <a:gd name="connsiteY10" fmla="*/ 0 h 1181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974745" h="1181100">
                <a:moveTo>
                  <a:pt x="963859" y="0"/>
                </a:moveTo>
                <a:lnTo>
                  <a:pt x="955" y="23812"/>
                </a:lnTo>
                <a:cubicBezTo>
                  <a:pt x="2769" y="246969"/>
                  <a:pt x="-1340" y="446315"/>
                  <a:pt x="474" y="669472"/>
                </a:cubicBezTo>
                <a:lnTo>
                  <a:pt x="276135" y="669982"/>
                </a:lnTo>
                <a:cubicBezTo>
                  <a:pt x="276776" y="840355"/>
                  <a:pt x="277418" y="1010727"/>
                  <a:pt x="278059" y="1181100"/>
                </a:cubicBezTo>
                <a:lnTo>
                  <a:pt x="653616" y="1170215"/>
                </a:lnTo>
                <a:lnTo>
                  <a:pt x="642731" y="767443"/>
                </a:lnTo>
                <a:lnTo>
                  <a:pt x="392359" y="762000"/>
                </a:lnTo>
                <a:lnTo>
                  <a:pt x="381474" y="370115"/>
                </a:lnTo>
                <a:lnTo>
                  <a:pt x="974745" y="353786"/>
                </a:lnTo>
                <a:lnTo>
                  <a:pt x="963859" y="0"/>
                </a:lnTo>
                <a:close/>
              </a:path>
            </a:pathLst>
          </a:cu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10</xdr:col>
      <xdr:colOff>311426</xdr:colOff>
      <xdr:row>439</xdr:row>
      <xdr:rowOff>0</xdr:rowOff>
    </xdr:from>
    <xdr:to>
      <xdr:col>12</xdr:col>
      <xdr:colOff>177247</xdr:colOff>
      <xdr:row>440</xdr:row>
      <xdr:rowOff>74544</xdr:rowOff>
    </xdr:to>
    <xdr:sp macro="" textlink="">
      <xdr:nvSpPr>
        <xdr:cNvPr id="37" name="TextBox 36"/>
        <xdr:cNvSpPr txBox="1"/>
      </xdr:nvSpPr>
      <xdr:spPr>
        <a:xfrm>
          <a:off x="7048776" y="86391750"/>
          <a:ext cx="1148521" cy="252344"/>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ysClr val="windowText" lastClr="000000"/>
              </a:solidFill>
              <a:latin typeface="Times New Roman" panose="02020603050405020304" pitchFamily="18" charset="0"/>
              <a:cs typeface="Times New Roman" panose="02020603050405020304" pitchFamily="18" charset="0"/>
            </a:rPr>
            <a:t>Sale</a:t>
          </a:r>
          <a:r>
            <a:rPr lang="en-IN" sz="1200" b="1" baseline="0">
              <a:solidFill>
                <a:sysClr val="windowText" lastClr="000000"/>
              </a:solidFill>
              <a:latin typeface="Times New Roman" panose="02020603050405020304" pitchFamily="18" charset="0"/>
              <a:cs typeface="Times New Roman" panose="02020603050405020304" pitchFamily="18" charset="0"/>
            </a:rPr>
            <a:t> Wing A</a:t>
          </a:r>
          <a:endParaRPr lang="en-IN" sz="12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13</xdr:col>
      <xdr:colOff>578679</xdr:colOff>
      <xdr:row>439</xdr:row>
      <xdr:rowOff>41413</xdr:rowOff>
    </xdr:from>
    <xdr:to>
      <xdr:col>15</xdr:col>
      <xdr:colOff>435388</xdr:colOff>
      <xdr:row>440</xdr:row>
      <xdr:rowOff>115957</xdr:rowOff>
    </xdr:to>
    <xdr:sp macro="" textlink="">
      <xdr:nvSpPr>
        <xdr:cNvPr id="41" name="TextBox 40"/>
        <xdr:cNvSpPr txBox="1"/>
      </xdr:nvSpPr>
      <xdr:spPr>
        <a:xfrm>
          <a:off x="9240079" y="86433163"/>
          <a:ext cx="1145759" cy="252344"/>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ysClr val="windowText" lastClr="000000"/>
              </a:solidFill>
              <a:latin typeface="Times New Roman" panose="02020603050405020304" pitchFamily="18" charset="0"/>
              <a:cs typeface="Times New Roman" panose="02020603050405020304" pitchFamily="18" charset="0"/>
            </a:rPr>
            <a:t>Sale</a:t>
          </a:r>
          <a:r>
            <a:rPr lang="en-IN" sz="1200" b="1" baseline="0">
              <a:solidFill>
                <a:sysClr val="windowText" lastClr="000000"/>
              </a:solidFill>
              <a:latin typeface="Times New Roman" panose="02020603050405020304" pitchFamily="18" charset="0"/>
              <a:cs typeface="Times New Roman" panose="02020603050405020304" pitchFamily="18" charset="0"/>
            </a:rPr>
            <a:t> Wing B</a:t>
          </a:r>
          <a:endParaRPr lang="en-IN" sz="12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304800</xdr:colOff>
      <xdr:row>452</xdr:row>
      <xdr:rowOff>9525</xdr:rowOff>
    </xdr:from>
    <xdr:to>
      <xdr:col>13</xdr:col>
      <xdr:colOff>324678</xdr:colOff>
      <xdr:row>453</xdr:row>
      <xdr:rowOff>112368</xdr:rowOff>
    </xdr:to>
    <xdr:sp macro="" textlink="">
      <xdr:nvSpPr>
        <xdr:cNvPr id="42" name="TextBox 41"/>
        <xdr:cNvSpPr txBox="1"/>
      </xdr:nvSpPr>
      <xdr:spPr>
        <a:xfrm>
          <a:off x="7353300" y="91278075"/>
          <a:ext cx="1239078" cy="293343"/>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ysClr val="windowText" lastClr="000000"/>
              </a:solidFill>
              <a:latin typeface="Times New Roman" panose="02020603050405020304" pitchFamily="18" charset="0"/>
              <a:cs typeface="Times New Roman" panose="02020603050405020304" pitchFamily="18" charset="0"/>
            </a:rPr>
            <a:t>Rehab Wing C</a:t>
          </a:r>
          <a:endParaRPr lang="en-IN" sz="12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13</xdr:col>
      <xdr:colOff>138843</xdr:colOff>
      <xdr:row>453</xdr:row>
      <xdr:rowOff>124239</xdr:rowOff>
    </xdr:from>
    <xdr:to>
      <xdr:col>16</xdr:col>
      <xdr:colOff>49115</xdr:colOff>
      <xdr:row>455</xdr:row>
      <xdr:rowOff>8283</xdr:rowOff>
    </xdr:to>
    <xdr:sp macro="" textlink="">
      <xdr:nvSpPr>
        <xdr:cNvPr id="43" name="TextBox 42"/>
        <xdr:cNvSpPr txBox="1"/>
      </xdr:nvSpPr>
      <xdr:spPr>
        <a:xfrm>
          <a:off x="8800243" y="89005189"/>
          <a:ext cx="1840672" cy="239644"/>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ysClr val="windowText" lastClr="000000"/>
              </a:solidFill>
              <a:latin typeface="Times New Roman" panose="02020603050405020304" pitchFamily="18" charset="0"/>
              <a:cs typeface="Times New Roman" panose="02020603050405020304" pitchFamily="18" charset="0"/>
            </a:rPr>
            <a:t>(Sale + Rehab) Wing D</a:t>
          </a:r>
          <a:endParaRPr lang="en-IN" sz="12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38100</xdr:colOff>
      <xdr:row>439</xdr:row>
      <xdr:rowOff>133349</xdr:rowOff>
    </xdr:from>
    <xdr:to>
      <xdr:col>20</xdr:col>
      <xdr:colOff>453016</xdr:colOff>
      <xdr:row>481</xdr:row>
      <xdr:rowOff>188325</xdr:rowOff>
    </xdr:to>
    <xdr:grpSp>
      <xdr:nvGrpSpPr>
        <xdr:cNvPr id="9" name="Group 8"/>
        <xdr:cNvGrpSpPr/>
      </xdr:nvGrpSpPr>
      <xdr:grpSpPr>
        <a:xfrm>
          <a:off x="7477125" y="88925399"/>
          <a:ext cx="5910841" cy="8055976"/>
          <a:chOff x="304800" y="89039699"/>
          <a:chExt cx="5910841" cy="8055976"/>
        </a:xfrm>
      </xdr:grpSpPr>
      <xdr:pic>
        <xdr:nvPicPr>
          <xdr:cNvPr id="56" name="Picture 55" descr="https://vsjcllp.vsjadon.com/upload/insp-226094-152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1771650" y="95284627"/>
            <a:ext cx="1362075" cy="181104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https://vsjcllp.vsjadon.com/upload/insp-226094-844.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4295775" y="92659200"/>
            <a:ext cx="1919866" cy="25527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26094-847.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333750" y="89039699"/>
            <a:ext cx="2672052" cy="3552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https://vsjcllp.vsjadon.com/upload/insp-226094-85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571500" y="89039699"/>
            <a:ext cx="2672052" cy="3552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3" name="Picture 62" descr="https://vsjcllp.vsjadon.com/upload/insp-226094-862.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295525" y="92659200"/>
            <a:ext cx="1919866" cy="25527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4" name="Picture 63" descr="https://vsjcllp.vsjadon.com/upload/insp-226094-87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04800" y="92659200"/>
            <a:ext cx="1919866" cy="25527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https://vsjcllp.vsjadon.com/upload/insp-226094-1512.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3228975" y="95284627"/>
            <a:ext cx="1362075" cy="181104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8" name="TextBox 7"/>
          <xdr:cNvSpPr txBox="1"/>
        </xdr:nvSpPr>
        <xdr:spPr>
          <a:xfrm>
            <a:off x="5010150" y="89182575"/>
            <a:ext cx="8763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Wing D</a:t>
            </a:r>
          </a:p>
        </xdr:txBody>
      </xdr:sp>
      <xdr:sp macro="" textlink="">
        <xdr:nvSpPr>
          <xdr:cNvPr id="38" name="TextBox 37"/>
          <xdr:cNvSpPr txBox="1"/>
        </xdr:nvSpPr>
        <xdr:spPr>
          <a:xfrm>
            <a:off x="571500" y="89039699"/>
            <a:ext cx="8763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Wing B</a:t>
            </a:r>
          </a:p>
        </xdr:txBody>
      </xdr:sp>
      <xdr:sp macro="" textlink="">
        <xdr:nvSpPr>
          <xdr:cNvPr id="39" name="TextBox 38"/>
          <xdr:cNvSpPr txBox="1"/>
        </xdr:nvSpPr>
        <xdr:spPr>
          <a:xfrm>
            <a:off x="2466975" y="89058749"/>
            <a:ext cx="8763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Wing A</a:t>
            </a:r>
          </a:p>
        </xdr:txBody>
      </xdr:sp>
      <xdr:sp macro="" textlink="">
        <xdr:nvSpPr>
          <xdr:cNvPr id="40" name="TextBox 39"/>
          <xdr:cNvSpPr txBox="1"/>
        </xdr:nvSpPr>
        <xdr:spPr>
          <a:xfrm>
            <a:off x="304800" y="92659200"/>
            <a:ext cx="8763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Wing C</a:t>
            </a:r>
          </a:p>
        </xdr:txBody>
      </xdr:sp>
      <xdr:sp macro="" textlink="">
        <xdr:nvSpPr>
          <xdr:cNvPr id="58" name="TextBox 57"/>
          <xdr:cNvSpPr txBox="1"/>
        </xdr:nvSpPr>
        <xdr:spPr>
          <a:xfrm>
            <a:off x="2752725" y="92630625"/>
            <a:ext cx="8763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Wing B</a:t>
            </a:r>
          </a:p>
        </xdr:txBody>
      </xdr:sp>
    </xdr:grpSp>
    <xdr:clientData/>
  </xdr:twoCellAnchor>
  <xdr:twoCellAnchor>
    <xdr:from>
      <xdr:col>0</xdr:col>
      <xdr:colOff>38100</xdr:colOff>
      <xdr:row>441</xdr:row>
      <xdr:rowOff>9525</xdr:rowOff>
    </xdr:from>
    <xdr:to>
      <xdr:col>9</xdr:col>
      <xdr:colOff>568797</xdr:colOff>
      <xdr:row>469</xdr:row>
      <xdr:rowOff>188725</xdr:rowOff>
    </xdr:to>
    <xdr:grpSp>
      <xdr:nvGrpSpPr>
        <xdr:cNvPr id="10" name="Group 9"/>
        <xdr:cNvGrpSpPr/>
      </xdr:nvGrpSpPr>
      <xdr:grpSpPr>
        <a:xfrm>
          <a:off x="38100" y="89182575"/>
          <a:ext cx="6683847" cy="5513200"/>
          <a:chOff x="38100" y="89182575"/>
          <a:chExt cx="6683847" cy="5513200"/>
        </a:xfrm>
      </xdr:grpSpPr>
      <xdr:pic>
        <xdr:nvPicPr>
          <xdr:cNvPr id="66" name="Picture 65" descr="insp-239486-1525.jpg (719×956)"/>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4285203" y="92175775"/>
            <a:ext cx="1895272"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7" name="Picture 66" descr="insp-239486-843.jpg (719×956)"/>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2297011" y="89182575"/>
            <a:ext cx="2166025"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insp-239486-851.jpg (719×956)"/>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38100" y="89182575"/>
            <a:ext cx="2166025"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insp-239486-871.jpg (719×956)"/>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308819" y="92175775"/>
            <a:ext cx="1895272"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0" name="Picture 69" descr="insp-239486-874.jpg (719×956)"/>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4555922" y="89182575"/>
            <a:ext cx="2166025"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1" name="Picture 70" descr="insp-239486-931.jpg (719×956)"/>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2297011" y="92175775"/>
            <a:ext cx="1895272"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1ThAJTXf5rJDChTy7"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0"/>
  <sheetViews>
    <sheetView tabSelected="1" view="pageBreakPreview" topLeftCell="A425" zoomScaleNormal="100" zoomScaleSheetLayoutView="100" zoomScalePageLayoutView="85" workbookViewId="0">
      <selection activeCell="A427" sqref="A427:J428"/>
    </sheetView>
  </sheetViews>
  <sheetFormatPr defaultColWidth="9.140625" defaultRowHeight="15" x14ac:dyDescent="0.25"/>
  <cols>
    <col min="1" max="1" width="8.7109375" style="21" customWidth="1"/>
    <col min="2" max="2" width="14.5703125" style="21" customWidth="1"/>
    <col min="3" max="3" width="14.42578125" style="21" customWidth="1"/>
    <col min="4" max="4" width="7.28515625" style="21" customWidth="1"/>
    <col min="5" max="5" width="8.140625" style="21" customWidth="1"/>
    <col min="6" max="6" width="10.5703125" style="21" customWidth="1"/>
    <col min="7" max="8" width="9.85546875" style="21" customWidth="1"/>
    <col min="9" max="9" width="8.85546875" style="21" customWidth="1"/>
    <col min="10" max="10" width="10.140625" style="21" customWidth="1"/>
    <col min="11" max="13" width="9.140625" style="21"/>
    <col min="14" max="14" width="9.28515625" style="21" customWidth="1"/>
    <col min="15" max="16384" width="9.140625" style="21"/>
  </cols>
  <sheetData>
    <row r="1" spans="1:11" ht="43.9" customHeight="1" x14ac:dyDescent="0.25">
      <c r="A1" s="124" t="s">
        <v>163</v>
      </c>
      <c r="B1" s="125"/>
      <c r="C1" s="125"/>
      <c r="D1" s="125"/>
      <c r="E1" s="125"/>
      <c r="F1" s="125"/>
      <c r="G1" s="125"/>
      <c r="H1" s="125"/>
      <c r="I1" s="125"/>
      <c r="J1" s="126"/>
    </row>
    <row r="2" spans="1:11" x14ac:dyDescent="0.25">
      <c r="A2" s="53" t="s">
        <v>37</v>
      </c>
      <c r="B2" s="54"/>
      <c r="C2" s="54"/>
      <c r="D2" s="54"/>
      <c r="E2" s="54"/>
      <c r="F2" s="54"/>
      <c r="G2" s="54"/>
      <c r="H2" s="54"/>
      <c r="I2" s="54"/>
      <c r="J2" s="55"/>
    </row>
    <row r="3" spans="1:11" x14ac:dyDescent="0.25">
      <c r="A3" s="80" t="s">
        <v>0</v>
      </c>
      <c r="B3" s="81"/>
      <c r="C3" s="81"/>
      <c r="D3" s="81"/>
      <c r="E3" s="82"/>
      <c r="F3" s="183" t="str">
        <f ca="1">TEXT(TODAY(),"DD/MM/YYYY")</f>
        <v>07/07/2025</v>
      </c>
      <c r="G3" s="184"/>
      <c r="H3" s="184"/>
      <c r="I3" s="184"/>
      <c r="J3" s="185"/>
    </row>
    <row r="4" spans="1:11" x14ac:dyDescent="0.25">
      <c r="A4" s="80" t="s">
        <v>1</v>
      </c>
      <c r="B4" s="81"/>
      <c r="C4" s="81"/>
      <c r="D4" s="81"/>
      <c r="E4" s="82"/>
      <c r="F4" s="80" t="s">
        <v>168</v>
      </c>
      <c r="G4" s="81"/>
      <c r="H4" s="81"/>
      <c r="I4" s="81"/>
      <c r="J4" s="82"/>
    </row>
    <row r="5" spans="1:11" x14ac:dyDescent="0.25">
      <c r="A5" s="80" t="s">
        <v>2</v>
      </c>
      <c r="B5" s="81"/>
      <c r="C5" s="81"/>
      <c r="D5" s="81"/>
      <c r="E5" s="82"/>
      <c r="F5" s="183">
        <v>45843</v>
      </c>
      <c r="G5" s="184"/>
      <c r="H5" s="184"/>
      <c r="I5" s="184"/>
      <c r="J5" s="185"/>
    </row>
    <row r="6" spans="1:11" ht="16.5" customHeight="1" x14ac:dyDescent="0.25">
      <c r="A6" s="80" t="s">
        <v>3</v>
      </c>
      <c r="B6" s="81"/>
      <c r="C6" s="81"/>
      <c r="D6" s="81"/>
      <c r="E6" s="82"/>
      <c r="F6" s="56" t="s">
        <v>119</v>
      </c>
      <c r="G6" s="57"/>
      <c r="H6" s="57"/>
      <c r="I6" s="57"/>
      <c r="J6" s="58"/>
    </row>
    <row r="7" spans="1:11" ht="15" customHeight="1" x14ac:dyDescent="0.25">
      <c r="A7" s="80" t="s">
        <v>4</v>
      </c>
      <c r="B7" s="81"/>
      <c r="C7" s="81"/>
      <c r="D7" s="81"/>
      <c r="E7" s="82"/>
      <c r="F7" s="56" t="str">
        <f>F6</f>
        <v>M/s. Trident Ozone LLP.</v>
      </c>
      <c r="G7" s="57"/>
      <c r="H7" s="57"/>
      <c r="I7" s="57"/>
      <c r="J7" s="58"/>
    </row>
    <row r="8" spans="1:11" x14ac:dyDescent="0.25">
      <c r="A8" s="80" t="s">
        <v>5</v>
      </c>
      <c r="B8" s="81"/>
      <c r="C8" s="81"/>
      <c r="D8" s="81"/>
      <c r="E8" s="82"/>
      <c r="F8" s="89" t="s">
        <v>120</v>
      </c>
      <c r="G8" s="90"/>
      <c r="H8" s="90"/>
      <c r="I8" s="90"/>
      <c r="J8" s="91"/>
    </row>
    <row r="9" spans="1:11" ht="45" customHeight="1" x14ac:dyDescent="0.25">
      <c r="A9" s="108" t="s">
        <v>121</v>
      </c>
      <c r="B9" s="175"/>
      <c r="C9" s="175"/>
      <c r="D9" s="175"/>
      <c r="E9" s="176"/>
      <c r="F9" s="74" t="s">
        <v>181</v>
      </c>
      <c r="G9" s="175"/>
      <c r="H9" s="175"/>
      <c r="I9" s="175"/>
      <c r="J9" s="176"/>
    </row>
    <row r="10" spans="1:11" s="37" customFormat="1" hidden="1" x14ac:dyDescent="0.25">
      <c r="A10" s="190" t="s">
        <v>178</v>
      </c>
      <c r="B10" s="191"/>
      <c r="C10" s="191"/>
      <c r="D10" s="191"/>
      <c r="E10" s="192"/>
      <c r="F10" s="74"/>
      <c r="G10" s="175"/>
      <c r="H10" s="175"/>
      <c r="I10" s="175"/>
      <c r="J10" s="176"/>
    </row>
    <row r="11" spans="1:11" x14ac:dyDescent="0.25">
      <c r="A11" s="80" t="s">
        <v>164</v>
      </c>
      <c r="B11" s="81"/>
      <c r="C11" s="81"/>
      <c r="D11" s="81"/>
      <c r="E11" s="82"/>
      <c r="F11" s="56">
        <v>2225942037</v>
      </c>
      <c r="G11" s="57"/>
      <c r="H11" s="57"/>
      <c r="I11" s="57"/>
      <c r="J11" s="58"/>
    </row>
    <row r="12" spans="1:11" x14ac:dyDescent="0.25">
      <c r="A12" s="80" t="s">
        <v>169</v>
      </c>
      <c r="B12" s="81"/>
      <c r="C12" s="81"/>
      <c r="D12" s="81"/>
      <c r="E12" s="82"/>
      <c r="F12" s="56" t="s">
        <v>250</v>
      </c>
      <c r="G12" s="57"/>
      <c r="H12" s="57"/>
      <c r="I12" s="57"/>
      <c r="J12" s="58"/>
    </row>
    <row r="13" spans="1:11" x14ac:dyDescent="0.25">
      <c r="A13" s="80" t="s">
        <v>117</v>
      </c>
      <c r="B13" s="81"/>
      <c r="C13" s="81"/>
      <c r="D13" s="81"/>
      <c r="E13" s="82"/>
      <c r="F13" s="56" t="s">
        <v>122</v>
      </c>
      <c r="G13" s="57"/>
      <c r="H13" s="57"/>
      <c r="I13" s="57"/>
      <c r="J13" s="58"/>
    </row>
    <row r="14" spans="1:11" x14ac:dyDescent="0.25">
      <c r="A14" s="108" t="s">
        <v>165</v>
      </c>
      <c r="B14" s="175"/>
      <c r="C14" s="175"/>
      <c r="D14" s="175"/>
      <c r="E14" s="176"/>
      <c r="F14" s="108" t="s">
        <v>253</v>
      </c>
      <c r="G14" s="175"/>
      <c r="H14" s="175"/>
      <c r="I14" s="175"/>
      <c r="J14" s="176"/>
      <c r="K14" s="21" t="s">
        <v>253</v>
      </c>
    </row>
    <row r="15" spans="1:11" ht="31.5" customHeight="1" x14ac:dyDescent="0.25">
      <c r="A15" s="186" t="s">
        <v>53</v>
      </c>
      <c r="B15" s="186"/>
      <c r="C15" s="56" t="s">
        <v>258</v>
      </c>
      <c r="D15" s="57"/>
      <c r="E15" s="57"/>
      <c r="F15" s="57"/>
      <c r="G15" s="57"/>
      <c r="H15" s="57"/>
      <c r="I15" s="57"/>
      <c r="J15" s="58"/>
    </row>
    <row r="16" spans="1:11" ht="15" customHeight="1" x14ac:dyDescent="0.25">
      <c r="A16" s="137" t="s">
        <v>54</v>
      </c>
      <c r="B16" s="137"/>
      <c r="C16" s="81" t="s">
        <v>123</v>
      </c>
      <c r="D16" s="81"/>
      <c r="E16" s="81"/>
      <c r="F16" s="81"/>
      <c r="G16" s="81"/>
      <c r="H16" s="81"/>
      <c r="I16" s="81"/>
      <c r="J16" s="82"/>
    </row>
    <row r="17" spans="1:10" x14ac:dyDescent="0.25">
      <c r="A17" s="80" t="s">
        <v>254</v>
      </c>
      <c r="B17" s="81"/>
      <c r="C17" s="81"/>
      <c r="D17" s="81"/>
      <c r="E17" s="81"/>
      <c r="F17" s="82"/>
      <c r="G17" s="50" t="s">
        <v>255</v>
      </c>
      <c r="H17" s="56" t="s">
        <v>256</v>
      </c>
      <c r="I17" s="57"/>
      <c r="J17" s="58"/>
    </row>
    <row r="18" spans="1:10" x14ac:dyDescent="0.25">
      <c r="A18" s="51" t="s">
        <v>6</v>
      </c>
      <c r="B18" s="108" t="s">
        <v>257</v>
      </c>
      <c r="C18" s="175"/>
      <c r="D18" s="175"/>
      <c r="E18" s="176"/>
      <c r="F18" s="2" t="s">
        <v>55</v>
      </c>
      <c r="G18" s="80" t="s">
        <v>124</v>
      </c>
      <c r="H18" s="81"/>
      <c r="I18" s="81"/>
      <c r="J18" s="82"/>
    </row>
    <row r="19" spans="1:10" x14ac:dyDescent="0.25">
      <c r="A19" s="1" t="s">
        <v>7</v>
      </c>
      <c r="B19" s="80" t="s">
        <v>136</v>
      </c>
      <c r="C19" s="81"/>
      <c r="D19" s="81"/>
      <c r="E19" s="82"/>
      <c r="F19" s="2" t="s">
        <v>56</v>
      </c>
      <c r="G19" s="80" t="s">
        <v>125</v>
      </c>
      <c r="H19" s="81"/>
      <c r="I19" s="81"/>
      <c r="J19" s="82"/>
    </row>
    <row r="20" spans="1:10" ht="32.25" customHeight="1" x14ac:dyDescent="0.25">
      <c r="A20" s="186" t="s">
        <v>57</v>
      </c>
      <c r="B20" s="186"/>
      <c r="C20" s="187" t="s">
        <v>135</v>
      </c>
      <c r="D20" s="187"/>
      <c r="E20" s="187"/>
      <c r="F20" s="114" t="s">
        <v>44</v>
      </c>
      <c r="G20" s="114"/>
      <c r="H20" s="57" t="s">
        <v>134</v>
      </c>
      <c r="I20" s="57"/>
      <c r="J20" s="58"/>
    </row>
    <row r="21" spans="1:10" ht="15" customHeight="1" x14ac:dyDescent="0.25">
      <c r="A21" s="177" t="s">
        <v>46</v>
      </c>
      <c r="B21" s="178"/>
      <c r="C21" s="178"/>
      <c r="D21" s="178"/>
      <c r="E21" s="179"/>
      <c r="F21" s="92" t="s">
        <v>51</v>
      </c>
      <c r="G21" s="93"/>
      <c r="H21" s="93"/>
      <c r="I21" s="93"/>
      <c r="J21" s="94"/>
    </row>
    <row r="22" spans="1:10" x14ac:dyDescent="0.25">
      <c r="A22" s="180"/>
      <c r="B22" s="181"/>
      <c r="C22" s="181"/>
      <c r="D22" s="181"/>
      <c r="E22" s="182"/>
      <c r="F22" s="115"/>
      <c r="G22" s="116"/>
      <c r="H22" s="116"/>
      <c r="I22" s="116"/>
      <c r="J22" s="117"/>
    </row>
    <row r="23" spans="1:10" ht="15" customHeight="1" x14ac:dyDescent="0.25">
      <c r="A23" s="177" t="s">
        <v>8</v>
      </c>
      <c r="B23" s="178"/>
      <c r="C23" s="178"/>
      <c r="D23" s="178"/>
      <c r="E23" s="179"/>
      <c r="F23" s="177" t="s">
        <v>38</v>
      </c>
      <c r="G23" s="178"/>
      <c r="H23" s="178"/>
      <c r="I23" s="178"/>
      <c r="J23" s="179"/>
    </row>
    <row r="24" spans="1:10" x14ac:dyDescent="0.25">
      <c r="A24" s="180"/>
      <c r="B24" s="181"/>
      <c r="C24" s="181"/>
      <c r="D24" s="181"/>
      <c r="E24" s="182"/>
      <c r="F24" s="180"/>
      <c r="G24" s="181"/>
      <c r="H24" s="181"/>
      <c r="I24" s="181"/>
      <c r="J24" s="182"/>
    </row>
    <row r="25" spans="1:10" x14ac:dyDescent="0.25">
      <c r="A25" s="80" t="s">
        <v>9</v>
      </c>
      <c r="B25" s="81"/>
      <c r="C25" s="81"/>
      <c r="D25" s="81"/>
      <c r="E25" s="82"/>
      <c r="F25" s="155" t="s">
        <v>127</v>
      </c>
      <c r="G25" s="156"/>
      <c r="H25" s="156"/>
      <c r="I25" s="156"/>
      <c r="J25" s="157"/>
    </row>
    <row r="26" spans="1:10" x14ac:dyDescent="0.25">
      <c r="A26" s="80" t="s">
        <v>10</v>
      </c>
      <c r="B26" s="81"/>
      <c r="C26" s="81"/>
      <c r="D26" s="81"/>
      <c r="E26" s="82"/>
      <c r="F26" s="155" t="s">
        <v>45</v>
      </c>
      <c r="G26" s="156"/>
      <c r="H26" s="156"/>
      <c r="I26" s="156"/>
      <c r="J26" s="157"/>
    </row>
    <row r="27" spans="1:10" x14ac:dyDescent="0.25">
      <c r="A27" s="80" t="s">
        <v>11</v>
      </c>
      <c r="B27" s="81"/>
      <c r="C27" s="81"/>
      <c r="D27" s="81"/>
      <c r="E27" s="82"/>
      <c r="F27" s="155" t="s">
        <v>128</v>
      </c>
      <c r="G27" s="156"/>
      <c r="H27" s="156"/>
      <c r="I27" s="156"/>
      <c r="J27" s="157"/>
    </row>
    <row r="28" spans="1:10" x14ac:dyDescent="0.25">
      <c r="A28" s="80" t="s">
        <v>27</v>
      </c>
      <c r="B28" s="81"/>
      <c r="C28" s="81"/>
      <c r="D28" s="81"/>
      <c r="E28" s="82"/>
      <c r="F28" s="155" t="s">
        <v>58</v>
      </c>
      <c r="G28" s="156"/>
      <c r="H28" s="156"/>
      <c r="I28" s="156"/>
      <c r="J28" s="157"/>
    </row>
    <row r="29" spans="1:10" x14ac:dyDescent="0.25">
      <c r="A29" s="135" t="s">
        <v>12</v>
      </c>
      <c r="B29" s="136"/>
      <c r="C29" s="135" t="s">
        <v>13</v>
      </c>
      <c r="D29" s="136"/>
      <c r="E29" s="135" t="s">
        <v>14</v>
      </c>
      <c r="F29" s="136"/>
      <c r="G29" s="135" t="s">
        <v>43</v>
      </c>
      <c r="H29" s="136"/>
      <c r="I29" s="135" t="s">
        <v>15</v>
      </c>
      <c r="J29" s="136"/>
    </row>
    <row r="30" spans="1:10" x14ac:dyDescent="0.25">
      <c r="A30" s="133" t="s">
        <v>172</v>
      </c>
      <c r="B30" s="134"/>
      <c r="C30" s="133" t="s">
        <v>173</v>
      </c>
      <c r="D30" s="134"/>
      <c r="E30" s="133" t="s">
        <v>177</v>
      </c>
      <c r="F30" s="134"/>
      <c r="G30" s="133" t="s">
        <v>173</v>
      </c>
      <c r="H30" s="134"/>
      <c r="I30" s="133" t="s">
        <v>173</v>
      </c>
      <c r="J30" s="134"/>
    </row>
    <row r="31" spans="1:10" ht="28.5" customHeight="1" x14ac:dyDescent="0.25">
      <c r="A31" s="133" t="s">
        <v>16</v>
      </c>
      <c r="B31" s="134"/>
      <c r="C31" s="140" t="s">
        <v>126</v>
      </c>
      <c r="D31" s="141"/>
      <c r="E31" s="140" t="s">
        <v>126</v>
      </c>
      <c r="F31" s="141"/>
      <c r="G31" s="140" t="s">
        <v>174</v>
      </c>
      <c r="H31" s="141"/>
      <c r="I31" s="140" t="s">
        <v>135</v>
      </c>
      <c r="J31" s="141"/>
    </row>
    <row r="32" spans="1:10" x14ac:dyDescent="0.25">
      <c r="A32" s="80" t="s">
        <v>50</v>
      </c>
      <c r="B32" s="81"/>
      <c r="C32" s="81"/>
      <c r="D32" s="81"/>
      <c r="E32" s="81"/>
      <c r="F32" s="81"/>
      <c r="G32" s="81"/>
      <c r="H32" s="81"/>
      <c r="I32" s="81"/>
      <c r="J32" s="82"/>
    </row>
    <row r="33" spans="1:12" x14ac:dyDescent="0.25">
      <c r="A33" s="80" t="s">
        <v>39</v>
      </c>
      <c r="B33" s="81"/>
      <c r="C33" s="81"/>
      <c r="D33" s="81"/>
      <c r="E33" s="81"/>
      <c r="F33" s="81"/>
      <c r="G33" s="81"/>
      <c r="H33" s="81"/>
      <c r="I33" s="81"/>
      <c r="J33" s="82"/>
    </row>
    <row r="34" spans="1:12" x14ac:dyDescent="0.25">
      <c r="A34" s="145" t="s">
        <v>34</v>
      </c>
      <c r="B34" s="146"/>
      <c r="C34" s="80" t="s">
        <v>171</v>
      </c>
      <c r="D34" s="81"/>
      <c r="E34" s="81"/>
      <c r="F34" s="81"/>
      <c r="G34" s="81"/>
      <c r="H34" s="81"/>
      <c r="I34" s="81"/>
      <c r="J34" s="82"/>
    </row>
    <row r="35" spans="1:12" x14ac:dyDescent="0.25">
      <c r="A35" s="145" t="s">
        <v>161</v>
      </c>
      <c r="B35" s="147"/>
      <c r="C35" s="148" t="s">
        <v>162</v>
      </c>
      <c r="D35" s="81"/>
      <c r="E35" s="81"/>
      <c r="F35" s="81"/>
      <c r="G35" s="81"/>
      <c r="H35" s="81"/>
      <c r="I35" s="81"/>
      <c r="J35" s="82"/>
    </row>
    <row r="36" spans="1:12" x14ac:dyDescent="0.25">
      <c r="A36" s="142" t="s">
        <v>17</v>
      </c>
      <c r="B36" s="143"/>
      <c r="C36" s="143"/>
      <c r="D36" s="143"/>
      <c r="E36" s="143"/>
      <c r="F36" s="143"/>
      <c r="G36" s="143"/>
      <c r="H36" s="143"/>
      <c r="I36" s="143"/>
      <c r="J36" s="144"/>
    </row>
    <row r="37" spans="1:12" ht="15" customHeight="1" x14ac:dyDescent="0.25">
      <c r="A37" s="177" t="s">
        <v>40</v>
      </c>
      <c r="B37" s="178"/>
      <c r="C37" s="178"/>
      <c r="D37" s="178"/>
      <c r="E37" s="178"/>
      <c r="F37" s="178"/>
      <c r="G37" s="178"/>
      <c r="H37" s="178"/>
      <c r="I37" s="178"/>
      <c r="J37" s="179"/>
    </row>
    <row r="38" spans="1:12" x14ac:dyDescent="0.25">
      <c r="A38" s="180"/>
      <c r="B38" s="181"/>
      <c r="C38" s="181"/>
      <c r="D38" s="181"/>
      <c r="E38" s="181"/>
      <c r="F38" s="181"/>
      <c r="G38" s="181"/>
      <c r="H38" s="181"/>
      <c r="I38" s="181"/>
      <c r="J38" s="182"/>
    </row>
    <row r="39" spans="1:12" ht="16.5" customHeight="1" x14ac:dyDescent="0.25">
      <c r="A39" s="80" t="s">
        <v>59</v>
      </c>
      <c r="B39" s="81"/>
      <c r="C39" s="81"/>
      <c r="D39" s="81"/>
      <c r="E39" s="82"/>
      <c r="F39" s="56">
        <v>3690.43</v>
      </c>
      <c r="G39" s="57"/>
      <c r="H39" s="57"/>
      <c r="I39" s="57"/>
      <c r="J39" s="58"/>
    </row>
    <row r="40" spans="1:12" x14ac:dyDescent="0.25">
      <c r="A40" s="80" t="s">
        <v>18</v>
      </c>
      <c r="B40" s="81"/>
      <c r="C40" s="81"/>
      <c r="D40" s="81"/>
      <c r="E40" s="82"/>
      <c r="F40" s="127">
        <v>3.7</v>
      </c>
      <c r="G40" s="128"/>
      <c r="H40" s="128"/>
      <c r="I40" s="128"/>
      <c r="J40" s="129"/>
    </row>
    <row r="41" spans="1:12" x14ac:dyDescent="0.25">
      <c r="A41" s="80" t="s">
        <v>19</v>
      </c>
      <c r="B41" s="81"/>
      <c r="C41" s="81"/>
      <c r="D41" s="81"/>
      <c r="E41" s="82"/>
      <c r="F41" s="127">
        <f>F43/F39-F40</f>
        <v>0.50858002996940677</v>
      </c>
      <c r="G41" s="128"/>
      <c r="H41" s="128"/>
      <c r="I41" s="128"/>
      <c r="J41" s="129"/>
    </row>
    <row r="42" spans="1:12" x14ac:dyDescent="0.25">
      <c r="A42" s="80" t="s">
        <v>20</v>
      </c>
      <c r="B42" s="81"/>
      <c r="C42" s="81"/>
      <c r="D42" s="81"/>
      <c r="E42" s="82"/>
      <c r="F42" s="127">
        <f>F40+F41</f>
        <v>4.2085800299694069</v>
      </c>
      <c r="G42" s="128"/>
      <c r="H42" s="128"/>
      <c r="I42" s="128"/>
      <c r="J42" s="129"/>
    </row>
    <row r="43" spans="1:12" x14ac:dyDescent="0.25">
      <c r="A43" s="80" t="s">
        <v>179</v>
      </c>
      <c r="B43" s="81"/>
      <c r="C43" s="81"/>
      <c r="D43" s="81"/>
      <c r="E43" s="82"/>
      <c r="F43" s="127">
        <v>15531.47</v>
      </c>
      <c r="G43" s="128"/>
      <c r="H43" s="128"/>
      <c r="I43" s="128"/>
      <c r="J43" s="129"/>
      <c r="K43" s="21">
        <f>5950.38*2+5430.95+1385.6</f>
        <v>18717.309999999998</v>
      </c>
    </row>
    <row r="44" spans="1:12" x14ac:dyDescent="0.25">
      <c r="A44" s="80" t="s">
        <v>21</v>
      </c>
      <c r="B44" s="81"/>
      <c r="C44" s="81"/>
      <c r="D44" s="81"/>
      <c r="E44" s="82"/>
      <c r="F44" s="80" t="s">
        <v>129</v>
      </c>
      <c r="G44" s="81"/>
      <c r="H44" s="81"/>
      <c r="I44" s="81"/>
      <c r="J44" s="82"/>
    </row>
    <row r="45" spans="1:12" x14ac:dyDescent="0.25">
      <c r="A45" s="89" t="s">
        <v>61</v>
      </c>
      <c r="B45" s="90"/>
      <c r="C45" s="90"/>
      <c r="D45" s="90"/>
      <c r="E45" s="90"/>
      <c r="F45" s="90"/>
      <c r="G45" s="90"/>
      <c r="H45" s="90"/>
      <c r="I45" s="90"/>
      <c r="J45" s="91"/>
    </row>
    <row r="46" spans="1:12" ht="16.5" customHeight="1" x14ac:dyDescent="0.25">
      <c r="A46" s="114" t="s">
        <v>60</v>
      </c>
      <c r="B46" s="114"/>
      <c r="C46" s="105" t="s">
        <v>180</v>
      </c>
      <c r="D46" s="106"/>
      <c r="E46" s="106"/>
      <c r="F46" s="107"/>
      <c r="G46" s="3" t="s">
        <v>52</v>
      </c>
      <c r="H46" s="138">
        <v>44988</v>
      </c>
      <c r="I46" s="106"/>
      <c r="J46" s="107"/>
    </row>
    <row r="47" spans="1:12" x14ac:dyDescent="0.25">
      <c r="A47" s="56" t="s">
        <v>62</v>
      </c>
      <c r="B47" s="58"/>
      <c r="C47" s="105" t="s">
        <v>180</v>
      </c>
      <c r="D47" s="106"/>
      <c r="E47" s="106"/>
      <c r="F47" s="107"/>
      <c r="G47" s="3" t="s">
        <v>52</v>
      </c>
      <c r="H47" s="138">
        <v>44988</v>
      </c>
      <c r="I47" s="106"/>
      <c r="J47" s="107"/>
    </row>
    <row r="48" spans="1:12" ht="62.25" customHeight="1" x14ac:dyDescent="0.25">
      <c r="A48" s="56" t="s">
        <v>260</v>
      </c>
      <c r="B48" s="58"/>
      <c r="C48" s="77" t="s">
        <v>261</v>
      </c>
      <c r="D48" s="78"/>
      <c r="E48" s="78"/>
      <c r="F48" s="79"/>
      <c r="G48" s="3" t="s">
        <v>52</v>
      </c>
      <c r="H48" s="138">
        <v>44614</v>
      </c>
      <c r="I48" s="106"/>
      <c r="J48" s="107"/>
      <c r="L48" s="21" t="s">
        <v>176</v>
      </c>
    </row>
    <row r="49" spans="1:12" ht="57.95" customHeight="1" x14ac:dyDescent="0.25">
      <c r="A49" s="149" t="s">
        <v>167</v>
      </c>
      <c r="B49" s="58"/>
      <c r="C49" s="149" t="s">
        <v>166</v>
      </c>
      <c r="D49" s="150"/>
      <c r="E49" s="150"/>
      <c r="F49" s="151"/>
      <c r="G49" s="52" t="s">
        <v>70</v>
      </c>
      <c r="H49" s="152">
        <v>44988</v>
      </c>
      <c r="I49" s="153"/>
      <c r="J49" s="154"/>
      <c r="L49" s="21" t="s">
        <v>176</v>
      </c>
    </row>
    <row r="50" spans="1:12" x14ac:dyDescent="0.25">
      <c r="A50" s="137" t="s">
        <v>67</v>
      </c>
      <c r="B50" s="137"/>
      <c r="C50" s="137"/>
      <c r="D50" s="113">
        <f>H48</f>
        <v>44614</v>
      </c>
      <c r="E50" s="113"/>
      <c r="F50" s="108" t="s">
        <v>63</v>
      </c>
      <c r="G50" s="109"/>
      <c r="H50" s="139" t="s">
        <v>170</v>
      </c>
      <c r="I50" s="81"/>
      <c r="J50" s="82"/>
    </row>
    <row r="51" spans="1:12" x14ac:dyDescent="0.25">
      <c r="A51" s="130" t="s">
        <v>22</v>
      </c>
      <c r="B51" s="131"/>
      <c r="C51" s="131"/>
      <c r="D51" s="131"/>
      <c r="E51" s="131"/>
      <c r="F51" s="131"/>
      <c r="G51" s="131"/>
      <c r="H51" s="131"/>
      <c r="I51" s="131"/>
      <c r="J51" s="132"/>
    </row>
    <row r="52" spans="1:12" ht="75" customHeight="1" x14ac:dyDescent="0.25">
      <c r="A52" s="80" t="s">
        <v>68</v>
      </c>
      <c r="B52" s="81"/>
      <c r="C52" s="82"/>
      <c r="D52" s="135">
        <f>F43</f>
        <v>15531.47</v>
      </c>
      <c r="E52" s="136"/>
      <c r="F52" s="59" t="s">
        <v>251</v>
      </c>
      <c r="G52" s="60"/>
      <c r="H52" s="74" t="s">
        <v>265</v>
      </c>
      <c r="I52" s="75"/>
      <c r="J52" s="76"/>
    </row>
    <row r="53" spans="1:12" ht="45" customHeight="1" x14ac:dyDescent="0.25">
      <c r="A53" s="1" t="s">
        <v>64</v>
      </c>
      <c r="B53" s="5"/>
      <c r="C53" s="56" t="s">
        <v>259</v>
      </c>
      <c r="D53" s="57"/>
      <c r="E53" s="57"/>
      <c r="F53" s="57"/>
      <c r="G53" s="57"/>
      <c r="H53" s="57"/>
      <c r="I53" s="57"/>
      <c r="J53" s="58"/>
    </row>
    <row r="54" spans="1:12" x14ac:dyDescent="0.25">
      <c r="A54" s="193" t="s">
        <v>131</v>
      </c>
      <c r="B54" s="194"/>
      <c r="C54" s="56" t="s">
        <v>208</v>
      </c>
      <c r="D54" s="57"/>
      <c r="E54" s="57"/>
      <c r="F54" s="57"/>
      <c r="G54" s="57"/>
      <c r="H54" s="57"/>
      <c r="I54" s="57"/>
      <c r="J54" s="58"/>
    </row>
    <row r="55" spans="1:12" x14ac:dyDescent="0.25">
      <c r="A55" s="195"/>
      <c r="B55" s="196"/>
      <c r="C55" s="56" t="s">
        <v>209</v>
      </c>
      <c r="D55" s="57"/>
      <c r="E55" s="57"/>
      <c r="F55" s="57"/>
      <c r="G55" s="57"/>
      <c r="H55" s="57"/>
      <c r="I55" s="57"/>
      <c r="J55" s="58"/>
    </row>
    <row r="56" spans="1:12" x14ac:dyDescent="0.25">
      <c r="A56" s="195"/>
      <c r="B56" s="196"/>
      <c r="C56" s="56" t="s">
        <v>210</v>
      </c>
      <c r="D56" s="57"/>
      <c r="E56" s="57"/>
      <c r="F56" s="57"/>
      <c r="G56" s="57"/>
      <c r="H56" s="57"/>
      <c r="I56" s="57"/>
      <c r="J56" s="58"/>
    </row>
    <row r="57" spans="1:12" x14ac:dyDescent="0.25">
      <c r="A57" s="197"/>
      <c r="B57" s="198"/>
      <c r="C57" s="56" t="s">
        <v>211</v>
      </c>
      <c r="D57" s="57"/>
      <c r="E57" s="57"/>
      <c r="F57" s="57"/>
      <c r="G57" s="57"/>
      <c r="H57" s="57"/>
      <c r="I57" s="57"/>
      <c r="J57" s="58"/>
    </row>
    <row r="58" spans="1:12" x14ac:dyDescent="0.25">
      <c r="A58" s="80" t="s">
        <v>41</v>
      </c>
      <c r="B58" s="81"/>
      <c r="C58" s="81"/>
      <c r="D58" s="81"/>
      <c r="E58" s="82"/>
      <c r="F58" s="56" t="s">
        <v>47</v>
      </c>
      <c r="G58" s="57"/>
      <c r="H58" s="57"/>
      <c r="I58" s="57"/>
      <c r="J58" s="58"/>
    </row>
    <row r="59" spans="1:12" ht="15.75" thickBot="1" x14ac:dyDescent="0.3">
      <c r="A59" s="92" t="s">
        <v>48</v>
      </c>
      <c r="B59" s="93"/>
      <c r="C59" s="93"/>
      <c r="D59" s="93"/>
      <c r="E59" s="93"/>
      <c r="F59" s="93"/>
      <c r="G59" s="93"/>
      <c r="H59" s="93"/>
      <c r="I59" s="93"/>
      <c r="J59" s="94"/>
    </row>
    <row r="60" spans="1:12" ht="15.75" x14ac:dyDescent="0.25">
      <c r="A60" s="188" t="s">
        <v>137</v>
      </c>
      <c r="B60" s="189"/>
      <c r="C60" s="95" t="str">
        <f>C54</f>
        <v xml:space="preserve">Sale Wing A = B + LW Gr + Gr/P1 + 1st to 22nd Floor
</v>
      </c>
      <c r="D60" s="95"/>
      <c r="E60" s="95"/>
      <c r="F60" s="95"/>
      <c r="G60" s="95"/>
      <c r="H60" s="95"/>
      <c r="I60" s="95"/>
      <c r="J60" s="96"/>
      <c r="K60" s="23" t="str">
        <f ca="1">(IF(F66&gt;99%,"All work completed. Please provide OC.",IF(F66&gt;89.8%,"Plinth, RCC, Brick, Plaster, Flooring, Painting work Completed. Finishing work is in process.",IF(F66&lt;94%,(IF(C66=0,"Work not yet Started.",IF(D66=25%,"Piling work in process",IF(D66=50%,"Excavation work in process",IF(D66=100%,"Excavation work Completed. ","0")))&amp;(IF(C67=0%,"",IF(C67=L68,"Footing work is process",IF(C67=L69,"Footing work Completed",IF(C67=L70,"1st Basement Completed",IF(C67=L71,"1st &amp; 2nd Basement Completed",IF(C67=L72,"1st to 3rd Basement Completed",IF(C67=L73,"1st to 4th Basement Completed",IF(C67=L74,"Plinth work is process",IF(C67=L75,"Plinth work completed","0")))))))))))&amp;(IF(C68=(D61+G61+I61),", RCC Slab",IF(C68&gt;0,", RCC upto "&amp;C68&amp;" Slab",""))&amp;(IF(C69=I61,", Brickwork",IF(C69&gt;0,", Brickwork upto "&amp;C69&amp;" Floor",""))&amp;(IF(C70=I61,", Internal Plaster",IF(C70&gt;0,", Internal Plaster upto "&amp;C70&amp;" Floor",""))&amp;(IF(C71=I61,", External Plaster",IF(C71&gt;0,", External Plaster upto "&amp;C71&amp;" Floor",""))&amp;(IF(C72=I61,", Flooring",IF(C72&gt;0,", Flooring upto "&amp;C72&amp;" Floor",""))&amp;(IF(C73=I61,", Painting",IF(C73&gt;0,", Painting upto "&amp;C73&amp;" Floor",""))&amp;(IF(C74&gt;0,", Finishing upto "&amp;C74&amp;" Floor","")&amp;(IF(C68&gt;0.5," Completed",""))))))))))))))</f>
        <v>All work completed. Please provide OC.</v>
      </c>
      <c r="L60" s="23"/>
    </row>
    <row r="61" spans="1:12" ht="15.75" x14ac:dyDescent="0.25">
      <c r="A61" s="32" t="s">
        <v>87</v>
      </c>
      <c r="B61" s="30">
        <v>1</v>
      </c>
      <c r="C61" s="30" t="s">
        <v>89</v>
      </c>
      <c r="D61" s="30">
        <v>2</v>
      </c>
      <c r="E61" s="97" t="s">
        <v>88</v>
      </c>
      <c r="F61" s="97"/>
      <c r="G61" s="30">
        <v>0</v>
      </c>
      <c r="H61" s="30" t="s">
        <v>138</v>
      </c>
      <c r="I61" s="97">
        <f ca="1">--TRIM(RIGHT(SUBSTITUTE(LEFT(C60,_xlfn.AGGREGATE(16,6,FIND({0,1,2,3,4,5,6,7,8,9},C60,ROW(INDIRECT("1:"&amp;LEN(C60)))),1))," ",REPT(" ",LEN(C60))),LEN(C60)))</f>
        <v>22</v>
      </c>
      <c r="J61" s="98"/>
      <c r="K61" s="23"/>
      <c r="L61" s="23"/>
    </row>
    <row r="62" spans="1:12" ht="15.75" x14ac:dyDescent="0.25">
      <c r="A62" s="173" t="s">
        <v>139</v>
      </c>
      <c r="B62" s="174"/>
      <c r="C62" s="122" t="str">
        <f>K62</f>
        <v>All work Completed. OC Received.</v>
      </c>
      <c r="D62" s="122"/>
      <c r="E62" s="122"/>
      <c r="F62" s="122"/>
      <c r="G62" s="122"/>
      <c r="H62" s="122"/>
      <c r="I62" s="122"/>
      <c r="J62" s="123"/>
      <c r="K62" s="23" t="s">
        <v>140</v>
      </c>
      <c r="L62" s="23"/>
    </row>
    <row r="63" spans="1:12" ht="15.75" x14ac:dyDescent="0.25">
      <c r="A63" s="61" t="s">
        <v>143</v>
      </c>
      <c r="B63" s="62"/>
      <c r="C63" s="65">
        <v>1</v>
      </c>
      <c r="D63" s="66"/>
      <c r="E63" s="67"/>
      <c r="F63" s="71" t="s">
        <v>144</v>
      </c>
      <c r="G63" s="67"/>
      <c r="H63" s="65">
        <v>1</v>
      </c>
      <c r="I63" s="66"/>
      <c r="J63" s="72"/>
      <c r="K63" s="23"/>
      <c r="L63" s="23"/>
    </row>
    <row r="64" spans="1:12" ht="16.5" thickBot="1" x14ac:dyDescent="0.3">
      <c r="A64" s="63"/>
      <c r="B64" s="64"/>
      <c r="C64" s="68"/>
      <c r="D64" s="69"/>
      <c r="E64" s="70"/>
      <c r="F64" s="68"/>
      <c r="G64" s="70"/>
      <c r="H64" s="68"/>
      <c r="I64" s="69"/>
      <c r="J64" s="73"/>
      <c r="K64" s="23"/>
      <c r="L64" s="23"/>
    </row>
    <row r="65" spans="1:12" ht="15.75" hidden="1" x14ac:dyDescent="0.25">
      <c r="A65" s="101" t="s">
        <v>29</v>
      </c>
      <c r="B65" s="99"/>
      <c r="C65" s="31" t="s">
        <v>141</v>
      </c>
      <c r="D65" s="99" t="s">
        <v>142</v>
      </c>
      <c r="E65" s="99"/>
      <c r="F65" s="99" t="s">
        <v>143</v>
      </c>
      <c r="G65" s="99"/>
      <c r="H65" s="99" t="s">
        <v>144</v>
      </c>
      <c r="I65" s="99"/>
      <c r="J65" s="100"/>
      <c r="K65" s="24" t="s">
        <v>145</v>
      </c>
      <c r="L65" s="25">
        <f ca="1">I61*25%</f>
        <v>5.5</v>
      </c>
    </row>
    <row r="66" spans="1:12" ht="15.75" hidden="1" x14ac:dyDescent="0.25">
      <c r="A66" s="101" t="s">
        <v>146</v>
      </c>
      <c r="B66" s="99"/>
      <c r="C66" s="28">
        <f ca="1">L67</f>
        <v>22</v>
      </c>
      <c r="D66" s="102">
        <f ca="1">((100/I61)*C66)/100</f>
        <v>1.0000000000000002</v>
      </c>
      <c r="E66" s="102"/>
      <c r="F66" s="102">
        <f ca="1">(((C67/I61*10)+(40/(D61+G61+I61)*C68)+(7.5/(I61)*C69)+(7.5/(I61)*C70)+(10/I61*C71)+(10/I61*C72)+(5/I61*C73)+(5/I61*C74)+(5/I61*C75))/100)</f>
        <v>1</v>
      </c>
      <c r="G66" s="102"/>
      <c r="H66" s="102">
        <f ca="1">((((C66/I61)*20)+((C67/I61)*25)+(30/(I61+G61+D61)*C68)+(5/I61*C69)+(5/I61*C70)+(5/I61*C71)+(5/I61*C72)+(0/I61*C73)+(0/I61*C74)+(5/I61*C75))/100)</f>
        <v>1</v>
      </c>
      <c r="I66" s="102"/>
      <c r="J66" s="119"/>
      <c r="K66" s="24" t="s">
        <v>109</v>
      </c>
      <c r="L66" s="24">
        <f ca="1">I61*50%</f>
        <v>11</v>
      </c>
    </row>
    <row r="67" spans="1:12" ht="15.75" hidden="1" x14ac:dyDescent="0.25">
      <c r="A67" s="101" t="s">
        <v>30</v>
      </c>
      <c r="B67" s="99"/>
      <c r="C67" s="29">
        <f ca="1">L75</f>
        <v>22</v>
      </c>
      <c r="D67" s="102">
        <f ca="1">((100/I61)*C67)/100</f>
        <v>1.0000000000000002</v>
      </c>
      <c r="E67" s="102"/>
      <c r="F67" s="102"/>
      <c r="G67" s="102"/>
      <c r="H67" s="102"/>
      <c r="I67" s="102"/>
      <c r="J67" s="119"/>
      <c r="K67" s="24" t="s">
        <v>112</v>
      </c>
      <c r="L67" s="24">
        <f ca="1">I61</f>
        <v>22</v>
      </c>
    </row>
    <row r="68" spans="1:12" ht="15.75" hidden="1" x14ac:dyDescent="0.25">
      <c r="A68" s="121" t="s">
        <v>147</v>
      </c>
      <c r="B68" s="97"/>
      <c r="C68" s="29">
        <f ca="1">D61+I61</f>
        <v>24</v>
      </c>
      <c r="D68" s="102">
        <f ca="1">((100/(D61+G61+I61))*C68)/100</f>
        <v>1</v>
      </c>
      <c r="E68" s="102"/>
      <c r="F68" s="102"/>
      <c r="G68" s="102"/>
      <c r="H68" s="102"/>
      <c r="I68" s="102"/>
      <c r="J68" s="119"/>
      <c r="K68" s="24" t="s">
        <v>113</v>
      </c>
      <c r="L68" s="26">
        <f ca="1">(IF(B61&gt;1,(I61/(B61+2)),I61/4))</f>
        <v>5.5</v>
      </c>
    </row>
    <row r="69" spans="1:12" ht="15.75" hidden="1" x14ac:dyDescent="0.25">
      <c r="A69" s="101" t="s">
        <v>148</v>
      </c>
      <c r="B69" s="99" t="s">
        <v>149</v>
      </c>
      <c r="C69" s="28">
        <v>22</v>
      </c>
      <c r="D69" s="102">
        <f ca="1">((100/I61)*C69)/100</f>
        <v>1.0000000000000002</v>
      </c>
      <c r="E69" s="102"/>
      <c r="F69" s="102"/>
      <c r="G69" s="102"/>
      <c r="H69" s="102"/>
      <c r="I69" s="102"/>
      <c r="J69" s="119"/>
      <c r="K69" s="24" t="s">
        <v>114</v>
      </c>
      <c r="L69" s="26">
        <f ca="1">(IF(B61&gt;1,(I61/(B61+2)+L68),I61/4+L68))</f>
        <v>11</v>
      </c>
    </row>
    <row r="70" spans="1:12" ht="15" hidden="1" customHeight="1" x14ac:dyDescent="0.25">
      <c r="A70" s="101" t="s">
        <v>150</v>
      </c>
      <c r="B70" s="99" t="s">
        <v>149</v>
      </c>
      <c r="C70" s="28">
        <v>22</v>
      </c>
      <c r="D70" s="102">
        <f ca="1">((100/I61)*C70)/100</f>
        <v>1.0000000000000002</v>
      </c>
      <c r="E70" s="102"/>
      <c r="F70" s="102"/>
      <c r="G70" s="102"/>
      <c r="H70" s="102"/>
      <c r="I70" s="102"/>
      <c r="J70" s="119"/>
      <c r="K70" s="24" t="s">
        <v>151</v>
      </c>
      <c r="L70" s="26">
        <f>(IF(B61&gt;1,(I61/(B61+2)+L69),0))</f>
        <v>0</v>
      </c>
    </row>
    <row r="71" spans="1:12" ht="15.75" hidden="1" x14ac:dyDescent="0.25">
      <c r="A71" s="101" t="s">
        <v>152</v>
      </c>
      <c r="B71" s="99" t="s">
        <v>153</v>
      </c>
      <c r="C71" s="28">
        <v>22</v>
      </c>
      <c r="D71" s="102">
        <f ca="1">((100/(I61))*C71)/100</f>
        <v>1.0000000000000002</v>
      </c>
      <c r="E71" s="102"/>
      <c r="F71" s="102"/>
      <c r="G71" s="102"/>
      <c r="H71" s="102"/>
      <c r="I71" s="102"/>
      <c r="J71" s="119"/>
      <c r="K71" s="24" t="s">
        <v>154</v>
      </c>
      <c r="L71" s="26">
        <f>(IF(B61&gt;2,(I61/(B61+2)+L70),0))</f>
        <v>0</v>
      </c>
    </row>
    <row r="72" spans="1:12" ht="15.75" hidden="1" x14ac:dyDescent="0.25">
      <c r="A72" s="101" t="s">
        <v>155</v>
      </c>
      <c r="B72" s="99" t="s">
        <v>155</v>
      </c>
      <c r="C72" s="28">
        <v>22</v>
      </c>
      <c r="D72" s="102">
        <f ca="1">((100/I61)*C72)/100</f>
        <v>1.0000000000000002</v>
      </c>
      <c r="E72" s="102"/>
      <c r="F72" s="102"/>
      <c r="G72" s="102"/>
      <c r="H72" s="102"/>
      <c r="I72" s="102"/>
      <c r="J72" s="119"/>
      <c r="K72" s="24" t="s">
        <v>156</v>
      </c>
      <c r="L72" s="27">
        <f>(IF(B61&gt;3,(I61/(B61+2)+L71),0))</f>
        <v>0</v>
      </c>
    </row>
    <row r="73" spans="1:12" ht="15.75" hidden="1" x14ac:dyDescent="0.25">
      <c r="A73" s="101" t="s">
        <v>157</v>
      </c>
      <c r="B73" s="99"/>
      <c r="C73" s="28">
        <v>22</v>
      </c>
      <c r="D73" s="102">
        <f ca="1">((100/I61)*C73)/100</f>
        <v>1.0000000000000002</v>
      </c>
      <c r="E73" s="102"/>
      <c r="F73" s="102"/>
      <c r="G73" s="102"/>
      <c r="H73" s="102"/>
      <c r="I73" s="102"/>
      <c r="J73" s="119"/>
      <c r="K73" s="24" t="s">
        <v>158</v>
      </c>
      <c r="L73" s="26">
        <f>(IF(B61&gt;4,(I61/(B61+2)+L72),0))</f>
        <v>0</v>
      </c>
    </row>
    <row r="74" spans="1:12" ht="15" hidden="1" customHeight="1" x14ac:dyDescent="0.25">
      <c r="A74" s="101" t="s">
        <v>159</v>
      </c>
      <c r="B74" s="99" t="s">
        <v>159</v>
      </c>
      <c r="C74" s="28">
        <v>22</v>
      </c>
      <c r="D74" s="102">
        <f ca="1">((100/(I61))*C74)/100</f>
        <v>1.0000000000000002</v>
      </c>
      <c r="E74" s="102"/>
      <c r="F74" s="102"/>
      <c r="G74" s="102"/>
      <c r="H74" s="102"/>
      <c r="I74" s="102"/>
      <c r="J74" s="119"/>
      <c r="K74" s="24" t="s">
        <v>115</v>
      </c>
      <c r="L74" s="26">
        <f ca="1">(IF(B61=1,(I61/(B61+3)+L69),IF(B61=0,(I61/4+L69),IF(B61&gt;1,0))))</f>
        <v>16.5</v>
      </c>
    </row>
    <row r="75" spans="1:12" ht="16.5" hidden="1" thickBot="1" x14ac:dyDescent="0.3">
      <c r="A75" s="103" t="s">
        <v>160</v>
      </c>
      <c r="B75" s="104"/>
      <c r="C75" s="33">
        <v>22</v>
      </c>
      <c r="D75" s="118">
        <f ca="1">((100/(I61))*C75)/100</f>
        <v>1.0000000000000002</v>
      </c>
      <c r="E75" s="118"/>
      <c r="F75" s="118"/>
      <c r="G75" s="118"/>
      <c r="H75" s="118"/>
      <c r="I75" s="118"/>
      <c r="J75" s="120"/>
      <c r="K75" s="24" t="s">
        <v>116</v>
      </c>
      <c r="L75" s="26">
        <f ca="1">(IF(B61&gt;1.5,(I61/(B61+2)+L69+MAX(0,L70-L69)+MAX(0,L71-L70)+MAX(0,L72-L71)+MAX(0,L73-L72)+MAX(0,L74-L73)),IF(B61=1,(I61/(B61+3)+L74),IF(B61=0,I61/4+L74))))</f>
        <v>22</v>
      </c>
    </row>
    <row r="76" spans="1:12" ht="15.75" x14ac:dyDescent="0.25">
      <c r="A76" s="188" t="s">
        <v>137</v>
      </c>
      <c r="B76" s="189"/>
      <c r="C76" s="95" t="str">
        <f>C55</f>
        <v xml:space="preserve">Sale Wing B = B + LW Gr + Gr/P1 + 1st to 22nd Floor
</v>
      </c>
      <c r="D76" s="95"/>
      <c r="E76" s="95"/>
      <c r="F76" s="95"/>
      <c r="G76" s="95"/>
      <c r="H76" s="95"/>
      <c r="I76" s="95"/>
      <c r="J76" s="96"/>
      <c r="K76" s="23" t="str">
        <f ca="1">(IF(F80&gt;99%,"All work completed. Please provide OC.",IF(F80&gt;89.8%,"Plinth, RCC, Brick, Plaster, Flooring, Painting work Completed. Finishing work is in process.",IF(F80&lt;94%,(IF(C80=0,"Work not yet Started.",IF(D80=25%,"Piling work in process",IF(D80=50%,"Excavation work in process",IF(D80=100%,"Excavation work Completed. ","0")))&amp;(IF(C81=0%,"",IF(C81=L82,"Footing work is process",IF(C81=L83,"Footing work Completed",IF(C81=L84,"1st Basement Completed",IF(C81=L85,"1st &amp; 2nd Basement Completed",IF(C81=L86,"1st to 3rd Basement Completed",IF(C81=L87,"1st to 4th Basement Completed",IF(C81=L88,"Plinth work is process",IF(C81=L89,"Plinth work completed","0")))))))))))&amp;(IF(C82=(D77+G77+I77),", RCC Slab",IF(C82&gt;0,", RCC upto "&amp;C82&amp;" Slab",""))&amp;(IF(C83=I77,", Brickwork",IF(C83&gt;0,", Brickwork upto "&amp;C83&amp;" Floor",""))&amp;(IF(C84=I77,", Internal Plaster",IF(C84&gt;0,", Internal Plaster upto "&amp;C84&amp;" Floor",""))&amp;(IF(C85=I77,", External Plaster",IF(C85&gt;0,", External Plaster upto "&amp;C85&amp;" Floor",""))&amp;(IF(C86=I77,", Flooring",IF(C86&gt;0,", Flooring upto "&amp;C86&amp;" Floor",""))&amp;(IF(C87=I77,", Painting",IF(C87&gt;0,", Painting upto "&amp;C87&amp;" Floor",""))&amp;(IF(C88&gt;0,", Finishing upto "&amp;C88&amp;" Floor","")&amp;(IF(C82&gt;0.5," Completed",""))))))))))))))</f>
        <v>Excavation work Completed. Plinth work completed, RCC upto 23 Slab, Brickwork upto 20 Floor, Internal Plaster upto 15 Floor, External Plaster upto 10 Floor Completed</v>
      </c>
      <c r="L76" s="23"/>
    </row>
    <row r="77" spans="1:12" ht="15.75" x14ac:dyDescent="0.25">
      <c r="A77" s="32" t="s">
        <v>87</v>
      </c>
      <c r="B77" s="30">
        <v>1</v>
      </c>
      <c r="C77" s="30" t="s">
        <v>89</v>
      </c>
      <c r="D77" s="30">
        <v>2</v>
      </c>
      <c r="E77" s="97" t="s">
        <v>88</v>
      </c>
      <c r="F77" s="97"/>
      <c r="G77" s="30">
        <v>0</v>
      </c>
      <c r="H77" s="30" t="s">
        <v>138</v>
      </c>
      <c r="I77" s="97">
        <f ca="1">--TRIM(RIGHT(SUBSTITUTE(LEFT(C76,_xlfn.AGGREGATE(16,6,FIND({0,1,2,3,4,5,6,7,8,9},C76,ROW(INDIRECT("1:"&amp;LEN(C76)))),1))," ",REPT(" ",LEN(C76))),LEN(C76)))</f>
        <v>22</v>
      </c>
      <c r="J77" s="98"/>
      <c r="K77" s="23"/>
      <c r="L77" s="23"/>
    </row>
    <row r="78" spans="1:12" ht="45.95" customHeight="1" x14ac:dyDescent="0.25">
      <c r="A78" s="173" t="s">
        <v>139</v>
      </c>
      <c r="B78" s="174"/>
      <c r="C78" s="122" t="str">
        <f ca="1">K76</f>
        <v>Excavation work Completed. Plinth work completed, RCC upto 23 Slab, Brickwork upto 20 Floor, Internal Plaster upto 15 Floor, External Plaster upto 10 Floor Completed</v>
      </c>
      <c r="D78" s="122"/>
      <c r="E78" s="122"/>
      <c r="F78" s="122"/>
      <c r="G78" s="122"/>
      <c r="H78" s="122"/>
      <c r="I78" s="122"/>
      <c r="J78" s="123"/>
      <c r="K78" s="23" t="s">
        <v>140</v>
      </c>
      <c r="L78" s="23"/>
    </row>
    <row r="79" spans="1:12" ht="15.75" x14ac:dyDescent="0.25">
      <c r="A79" s="101" t="s">
        <v>29</v>
      </c>
      <c r="B79" s="99"/>
      <c r="C79" s="31" t="s">
        <v>141</v>
      </c>
      <c r="D79" s="99" t="s">
        <v>142</v>
      </c>
      <c r="E79" s="99"/>
      <c r="F79" s="99" t="s">
        <v>143</v>
      </c>
      <c r="G79" s="99"/>
      <c r="H79" s="99" t="s">
        <v>144</v>
      </c>
      <c r="I79" s="99"/>
      <c r="J79" s="100"/>
      <c r="K79" s="24" t="s">
        <v>145</v>
      </c>
      <c r="L79" s="25">
        <f ca="1">I77*25%</f>
        <v>5.5</v>
      </c>
    </row>
    <row r="80" spans="1:12" ht="15.75" x14ac:dyDescent="0.25">
      <c r="A80" s="101" t="s">
        <v>146</v>
      </c>
      <c r="B80" s="99"/>
      <c r="C80" s="28">
        <f ca="1">L81</f>
        <v>22</v>
      </c>
      <c r="D80" s="102">
        <f ca="1">((100/I77)*C80)/100</f>
        <v>1.0000000000000002</v>
      </c>
      <c r="E80" s="102"/>
      <c r="F80" s="102">
        <f ca="1">(((C81/I77*10)+(40/(D77+G77+I77)*C82)+(7.5/(I77)*C83)+(7.5/(I77)*C84)+(10/I77*C85)+(10/I77*C86)+(5/I77*C87)+(5/I77*C88)+(5/I77*C89))/100)</f>
        <v>0.64810606060606057</v>
      </c>
      <c r="G80" s="102"/>
      <c r="H80" s="102">
        <f ca="1">((((C80/I77)*20)+((C81/I77)*25)+(30/(I77+G77+D77)*C82)+(5/I77*C83)+(5/I77*C84)+(5/I77*C85)+(5/I77*C86)+(0/I77*C87)+(0/I77*C88)+(5/I77*C89))/100)</f>
        <v>0.83977272727272723</v>
      </c>
      <c r="I80" s="102"/>
      <c r="J80" s="119"/>
      <c r="K80" s="24" t="s">
        <v>109</v>
      </c>
      <c r="L80" s="24">
        <f ca="1">I77*50%</f>
        <v>11</v>
      </c>
    </row>
    <row r="81" spans="1:12" ht="15.75" x14ac:dyDescent="0.25">
      <c r="A81" s="101" t="s">
        <v>30</v>
      </c>
      <c r="B81" s="99"/>
      <c r="C81" s="29">
        <f ca="1">L89</f>
        <v>22</v>
      </c>
      <c r="D81" s="102">
        <f ca="1">((100/I77)*C81)/100</f>
        <v>1.0000000000000002</v>
      </c>
      <c r="E81" s="102"/>
      <c r="F81" s="102"/>
      <c r="G81" s="102"/>
      <c r="H81" s="102"/>
      <c r="I81" s="102"/>
      <c r="J81" s="119"/>
      <c r="K81" s="24" t="s">
        <v>112</v>
      </c>
      <c r="L81" s="24">
        <f ca="1">I77</f>
        <v>22</v>
      </c>
    </row>
    <row r="82" spans="1:12" ht="15.75" x14ac:dyDescent="0.25">
      <c r="A82" s="121" t="s">
        <v>147</v>
      </c>
      <c r="B82" s="97"/>
      <c r="C82" s="29">
        <v>23</v>
      </c>
      <c r="D82" s="102">
        <f ca="1">((100/(D77+G77+I77))*C82)/100</f>
        <v>0.95833333333333348</v>
      </c>
      <c r="E82" s="102"/>
      <c r="F82" s="102"/>
      <c r="G82" s="102"/>
      <c r="H82" s="102"/>
      <c r="I82" s="102"/>
      <c r="J82" s="119"/>
      <c r="K82" s="24" t="s">
        <v>113</v>
      </c>
      <c r="L82" s="26">
        <f ca="1">(IF(B77&gt;1,(I77/(B77+2)),I77/4))</f>
        <v>5.5</v>
      </c>
    </row>
    <row r="83" spans="1:12" ht="15.75" x14ac:dyDescent="0.25">
      <c r="A83" s="101" t="s">
        <v>148</v>
      </c>
      <c r="B83" s="99" t="s">
        <v>149</v>
      </c>
      <c r="C83" s="28">
        <v>20</v>
      </c>
      <c r="D83" s="102">
        <f ca="1">((100/I77)*C83)/100</f>
        <v>0.90909090909090917</v>
      </c>
      <c r="E83" s="102"/>
      <c r="F83" s="102"/>
      <c r="G83" s="102"/>
      <c r="H83" s="102"/>
      <c r="I83" s="102"/>
      <c r="J83" s="119"/>
      <c r="K83" s="24" t="s">
        <v>114</v>
      </c>
      <c r="L83" s="26">
        <f ca="1">(IF(B77&gt;1,(I77/(B77+2)+L82),I77/4+L82))</f>
        <v>11</v>
      </c>
    </row>
    <row r="84" spans="1:12" ht="15" customHeight="1" x14ac:dyDescent="0.25">
      <c r="A84" s="101" t="s">
        <v>150</v>
      </c>
      <c r="B84" s="99" t="s">
        <v>149</v>
      </c>
      <c r="C84" s="28">
        <v>15</v>
      </c>
      <c r="D84" s="102">
        <f ca="1">((100/I77)*C84)/100</f>
        <v>0.68181818181818188</v>
      </c>
      <c r="E84" s="102"/>
      <c r="F84" s="102"/>
      <c r="G84" s="102"/>
      <c r="H84" s="102"/>
      <c r="I84" s="102"/>
      <c r="J84" s="119"/>
      <c r="K84" s="24" t="s">
        <v>151</v>
      </c>
      <c r="L84" s="26">
        <f>(IF(B77&gt;1,(I77/(B77+2)+L83),0))</f>
        <v>0</v>
      </c>
    </row>
    <row r="85" spans="1:12" ht="15.75" x14ac:dyDescent="0.25">
      <c r="A85" s="101" t="s">
        <v>152</v>
      </c>
      <c r="B85" s="99" t="s">
        <v>153</v>
      </c>
      <c r="C85" s="28">
        <v>10</v>
      </c>
      <c r="D85" s="102">
        <f ca="1">((100/(I77))*C85)/100</f>
        <v>0.45454545454545459</v>
      </c>
      <c r="E85" s="102"/>
      <c r="F85" s="102"/>
      <c r="G85" s="102"/>
      <c r="H85" s="102"/>
      <c r="I85" s="102"/>
      <c r="J85" s="119"/>
      <c r="K85" s="24" t="s">
        <v>154</v>
      </c>
      <c r="L85" s="26">
        <f>(IF(B77&gt;2,(I77/(B77+2)+L84),0))</f>
        <v>0</v>
      </c>
    </row>
    <row r="86" spans="1:12" ht="15.75" x14ac:dyDescent="0.25">
      <c r="A86" s="101" t="s">
        <v>155</v>
      </c>
      <c r="B86" s="99" t="s">
        <v>155</v>
      </c>
      <c r="C86" s="28">
        <v>0</v>
      </c>
      <c r="D86" s="102">
        <f ca="1">((100/I77)*C86)/100</f>
        <v>0</v>
      </c>
      <c r="E86" s="102"/>
      <c r="F86" s="102"/>
      <c r="G86" s="102"/>
      <c r="H86" s="102"/>
      <c r="I86" s="102"/>
      <c r="J86" s="119"/>
      <c r="K86" s="24" t="s">
        <v>156</v>
      </c>
      <c r="L86" s="27">
        <f>(IF(B77&gt;3,(I77/(B77+2)+L85),0))</f>
        <v>0</v>
      </c>
    </row>
    <row r="87" spans="1:12" ht="15.75" x14ac:dyDescent="0.25">
      <c r="A87" s="101" t="s">
        <v>157</v>
      </c>
      <c r="B87" s="99"/>
      <c r="C87" s="28">
        <v>0</v>
      </c>
      <c r="D87" s="102">
        <f ca="1">((100/I77)*C87)/100</f>
        <v>0</v>
      </c>
      <c r="E87" s="102"/>
      <c r="F87" s="102"/>
      <c r="G87" s="102"/>
      <c r="H87" s="102"/>
      <c r="I87" s="102"/>
      <c r="J87" s="119"/>
      <c r="K87" s="24" t="s">
        <v>158</v>
      </c>
      <c r="L87" s="26">
        <f>(IF(B77&gt;4,(I77/(B77+2)+L86),0))</f>
        <v>0</v>
      </c>
    </row>
    <row r="88" spans="1:12" ht="15" customHeight="1" x14ac:dyDescent="0.25">
      <c r="A88" s="101" t="s">
        <v>159</v>
      </c>
      <c r="B88" s="99" t="s">
        <v>159</v>
      </c>
      <c r="C88" s="28">
        <v>0</v>
      </c>
      <c r="D88" s="102">
        <f ca="1">((100/(I77))*C88)/100</f>
        <v>0</v>
      </c>
      <c r="E88" s="102"/>
      <c r="F88" s="102"/>
      <c r="G88" s="102"/>
      <c r="H88" s="102"/>
      <c r="I88" s="102"/>
      <c r="J88" s="119"/>
      <c r="K88" s="24" t="s">
        <v>115</v>
      </c>
      <c r="L88" s="26">
        <f ca="1">(IF(B77=1,(I77/(B77+3)+L83),IF(B77=0,(I77/4+L83),IF(B77&gt;1,0))))</f>
        <v>16.5</v>
      </c>
    </row>
    <row r="89" spans="1:12" ht="16.5" thickBot="1" x14ac:dyDescent="0.3">
      <c r="A89" s="103" t="s">
        <v>160</v>
      </c>
      <c r="B89" s="104"/>
      <c r="C89" s="33">
        <v>0</v>
      </c>
      <c r="D89" s="118">
        <f ca="1">((100/(I77))*C89)/100</f>
        <v>0</v>
      </c>
      <c r="E89" s="118"/>
      <c r="F89" s="118"/>
      <c r="G89" s="118"/>
      <c r="H89" s="118"/>
      <c r="I89" s="118"/>
      <c r="J89" s="120"/>
      <c r="K89" s="24" t="s">
        <v>116</v>
      </c>
      <c r="L89" s="26">
        <f ca="1">(IF(B77&gt;1.5,(I77/(B77+2)+L83+MAX(0,L84-L83)+MAX(0,L85-L84)+MAX(0,L86-L85)+MAX(0,L87-L86)+MAX(0,L88-L87)),IF(B77=1,(I77/(B77+3)+L88),IF(B77=0,I77/4+L88))))</f>
        <v>22</v>
      </c>
    </row>
    <row r="90" spans="1:12" ht="15.75" hidden="1" x14ac:dyDescent="0.25">
      <c r="A90" s="101" t="s">
        <v>29</v>
      </c>
      <c r="B90" s="99"/>
      <c r="C90" s="31" t="s">
        <v>141</v>
      </c>
      <c r="D90" s="99" t="s">
        <v>142</v>
      </c>
      <c r="E90" s="99"/>
      <c r="F90" s="99" t="s">
        <v>143</v>
      </c>
      <c r="G90" s="99"/>
      <c r="H90" s="99" t="s">
        <v>144</v>
      </c>
      <c r="I90" s="99"/>
      <c r="J90" s="100"/>
      <c r="K90" s="24" t="s">
        <v>112</v>
      </c>
      <c r="L90" s="24">
        <f ca="1">I116</f>
        <v>22</v>
      </c>
    </row>
    <row r="91" spans="1:12" ht="15.75" hidden="1" x14ac:dyDescent="0.25">
      <c r="A91" s="101" t="s">
        <v>146</v>
      </c>
      <c r="B91" s="99"/>
      <c r="C91" s="28">
        <f ca="1">L90</f>
        <v>22</v>
      </c>
      <c r="D91" s="102">
        <f ca="1">((100/I116)*C91)/100</f>
        <v>1.0000000000000002</v>
      </c>
      <c r="E91" s="102"/>
      <c r="F91" s="102">
        <f ca="1">(((C92/I116*10)+(40/(D116+G116+I116)*C93)+(7.5/(I116)*C94)+(7.5/(I116)*C95)+(10/I116*C96)+(10/I116*C97)+(5/I116*C98)+(5/I116*C99)+(5/I116*C100))/100)</f>
        <v>1</v>
      </c>
      <c r="G91" s="102"/>
      <c r="H91" s="102">
        <f ca="1">((((C91/I116)*20)+((C92/I116)*25)+(30/(I116+G116+D116)*C93)+(5/I116*C94)+(5/I116*C95)+(5/I116*C96)+(5/I116*C97)+(0/I116*C98)+(0/I116*C99)+(5/I116*C100))/100)</f>
        <v>1</v>
      </c>
      <c r="I91" s="102"/>
      <c r="J91" s="119"/>
      <c r="K91" s="24" t="s">
        <v>113</v>
      </c>
      <c r="L91" s="26">
        <f ca="1">(IF(B116&gt;1,(I116/(B116+2)),I116/4))</f>
        <v>5.5</v>
      </c>
    </row>
    <row r="92" spans="1:12" ht="15.75" hidden="1" x14ac:dyDescent="0.25">
      <c r="A92" s="101" t="s">
        <v>30</v>
      </c>
      <c r="B92" s="99"/>
      <c r="C92" s="29">
        <f ca="1">L98</f>
        <v>22</v>
      </c>
      <c r="D92" s="102">
        <f ca="1">((100/I116)*C92)/100</f>
        <v>1.0000000000000002</v>
      </c>
      <c r="E92" s="102"/>
      <c r="F92" s="102"/>
      <c r="G92" s="102"/>
      <c r="H92" s="102"/>
      <c r="I92" s="102"/>
      <c r="J92" s="119"/>
      <c r="K92" s="24" t="s">
        <v>114</v>
      </c>
      <c r="L92" s="26">
        <f ca="1">(IF(B116&gt;1,(I116/(B116+2)+L91),I116/4+L91))</f>
        <v>11</v>
      </c>
    </row>
    <row r="93" spans="1:12" ht="15" hidden="1" customHeight="1" x14ac:dyDescent="0.25">
      <c r="A93" s="121" t="s">
        <v>147</v>
      </c>
      <c r="B93" s="97"/>
      <c r="C93" s="29">
        <f ca="1">D116+I116</f>
        <v>24</v>
      </c>
      <c r="D93" s="102">
        <f ca="1">((100/(D116+G116+I116))*C93)/100</f>
        <v>1</v>
      </c>
      <c r="E93" s="102"/>
      <c r="F93" s="102"/>
      <c r="G93" s="102"/>
      <c r="H93" s="102"/>
      <c r="I93" s="102"/>
      <c r="J93" s="119"/>
      <c r="K93" s="24" t="s">
        <v>151</v>
      </c>
      <c r="L93" s="26">
        <f>(IF(B116&gt;1,(I116/(B116+2)+L92),0))</f>
        <v>0</v>
      </c>
    </row>
    <row r="94" spans="1:12" ht="15.75" hidden="1" x14ac:dyDescent="0.25">
      <c r="A94" s="101" t="s">
        <v>148</v>
      </c>
      <c r="B94" s="99" t="s">
        <v>149</v>
      </c>
      <c r="C94" s="28">
        <v>22</v>
      </c>
      <c r="D94" s="102">
        <f ca="1">((100/I116)*C94)/100</f>
        <v>1.0000000000000002</v>
      </c>
      <c r="E94" s="102"/>
      <c r="F94" s="102"/>
      <c r="G94" s="102"/>
      <c r="H94" s="102"/>
      <c r="I94" s="102"/>
      <c r="J94" s="119"/>
      <c r="K94" s="24" t="s">
        <v>154</v>
      </c>
      <c r="L94" s="26">
        <f>(IF(B116&gt;2,(I116/(B116+2)+L93),0))</f>
        <v>0</v>
      </c>
    </row>
    <row r="95" spans="1:12" ht="15.75" hidden="1" x14ac:dyDescent="0.25">
      <c r="A95" s="101" t="s">
        <v>150</v>
      </c>
      <c r="B95" s="99" t="s">
        <v>149</v>
      </c>
      <c r="C95" s="28">
        <v>22</v>
      </c>
      <c r="D95" s="102">
        <f ca="1">((100/I116)*C95)/100</f>
        <v>1.0000000000000002</v>
      </c>
      <c r="E95" s="102"/>
      <c r="F95" s="102"/>
      <c r="G95" s="102"/>
      <c r="H95" s="102"/>
      <c r="I95" s="102"/>
      <c r="J95" s="119"/>
      <c r="K95" s="24" t="s">
        <v>156</v>
      </c>
      <c r="L95" s="27">
        <f>(IF(B116&gt;3,(I116/(B116+2)+L94),0))</f>
        <v>0</v>
      </c>
    </row>
    <row r="96" spans="1:12" ht="15.75" hidden="1" x14ac:dyDescent="0.25">
      <c r="A96" s="101" t="s">
        <v>152</v>
      </c>
      <c r="B96" s="99" t="s">
        <v>153</v>
      </c>
      <c r="C96" s="28">
        <v>22</v>
      </c>
      <c r="D96" s="102">
        <f ca="1">((100/(I116))*C96)/100</f>
        <v>1.0000000000000002</v>
      </c>
      <c r="E96" s="102"/>
      <c r="F96" s="102"/>
      <c r="G96" s="102"/>
      <c r="H96" s="102"/>
      <c r="I96" s="102"/>
      <c r="J96" s="119"/>
      <c r="K96" s="24" t="s">
        <v>158</v>
      </c>
      <c r="L96" s="26">
        <f>(IF(B116&gt;4,(I116/(B116+2)+L95),0))</f>
        <v>0</v>
      </c>
    </row>
    <row r="97" spans="1:12" ht="15" hidden="1" customHeight="1" x14ac:dyDescent="0.25">
      <c r="A97" s="101" t="s">
        <v>155</v>
      </c>
      <c r="B97" s="99" t="s">
        <v>155</v>
      </c>
      <c r="C97" s="28">
        <v>22</v>
      </c>
      <c r="D97" s="102">
        <f ca="1">((100/I116)*C97)/100</f>
        <v>1.0000000000000002</v>
      </c>
      <c r="E97" s="102"/>
      <c r="F97" s="102"/>
      <c r="G97" s="102"/>
      <c r="H97" s="102"/>
      <c r="I97" s="102"/>
      <c r="J97" s="119"/>
      <c r="K97" s="24" t="s">
        <v>115</v>
      </c>
      <c r="L97" s="26">
        <f ca="1">(IF(B116=1,(I116/(B116+3)+L92),IF(B116=0,(I116/4+L92),IF(B116&gt;1,0))))</f>
        <v>16.5</v>
      </c>
    </row>
    <row r="98" spans="1:12" ht="15.75" hidden="1" x14ac:dyDescent="0.25">
      <c r="A98" s="101" t="s">
        <v>157</v>
      </c>
      <c r="B98" s="99"/>
      <c r="C98" s="28">
        <v>22</v>
      </c>
      <c r="D98" s="102">
        <f ca="1">((100/I116)*C98)/100</f>
        <v>1.0000000000000002</v>
      </c>
      <c r="E98" s="102"/>
      <c r="F98" s="102"/>
      <c r="G98" s="102"/>
      <c r="H98" s="102"/>
      <c r="I98" s="102"/>
      <c r="J98" s="119"/>
      <c r="K98" s="24" t="s">
        <v>116</v>
      </c>
      <c r="L98" s="26">
        <f ca="1">(IF(B116&gt;1.5,(I116/(B116+2)+L92+MAX(0,L93-L92)+MAX(0,L94-L93)+MAX(0,L95-L94)+MAX(0,L96-L95)+MAX(0,L97-L96)),IF(B116=1,(I116/(B116+3)+L97),IF(B116=0,I116/4+L97))))</f>
        <v>22</v>
      </c>
    </row>
    <row r="99" spans="1:12" ht="15.75" hidden="1" x14ac:dyDescent="0.25">
      <c r="A99" s="101" t="s">
        <v>159</v>
      </c>
      <c r="B99" s="99" t="s">
        <v>159</v>
      </c>
      <c r="C99" s="28">
        <v>22</v>
      </c>
      <c r="D99" s="102">
        <f ca="1">((100/(I116))*C99)/100</f>
        <v>1.0000000000000002</v>
      </c>
      <c r="E99" s="102"/>
      <c r="F99" s="102"/>
      <c r="G99" s="102"/>
      <c r="H99" s="102"/>
      <c r="I99" s="102"/>
      <c r="J99" s="119"/>
      <c r="K99" s="23" t="str">
        <f ca="1">(IF(F105&gt;99%,"All work completed. Please provide OC.",IF(F105&gt;89.8%,"Plinth, RCC, Brick, Plaster, Flooring, Painting work Completed. Finishing work is in process.",IF(F105&lt;94%,(IF(C105=0,"Work not yet Started.",IF(D105=25%,"Piling work in process",IF(D105=50%,"Excavation work in process",IF(D105=100%,"Excavation work Completed. ","0")))&amp;(IF(C106=0%,"",IF(C106=L105,"Footing work is process",IF(C106=L106,"Footing work Completed",IF(C106=L107,"1st Basement Completed",IF(C106=L108,"1st &amp; 2nd Basement Completed",IF(C106=L109,"1st to 3rd Basement Completed",IF(C106=L110,"1st to 4th Basement Completed",IF(C106=L111,"Plinth work is process",IF(C106=L112,"Plinth work completed","0")))))))))))&amp;(IF(C107=(D102+G102+I102),", RCC Slab",IF(C107&gt;0,", RCC upto "&amp;C107&amp;" Slab",""))&amp;(IF(C108=I102,", Brickwork",IF(C108&gt;0,", Brickwork upto "&amp;C108&amp;" Floor",""))&amp;(IF(C109=I102,", Internal Plaster",IF(C109&gt;0,", Internal Plaster upto "&amp;C109&amp;" Floor",""))&amp;(IF(C110=I102,", External Plaster",IF(C110&gt;0,", External Plaster upto "&amp;C110&amp;" Floor",""))&amp;(IF(C111=I102,", Flooring",IF(C111&gt;0,", Flooring upto "&amp;C111&amp;" Floor",""))&amp;(IF(C112=I102,", Painting",IF(C112&gt;0,", Painting upto "&amp;C112&amp;" Floor",""))&amp;(IF(C113&gt;0,", Finishing upto "&amp;C113&amp;" Floor","")&amp;(IF(C107&gt;0.5," Completed",""))))))))))))))</f>
        <v>Plinth, RCC, Brick, Plaster, Flooring, Painting work Completed. Finishing work is in process.</v>
      </c>
      <c r="L99" s="23"/>
    </row>
    <row r="100" spans="1:12" ht="16.5" hidden="1" thickBot="1" x14ac:dyDescent="0.3">
      <c r="A100" s="103" t="s">
        <v>160</v>
      </c>
      <c r="B100" s="104"/>
      <c r="C100" s="33">
        <v>22</v>
      </c>
      <c r="D100" s="118">
        <f ca="1">((100/(I116))*C100)/100</f>
        <v>1.0000000000000002</v>
      </c>
      <c r="E100" s="118"/>
      <c r="F100" s="118"/>
      <c r="G100" s="118"/>
      <c r="H100" s="118"/>
      <c r="I100" s="118"/>
      <c r="J100" s="120"/>
      <c r="K100" s="23"/>
      <c r="L100" s="23"/>
    </row>
    <row r="101" spans="1:12" ht="15.75" x14ac:dyDescent="0.25">
      <c r="A101" s="188" t="s">
        <v>137</v>
      </c>
      <c r="B101" s="189"/>
      <c r="C101" s="95" t="str">
        <f>C57</f>
        <v>(Sale + Rehab) Wing D = B + LW Gr + Gr/P1 + 1st to 22nd Floor</v>
      </c>
      <c r="D101" s="95"/>
      <c r="E101" s="95"/>
      <c r="F101" s="95"/>
      <c r="G101" s="95"/>
      <c r="H101" s="95"/>
      <c r="I101" s="95"/>
      <c r="J101" s="96"/>
      <c r="K101" s="23" t="s">
        <v>140</v>
      </c>
      <c r="L101" s="23"/>
    </row>
    <row r="102" spans="1:12" ht="15.75" x14ac:dyDescent="0.25">
      <c r="A102" s="32" t="s">
        <v>87</v>
      </c>
      <c r="B102" s="30">
        <v>1</v>
      </c>
      <c r="C102" s="30" t="s">
        <v>89</v>
      </c>
      <c r="D102" s="30">
        <v>2</v>
      </c>
      <c r="E102" s="97" t="s">
        <v>88</v>
      </c>
      <c r="F102" s="97"/>
      <c r="G102" s="30">
        <v>0</v>
      </c>
      <c r="H102" s="30" t="s">
        <v>138</v>
      </c>
      <c r="I102" s="97">
        <f ca="1">--TRIM(RIGHT(SUBSTITUTE(LEFT(C101,_xlfn.AGGREGATE(16,6,FIND({0,1,2,3,4,5,6,7,8,9},C101,ROW(INDIRECT("1:"&amp;LEN(C101)))),1))," ",REPT(" ",LEN(C101))),LEN(C101)))</f>
        <v>22</v>
      </c>
      <c r="J102" s="98"/>
      <c r="K102" s="24" t="s">
        <v>145</v>
      </c>
      <c r="L102" s="25">
        <f ca="1">I102*25%</f>
        <v>5.5</v>
      </c>
    </row>
    <row r="103" spans="1:12" ht="32.25" customHeight="1" x14ac:dyDescent="0.25">
      <c r="A103" s="173" t="s">
        <v>139</v>
      </c>
      <c r="B103" s="174"/>
      <c r="C103" s="122" t="str">
        <f ca="1">K99</f>
        <v>Plinth, RCC, Brick, Plaster, Flooring, Painting work Completed. Finishing work is in process.</v>
      </c>
      <c r="D103" s="122"/>
      <c r="E103" s="122"/>
      <c r="F103" s="122"/>
      <c r="G103" s="122"/>
      <c r="H103" s="122"/>
      <c r="I103" s="122"/>
      <c r="J103" s="123"/>
      <c r="K103" s="24" t="s">
        <v>109</v>
      </c>
      <c r="L103" s="24">
        <f ca="1">I102*50%</f>
        <v>11</v>
      </c>
    </row>
    <row r="104" spans="1:12" ht="15.75" x14ac:dyDescent="0.25">
      <c r="A104" s="101" t="s">
        <v>29</v>
      </c>
      <c r="B104" s="99"/>
      <c r="C104" s="31" t="s">
        <v>141</v>
      </c>
      <c r="D104" s="99" t="s">
        <v>142</v>
      </c>
      <c r="E104" s="99"/>
      <c r="F104" s="99" t="s">
        <v>143</v>
      </c>
      <c r="G104" s="99"/>
      <c r="H104" s="99" t="s">
        <v>144</v>
      </c>
      <c r="I104" s="99"/>
      <c r="J104" s="100"/>
      <c r="K104" s="24" t="s">
        <v>112</v>
      </c>
      <c r="L104" s="24">
        <f ca="1">I102</f>
        <v>22</v>
      </c>
    </row>
    <row r="105" spans="1:12" ht="15.75" x14ac:dyDescent="0.25">
      <c r="A105" s="101" t="s">
        <v>146</v>
      </c>
      <c r="B105" s="99"/>
      <c r="C105" s="28">
        <f ca="1">L104</f>
        <v>22</v>
      </c>
      <c r="D105" s="102">
        <f ca="1">((100/I102)*C105)/100</f>
        <v>1.0000000000000002</v>
      </c>
      <c r="E105" s="102"/>
      <c r="F105" s="102">
        <f ca="1">(((C106/I102*10)+(40/(D102+G102+I102)*C107)+(7.5/(I102)*C108)+(7.5/(I102)*C109)+(10/I102*C110)+(10/I102*C111)+(5/I102*C112)+(5/I102*C113)+(5/I102*C114))/100)</f>
        <v>0.95454545454545459</v>
      </c>
      <c r="G105" s="102"/>
      <c r="H105" s="102">
        <f ca="1">((((C105/I102)*20)+((C106/I102)*25)+(30/(I102+G102+D102)*C107)+(5/I102*C108)+(5/I102*C109)+(5/I102*C110)+(5/I102*C111)+(0/I102*C112)+(0/I102*C113)+(5/I102*C114))/100)</f>
        <v>0.96363636363636362</v>
      </c>
      <c r="I105" s="102"/>
      <c r="J105" s="119"/>
      <c r="K105" s="24" t="s">
        <v>113</v>
      </c>
      <c r="L105" s="26">
        <f ca="1">(IF(B102&gt;1,(I102/(B102+2)),I102/4))</f>
        <v>5.5</v>
      </c>
    </row>
    <row r="106" spans="1:12" ht="15.75" x14ac:dyDescent="0.25">
      <c r="A106" s="101" t="s">
        <v>30</v>
      </c>
      <c r="B106" s="99"/>
      <c r="C106" s="29">
        <f ca="1">L112</f>
        <v>22</v>
      </c>
      <c r="D106" s="102">
        <f ca="1">((100/I102)*C106)/100</f>
        <v>1.0000000000000002</v>
      </c>
      <c r="E106" s="102"/>
      <c r="F106" s="102"/>
      <c r="G106" s="102"/>
      <c r="H106" s="102"/>
      <c r="I106" s="102"/>
      <c r="J106" s="119"/>
      <c r="K106" s="24" t="s">
        <v>114</v>
      </c>
      <c r="L106" s="26">
        <f ca="1">(IF(B102&gt;1,(I102/(B102+2)+L105),I102/4+L105))</f>
        <v>11</v>
      </c>
    </row>
    <row r="107" spans="1:12" ht="15" customHeight="1" x14ac:dyDescent="0.25">
      <c r="A107" s="121" t="s">
        <v>147</v>
      </c>
      <c r="B107" s="97"/>
      <c r="C107" s="29">
        <f ca="1">D102+I102</f>
        <v>24</v>
      </c>
      <c r="D107" s="102">
        <f ca="1">((100/(D102+G102+I102))*C107)/100</f>
        <v>1</v>
      </c>
      <c r="E107" s="102"/>
      <c r="F107" s="102"/>
      <c r="G107" s="102"/>
      <c r="H107" s="102"/>
      <c r="I107" s="102"/>
      <c r="J107" s="119"/>
      <c r="K107" s="24" t="s">
        <v>151</v>
      </c>
      <c r="L107" s="26">
        <f>(IF(B102&gt;1,(I102/(B102+2)+L106),0))</f>
        <v>0</v>
      </c>
    </row>
    <row r="108" spans="1:12" ht="15.75" x14ac:dyDescent="0.25">
      <c r="A108" s="101" t="s">
        <v>148</v>
      </c>
      <c r="B108" s="99" t="s">
        <v>149</v>
      </c>
      <c r="C108" s="28">
        <v>22</v>
      </c>
      <c r="D108" s="102">
        <f ca="1">((100/I102)*C108)/100</f>
        <v>1.0000000000000002</v>
      </c>
      <c r="E108" s="102"/>
      <c r="F108" s="102"/>
      <c r="G108" s="102"/>
      <c r="H108" s="102"/>
      <c r="I108" s="102"/>
      <c r="J108" s="119"/>
      <c r="K108" s="24" t="s">
        <v>154</v>
      </c>
      <c r="L108" s="26">
        <f>(IF(B102&gt;2,(I102/(B102+2)+L107),0))</f>
        <v>0</v>
      </c>
    </row>
    <row r="109" spans="1:12" ht="15.75" x14ac:dyDescent="0.25">
      <c r="A109" s="101" t="s">
        <v>150</v>
      </c>
      <c r="B109" s="99" t="s">
        <v>149</v>
      </c>
      <c r="C109" s="28">
        <v>22</v>
      </c>
      <c r="D109" s="102">
        <f ca="1">((100/I102)*C109)/100</f>
        <v>1.0000000000000002</v>
      </c>
      <c r="E109" s="102"/>
      <c r="F109" s="102"/>
      <c r="G109" s="102"/>
      <c r="H109" s="102"/>
      <c r="I109" s="102"/>
      <c r="J109" s="119"/>
      <c r="K109" s="24" t="s">
        <v>156</v>
      </c>
      <c r="L109" s="27">
        <f>(IF(B102&gt;3,(I102/(B102+2)+L108),0))</f>
        <v>0</v>
      </c>
    </row>
    <row r="110" spans="1:12" ht="15.75" x14ac:dyDescent="0.25">
      <c r="A110" s="101" t="s">
        <v>152</v>
      </c>
      <c r="B110" s="99" t="s">
        <v>153</v>
      </c>
      <c r="C110" s="28">
        <v>22</v>
      </c>
      <c r="D110" s="102">
        <f ca="1">((100/(I102))*C110)/100</f>
        <v>1.0000000000000002</v>
      </c>
      <c r="E110" s="102"/>
      <c r="F110" s="102"/>
      <c r="G110" s="102"/>
      <c r="H110" s="102"/>
      <c r="I110" s="102"/>
      <c r="J110" s="119"/>
      <c r="K110" s="24" t="s">
        <v>158</v>
      </c>
      <c r="L110" s="26">
        <f>(IF(B102&gt;4,(I102/(B102+2)+L109),0))</f>
        <v>0</v>
      </c>
    </row>
    <row r="111" spans="1:12" ht="15" customHeight="1" x14ac:dyDescent="0.25">
      <c r="A111" s="101" t="s">
        <v>155</v>
      </c>
      <c r="B111" s="99" t="s">
        <v>155</v>
      </c>
      <c r="C111" s="28">
        <v>22</v>
      </c>
      <c r="D111" s="102">
        <f ca="1">((100/I102)*C111)/100</f>
        <v>1.0000000000000002</v>
      </c>
      <c r="E111" s="102"/>
      <c r="F111" s="102"/>
      <c r="G111" s="102"/>
      <c r="H111" s="102"/>
      <c r="I111" s="102"/>
      <c r="J111" s="119"/>
      <c r="K111" s="24" t="s">
        <v>115</v>
      </c>
      <c r="L111" s="26">
        <f ca="1">(IF(B102=1,(I102/(B102+3)+L106),IF(B102=0,(I102/4+L106),IF(B102&gt;1,0))))</f>
        <v>16.5</v>
      </c>
    </row>
    <row r="112" spans="1:12" ht="15.75" x14ac:dyDescent="0.25">
      <c r="A112" s="101" t="s">
        <v>157</v>
      </c>
      <c r="B112" s="99"/>
      <c r="C112" s="28">
        <v>22</v>
      </c>
      <c r="D112" s="102">
        <f ca="1">((100/I102)*C112)/100</f>
        <v>1.0000000000000002</v>
      </c>
      <c r="E112" s="102"/>
      <c r="F112" s="102"/>
      <c r="G112" s="102"/>
      <c r="H112" s="102"/>
      <c r="I112" s="102"/>
      <c r="J112" s="119"/>
      <c r="K112" s="24" t="s">
        <v>116</v>
      </c>
      <c r="L112" s="26">
        <f ca="1">(IF(B102&gt;1.5,(I102/(B102+2)+L106+MAX(0,L107-L106)+MAX(0,L108-L107)+MAX(0,L109-L108)+MAX(0,L110-L109)+MAX(0,L111-L110)),IF(B102=1,(I102/(B102+3)+L111),IF(B102=0,I102/4+L111))))</f>
        <v>22</v>
      </c>
    </row>
    <row r="113" spans="1:12" ht="15.75" x14ac:dyDescent="0.25">
      <c r="A113" s="101" t="s">
        <v>159</v>
      </c>
      <c r="B113" s="99" t="s">
        <v>159</v>
      </c>
      <c r="C113" s="28">
        <v>18</v>
      </c>
      <c r="D113" s="102">
        <f ca="1">((100/(I102))*C113)/100</f>
        <v>0.81818181818181823</v>
      </c>
      <c r="E113" s="102"/>
      <c r="F113" s="102"/>
      <c r="G113" s="102"/>
      <c r="H113" s="102"/>
      <c r="I113" s="102"/>
      <c r="J113" s="119"/>
    </row>
    <row r="114" spans="1:12" ht="16.5" thickBot="1" x14ac:dyDescent="0.3">
      <c r="A114" s="103" t="s">
        <v>160</v>
      </c>
      <c r="B114" s="104"/>
      <c r="C114" s="33">
        <v>6</v>
      </c>
      <c r="D114" s="118">
        <f ca="1">((100/(I102))*C114)/100</f>
        <v>0.27272727272727271</v>
      </c>
      <c r="E114" s="118"/>
      <c r="F114" s="118"/>
      <c r="G114" s="118"/>
      <c r="H114" s="118"/>
      <c r="I114" s="118"/>
      <c r="J114" s="120"/>
    </row>
    <row r="115" spans="1:12" ht="15.75" x14ac:dyDescent="0.25">
      <c r="A115" s="188" t="s">
        <v>137</v>
      </c>
      <c r="B115" s="189"/>
      <c r="C115" s="95" t="str">
        <f>C56</f>
        <v>Rehab Wing C = B + LW Gr + Gr/P1 + 1st to 22nd Floor</v>
      </c>
      <c r="D115" s="95"/>
      <c r="E115" s="95"/>
      <c r="F115" s="95"/>
      <c r="G115" s="95"/>
      <c r="H115" s="95"/>
      <c r="I115" s="95"/>
      <c r="J115" s="96"/>
      <c r="K115" s="23" t="str">
        <f ca="1">(IF(F91&gt;99%,"All work completed. Please provide OC.",IF(F91&gt;89.8%,"Plinth, RCC, Brick, Plaster, Flooring, Painting work Completed. Finishing work is in process.",IF(F91&lt;94%,(IF(C91=0,"Work not yet Started.",IF(D91=25%,"Piling work in process",IF(D91=50%,"Excavation work in process",IF(D91=100%,"Excavation work Completed. ","0")))&amp;(IF(C92=0%,"",IF(C92=L91,"Footing work is process",IF(C92=L92,"Footing work Completed",IF(C92=L93,"1st Basement Completed",IF(C92=L94,"1st &amp; 2nd Basement Completed",IF(C92=L95,"1st to 3rd Basement Completed",IF(C92=L96,"1st to 4th Basement Completed",IF(C92=L97,"Plinth work is process",IF(C92=L98,"Plinth work completed","0")))))))))))&amp;(IF(C93=(D116+G116+I116),", RCC Slab",IF(C93&gt;0,", RCC upto "&amp;C93&amp;" Slab",""))&amp;(IF(C94=I116,", Brickwork",IF(C94&gt;0,", Brickwork upto "&amp;C94&amp;" Floor",""))&amp;(IF(C95=I116,", Internal Plaster",IF(C95&gt;0,", Internal Plaster upto "&amp;C95&amp;" Floor",""))&amp;(IF(C96=I116,", External Plaster",IF(C96&gt;0,", External Plaster upto "&amp;C96&amp;" Floor",""))&amp;(IF(C97=I116,", Flooring",IF(C97&gt;0,", Flooring upto "&amp;C97&amp;" Floor",""))&amp;(IF(C98=I116,", Painting",IF(C98&gt;0,", Painting upto "&amp;C98&amp;" Floor",""))&amp;(IF(C99&gt;0,", Finishing upto "&amp;C99&amp;" Floor","")&amp;(IF(C93&gt;0.5," Completed",""))))))))))))))</f>
        <v>All work completed. Please provide OC.</v>
      </c>
      <c r="L115" s="23"/>
    </row>
    <row r="116" spans="1:12" ht="15.75" x14ac:dyDescent="0.25">
      <c r="A116" s="32" t="s">
        <v>87</v>
      </c>
      <c r="B116" s="30">
        <v>1</v>
      </c>
      <c r="C116" s="30" t="s">
        <v>89</v>
      </c>
      <c r="D116" s="30">
        <v>2</v>
      </c>
      <c r="E116" s="97" t="s">
        <v>88</v>
      </c>
      <c r="F116" s="97"/>
      <c r="G116" s="30">
        <v>0</v>
      </c>
      <c r="H116" s="30" t="s">
        <v>138</v>
      </c>
      <c r="I116" s="97">
        <f ca="1">--TRIM(RIGHT(SUBSTITUTE(LEFT(C115,_xlfn.AGGREGATE(16,6,FIND({0,1,2,3,4,5,6,7,8,9},C115,ROW(INDIRECT("1:"&amp;LEN(C115)))),1))," ",REPT(" ",LEN(C115))),LEN(C115)))</f>
        <v>22</v>
      </c>
      <c r="J116" s="98"/>
      <c r="K116" s="23"/>
      <c r="L116" s="23"/>
    </row>
    <row r="117" spans="1:12" ht="15.75" x14ac:dyDescent="0.25">
      <c r="A117" s="173" t="s">
        <v>139</v>
      </c>
      <c r="B117" s="174"/>
      <c r="C117" s="122" t="str">
        <f>K117</f>
        <v>All work Completed. OC Received.</v>
      </c>
      <c r="D117" s="122"/>
      <c r="E117" s="122"/>
      <c r="F117" s="122"/>
      <c r="G117" s="122"/>
      <c r="H117" s="122"/>
      <c r="I117" s="122"/>
      <c r="J117" s="123"/>
      <c r="K117" s="23" t="s">
        <v>140</v>
      </c>
      <c r="L117" s="23"/>
    </row>
    <row r="118" spans="1:12" ht="15.75" x14ac:dyDescent="0.25">
      <c r="A118" s="61" t="s">
        <v>143</v>
      </c>
      <c r="B118" s="62"/>
      <c r="C118" s="65">
        <v>1</v>
      </c>
      <c r="D118" s="66"/>
      <c r="E118" s="67"/>
      <c r="F118" s="71" t="s">
        <v>144</v>
      </c>
      <c r="G118" s="67"/>
      <c r="H118" s="65">
        <v>1</v>
      </c>
      <c r="I118" s="66"/>
      <c r="J118" s="72"/>
      <c r="K118" s="23"/>
      <c r="L118" s="23"/>
    </row>
    <row r="119" spans="1:12" ht="15.75" x14ac:dyDescent="0.25">
      <c r="A119" s="63"/>
      <c r="B119" s="64"/>
      <c r="C119" s="68"/>
      <c r="D119" s="69"/>
      <c r="E119" s="70"/>
      <c r="F119" s="68"/>
      <c r="G119" s="70"/>
      <c r="H119" s="68"/>
      <c r="I119" s="69"/>
      <c r="J119" s="73"/>
      <c r="K119" s="24" t="s">
        <v>145</v>
      </c>
      <c r="L119" s="25">
        <f ca="1">I116*25%</f>
        <v>5.5</v>
      </c>
    </row>
    <row r="120" spans="1:12" ht="15" customHeight="1" x14ac:dyDescent="0.25">
      <c r="A120" s="115" t="s">
        <v>49</v>
      </c>
      <c r="B120" s="116"/>
      <c r="C120" s="116"/>
      <c r="D120" s="116"/>
      <c r="E120" s="116"/>
      <c r="F120" s="116"/>
      <c r="G120" s="116"/>
      <c r="H120" s="116"/>
      <c r="I120" s="116"/>
      <c r="J120" s="117"/>
    </row>
    <row r="121" spans="1:12" x14ac:dyDescent="0.25">
      <c r="A121" s="80" t="s">
        <v>42</v>
      </c>
      <c r="B121" s="81"/>
      <c r="C121" s="81"/>
      <c r="D121" s="81"/>
      <c r="E121" s="81"/>
      <c r="F121" s="81"/>
      <c r="G121" s="81"/>
      <c r="H121" s="81"/>
      <c r="I121" s="81"/>
      <c r="J121" s="82"/>
    </row>
    <row r="122" spans="1:12" x14ac:dyDescent="0.25">
      <c r="A122" s="83" t="s">
        <v>66</v>
      </c>
      <c r="B122" s="84"/>
      <c r="C122" s="84"/>
      <c r="D122" s="84"/>
      <c r="E122" s="84"/>
      <c r="F122" s="84"/>
      <c r="G122" s="84"/>
      <c r="H122" s="84"/>
      <c r="I122" s="84"/>
      <c r="J122" s="85"/>
    </row>
    <row r="123" spans="1:12" ht="15" customHeight="1" x14ac:dyDescent="0.25">
      <c r="A123" s="86"/>
      <c r="B123" s="87"/>
      <c r="C123" s="87"/>
      <c r="D123" s="87"/>
      <c r="E123" s="87"/>
      <c r="F123" s="87"/>
      <c r="G123" s="87"/>
      <c r="H123" s="87"/>
      <c r="I123" s="87"/>
      <c r="J123" s="88"/>
    </row>
    <row r="124" spans="1:12" ht="17.25" customHeight="1" x14ac:dyDescent="0.25">
      <c r="A124" s="89" t="s">
        <v>23</v>
      </c>
      <c r="B124" s="90"/>
      <c r="C124" s="90"/>
      <c r="D124" s="90"/>
      <c r="E124" s="90"/>
      <c r="F124" s="90"/>
      <c r="G124" s="90"/>
      <c r="H124" s="90"/>
      <c r="I124" s="90"/>
      <c r="J124" s="91"/>
    </row>
    <row r="125" spans="1:12" x14ac:dyDescent="0.25">
      <c r="A125" s="80" t="s">
        <v>69</v>
      </c>
      <c r="B125" s="81"/>
      <c r="C125" s="81"/>
      <c r="D125" s="81"/>
      <c r="E125" s="81"/>
      <c r="F125" s="82"/>
      <c r="G125" s="110">
        <v>12000</v>
      </c>
      <c r="H125" s="111"/>
      <c r="I125" s="111"/>
      <c r="J125" s="112"/>
    </row>
    <row r="126" spans="1:12" x14ac:dyDescent="0.25">
      <c r="A126" s="80" t="s">
        <v>267</v>
      </c>
      <c r="B126" s="81"/>
      <c r="C126" s="81"/>
      <c r="D126" s="81"/>
      <c r="E126" s="81"/>
      <c r="F126" s="82"/>
      <c r="G126" s="257">
        <v>20000</v>
      </c>
      <c r="H126" s="106"/>
      <c r="I126" s="106"/>
      <c r="J126" s="107"/>
    </row>
    <row r="127" spans="1:12" s="22" customFormat="1" ht="14.45" customHeight="1" x14ac:dyDescent="0.25">
      <c r="A127" s="80" t="s">
        <v>130</v>
      </c>
      <c r="B127" s="81"/>
      <c r="C127" s="81"/>
      <c r="D127" s="81"/>
      <c r="E127" s="81"/>
      <c r="F127" s="82"/>
      <c r="G127" s="77" t="s">
        <v>132</v>
      </c>
      <c r="H127" s="78"/>
      <c r="I127" s="78"/>
      <c r="J127" s="79"/>
    </row>
    <row r="128" spans="1:12" s="22" customFormat="1" ht="14.45" customHeight="1" x14ac:dyDescent="0.25">
      <c r="A128" s="80" t="s">
        <v>133</v>
      </c>
      <c r="B128" s="81"/>
      <c r="C128" s="81"/>
      <c r="D128" s="81"/>
      <c r="E128" s="81"/>
      <c r="F128" s="82"/>
      <c r="G128" s="77" t="s">
        <v>111</v>
      </c>
      <c r="H128" s="78"/>
      <c r="I128" s="78"/>
      <c r="J128" s="79"/>
    </row>
    <row r="129" spans="1:10" s="22" customFormat="1" ht="14.45" customHeight="1" x14ac:dyDescent="0.25">
      <c r="A129" s="89" t="s">
        <v>65</v>
      </c>
      <c r="B129" s="90"/>
      <c r="C129" s="90"/>
      <c r="D129" s="90"/>
      <c r="E129" s="90"/>
      <c r="F129" s="91"/>
      <c r="G129" s="105">
        <f>G125*0.8</f>
        <v>9600</v>
      </c>
      <c r="H129" s="106"/>
      <c r="I129" s="106"/>
      <c r="J129" s="107"/>
    </row>
    <row r="130" spans="1:10" s="22" customFormat="1" ht="14.45" customHeight="1" x14ac:dyDescent="0.25">
      <c r="A130" s="199" t="s">
        <v>239</v>
      </c>
      <c r="B130" s="200"/>
      <c r="C130" s="200"/>
      <c r="D130" s="200"/>
      <c r="E130" s="200"/>
      <c r="F130" s="200"/>
      <c r="G130" s="200"/>
      <c r="H130" s="200"/>
      <c r="I130" s="200"/>
      <c r="J130" s="201"/>
    </row>
    <row r="131" spans="1:10" s="22" customFormat="1" ht="14.45" customHeight="1" x14ac:dyDescent="0.25">
      <c r="A131" s="202" t="s">
        <v>182</v>
      </c>
      <c r="B131" s="203"/>
      <c r="C131" s="38" t="s">
        <v>183</v>
      </c>
      <c r="D131" s="204" t="s">
        <v>184</v>
      </c>
      <c r="E131" s="205"/>
      <c r="F131" s="206"/>
      <c r="G131" s="202" t="s">
        <v>185</v>
      </c>
      <c r="H131" s="207"/>
      <c r="I131" s="207"/>
      <c r="J131" s="203"/>
    </row>
    <row r="132" spans="1:10" s="22" customFormat="1" ht="14.45" customHeight="1" x14ac:dyDescent="0.25">
      <c r="A132" s="43" t="s">
        <v>223</v>
      </c>
      <c r="B132" s="46" t="s">
        <v>218</v>
      </c>
      <c r="C132" s="44">
        <f>COUNT(D157:E160)</f>
        <v>4</v>
      </c>
      <c r="D132" s="208">
        <f>SUM(D157:E160)</f>
        <v>405.03855599999997</v>
      </c>
      <c r="E132" s="209"/>
      <c r="F132" s="210"/>
      <c r="G132" s="211">
        <f>SUM(G157:G160)</f>
        <v>627.80976179999993</v>
      </c>
      <c r="H132" s="212"/>
      <c r="I132" s="212"/>
      <c r="J132" s="213"/>
    </row>
    <row r="133" spans="1:10" s="22" customFormat="1" ht="14.45" customHeight="1" x14ac:dyDescent="0.25">
      <c r="A133" s="43" t="s">
        <v>224</v>
      </c>
      <c r="B133" s="43" t="s">
        <v>264</v>
      </c>
      <c r="C133" s="44">
        <f>COUNT(D162:E166)</f>
        <v>5</v>
      </c>
      <c r="D133" s="208">
        <f>SUM(D162:E166)</f>
        <v>994.05539999999996</v>
      </c>
      <c r="E133" s="209"/>
      <c r="F133" s="210"/>
      <c r="G133" s="211">
        <f>SUM(G162:G166)</f>
        <v>1540.7858700000002</v>
      </c>
      <c r="H133" s="212"/>
      <c r="I133" s="212"/>
      <c r="J133" s="213"/>
    </row>
    <row r="134" spans="1:10" s="22" customFormat="1" ht="14.45" customHeight="1" x14ac:dyDescent="0.25">
      <c r="A134" s="199" t="s">
        <v>238</v>
      </c>
      <c r="B134" s="201"/>
      <c r="C134" s="45">
        <f t="shared" ref="C134:G134" si="0">SUM(C132:C133)</f>
        <v>9</v>
      </c>
      <c r="D134" s="215">
        <f t="shared" si="0"/>
        <v>1399.0939559999999</v>
      </c>
      <c r="E134" s="216"/>
      <c r="F134" s="217"/>
      <c r="G134" s="202">
        <f t="shared" si="0"/>
        <v>2168.5956317999999</v>
      </c>
      <c r="H134" s="207"/>
      <c r="I134" s="207"/>
      <c r="J134" s="203"/>
    </row>
    <row r="135" spans="1:10" s="22" customFormat="1" ht="15.75" x14ac:dyDescent="0.25">
      <c r="A135" s="199" t="s">
        <v>241</v>
      </c>
      <c r="B135" s="200"/>
      <c r="C135" s="200"/>
      <c r="D135" s="200"/>
      <c r="E135" s="200"/>
      <c r="F135" s="200"/>
      <c r="G135" s="200"/>
      <c r="H135" s="200"/>
      <c r="I135" s="200"/>
      <c r="J135" s="201"/>
    </row>
    <row r="136" spans="1:10" s="22" customFormat="1" ht="15.75" x14ac:dyDescent="0.25">
      <c r="A136" s="199" t="s">
        <v>186</v>
      </c>
      <c r="B136" s="200"/>
      <c r="C136" s="38" t="s">
        <v>183</v>
      </c>
      <c r="D136" s="204" t="s">
        <v>184</v>
      </c>
      <c r="E136" s="205"/>
      <c r="F136" s="206"/>
      <c r="G136" s="202" t="s">
        <v>185</v>
      </c>
      <c r="H136" s="207"/>
      <c r="I136" s="207"/>
      <c r="J136" s="203"/>
    </row>
    <row r="137" spans="1:10" s="22" customFormat="1" ht="14.45" customHeight="1" x14ac:dyDescent="0.25">
      <c r="A137" s="218" t="s">
        <v>197</v>
      </c>
      <c r="B137" s="220"/>
      <c r="C137" s="44">
        <f>COUNT(D175:E176,D179)+COUNT(D181:E185)+COUNT(D187:E191)*5+COUNT(D194,D196:E197)+COUNT(D199:E203)+COUNT(D205:E209)+COUNT(D211:E215)*2+COUNT(D217:E221)*9+COUNT(D224,D226:E227)</f>
        <v>104</v>
      </c>
      <c r="D137" s="208">
        <f>SUM(D175:E176,D179)+SUM(D181:E185)+SUM(D187:E191)*5+SUM(D194,D196:E197)+SUM(D199:E203)+SUM(D205:E209)+SUM(D211:E215)*2+SUM(D217:E221)*9+SUM(D224,D226:E227)</f>
        <v>39513.137040000001</v>
      </c>
      <c r="E137" s="209"/>
      <c r="F137" s="210"/>
      <c r="G137" s="211">
        <f>SUM(G175:G176,G179)+SUM(G181:G185)+SUM(G187:G191)*5+SUM(G194,G196:G197)+SUM(G199:G203)+SUM(G205:G209)+SUM(G211:G215)*2+SUM(G217:G221)*9+SUM(G224,G226:G227)</f>
        <v>59269.705560000002</v>
      </c>
      <c r="H137" s="212"/>
      <c r="I137" s="212"/>
      <c r="J137" s="213"/>
    </row>
    <row r="138" spans="1:10" s="22" customFormat="1" ht="14.45" customHeight="1" x14ac:dyDescent="0.25">
      <c r="A138" s="218" t="s">
        <v>240</v>
      </c>
      <c r="B138" s="220"/>
      <c r="C138" s="44">
        <f>COUNT(D233:E234,D237)+COUNT(D240:E245)+COUNT(D247:E252)*5+COUNT(D254:E256,D258:E259)+COUNT(D261:E266)+COUNT(D268:E273)+COUNT(D275:E280)*2+COUNT(D282:E287)*9+COUNT(D289:E291,D293:E294)</f>
        <v>127</v>
      </c>
      <c r="D138" s="208">
        <f>SUM(D233:E234,D237)+SUM(D240:E245)+SUM(D247:E252)*5+SUM(D254:E256,D258:E259)+SUM(D261:E266)+SUM(D268:E273)+SUM(D275:E280)*2+SUM(D282:E287)*9+SUM(D289:E291,D293:E294)</f>
        <v>42369.256799999996</v>
      </c>
      <c r="E138" s="209"/>
      <c r="F138" s="210"/>
      <c r="G138" s="211">
        <f>SUM(G233:G234,G237)+SUM(G240:G245)+SUM(G247:G252)*5+SUM(G254:G256,G258:G259)+SUM(G261:G266)+SUM(G268:G273)+SUM(G275:G280)*2+SUM(G282:G287)*9+SUM(G289:G291,G293:G294)</f>
        <v>63553.885200000004</v>
      </c>
      <c r="H138" s="212"/>
      <c r="I138" s="212"/>
      <c r="J138" s="213"/>
    </row>
    <row r="139" spans="1:10" s="22" customFormat="1" ht="14.45" customHeight="1" x14ac:dyDescent="0.25">
      <c r="A139" s="218" t="s">
        <v>204</v>
      </c>
      <c r="B139" s="220"/>
      <c r="C139" s="44">
        <f>COUNT(D391:E393)+COUNT(D395:E397)+COUNT(D399:E401)*5+COUNT(D403:E404)+COUNT(D407:E409)+COUNT(D411:E413)+COUNT(D415:E417)*2+COUNT(D421)*9</f>
        <v>44</v>
      </c>
      <c r="D139" s="208">
        <f>SUM(D391:E393)+SUM(D395:E397)+SUM(D399:E401)*5+SUM(D403:E404)+SUM(D407:E409)+SUM(D411:E413)+SUM(D415:E417)*2+SUM(D421)*9</f>
        <v>13191.497279999998</v>
      </c>
      <c r="E139" s="209"/>
      <c r="F139" s="210"/>
      <c r="G139" s="211">
        <f>SUM(G391:G393)+SUM(G395:G397)+SUM(G399:G401)*5+SUM(G403:G404)+SUM(G407:G409)+SUM(G411:G413)+SUM(G415:G417)*2+SUM(G421)*9</f>
        <v>19787.245920000001</v>
      </c>
      <c r="H139" s="212"/>
      <c r="I139" s="212"/>
      <c r="J139" s="213"/>
    </row>
    <row r="140" spans="1:10" s="22" customFormat="1" ht="14.45" customHeight="1" x14ac:dyDescent="0.25">
      <c r="A140" s="199" t="s">
        <v>238</v>
      </c>
      <c r="B140" s="201"/>
      <c r="C140" s="45">
        <f>SUM(C137:C139)</f>
        <v>275</v>
      </c>
      <c r="D140" s="215">
        <f t="shared" ref="D140:G140" si="1">SUM(D137:F139)</f>
        <v>95073.89112</v>
      </c>
      <c r="E140" s="216"/>
      <c r="F140" s="217"/>
      <c r="G140" s="202">
        <f t="shared" si="1"/>
        <v>142610.83668000001</v>
      </c>
      <c r="H140" s="207"/>
      <c r="I140" s="207"/>
      <c r="J140" s="203"/>
    </row>
    <row r="141" spans="1:10" s="22" customFormat="1" ht="15.75" x14ac:dyDescent="0.25">
      <c r="A141" s="199" t="s">
        <v>242</v>
      </c>
      <c r="B141" s="200"/>
      <c r="C141" s="200"/>
      <c r="D141" s="200"/>
      <c r="E141" s="200"/>
      <c r="F141" s="200"/>
      <c r="G141" s="200"/>
      <c r="H141" s="200"/>
      <c r="I141" s="200"/>
      <c r="J141" s="201"/>
    </row>
    <row r="142" spans="1:10" s="22" customFormat="1" ht="39" customHeight="1" x14ac:dyDescent="0.25">
      <c r="A142" s="199" t="s">
        <v>186</v>
      </c>
      <c r="B142" s="200"/>
      <c r="C142" s="38" t="s">
        <v>183</v>
      </c>
      <c r="D142" s="204" t="s">
        <v>184</v>
      </c>
      <c r="E142" s="205"/>
      <c r="F142" s="206"/>
      <c r="G142" s="202" t="s">
        <v>185</v>
      </c>
      <c r="H142" s="207"/>
      <c r="I142" s="207"/>
      <c r="J142" s="203"/>
    </row>
    <row r="143" spans="1:10" s="22" customFormat="1" ht="15.75" x14ac:dyDescent="0.25">
      <c r="A143" s="255" t="s">
        <v>200</v>
      </c>
      <c r="B143" s="43" t="s">
        <v>244</v>
      </c>
      <c r="C143" s="44">
        <f>COUNT(D317:E322)+COUNT(D324:E331)*2+COUNT(D333:E336,D339:E340)+COUNT(D342:E349)+COUNT(D351:E358)+COUNT(D360:E367)*2+COUNT(D369:E376)*9+COUNT(D378:E381,D384:E385)</f>
        <v>138</v>
      </c>
      <c r="D143" s="252">
        <f>SUM(D317:E322)+SUM(D324:E331)*2+SUM(D333:E336,D339:E340)+SUM(D342:E349)+SUM(D351:E358)+SUM(D360:E367)*2+SUM(D369:E376)*9+SUM(D378:E381,D384:E385)</f>
        <v>48231.977039999983</v>
      </c>
      <c r="E143" s="253"/>
      <c r="F143" s="254"/>
      <c r="G143" s="218">
        <f>SUM(G317:G322)+SUM(G324:G331)*2+SUM(G333:G336,G339:G340)+SUM(G342:G349)+SUM(G351:G358)+SUM(G360:G367)*2+SUM(G369:G376)*9+SUM(G378:G381,G384:G385)</f>
        <v>72347.965560000011</v>
      </c>
      <c r="H143" s="219"/>
      <c r="I143" s="219"/>
      <c r="J143" s="220"/>
    </row>
    <row r="144" spans="1:10" s="22" customFormat="1" ht="15.75" x14ac:dyDescent="0.25">
      <c r="A144" s="256"/>
      <c r="B144" s="43" t="s">
        <v>245</v>
      </c>
      <c r="C144" s="44">
        <f>COUNT(D297:E298,D301:E304)+COUNT(D306:E313)*2+COUNT(D315:E316)</f>
        <v>24</v>
      </c>
      <c r="D144" s="252">
        <f>SUM(D297:E298,D301:E304)+SUM(D306:E313)*2+SUM(D315:E316)</f>
        <v>8388.1699199999985</v>
      </c>
      <c r="E144" s="253"/>
      <c r="F144" s="254"/>
      <c r="G144" s="218">
        <f>SUM(G297:G298,G301:G304)+SUM(G306:G313)*2+SUM(G315:G316)</f>
        <v>12582.25488</v>
      </c>
      <c r="H144" s="219"/>
      <c r="I144" s="219"/>
      <c r="J144" s="220"/>
    </row>
    <row r="145" spans="1:12" s="22" customFormat="1" ht="47.25" x14ac:dyDescent="0.25">
      <c r="A145" s="43" t="s">
        <v>204</v>
      </c>
      <c r="B145" s="43" t="s">
        <v>245</v>
      </c>
      <c r="C145" s="44">
        <f>COUNT(D419:E420)*9+COUNT(D423:E424)</f>
        <v>20</v>
      </c>
      <c r="D145" s="252">
        <f>SUM(D419:E420)*9+SUM(D423:E424)</f>
        <v>6314.6360160000004</v>
      </c>
      <c r="E145" s="253"/>
      <c r="F145" s="254"/>
      <c r="G145" s="218">
        <f>SUM(G419:G420)*9+SUM(G423:G424)</f>
        <v>9471.9540240000006</v>
      </c>
      <c r="H145" s="219"/>
      <c r="I145" s="219"/>
      <c r="J145" s="220"/>
    </row>
    <row r="146" spans="1:12" s="22" customFormat="1" ht="14.45" customHeight="1" x14ac:dyDescent="0.25">
      <c r="A146" s="199" t="s">
        <v>238</v>
      </c>
      <c r="B146" s="201"/>
      <c r="C146" s="45">
        <f t="shared" ref="C146:G146" si="2">SUM(C143:C145)</f>
        <v>182</v>
      </c>
      <c r="D146" s="215">
        <f t="shared" si="2"/>
        <v>62934.782975999988</v>
      </c>
      <c r="E146" s="216"/>
      <c r="F146" s="217"/>
      <c r="G146" s="202">
        <f t="shared" si="2"/>
        <v>94402.174464000011</v>
      </c>
      <c r="H146" s="207"/>
      <c r="I146" s="207"/>
      <c r="J146" s="203"/>
      <c r="K146" s="214">
        <v>10.763999999999999</v>
      </c>
      <c r="L146" s="214"/>
    </row>
    <row r="147" spans="1:12" s="22" customFormat="1" ht="14.45" customHeight="1" x14ac:dyDescent="0.25">
      <c r="A147" s="199" t="s">
        <v>243</v>
      </c>
      <c r="B147" s="201"/>
      <c r="C147" s="45">
        <f>C134+C140+C146</f>
        <v>466</v>
      </c>
      <c r="D147" s="221">
        <f>D134+D140+D146</f>
        <v>159407.76805199997</v>
      </c>
      <c r="E147" s="222"/>
      <c r="F147" s="223"/>
      <c r="G147" s="199">
        <f>G134+G140+G146</f>
        <v>239181.60677580003</v>
      </c>
      <c r="H147" s="200"/>
      <c r="I147" s="200"/>
      <c r="J147" s="201"/>
    </row>
    <row r="148" spans="1:12" s="22" customFormat="1" ht="14.45" customHeight="1" x14ac:dyDescent="0.25">
      <c r="A148" s="218"/>
      <c r="B148" s="219"/>
      <c r="C148" s="219"/>
      <c r="D148" s="219"/>
      <c r="E148" s="219"/>
      <c r="F148" s="219"/>
      <c r="G148" s="219"/>
      <c r="H148" s="219"/>
      <c r="I148" s="219"/>
      <c r="J148" s="220"/>
    </row>
    <row r="149" spans="1:12" s="22" customFormat="1" ht="15.75" x14ac:dyDescent="0.25">
      <c r="A149" s="224" t="s">
        <v>187</v>
      </c>
      <c r="B149" s="225"/>
      <c r="C149" s="225"/>
      <c r="D149" s="225"/>
      <c r="E149" s="225"/>
      <c r="F149" s="225"/>
      <c r="G149" s="225"/>
      <c r="H149" s="225"/>
      <c r="I149" s="225"/>
      <c r="J149" s="226"/>
    </row>
    <row r="150" spans="1:12" s="22" customFormat="1" ht="15.75" x14ac:dyDescent="0.25">
      <c r="A150" s="224" t="s">
        <v>214</v>
      </c>
      <c r="B150" s="225"/>
      <c r="C150" s="225"/>
      <c r="D150" s="225"/>
      <c r="E150" s="225"/>
      <c r="F150" s="225"/>
      <c r="G150" s="225"/>
      <c r="H150" s="225"/>
      <c r="I150" s="225"/>
      <c r="J150" s="226"/>
    </row>
    <row r="151" spans="1:12" s="22" customFormat="1" ht="14.45" customHeight="1" x14ac:dyDescent="0.25">
      <c r="A151" s="227" t="s">
        <v>222</v>
      </c>
      <c r="B151" s="227"/>
      <c r="C151" s="227" t="s">
        <v>188</v>
      </c>
      <c r="D151" s="227" t="s">
        <v>189</v>
      </c>
      <c r="E151" s="227"/>
      <c r="F151" s="228" t="s">
        <v>190</v>
      </c>
      <c r="G151" s="41" t="s">
        <v>196</v>
      </c>
      <c r="H151" s="227" t="s">
        <v>191</v>
      </c>
      <c r="I151" s="227" t="s">
        <v>192</v>
      </c>
      <c r="J151" s="227"/>
    </row>
    <row r="152" spans="1:12" s="22" customFormat="1" ht="31.5" customHeight="1" x14ac:dyDescent="0.25">
      <c r="A152" s="227"/>
      <c r="B152" s="227"/>
      <c r="C152" s="227"/>
      <c r="D152" s="227"/>
      <c r="E152" s="227"/>
      <c r="F152" s="228"/>
      <c r="G152" s="42">
        <v>0.55000000000000004</v>
      </c>
      <c r="H152" s="227"/>
      <c r="I152" s="227"/>
      <c r="J152" s="227"/>
    </row>
    <row r="153" spans="1:12" s="22" customFormat="1" ht="14.45" customHeight="1" x14ac:dyDescent="0.25">
      <c r="A153" s="229" t="s">
        <v>200</v>
      </c>
      <c r="B153" s="229"/>
      <c r="C153" s="229"/>
      <c r="D153" s="229"/>
      <c r="E153" s="229"/>
      <c r="F153" s="229"/>
      <c r="G153" s="229"/>
      <c r="H153" s="229"/>
      <c r="I153" s="229"/>
      <c r="J153" s="229"/>
    </row>
    <row r="154" spans="1:12" s="22" customFormat="1" ht="14.25" customHeight="1" x14ac:dyDescent="0.25">
      <c r="A154" s="230" t="s">
        <v>201</v>
      </c>
      <c r="B154" s="231"/>
      <c r="C154" s="231"/>
      <c r="D154" s="231"/>
      <c r="E154" s="231"/>
      <c r="F154" s="231"/>
      <c r="G154" s="231"/>
      <c r="H154" s="231"/>
      <c r="I154" s="231"/>
      <c r="J154" s="232"/>
    </row>
    <row r="155" spans="1:12" ht="15.75" x14ac:dyDescent="0.25">
      <c r="A155" s="230" t="s">
        <v>206</v>
      </c>
      <c r="B155" s="231"/>
      <c r="C155" s="231"/>
      <c r="D155" s="231"/>
      <c r="E155" s="231"/>
      <c r="F155" s="231"/>
      <c r="G155" s="231"/>
      <c r="H155" s="231"/>
      <c r="I155" s="231"/>
      <c r="J155" s="232"/>
    </row>
    <row r="156" spans="1:12" ht="15.75" x14ac:dyDescent="0.25">
      <c r="A156" s="230" t="s">
        <v>213</v>
      </c>
      <c r="B156" s="231"/>
      <c r="C156" s="231"/>
      <c r="D156" s="231"/>
      <c r="E156" s="231"/>
      <c r="F156" s="231"/>
      <c r="G156" s="231"/>
      <c r="H156" s="231"/>
      <c r="I156" s="231"/>
      <c r="J156" s="232"/>
      <c r="K156" s="21">
        <f>2.74*4.26+2.63*2.25+2.78*3.6+1.58*1.2+0.9*1.2</f>
        <v>30.573900000000002</v>
      </c>
    </row>
    <row r="157" spans="1:12" ht="15.75" x14ac:dyDescent="0.25">
      <c r="A157" s="39">
        <v>1</v>
      </c>
      <c r="B157" s="49" t="s">
        <v>223</v>
      </c>
      <c r="C157" s="47" t="s">
        <v>218</v>
      </c>
      <c r="D157" s="214">
        <f>(1.7*5.55)*10.764</f>
        <v>101.55833999999999</v>
      </c>
      <c r="E157" s="214"/>
      <c r="F157" s="39">
        <v>0</v>
      </c>
      <c r="G157" s="39">
        <f>(D157+(IF(F157&lt;101,F157,IF(F157&lt;201,F157/2,IF(F157&lt;=301,F157/3,F157/4)))))*(($G$152)+1)</f>
        <v>157.41542699999999</v>
      </c>
      <c r="H157" s="39" t="s">
        <v>194</v>
      </c>
      <c r="I157" s="233" t="str">
        <f>A156</f>
        <v>Ground/Podium Floor For Commercial &amp; Parking</v>
      </c>
      <c r="J157" s="233"/>
    </row>
    <row r="158" spans="1:12" ht="15.75" x14ac:dyDescent="0.25">
      <c r="A158" s="39">
        <f>A157+1</f>
        <v>2</v>
      </c>
      <c r="B158" s="49" t="s">
        <v>223</v>
      </c>
      <c r="C158" s="47" t="s">
        <v>218</v>
      </c>
      <c r="D158" s="214">
        <f>(1.7*5.55)*10.764</f>
        <v>101.55833999999999</v>
      </c>
      <c r="E158" s="214"/>
      <c r="F158" s="39">
        <v>0</v>
      </c>
      <c r="G158" s="39">
        <f t="shared" ref="G158:G165" si="3">(D158+(IF(F158&lt;101,F158,IF(F158&lt;201,F158/2,IF(F158&lt;=301,F158/3,F158/4)))))*(($G$152)+1)</f>
        <v>157.41542699999999</v>
      </c>
      <c r="H158" s="39" t="s">
        <v>194</v>
      </c>
      <c r="I158" s="233"/>
      <c r="J158" s="233"/>
    </row>
    <row r="159" spans="1:12" ht="15.75" x14ac:dyDescent="0.25">
      <c r="A159" s="39">
        <f>A158+1</f>
        <v>3</v>
      </c>
      <c r="B159" s="49" t="s">
        <v>223</v>
      </c>
      <c r="C159" s="47" t="s">
        <v>218</v>
      </c>
      <c r="D159" s="214">
        <f>(1.7*5.55)*10.764</f>
        <v>101.55833999999999</v>
      </c>
      <c r="E159" s="214"/>
      <c r="F159" s="39">
        <v>0</v>
      </c>
      <c r="G159" s="39">
        <f t="shared" si="3"/>
        <v>157.41542699999999</v>
      </c>
      <c r="H159" s="39" t="s">
        <v>194</v>
      </c>
      <c r="I159" s="233"/>
      <c r="J159" s="233"/>
    </row>
    <row r="160" spans="1:12" ht="15" customHeight="1" x14ac:dyDescent="0.25">
      <c r="A160" s="39">
        <f>A159+1</f>
        <v>4</v>
      </c>
      <c r="B160" s="49" t="s">
        <v>223</v>
      </c>
      <c r="C160" s="47" t="s">
        <v>218</v>
      </c>
      <c r="D160" s="214">
        <f>(1.68*5.55)*10.764</f>
        <v>100.363536</v>
      </c>
      <c r="E160" s="214"/>
      <c r="F160" s="39">
        <v>0</v>
      </c>
      <c r="G160" s="39">
        <f t="shared" si="3"/>
        <v>155.56348080000001</v>
      </c>
      <c r="H160" s="39" t="s">
        <v>194</v>
      </c>
      <c r="I160" s="233"/>
      <c r="J160" s="233"/>
      <c r="K160" s="21">
        <f>2.78*3.66+2.63*2.26+2.78*2.68+2.7*0.98+2.78*3.75+1.12*1.85+1.28*1.85+2.93*0.9</f>
        <v>43.717000000000006</v>
      </c>
    </row>
    <row r="161" spans="1:12" ht="15.75" x14ac:dyDescent="0.25">
      <c r="A161" s="230" t="s">
        <v>219</v>
      </c>
      <c r="B161" s="231"/>
      <c r="C161" s="231"/>
      <c r="D161" s="231"/>
      <c r="E161" s="231"/>
      <c r="F161" s="231"/>
      <c r="G161" s="231"/>
      <c r="H161" s="231"/>
      <c r="I161" s="231"/>
      <c r="J161" s="232"/>
    </row>
    <row r="162" spans="1:12" ht="15.75" x14ac:dyDescent="0.25">
      <c r="A162" s="39">
        <v>1</v>
      </c>
      <c r="B162" s="39" t="s">
        <v>224</v>
      </c>
      <c r="C162" s="39" t="s">
        <v>264</v>
      </c>
      <c r="D162" s="214">
        <f>(13.22+(2.7*0.9))*10.764</f>
        <v>168.45659999999998</v>
      </c>
      <c r="E162" s="214"/>
      <c r="F162" s="39">
        <v>0</v>
      </c>
      <c r="G162" s="39">
        <f t="shared" si="3"/>
        <v>261.10773</v>
      </c>
      <c r="H162" s="39" t="s">
        <v>194</v>
      </c>
      <c r="I162" s="234" t="str">
        <f>A161</f>
        <v>1st Floor For Commercial, Balwadi, Society Office &amp; Welfare Center</v>
      </c>
      <c r="J162" s="235"/>
    </row>
    <row r="163" spans="1:12" s="4" customFormat="1" ht="15.75" x14ac:dyDescent="0.25">
      <c r="A163" s="39">
        <v>2</v>
      </c>
      <c r="B163" s="39" t="s">
        <v>224</v>
      </c>
      <c r="C163" s="48" t="s">
        <v>264</v>
      </c>
      <c r="D163" s="214">
        <f>(11.83+(2.7*0.9))*10.764</f>
        <v>153.49463999999998</v>
      </c>
      <c r="E163" s="214"/>
      <c r="F163" s="39">
        <v>0</v>
      </c>
      <c r="G163" s="39">
        <f t="shared" si="3"/>
        <v>237.91669199999995</v>
      </c>
      <c r="H163" s="39" t="s">
        <v>194</v>
      </c>
      <c r="I163" s="236"/>
      <c r="J163" s="237"/>
    </row>
    <row r="164" spans="1:12" s="4" customFormat="1" ht="15.75" customHeight="1" x14ac:dyDescent="0.25">
      <c r="A164" s="39">
        <v>5</v>
      </c>
      <c r="B164" s="39" t="s">
        <v>224</v>
      </c>
      <c r="C164" s="48" t="s">
        <v>264</v>
      </c>
      <c r="D164" s="214">
        <f>(17.07+(2.7*0.9))*10.764</f>
        <v>209.898</v>
      </c>
      <c r="E164" s="214"/>
      <c r="F164" s="39">
        <v>0</v>
      </c>
      <c r="G164" s="39">
        <f t="shared" si="3"/>
        <v>325.34190000000001</v>
      </c>
      <c r="H164" s="39" t="s">
        <v>194</v>
      </c>
      <c r="I164" s="236"/>
      <c r="J164" s="237"/>
    </row>
    <row r="165" spans="1:12" ht="15.75" x14ac:dyDescent="0.25">
      <c r="A165" s="39">
        <v>6</v>
      </c>
      <c r="B165" s="39" t="s">
        <v>224</v>
      </c>
      <c r="C165" s="48" t="s">
        <v>264</v>
      </c>
      <c r="D165" s="214">
        <f>(19.23+(2.7*0.9))*10.764</f>
        <v>233.14823999999999</v>
      </c>
      <c r="E165" s="214"/>
      <c r="F165" s="39">
        <v>0</v>
      </c>
      <c r="G165" s="39">
        <f t="shared" si="3"/>
        <v>361.379772</v>
      </c>
      <c r="H165" s="39" t="s">
        <v>194</v>
      </c>
      <c r="I165" s="236"/>
      <c r="J165" s="237"/>
    </row>
    <row r="166" spans="1:12" ht="15.75" x14ac:dyDescent="0.25">
      <c r="A166" s="39">
        <v>7</v>
      </c>
      <c r="B166" s="39" t="s">
        <v>224</v>
      </c>
      <c r="C166" s="48" t="s">
        <v>264</v>
      </c>
      <c r="D166" s="214">
        <f>(18.85+(2.7*0.9))*10.764</f>
        <v>229.05792</v>
      </c>
      <c r="E166" s="214"/>
      <c r="F166" s="39">
        <v>0</v>
      </c>
      <c r="G166" s="39">
        <f t="shared" ref="G166" si="4">(D166+(IF(F166&lt;101,F166,IF(F166&lt;201,F166/2,IF(F166&lt;=301,F166/3,F166/4)))))*(($G$152)+1)</f>
        <v>355.03977600000002</v>
      </c>
      <c r="H166" s="39" t="s">
        <v>194</v>
      </c>
      <c r="I166" s="238"/>
      <c r="J166" s="239"/>
    </row>
    <row r="167" spans="1:12" ht="15.75" x14ac:dyDescent="0.25">
      <c r="A167" s="240"/>
      <c r="B167" s="241"/>
      <c r="C167" s="241"/>
      <c r="D167" s="241"/>
      <c r="E167" s="241"/>
      <c r="F167" s="241"/>
      <c r="G167" s="241"/>
      <c r="H167" s="241"/>
      <c r="I167" s="241"/>
      <c r="J167" s="242"/>
    </row>
    <row r="168" spans="1:12" ht="15.75" customHeight="1" x14ac:dyDescent="0.25">
      <c r="A168" s="227" t="s">
        <v>266</v>
      </c>
      <c r="B168" s="227"/>
      <c r="C168" s="227" t="s">
        <v>188</v>
      </c>
      <c r="D168" s="227" t="s">
        <v>189</v>
      </c>
      <c r="E168" s="227"/>
      <c r="F168" s="227" t="s">
        <v>190</v>
      </c>
      <c r="G168" s="41" t="s">
        <v>196</v>
      </c>
      <c r="H168" s="227" t="s">
        <v>191</v>
      </c>
      <c r="I168" s="227" t="s">
        <v>192</v>
      </c>
      <c r="J168" s="227"/>
    </row>
    <row r="169" spans="1:12" ht="15.75" x14ac:dyDescent="0.25">
      <c r="A169" s="227"/>
      <c r="B169" s="227"/>
      <c r="C169" s="227"/>
      <c r="D169" s="227"/>
      <c r="E169" s="227"/>
      <c r="F169" s="227"/>
      <c r="G169" s="42">
        <v>0.5</v>
      </c>
      <c r="H169" s="227"/>
      <c r="I169" s="227"/>
      <c r="J169" s="227"/>
    </row>
    <row r="170" spans="1:12" ht="15.75" x14ac:dyDescent="0.25">
      <c r="A170" s="240" t="s">
        <v>197</v>
      </c>
      <c r="B170" s="241"/>
      <c r="C170" s="241"/>
      <c r="D170" s="241"/>
      <c r="E170" s="241"/>
      <c r="F170" s="241"/>
      <c r="G170" s="241"/>
      <c r="H170" s="241"/>
      <c r="I170" s="241"/>
      <c r="J170" s="242"/>
    </row>
    <row r="171" spans="1:12" ht="15.75" x14ac:dyDescent="0.25">
      <c r="A171" s="230" t="s">
        <v>201</v>
      </c>
      <c r="B171" s="231"/>
      <c r="C171" s="231"/>
      <c r="D171" s="231"/>
      <c r="E171" s="231"/>
      <c r="F171" s="231"/>
      <c r="G171" s="231"/>
      <c r="H171" s="231"/>
      <c r="I171" s="231"/>
      <c r="J171" s="232"/>
      <c r="K171" s="40" t="s">
        <v>205</v>
      </c>
      <c r="L171" s="40"/>
    </row>
    <row r="172" spans="1:12" ht="15.75" customHeight="1" x14ac:dyDescent="0.25">
      <c r="A172" s="230" t="s">
        <v>206</v>
      </c>
      <c r="B172" s="231"/>
      <c r="C172" s="231"/>
      <c r="D172" s="231"/>
      <c r="E172" s="231"/>
      <c r="F172" s="231"/>
      <c r="G172" s="231"/>
      <c r="H172" s="231"/>
      <c r="I172" s="231"/>
      <c r="J172" s="232"/>
    </row>
    <row r="173" spans="1:12" ht="15.75" x14ac:dyDescent="0.25">
      <c r="A173" s="230" t="s">
        <v>212</v>
      </c>
      <c r="B173" s="231"/>
      <c r="C173" s="231"/>
      <c r="D173" s="231"/>
      <c r="E173" s="231"/>
      <c r="F173" s="231"/>
      <c r="G173" s="231"/>
      <c r="H173" s="231"/>
      <c r="I173" s="231"/>
      <c r="J173" s="232"/>
    </row>
    <row r="174" spans="1:12" ht="15.75" x14ac:dyDescent="0.25">
      <c r="A174" s="230" t="s">
        <v>215</v>
      </c>
      <c r="B174" s="231"/>
      <c r="C174" s="231"/>
      <c r="D174" s="231"/>
      <c r="E174" s="231"/>
      <c r="F174" s="231"/>
      <c r="G174" s="231"/>
      <c r="H174" s="231"/>
      <c r="I174" s="231"/>
      <c r="J174" s="232"/>
    </row>
    <row r="175" spans="1:12" ht="15.75" x14ac:dyDescent="0.25">
      <c r="A175" s="39">
        <v>1</v>
      </c>
      <c r="B175" s="39" t="s">
        <v>223</v>
      </c>
      <c r="C175" s="39" t="s">
        <v>193</v>
      </c>
      <c r="D175" s="214">
        <f>(34.64)*10.764</f>
        <v>372.86496</v>
      </c>
      <c r="E175" s="214"/>
      <c r="F175" s="39">
        <v>0</v>
      </c>
      <c r="G175" s="39">
        <f>D175*(($G$169)+1)+(IF(F175&lt;101,F175,IF(F175&lt;201,F175/2,IF(F175&lt;=301,F175/3,F175/4))))</f>
        <v>559.29744000000005</v>
      </c>
      <c r="H175" s="39" t="s">
        <v>194</v>
      </c>
      <c r="I175" s="246" t="str">
        <f>A174</f>
        <v>1st Floor For Residential &amp; (Part Gent Fitness Center Area)</v>
      </c>
      <c r="J175" s="235"/>
    </row>
    <row r="176" spans="1:12" ht="15.75" x14ac:dyDescent="0.25">
      <c r="A176" s="39">
        <f>A175+1</f>
        <v>2</v>
      </c>
      <c r="B176" s="39" t="s">
        <v>223</v>
      </c>
      <c r="C176" s="39" t="s">
        <v>193</v>
      </c>
      <c r="D176" s="214">
        <f>(30.94)*10.764</f>
        <v>333.03816</v>
      </c>
      <c r="E176" s="214"/>
      <c r="F176" s="39">
        <v>0</v>
      </c>
      <c r="G176" s="39">
        <f>D176*(($G$169)+1)+(IF(F176&lt;101,F176,IF(F176&lt;201,F176/2,IF(F176&lt;=301,F176/3,F176/4))))</f>
        <v>499.55723999999998</v>
      </c>
      <c r="H176" s="39" t="s">
        <v>194</v>
      </c>
      <c r="I176" s="247"/>
      <c r="J176" s="237"/>
    </row>
    <row r="177" spans="1:10" ht="15.75" x14ac:dyDescent="0.25">
      <c r="A177" s="39">
        <f>A176+1</f>
        <v>3</v>
      </c>
      <c r="B177" s="246" t="s">
        <v>262</v>
      </c>
      <c r="C177" s="234"/>
      <c r="D177" s="234"/>
      <c r="E177" s="234"/>
      <c r="F177" s="234"/>
      <c r="G177" s="234"/>
      <c r="H177" s="235"/>
      <c r="I177" s="247"/>
      <c r="J177" s="237"/>
    </row>
    <row r="178" spans="1:10" ht="15.75" x14ac:dyDescent="0.25">
      <c r="A178" s="39">
        <f>A177+1</f>
        <v>4</v>
      </c>
      <c r="B178" s="251"/>
      <c r="C178" s="238"/>
      <c r="D178" s="238"/>
      <c r="E178" s="238"/>
      <c r="F178" s="238"/>
      <c r="G178" s="238"/>
      <c r="H178" s="239"/>
      <c r="I178" s="247"/>
      <c r="J178" s="237"/>
    </row>
    <row r="179" spans="1:10" ht="15.75" x14ac:dyDescent="0.25">
      <c r="A179" s="39">
        <f>A178+1</f>
        <v>5</v>
      </c>
      <c r="B179" s="39" t="s">
        <v>223</v>
      </c>
      <c r="C179" s="39" t="s">
        <v>195</v>
      </c>
      <c r="D179" s="214">
        <f>(46.46)*10.764</f>
        <v>500.09544</v>
      </c>
      <c r="E179" s="214"/>
      <c r="F179" s="39">
        <v>0</v>
      </c>
      <c r="G179" s="39">
        <f>D179*(($G$169)+1)+(IF(F179&lt;101,F179,IF(F179&lt;201,F179/2,IF(F179&lt;=301,F179/3,F179/4))))</f>
        <v>750.14315999999997</v>
      </c>
      <c r="H179" s="39" t="s">
        <v>194</v>
      </c>
      <c r="I179" s="247"/>
      <c r="J179" s="237"/>
    </row>
    <row r="180" spans="1:10" ht="15.75" customHeight="1" x14ac:dyDescent="0.25">
      <c r="A180" s="230" t="s">
        <v>229</v>
      </c>
      <c r="B180" s="231"/>
      <c r="C180" s="231"/>
      <c r="D180" s="231"/>
      <c r="E180" s="231"/>
      <c r="F180" s="231"/>
      <c r="G180" s="231"/>
      <c r="H180" s="231"/>
      <c r="I180" s="231"/>
      <c r="J180" s="232"/>
    </row>
    <row r="181" spans="1:10" ht="15.75" customHeight="1" x14ac:dyDescent="0.25">
      <c r="A181" s="39">
        <v>1</v>
      </c>
      <c r="B181" s="39" t="s">
        <v>223</v>
      </c>
      <c r="C181" s="39" t="s">
        <v>193</v>
      </c>
      <c r="D181" s="214">
        <f>(34.64)*10.764</f>
        <v>372.86496</v>
      </c>
      <c r="E181" s="214"/>
      <c r="F181" s="39">
        <v>0</v>
      </c>
      <c r="G181" s="39">
        <f>D181*(($G$169)+1)+(IF(F181&lt;101,F181,IF(F181&lt;201,F181/2,IF(F181&lt;=301,F181/3,F181/4))))</f>
        <v>559.29744000000005</v>
      </c>
      <c r="H181" s="39" t="s">
        <v>194</v>
      </c>
      <c r="I181" s="246" t="str">
        <f>A180</f>
        <v>2nd Floor For Residential</v>
      </c>
      <c r="J181" s="235"/>
    </row>
    <row r="182" spans="1:10" ht="15.75" x14ac:dyDescent="0.25">
      <c r="A182" s="39">
        <f>A181+1</f>
        <v>2</v>
      </c>
      <c r="B182" s="39" t="s">
        <v>223</v>
      </c>
      <c r="C182" s="39" t="s">
        <v>193</v>
      </c>
      <c r="D182" s="214">
        <f>(30.94)*10.764</f>
        <v>333.03816</v>
      </c>
      <c r="E182" s="214"/>
      <c r="F182" s="39">
        <v>0</v>
      </c>
      <c r="G182" s="39">
        <f>D182*(($G$169)+1)+(IF(F182&lt;101,F182,IF(F182&lt;201,F182/2,IF(F182&lt;=301,F182/3,F182/4))))</f>
        <v>499.55723999999998</v>
      </c>
      <c r="H182" s="39" t="s">
        <v>194</v>
      </c>
      <c r="I182" s="247"/>
      <c r="J182" s="237"/>
    </row>
    <row r="183" spans="1:10" ht="15.75" x14ac:dyDescent="0.25">
      <c r="A183" s="39">
        <f>A182+1</f>
        <v>3</v>
      </c>
      <c r="B183" s="39" t="s">
        <v>223</v>
      </c>
      <c r="C183" s="39" t="s">
        <v>193</v>
      </c>
      <c r="D183" s="214">
        <f>(32.9)*10.764</f>
        <v>354.13559999999995</v>
      </c>
      <c r="E183" s="214"/>
      <c r="F183" s="39">
        <v>0</v>
      </c>
      <c r="G183" s="39">
        <f t="shared" ref="G183:G185" si="5">D183*(($G$169)+1)+(IF(F183&lt;101,F183,IF(F183&lt;201,F183/2,IF(F183&lt;=301,F183/3,F183/4))))</f>
        <v>531.20339999999987</v>
      </c>
      <c r="H183" s="39" t="s">
        <v>194</v>
      </c>
      <c r="I183" s="247"/>
      <c r="J183" s="237"/>
    </row>
    <row r="184" spans="1:10" ht="15.75" customHeight="1" x14ac:dyDescent="0.25">
      <c r="A184" s="39">
        <f>A183+1</f>
        <v>4</v>
      </c>
      <c r="B184" s="39" t="s">
        <v>223</v>
      </c>
      <c r="C184" s="39" t="s">
        <v>193</v>
      </c>
      <c r="D184" s="214">
        <f>(30.96)*10.764</f>
        <v>333.25344000000001</v>
      </c>
      <c r="E184" s="214"/>
      <c r="F184" s="39">
        <v>0</v>
      </c>
      <c r="G184" s="39">
        <f t="shared" si="5"/>
        <v>499.88016000000005</v>
      </c>
      <c r="H184" s="39" t="s">
        <v>194</v>
      </c>
      <c r="I184" s="247"/>
      <c r="J184" s="237"/>
    </row>
    <row r="185" spans="1:10" ht="15.75" x14ac:dyDescent="0.25">
      <c r="A185" s="39">
        <f>A184+1</f>
        <v>5</v>
      </c>
      <c r="B185" s="39" t="s">
        <v>223</v>
      </c>
      <c r="C185" s="39" t="s">
        <v>195</v>
      </c>
      <c r="D185" s="214">
        <f>(46.46)*10.764</f>
        <v>500.09544</v>
      </c>
      <c r="E185" s="214"/>
      <c r="F185" s="39">
        <v>0</v>
      </c>
      <c r="G185" s="39">
        <f t="shared" si="5"/>
        <v>750.14315999999997</v>
      </c>
      <c r="H185" s="39" t="s">
        <v>194</v>
      </c>
      <c r="I185" s="247"/>
      <c r="J185" s="237"/>
    </row>
    <row r="186" spans="1:10" ht="15.75" x14ac:dyDescent="0.25">
      <c r="A186" s="230" t="s">
        <v>228</v>
      </c>
      <c r="B186" s="231"/>
      <c r="C186" s="231"/>
      <c r="D186" s="231"/>
      <c r="E186" s="231"/>
      <c r="F186" s="231"/>
      <c r="G186" s="231"/>
      <c r="H186" s="231"/>
      <c r="I186" s="231"/>
      <c r="J186" s="232"/>
    </row>
    <row r="187" spans="1:10" ht="15.75" x14ac:dyDescent="0.25">
      <c r="A187" s="39">
        <v>1</v>
      </c>
      <c r="B187" s="39" t="s">
        <v>223</v>
      </c>
      <c r="C187" s="39" t="s">
        <v>193</v>
      </c>
      <c r="D187" s="214">
        <f>(34.64)*10.764</f>
        <v>372.86496</v>
      </c>
      <c r="E187" s="214"/>
      <c r="F187" s="39">
        <v>0</v>
      </c>
      <c r="G187" s="39">
        <f>D187*(($G$169)+1)+(IF(F187&lt;101,F187,IF(F187&lt;201,F187/2,IF(F187&lt;=301,F187/3,F187/4))))</f>
        <v>559.29744000000005</v>
      </c>
      <c r="H187" s="39" t="s">
        <v>194</v>
      </c>
      <c r="I187" s="246" t="str">
        <f>A186</f>
        <v>3rd to 7th Floor</v>
      </c>
      <c r="J187" s="235"/>
    </row>
    <row r="188" spans="1:10" ht="15.75" x14ac:dyDescent="0.25">
      <c r="A188" s="39">
        <f>A187+1</f>
        <v>2</v>
      </c>
      <c r="B188" s="39" t="s">
        <v>223</v>
      </c>
      <c r="C188" s="39" t="s">
        <v>193</v>
      </c>
      <c r="D188" s="214">
        <f>(30.94)*10.764</f>
        <v>333.03816</v>
      </c>
      <c r="E188" s="214"/>
      <c r="F188" s="39">
        <v>0</v>
      </c>
      <c r="G188" s="39">
        <f>D188*(($G$169)+1)+(IF(F188&lt;101,F188,IF(F188&lt;201,F188/2,IF(F188&lt;=301,F188/3,F188/4))))</f>
        <v>499.55723999999998</v>
      </c>
      <c r="H188" s="39" t="s">
        <v>194</v>
      </c>
      <c r="I188" s="247"/>
      <c r="J188" s="237"/>
    </row>
    <row r="189" spans="1:10" ht="15.75" customHeight="1" x14ac:dyDescent="0.25">
      <c r="A189" s="39">
        <f>A188+1</f>
        <v>3</v>
      </c>
      <c r="B189" s="39" t="s">
        <v>223</v>
      </c>
      <c r="C189" s="39" t="s">
        <v>193</v>
      </c>
      <c r="D189" s="214">
        <f>(32.9)*10.764</f>
        <v>354.13559999999995</v>
      </c>
      <c r="E189" s="214"/>
      <c r="F189" s="39">
        <v>0</v>
      </c>
      <c r="G189" s="39">
        <f t="shared" ref="G189:G191" si="6">D189*(($G$169)+1)+(IF(F189&lt;101,F189,IF(F189&lt;201,F189/2,IF(F189&lt;=301,F189/3,F189/4))))</f>
        <v>531.20339999999987</v>
      </c>
      <c r="H189" s="39" t="s">
        <v>194</v>
      </c>
      <c r="I189" s="247"/>
      <c r="J189" s="237"/>
    </row>
    <row r="190" spans="1:10" ht="15.75" customHeight="1" x14ac:dyDescent="0.25">
      <c r="A190" s="39">
        <f>A189+1</f>
        <v>4</v>
      </c>
      <c r="B190" s="39" t="s">
        <v>223</v>
      </c>
      <c r="C190" s="39" t="s">
        <v>193</v>
      </c>
      <c r="D190" s="214">
        <f>(30.96)*10.764</f>
        <v>333.25344000000001</v>
      </c>
      <c r="E190" s="214"/>
      <c r="F190" s="39">
        <v>0</v>
      </c>
      <c r="G190" s="39">
        <f t="shared" si="6"/>
        <v>499.88016000000005</v>
      </c>
      <c r="H190" s="39" t="s">
        <v>194</v>
      </c>
      <c r="I190" s="247"/>
      <c r="J190" s="237"/>
    </row>
    <row r="191" spans="1:10" ht="15.75" customHeight="1" x14ac:dyDescent="0.25">
      <c r="A191" s="39">
        <f>A190+1</f>
        <v>5</v>
      </c>
      <c r="B191" s="39" t="s">
        <v>223</v>
      </c>
      <c r="C191" s="39" t="s">
        <v>195</v>
      </c>
      <c r="D191" s="214">
        <f>(46.46)*10.764</f>
        <v>500.09544</v>
      </c>
      <c r="E191" s="214"/>
      <c r="F191" s="39">
        <v>0</v>
      </c>
      <c r="G191" s="39">
        <f t="shared" si="6"/>
        <v>750.14315999999997</v>
      </c>
      <c r="H191" s="39" t="s">
        <v>194</v>
      </c>
      <c r="I191" s="247"/>
      <c r="J191" s="237"/>
    </row>
    <row r="192" spans="1:10" ht="15.75" customHeight="1" x14ac:dyDescent="0.25">
      <c r="A192" s="230" t="s">
        <v>230</v>
      </c>
      <c r="B192" s="231"/>
      <c r="C192" s="231"/>
      <c r="D192" s="231"/>
      <c r="E192" s="231"/>
      <c r="F192" s="231"/>
      <c r="G192" s="231"/>
      <c r="H192" s="231"/>
      <c r="I192" s="231"/>
      <c r="J192" s="232"/>
    </row>
    <row r="193" spans="1:10" ht="15.75" x14ac:dyDescent="0.25">
      <c r="A193" s="39">
        <v>1</v>
      </c>
      <c r="B193" s="243" t="s">
        <v>231</v>
      </c>
      <c r="C193" s="244"/>
      <c r="D193" s="244"/>
      <c r="E193" s="244"/>
      <c r="F193" s="244"/>
      <c r="G193" s="244"/>
      <c r="H193" s="245"/>
      <c r="I193" s="246" t="str">
        <f>A192</f>
        <v>8th Floor (Part Refuge Area)</v>
      </c>
      <c r="J193" s="235"/>
    </row>
    <row r="194" spans="1:10" ht="15.75" x14ac:dyDescent="0.25">
      <c r="A194" s="39">
        <f>A193+1</f>
        <v>2</v>
      </c>
      <c r="B194" s="39" t="s">
        <v>223</v>
      </c>
      <c r="C194" s="39" t="s">
        <v>193</v>
      </c>
      <c r="D194" s="214">
        <f>(30.94)*10.764</f>
        <v>333.03816</v>
      </c>
      <c r="E194" s="214"/>
      <c r="F194" s="39">
        <v>0</v>
      </c>
      <c r="G194" s="39">
        <f>D194*(($G$169)+1)+(IF(F194&lt;101,F194,IF(F194&lt;201,F194/2,IF(F194&lt;=301,F194/3,F194/4))))</f>
        <v>499.55723999999998</v>
      </c>
      <c r="H194" s="39" t="s">
        <v>194</v>
      </c>
      <c r="I194" s="247"/>
      <c r="J194" s="237"/>
    </row>
    <row r="195" spans="1:10" ht="15.75" x14ac:dyDescent="0.25">
      <c r="A195" s="39">
        <f>A194+1</f>
        <v>3</v>
      </c>
      <c r="B195" s="243" t="s">
        <v>231</v>
      </c>
      <c r="C195" s="244"/>
      <c r="D195" s="244"/>
      <c r="E195" s="244"/>
      <c r="F195" s="244"/>
      <c r="G195" s="244"/>
      <c r="H195" s="245"/>
      <c r="I195" s="247"/>
      <c r="J195" s="237"/>
    </row>
    <row r="196" spans="1:10" ht="15.75" customHeight="1" x14ac:dyDescent="0.25">
      <c r="A196" s="39">
        <f>A195+1</f>
        <v>4</v>
      </c>
      <c r="B196" s="39" t="s">
        <v>223</v>
      </c>
      <c r="C196" s="39" t="s">
        <v>193</v>
      </c>
      <c r="D196" s="214">
        <f>(30.96)*10.764</f>
        <v>333.25344000000001</v>
      </c>
      <c r="E196" s="214"/>
      <c r="F196" s="39">
        <v>0</v>
      </c>
      <c r="G196" s="39">
        <f>D196*(($G$169)+1)+(IF(F196&lt;101,F196,IF(F196&lt;201,F196/2,IF(F196&lt;=301,F196/3,F196/4))))</f>
        <v>499.88016000000005</v>
      </c>
      <c r="H196" s="39" t="s">
        <v>194</v>
      </c>
      <c r="I196" s="247"/>
      <c r="J196" s="237"/>
    </row>
    <row r="197" spans="1:10" ht="15.75" x14ac:dyDescent="0.25">
      <c r="A197" s="39">
        <f>A196+1</f>
        <v>5</v>
      </c>
      <c r="B197" s="39" t="s">
        <v>223</v>
      </c>
      <c r="C197" s="39" t="s">
        <v>195</v>
      </c>
      <c r="D197" s="214">
        <f>(46.46)*10.764</f>
        <v>500.09544</v>
      </c>
      <c r="E197" s="214"/>
      <c r="F197" s="39">
        <v>0</v>
      </c>
      <c r="G197" s="39">
        <f>D197*(($G$169)+1)+(IF(F197&lt;101,F197,IF(F197&lt;201,F197/2,IF(F197&lt;=301,F197/3,F197/4))))</f>
        <v>750.14315999999997</v>
      </c>
      <c r="H197" s="39" t="s">
        <v>194</v>
      </c>
      <c r="I197" s="247"/>
      <c r="J197" s="237"/>
    </row>
    <row r="198" spans="1:10" ht="15.75" x14ac:dyDescent="0.25">
      <c r="A198" s="230" t="s">
        <v>233</v>
      </c>
      <c r="B198" s="231"/>
      <c r="C198" s="231"/>
      <c r="D198" s="231"/>
      <c r="E198" s="231"/>
      <c r="F198" s="231"/>
      <c r="G198" s="231"/>
      <c r="H198" s="231"/>
      <c r="I198" s="231"/>
      <c r="J198" s="232"/>
    </row>
    <row r="199" spans="1:10" ht="15.75" x14ac:dyDescent="0.25">
      <c r="A199" s="39">
        <v>1</v>
      </c>
      <c r="B199" s="39" t="s">
        <v>223</v>
      </c>
      <c r="C199" s="39" t="s">
        <v>193</v>
      </c>
      <c r="D199" s="214">
        <f>(34.64)*10.764</f>
        <v>372.86496</v>
      </c>
      <c r="E199" s="214"/>
      <c r="F199" s="39">
        <v>0</v>
      </c>
      <c r="G199" s="39">
        <f>D199*(($G$169)+1)+(IF(F199&lt;101,F199,IF(F199&lt;201,F199/2,IF(F199&lt;=301,F199/3,F199/4))))</f>
        <v>559.29744000000005</v>
      </c>
      <c r="H199" s="39" t="s">
        <v>194</v>
      </c>
      <c r="I199" s="246" t="str">
        <f>A198</f>
        <v>9th Floor</v>
      </c>
      <c r="J199" s="235"/>
    </row>
    <row r="200" spans="1:10" ht="15.75" x14ac:dyDescent="0.25">
      <c r="A200" s="39">
        <f>A199+1</f>
        <v>2</v>
      </c>
      <c r="B200" s="39" t="s">
        <v>223</v>
      </c>
      <c r="C200" s="39" t="s">
        <v>193</v>
      </c>
      <c r="D200" s="214">
        <f>(30.94)*10.764</f>
        <v>333.03816</v>
      </c>
      <c r="E200" s="214"/>
      <c r="F200" s="39">
        <v>0</v>
      </c>
      <c r="G200" s="39">
        <f>D200*(($G$169)+1)+(IF(F200&lt;101,F200,IF(F200&lt;201,F200/2,IF(F200&lt;=301,F200/3,F200/4))))</f>
        <v>499.55723999999998</v>
      </c>
      <c r="H200" s="39" t="s">
        <v>194</v>
      </c>
      <c r="I200" s="247"/>
      <c r="J200" s="237"/>
    </row>
    <row r="201" spans="1:10" ht="15.75" customHeight="1" x14ac:dyDescent="0.25">
      <c r="A201" s="39">
        <f>A200+1</f>
        <v>3</v>
      </c>
      <c r="B201" s="39" t="s">
        <v>223</v>
      </c>
      <c r="C201" s="39" t="s">
        <v>193</v>
      </c>
      <c r="D201" s="214">
        <f>(32.9)*10.764</f>
        <v>354.13559999999995</v>
      </c>
      <c r="E201" s="214"/>
      <c r="F201" s="39">
        <v>0</v>
      </c>
      <c r="G201" s="39">
        <f t="shared" ref="G201:G203" si="7">D201*(($G$169)+1)+(IF(F201&lt;101,F201,IF(F201&lt;201,F201/2,IF(F201&lt;=301,F201/3,F201/4))))</f>
        <v>531.20339999999987</v>
      </c>
      <c r="H201" s="39" t="s">
        <v>194</v>
      </c>
      <c r="I201" s="247"/>
      <c r="J201" s="237"/>
    </row>
    <row r="202" spans="1:10" ht="15.75" x14ac:dyDescent="0.25">
      <c r="A202" s="39">
        <f>A201+1</f>
        <v>4</v>
      </c>
      <c r="B202" s="39" t="s">
        <v>223</v>
      </c>
      <c r="C202" s="39" t="s">
        <v>193</v>
      </c>
      <c r="D202" s="214">
        <f>(30.96)*10.764</f>
        <v>333.25344000000001</v>
      </c>
      <c r="E202" s="214"/>
      <c r="F202" s="39">
        <v>0</v>
      </c>
      <c r="G202" s="39">
        <f t="shared" si="7"/>
        <v>499.88016000000005</v>
      </c>
      <c r="H202" s="39" t="s">
        <v>194</v>
      </c>
      <c r="I202" s="247"/>
      <c r="J202" s="237"/>
    </row>
    <row r="203" spans="1:10" ht="15.75" x14ac:dyDescent="0.25">
      <c r="A203" s="39">
        <f>A202+1</f>
        <v>5</v>
      </c>
      <c r="B203" s="39" t="s">
        <v>223</v>
      </c>
      <c r="C203" s="39" t="s">
        <v>195</v>
      </c>
      <c r="D203" s="214">
        <f>(46.46)*10.764</f>
        <v>500.09544</v>
      </c>
      <c r="E203" s="214"/>
      <c r="F203" s="39">
        <v>0</v>
      </c>
      <c r="G203" s="39">
        <f t="shared" si="7"/>
        <v>750.14315999999997</v>
      </c>
      <c r="H203" s="39" t="s">
        <v>194</v>
      </c>
      <c r="I203" s="247"/>
      <c r="J203" s="237"/>
    </row>
    <row r="204" spans="1:10" ht="15.75" customHeight="1" x14ac:dyDescent="0.25">
      <c r="A204" s="230" t="s">
        <v>234</v>
      </c>
      <c r="B204" s="231"/>
      <c r="C204" s="231"/>
      <c r="D204" s="231"/>
      <c r="E204" s="231"/>
      <c r="F204" s="231"/>
      <c r="G204" s="231"/>
      <c r="H204" s="231"/>
      <c r="I204" s="231"/>
      <c r="J204" s="232"/>
    </row>
    <row r="205" spans="1:10" ht="15.75" x14ac:dyDescent="0.25">
      <c r="A205" s="39">
        <v>1</v>
      </c>
      <c r="B205" s="39" t="s">
        <v>223</v>
      </c>
      <c r="C205" s="39" t="s">
        <v>193</v>
      </c>
      <c r="D205" s="214">
        <f>(34.64)*10.764</f>
        <v>372.86496</v>
      </c>
      <c r="E205" s="214"/>
      <c r="F205" s="39">
        <v>0</v>
      </c>
      <c r="G205" s="39">
        <f>D205*(($G$169)+1)+(IF(F205&lt;101,F205,IF(F205&lt;201,F205/2,IF(F205&lt;=301,F205/3,F205/4))))</f>
        <v>559.29744000000005</v>
      </c>
      <c r="H205" s="39" t="s">
        <v>194</v>
      </c>
      <c r="I205" s="246" t="str">
        <f>A204</f>
        <v>10th Floor</v>
      </c>
      <c r="J205" s="235"/>
    </row>
    <row r="206" spans="1:10" ht="15.75" customHeight="1" x14ac:dyDescent="0.25">
      <c r="A206" s="39">
        <f>A205+1</f>
        <v>2</v>
      </c>
      <c r="B206" s="39" t="s">
        <v>223</v>
      </c>
      <c r="C206" s="39" t="s">
        <v>193</v>
      </c>
      <c r="D206" s="214">
        <f>(30.94)*10.764</f>
        <v>333.03816</v>
      </c>
      <c r="E206" s="214"/>
      <c r="F206" s="39">
        <v>0</v>
      </c>
      <c r="G206" s="39">
        <f>D206*(($G$169)+1)+(IF(F206&lt;101,F206,IF(F206&lt;201,F206/2,IF(F206&lt;=301,F206/3,F206/4))))</f>
        <v>499.55723999999998</v>
      </c>
      <c r="H206" s="39" t="s">
        <v>194</v>
      </c>
      <c r="I206" s="247"/>
      <c r="J206" s="237"/>
    </row>
    <row r="207" spans="1:10" ht="15.75" x14ac:dyDescent="0.25">
      <c r="A207" s="39">
        <f>A206+1</f>
        <v>3</v>
      </c>
      <c r="B207" s="39" t="s">
        <v>223</v>
      </c>
      <c r="C207" s="39" t="s">
        <v>193</v>
      </c>
      <c r="D207" s="214">
        <f>(32.9)*10.764</f>
        <v>354.13559999999995</v>
      </c>
      <c r="E207" s="214"/>
      <c r="F207" s="39">
        <v>0</v>
      </c>
      <c r="G207" s="39">
        <f t="shared" ref="G207:G209" si="8">D207*(($G$169)+1)+(IF(F207&lt;101,F207,IF(F207&lt;201,F207/2,IF(F207&lt;=301,F207/3,F207/4))))</f>
        <v>531.20339999999987</v>
      </c>
      <c r="H207" s="39" t="s">
        <v>194</v>
      </c>
      <c r="I207" s="247"/>
      <c r="J207" s="237"/>
    </row>
    <row r="208" spans="1:10" ht="15.75" x14ac:dyDescent="0.25">
      <c r="A208" s="39">
        <f>A207+1</f>
        <v>4</v>
      </c>
      <c r="B208" s="39" t="s">
        <v>223</v>
      </c>
      <c r="C208" s="39" t="s">
        <v>193</v>
      </c>
      <c r="D208" s="214">
        <f>(30.96)*10.764</f>
        <v>333.25344000000001</v>
      </c>
      <c r="E208" s="214"/>
      <c r="F208" s="39">
        <v>0</v>
      </c>
      <c r="G208" s="39">
        <f t="shared" si="8"/>
        <v>499.88016000000005</v>
      </c>
      <c r="H208" s="39" t="s">
        <v>194</v>
      </c>
      <c r="I208" s="247"/>
      <c r="J208" s="237"/>
    </row>
    <row r="209" spans="1:10" ht="15.75" x14ac:dyDescent="0.25">
      <c r="A209" s="39">
        <f>A208+1</f>
        <v>5</v>
      </c>
      <c r="B209" s="39" t="s">
        <v>223</v>
      </c>
      <c r="C209" s="39" t="s">
        <v>195</v>
      </c>
      <c r="D209" s="214">
        <f>(46.46)*10.764</f>
        <v>500.09544</v>
      </c>
      <c r="E209" s="214"/>
      <c r="F209" s="39">
        <v>0</v>
      </c>
      <c r="G209" s="39">
        <f t="shared" si="8"/>
        <v>750.14315999999997</v>
      </c>
      <c r="H209" s="39" t="s">
        <v>194</v>
      </c>
      <c r="I209" s="247"/>
      <c r="J209" s="237"/>
    </row>
    <row r="210" spans="1:10" ht="15.75" x14ac:dyDescent="0.25">
      <c r="A210" s="230" t="s">
        <v>235</v>
      </c>
      <c r="B210" s="231"/>
      <c r="C210" s="231"/>
      <c r="D210" s="231"/>
      <c r="E210" s="231"/>
      <c r="F210" s="231"/>
      <c r="G210" s="231"/>
      <c r="H210" s="231"/>
      <c r="I210" s="231"/>
      <c r="J210" s="232"/>
    </row>
    <row r="211" spans="1:10" ht="15.75" customHeight="1" x14ac:dyDescent="0.25">
      <c r="A211" s="39">
        <v>1</v>
      </c>
      <c r="B211" s="39" t="s">
        <v>223</v>
      </c>
      <c r="C211" s="39" t="s">
        <v>193</v>
      </c>
      <c r="D211" s="214">
        <f>(34.64)*10.764</f>
        <v>372.86496</v>
      </c>
      <c r="E211" s="214"/>
      <c r="F211" s="39">
        <v>0</v>
      </c>
      <c r="G211" s="39">
        <f>D211*(($G$169)+1)+(IF(F211&lt;101,F211,IF(F211&lt;201,F211/2,IF(F211&lt;=301,F211/3,F211/4))))</f>
        <v>559.29744000000005</v>
      </c>
      <c r="H211" s="39" t="s">
        <v>194</v>
      </c>
      <c r="I211" s="246" t="str">
        <f>A210</f>
        <v>11th &amp; 12th Floor</v>
      </c>
      <c r="J211" s="235"/>
    </row>
    <row r="212" spans="1:10" ht="15.75" x14ac:dyDescent="0.25">
      <c r="A212" s="39">
        <f>A211+1</f>
        <v>2</v>
      </c>
      <c r="B212" s="39" t="s">
        <v>223</v>
      </c>
      <c r="C212" s="39" t="s">
        <v>193</v>
      </c>
      <c r="D212" s="214">
        <f>(30.94)*10.764</f>
        <v>333.03816</v>
      </c>
      <c r="E212" s="214"/>
      <c r="F212" s="39">
        <v>0</v>
      </c>
      <c r="G212" s="39">
        <f>D212*(($G$169)+1)+(IF(F212&lt;101,F212,IF(F212&lt;201,F212/2,IF(F212&lt;=301,F212/3,F212/4))))</f>
        <v>499.55723999999998</v>
      </c>
      <c r="H212" s="39" t="s">
        <v>194</v>
      </c>
      <c r="I212" s="247"/>
      <c r="J212" s="237"/>
    </row>
    <row r="213" spans="1:10" ht="15.75" x14ac:dyDescent="0.25">
      <c r="A213" s="39">
        <f>A212+1</f>
        <v>3</v>
      </c>
      <c r="B213" s="39" t="s">
        <v>223</v>
      </c>
      <c r="C213" s="39" t="s">
        <v>193</v>
      </c>
      <c r="D213" s="214">
        <f>(32.9)*10.764</f>
        <v>354.13559999999995</v>
      </c>
      <c r="E213" s="214"/>
      <c r="F213" s="39">
        <v>0</v>
      </c>
      <c r="G213" s="39">
        <f t="shared" ref="G213:G215" si="9">D213*(($G$169)+1)+(IF(F213&lt;101,F213,IF(F213&lt;201,F213/2,IF(F213&lt;=301,F213/3,F213/4))))</f>
        <v>531.20339999999987</v>
      </c>
      <c r="H213" s="39" t="s">
        <v>194</v>
      </c>
      <c r="I213" s="247"/>
      <c r="J213" s="237"/>
    </row>
    <row r="214" spans="1:10" ht="15.75" x14ac:dyDescent="0.25">
      <c r="A214" s="39">
        <f>A213+1</f>
        <v>4</v>
      </c>
      <c r="B214" s="39" t="s">
        <v>223</v>
      </c>
      <c r="C214" s="39" t="s">
        <v>193</v>
      </c>
      <c r="D214" s="214">
        <f>(30.96)*10.764</f>
        <v>333.25344000000001</v>
      </c>
      <c r="E214" s="214"/>
      <c r="F214" s="39">
        <v>0</v>
      </c>
      <c r="G214" s="39">
        <f t="shared" si="9"/>
        <v>499.88016000000005</v>
      </c>
      <c r="H214" s="39" t="s">
        <v>194</v>
      </c>
      <c r="I214" s="247"/>
      <c r="J214" s="237"/>
    </row>
    <row r="215" spans="1:10" ht="15.75" x14ac:dyDescent="0.25">
      <c r="A215" s="39">
        <f>A214+1</f>
        <v>5</v>
      </c>
      <c r="B215" s="39" t="s">
        <v>223</v>
      </c>
      <c r="C215" s="39" t="s">
        <v>195</v>
      </c>
      <c r="D215" s="214">
        <f>(46.46)*10.764</f>
        <v>500.09544</v>
      </c>
      <c r="E215" s="214"/>
      <c r="F215" s="39">
        <v>0</v>
      </c>
      <c r="G215" s="39">
        <f t="shared" si="9"/>
        <v>750.14315999999997</v>
      </c>
      <c r="H215" s="39" t="s">
        <v>194</v>
      </c>
      <c r="I215" s="247"/>
      <c r="J215" s="237"/>
    </row>
    <row r="216" spans="1:10" ht="15.75" x14ac:dyDescent="0.25">
      <c r="A216" s="230" t="s">
        <v>236</v>
      </c>
      <c r="B216" s="231"/>
      <c r="C216" s="231"/>
      <c r="D216" s="231"/>
      <c r="E216" s="231"/>
      <c r="F216" s="231"/>
      <c r="G216" s="231"/>
      <c r="H216" s="231"/>
      <c r="I216" s="231"/>
      <c r="J216" s="232"/>
    </row>
    <row r="217" spans="1:10" ht="15.75" x14ac:dyDescent="0.25">
      <c r="A217" s="39">
        <v>1</v>
      </c>
      <c r="B217" s="39" t="s">
        <v>223</v>
      </c>
      <c r="C217" s="39" t="s">
        <v>193</v>
      </c>
      <c r="D217" s="214">
        <f>(34.64)*10.764</f>
        <v>372.86496</v>
      </c>
      <c r="E217" s="214"/>
      <c r="F217" s="39">
        <v>0</v>
      </c>
      <c r="G217" s="39">
        <f>D217*(($G$169)+1)+(IF(F217&lt;101,F217,IF(F217&lt;201,F217/2,IF(F217&lt;=301,F217/3,F217/4))))</f>
        <v>559.29744000000005</v>
      </c>
      <c r="H217" s="39" t="s">
        <v>194</v>
      </c>
      <c r="I217" s="246" t="str">
        <f>A216</f>
        <v>13th, 14th &amp; 16th to 22nd Floor</v>
      </c>
      <c r="J217" s="235"/>
    </row>
    <row r="218" spans="1:10" ht="15.75" x14ac:dyDescent="0.25">
      <c r="A218" s="39">
        <f>A217+1</f>
        <v>2</v>
      </c>
      <c r="B218" s="39" t="s">
        <v>223</v>
      </c>
      <c r="C218" s="39" t="s">
        <v>193</v>
      </c>
      <c r="D218" s="214">
        <f>(30.94)*10.764</f>
        <v>333.03816</v>
      </c>
      <c r="E218" s="214"/>
      <c r="F218" s="39">
        <v>0</v>
      </c>
      <c r="G218" s="39">
        <f>D218*(($G$169)+1)+(IF(F218&lt;101,F218,IF(F218&lt;201,F218/2,IF(F218&lt;=301,F218/3,F218/4))))</f>
        <v>499.55723999999998</v>
      </c>
      <c r="H218" s="39" t="s">
        <v>194</v>
      </c>
      <c r="I218" s="247"/>
      <c r="J218" s="237"/>
    </row>
    <row r="219" spans="1:10" ht="15.75" x14ac:dyDescent="0.25">
      <c r="A219" s="39">
        <f>A218+1</f>
        <v>3</v>
      </c>
      <c r="B219" s="39" t="s">
        <v>223</v>
      </c>
      <c r="C219" s="39" t="s">
        <v>193</v>
      </c>
      <c r="D219" s="214">
        <f>(32.9)*10.764</f>
        <v>354.13559999999995</v>
      </c>
      <c r="E219" s="214"/>
      <c r="F219" s="39">
        <v>0</v>
      </c>
      <c r="G219" s="39">
        <f t="shared" ref="G219:G221" si="10">D219*(($G$169)+1)+(IF(F219&lt;101,F219,IF(F219&lt;201,F219/2,IF(F219&lt;=301,F219/3,F219/4))))</f>
        <v>531.20339999999987</v>
      </c>
      <c r="H219" s="39" t="s">
        <v>194</v>
      </c>
      <c r="I219" s="247"/>
      <c r="J219" s="237"/>
    </row>
    <row r="220" spans="1:10" ht="15.75" x14ac:dyDescent="0.25">
      <c r="A220" s="39">
        <f>A219+1</f>
        <v>4</v>
      </c>
      <c r="B220" s="39" t="s">
        <v>223</v>
      </c>
      <c r="C220" s="39" t="s">
        <v>193</v>
      </c>
      <c r="D220" s="214">
        <f>(30.96)*10.764</f>
        <v>333.25344000000001</v>
      </c>
      <c r="E220" s="214"/>
      <c r="F220" s="39">
        <v>0</v>
      </c>
      <c r="G220" s="39">
        <f t="shared" si="10"/>
        <v>499.88016000000005</v>
      </c>
      <c r="H220" s="39" t="s">
        <v>194</v>
      </c>
      <c r="I220" s="247"/>
      <c r="J220" s="237"/>
    </row>
    <row r="221" spans="1:10" ht="15.75" x14ac:dyDescent="0.25">
      <c r="A221" s="39">
        <f>A220+1</f>
        <v>5</v>
      </c>
      <c r="B221" s="39" t="s">
        <v>223</v>
      </c>
      <c r="C221" s="39" t="s">
        <v>195</v>
      </c>
      <c r="D221" s="214">
        <f>(46.46)*10.764</f>
        <v>500.09544</v>
      </c>
      <c r="E221" s="214"/>
      <c r="F221" s="39">
        <v>0</v>
      </c>
      <c r="G221" s="39">
        <f t="shared" si="10"/>
        <v>750.14315999999997</v>
      </c>
      <c r="H221" s="39" t="s">
        <v>194</v>
      </c>
      <c r="I221" s="247"/>
      <c r="J221" s="237"/>
    </row>
    <row r="222" spans="1:10" ht="15.75" x14ac:dyDescent="0.25">
      <c r="A222" s="230" t="s">
        <v>237</v>
      </c>
      <c r="B222" s="231"/>
      <c r="C222" s="231"/>
      <c r="D222" s="231"/>
      <c r="E222" s="231"/>
      <c r="F222" s="231"/>
      <c r="G222" s="231"/>
      <c r="H222" s="231"/>
      <c r="I222" s="231"/>
      <c r="J222" s="232"/>
    </row>
    <row r="223" spans="1:10" ht="15.75" x14ac:dyDescent="0.25">
      <c r="A223" s="39">
        <v>1</v>
      </c>
      <c r="B223" s="243" t="s">
        <v>231</v>
      </c>
      <c r="C223" s="244"/>
      <c r="D223" s="244"/>
      <c r="E223" s="244"/>
      <c r="F223" s="244"/>
      <c r="G223" s="244"/>
      <c r="H223" s="245"/>
      <c r="I223" s="246" t="str">
        <f>A222</f>
        <v>15th Floor (Part Refuge Area)</v>
      </c>
      <c r="J223" s="235"/>
    </row>
    <row r="224" spans="1:10" ht="15.75" x14ac:dyDescent="0.25">
      <c r="A224" s="39">
        <f>A223+1</f>
        <v>2</v>
      </c>
      <c r="B224" s="39" t="s">
        <v>223</v>
      </c>
      <c r="C224" s="39" t="s">
        <v>193</v>
      </c>
      <c r="D224" s="214">
        <f>(30.94)*10.764</f>
        <v>333.03816</v>
      </c>
      <c r="E224" s="214"/>
      <c r="F224" s="39">
        <v>0</v>
      </c>
      <c r="G224" s="39">
        <f>D224*(($G$169)+1)+(IF(F224&lt;101,F224,IF(F224&lt;201,F224/2,IF(F224&lt;=301,F224/3,F224/4))))</f>
        <v>499.55723999999998</v>
      </c>
      <c r="H224" s="39" t="s">
        <v>194</v>
      </c>
      <c r="I224" s="247"/>
      <c r="J224" s="237"/>
    </row>
    <row r="225" spans="1:10" ht="15.75" x14ac:dyDescent="0.25">
      <c r="A225" s="39">
        <f>A224+1</f>
        <v>3</v>
      </c>
      <c r="B225" s="243" t="s">
        <v>231</v>
      </c>
      <c r="C225" s="244"/>
      <c r="D225" s="244"/>
      <c r="E225" s="244"/>
      <c r="F225" s="244"/>
      <c r="G225" s="244"/>
      <c r="H225" s="245"/>
      <c r="I225" s="247"/>
      <c r="J225" s="237"/>
    </row>
    <row r="226" spans="1:10" ht="15.75" x14ac:dyDescent="0.25">
      <c r="A226" s="39">
        <f>A225+1</f>
        <v>4</v>
      </c>
      <c r="B226" s="39" t="s">
        <v>223</v>
      </c>
      <c r="C226" s="39" t="s">
        <v>193</v>
      </c>
      <c r="D226" s="214">
        <f>(30.96)*10.764</f>
        <v>333.25344000000001</v>
      </c>
      <c r="E226" s="214"/>
      <c r="F226" s="39">
        <v>0</v>
      </c>
      <c r="G226" s="39">
        <f t="shared" ref="G226:G227" si="11">D226*(($G$169)+1)+(IF(F226&lt;101,F226,IF(F226&lt;201,F226/2,IF(F226&lt;=301,F226/3,F226/4))))</f>
        <v>499.88016000000005</v>
      </c>
      <c r="H226" s="39" t="s">
        <v>194</v>
      </c>
      <c r="I226" s="247"/>
      <c r="J226" s="237"/>
    </row>
    <row r="227" spans="1:10" ht="15.75" x14ac:dyDescent="0.25">
      <c r="A227" s="39">
        <f>A226+1</f>
        <v>5</v>
      </c>
      <c r="B227" s="39" t="s">
        <v>223</v>
      </c>
      <c r="C227" s="39" t="s">
        <v>195</v>
      </c>
      <c r="D227" s="214">
        <f>(46.46)*10.764</f>
        <v>500.09544</v>
      </c>
      <c r="E227" s="214"/>
      <c r="F227" s="39">
        <v>0</v>
      </c>
      <c r="G227" s="39">
        <f t="shared" si="11"/>
        <v>750.14315999999997</v>
      </c>
      <c r="H227" s="39" t="s">
        <v>194</v>
      </c>
      <c r="I227" s="247"/>
      <c r="J227" s="237"/>
    </row>
    <row r="228" spans="1:10" ht="15.75" customHeight="1" x14ac:dyDescent="0.25">
      <c r="A228" s="229" t="s">
        <v>199</v>
      </c>
      <c r="B228" s="229"/>
      <c r="C228" s="229"/>
      <c r="D228" s="229"/>
      <c r="E228" s="229"/>
      <c r="F228" s="229"/>
      <c r="G228" s="229"/>
      <c r="H228" s="229"/>
      <c r="I228" s="229"/>
      <c r="J228" s="229"/>
    </row>
    <row r="229" spans="1:10" ht="15.75" x14ac:dyDescent="0.25">
      <c r="A229" s="230" t="s">
        <v>202</v>
      </c>
      <c r="B229" s="231"/>
      <c r="C229" s="231"/>
      <c r="D229" s="231"/>
      <c r="E229" s="231"/>
      <c r="F229" s="231"/>
      <c r="G229" s="231"/>
      <c r="H229" s="231"/>
      <c r="I229" s="231"/>
      <c r="J229" s="232"/>
    </row>
    <row r="230" spans="1:10" ht="15.75" x14ac:dyDescent="0.25">
      <c r="A230" s="230" t="s">
        <v>206</v>
      </c>
      <c r="B230" s="231"/>
      <c r="C230" s="231"/>
      <c r="D230" s="231"/>
      <c r="E230" s="231"/>
      <c r="F230" s="231"/>
      <c r="G230" s="231"/>
      <c r="H230" s="231"/>
      <c r="I230" s="231"/>
      <c r="J230" s="232"/>
    </row>
    <row r="231" spans="1:10" ht="15.75" x14ac:dyDescent="0.25">
      <c r="A231" s="230" t="s">
        <v>212</v>
      </c>
      <c r="B231" s="231"/>
      <c r="C231" s="231"/>
      <c r="D231" s="231"/>
      <c r="E231" s="231"/>
      <c r="F231" s="231"/>
      <c r="G231" s="231"/>
      <c r="H231" s="231"/>
      <c r="I231" s="231"/>
      <c r="J231" s="232"/>
    </row>
    <row r="232" spans="1:10" ht="15.75" x14ac:dyDescent="0.25">
      <c r="A232" s="230" t="s">
        <v>216</v>
      </c>
      <c r="B232" s="231"/>
      <c r="C232" s="231"/>
      <c r="D232" s="231"/>
      <c r="E232" s="231"/>
      <c r="F232" s="231"/>
      <c r="G232" s="231"/>
      <c r="H232" s="231"/>
      <c r="I232" s="231"/>
      <c r="J232" s="232"/>
    </row>
    <row r="233" spans="1:10" ht="15.75" x14ac:dyDescent="0.25">
      <c r="A233" s="39">
        <v>1</v>
      </c>
      <c r="B233" s="39" t="s">
        <v>223</v>
      </c>
      <c r="C233" s="39" t="s">
        <v>193</v>
      </c>
      <c r="D233" s="214">
        <f>(35.45)*10.764</f>
        <v>381.5838</v>
      </c>
      <c r="E233" s="214"/>
      <c r="F233" s="39">
        <v>0</v>
      </c>
      <c r="G233" s="39">
        <f>D233*(($G$169)+1)+(IF(F233&lt;101,F233,IF(F233&lt;201,F233/2,IF(F233&lt;=301,F233/3,F233/4))))</f>
        <v>572.37570000000005</v>
      </c>
      <c r="H233" s="39" t="s">
        <v>194</v>
      </c>
      <c r="I233" s="246" t="str">
        <f>A232</f>
        <v>1st Floor For Residential &amp; (Part Ladies Fitness Center &amp; Society Office Area)</v>
      </c>
      <c r="J233" s="235"/>
    </row>
    <row r="234" spans="1:10" ht="15.75" x14ac:dyDescent="0.25">
      <c r="A234" s="39">
        <f>A233+1</f>
        <v>2</v>
      </c>
      <c r="B234" s="39" t="s">
        <v>223</v>
      </c>
      <c r="C234" s="39" t="s">
        <v>193</v>
      </c>
      <c r="D234" s="214">
        <f>(31.43)*10.764</f>
        <v>338.31251999999995</v>
      </c>
      <c r="E234" s="214"/>
      <c r="F234" s="39">
        <v>0</v>
      </c>
      <c r="G234" s="39">
        <f>D234*(($G$169)+1)+(IF(F234&lt;101,F234,IF(F234&lt;201,F234/2,IF(F234&lt;=301,F234/3,F234/4))))</f>
        <v>507.46877999999992</v>
      </c>
      <c r="H234" s="39" t="s">
        <v>194</v>
      </c>
      <c r="I234" s="247"/>
      <c r="J234" s="237"/>
    </row>
    <row r="235" spans="1:10" ht="15.75" x14ac:dyDescent="0.25">
      <c r="A235" s="39">
        <f>A234+1</f>
        <v>3</v>
      </c>
      <c r="B235" s="246" t="s">
        <v>263</v>
      </c>
      <c r="C235" s="234"/>
      <c r="D235" s="234"/>
      <c r="E235" s="234"/>
      <c r="F235" s="234"/>
      <c r="G235" s="234"/>
      <c r="H235" s="235"/>
      <c r="I235" s="247"/>
      <c r="J235" s="237"/>
    </row>
    <row r="236" spans="1:10" ht="15.75" x14ac:dyDescent="0.25">
      <c r="A236" s="39">
        <f>A235+1</f>
        <v>4</v>
      </c>
      <c r="B236" s="251"/>
      <c r="C236" s="238"/>
      <c r="D236" s="238"/>
      <c r="E236" s="238"/>
      <c r="F236" s="238"/>
      <c r="G236" s="238"/>
      <c r="H236" s="239"/>
      <c r="I236" s="247"/>
      <c r="J236" s="237"/>
    </row>
    <row r="237" spans="1:10" ht="15.75" customHeight="1" x14ac:dyDescent="0.25">
      <c r="A237" s="39">
        <f>A236+1</f>
        <v>5</v>
      </c>
      <c r="B237" s="39" t="s">
        <v>223</v>
      </c>
      <c r="C237" s="39" t="s">
        <v>193</v>
      </c>
      <c r="D237" s="214">
        <f>(30.91)*10.764</f>
        <v>332.71523999999999</v>
      </c>
      <c r="E237" s="214"/>
      <c r="F237" s="39">
        <v>0</v>
      </c>
      <c r="G237" s="39">
        <f>D237*(($G$169)+1)+(IF(F237&lt;101,F237,IF(F237&lt;201,F237/2,IF(F237&lt;=301,F237/3,F237/4))))</f>
        <v>499.07285999999999</v>
      </c>
      <c r="H237" s="39" t="s">
        <v>194</v>
      </c>
      <c r="I237" s="247"/>
      <c r="J237" s="237"/>
    </row>
    <row r="238" spans="1:10" ht="15.75" x14ac:dyDescent="0.25">
      <c r="A238" s="39">
        <f>A237+1</f>
        <v>6</v>
      </c>
      <c r="B238" s="243" t="s">
        <v>217</v>
      </c>
      <c r="C238" s="244"/>
      <c r="D238" s="244"/>
      <c r="E238" s="244"/>
      <c r="F238" s="244"/>
      <c r="G238" s="244"/>
      <c r="H238" s="245"/>
      <c r="I238" s="247"/>
      <c r="J238" s="237"/>
    </row>
    <row r="239" spans="1:10" ht="15.75" x14ac:dyDescent="0.25">
      <c r="A239" s="230" t="s">
        <v>229</v>
      </c>
      <c r="B239" s="231"/>
      <c r="C239" s="231"/>
      <c r="D239" s="231"/>
      <c r="E239" s="231"/>
      <c r="F239" s="231"/>
      <c r="G239" s="231"/>
      <c r="H239" s="231"/>
      <c r="I239" s="231"/>
      <c r="J239" s="232"/>
    </row>
    <row r="240" spans="1:10" ht="15.75" x14ac:dyDescent="0.25">
      <c r="A240" s="39">
        <v>1</v>
      </c>
      <c r="B240" s="39" t="s">
        <v>223</v>
      </c>
      <c r="C240" s="39" t="s">
        <v>193</v>
      </c>
      <c r="D240" s="214">
        <f>(35.45)*10.764</f>
        <v>381.5838</v>
      </c>
      <c r="E240" s="214"/>
      <c r="F240" s="39">
        <v>0</v>
      </c>
      <c r="G240" s="39">
        <f>D240*(($G$169)+1)+(IF(F240&lt;101,F240,IF(F240&lt;201,F240/2,IF(F240&lt;=301,F240/3,F240/4))))</f>
        <v>572.37570000000005</v>
      </c>
      <c r="H240" s="39" t="s">
        <v>194</v>
      </c>
      <c r="I240" s="246" t="str">
        <f>A239</f>
        <v>2nd Floor For Residential</v>
      </c>
      <c r="J240" s="235"/>
    </row>
    <row r="241" spans="1:10" ht="15.75" x14ac:dyDescent="0.25">
      <c r="A241" s="39">
        <f>A240+1</f>
        <v>2</v>
      </c>
      <c r="B241" s="39" t="s">
        <v>223</v>
      </c>
      <c r="C241" s="39" t="s">
        <v>193</v>
      </c>
      <c r="D241" s="214">
        <f>(31.43)*10.764</f>
        <v>338.31251999999995</v>
      </c>
      <c r="E241" s="214"/>
      <c r="F241" s="39">
        <v>0</v>
      </c>
      <c r="G241" s="39">
        <f>D241*(($G$169)+1)+(IF(F241&lt;101,F241,IF(F241&lt;201,F241/2,IF(F241&lt;=301,F241/3,F241/4))))</f>
        <v>507.46877999999992</v>
      </c>
      <c r="H241" s="39" t="s">
        <v>194</v>
      </c>
      <c r="I241" s="247"/>
      <c r="J241" s="237"/>
    </row>
    <row r="242" spans="1:10" ht="15.75" x14ac:dyDescent="0.25">
      <c r="A242" s="39">
        <f>A241+1</f>
        <v>3</v>
      </c>
      <c r="B242" s="39" t="s">
        <v>223</v>
      </c>
      <c r="C242" s="39" t="s">
        <v>193</v>
      </c>
      <c r="D242" s="214">
        <f>(32.9)*10.764</f>
        <v>354.13559999999995</v>
      </c>
      <c r="E242" s="214"/>
      <c r="F242" s="39">
        <v>0</v>
      </c>
      <c r="G242" s="39">
        <f>D242*(($G$169)+1)+(IF(F242&lt;101,F242,IF(F242&lt;201,F242/2,IF(F242&lt;=301,F242/3,F242/4))))</f>
        <v>531.20339999999987</v>
      </c>
      <c r="H242" s="39" t="s">
        <v>194</v>
      </c>
      <c r="I242" s="247"/>
      <c r="J242" s="237"/>
    </row>
    <row r="243" spans="1:10" ht="15.75" x14ac:dyDescent="0.25">
      <c r="A243" s="39">
        <f>A242+1</f>
        <v>4</v>
      </c>
      <c r="B243" s="39" t="s">
        <v>223</v>
      </c>
      <c r="C243" s="39" t="s">
        <v>193</v>
      </c>
      <c r="D243" s="214">
        <f>(30.96)*10.764</f>
        <v>333.25344000000001</v>
      </c>
      <c r="E243" s="214"/>
      <c r="F243" s="39">
        <v>0</v>
      </c>
      <c r="G243" s="39">
        <f t="shared" ref="G243:G244" si="12">D243*(($G$169)+1)+(IF(F243&lt;101,F243,IF(F243&lt;201,F243/2,IF(F243&lt;=301,F243/3,F243/4))))</f>
        <v>499.88016000000005</v>
      </c>
      <c r="H243" s="39" t="s">
        <v>194</v>
      </c>
      <c r="I243" s="247"/>
      <c r="J243" s="237"/>
    </row>
    <row r="244" spans="1:10" ht="15.75" x14ac:dyDescent="0.25">
      <c r="A244" s="39">
        <f>A243+1</f>
        <v>5</v>
      </c>
      <c r="B244" s="39" t="s">
        <v>223</v>
      </c>
      <c r="C244" s="39" t="s">
        <v>193</v>
      </c>
      <c r="D244" s="214">
        <f>(30.91)*10.764</f>
        <v>332.71523999999999</v>
      </c>
      <c r="E244" s="214"/>
      <c r="F244" s="39">
        <v>0</v>
      </c>
      <c r="G244" s="39">
        <f t="shared" si="12"/>
        <v>499.07285999999999</v>
      </c>
      <c r="H244" s="39" t="s">
        <v>194</v>
      </c>
      <c r="I244" s="247"/>
      <c r="J244" s="237"/>
    </row>
    <row r="245" spans="1:10" ht="15.75" customHeight="1" x14ac:dyDescent="0.25">
      <c r="A245" s="39">
        <f>A244+1</f>
        <v>6</v>
      </c>
      <c r="B245" s="39" t="s">
        <v>223</v>
      </c>
      <c r="C245" s="39" t="s">
        <v>221</v>
      </c>
      <c r="D245" s="214">
        <f>(24.08)*10.764</f>
        <v>259.19711999999998</v>
      </c>
      <c r="E245" s="214"/>
      <c r="F245" s="39">
        <v>0</v>
      </c>
      <c r="G245" s="39">
        <f t="shared" ref="G245" si="13">D245*(($G$169)+1)+(IF(F245&lt;101,F245,IF(F245&lt;201,F245/2,IF(F245&lt;=301,F245/3,F245/4))))</f>
        <v>388.79567999999995</v>
      </c>
      <c r="H245" s="39" t="s">
        <v>194</v>
      </c>
      <c r="I245" s="247"/>
      <c r="J245" s="237"/>
    </row>
    <row r="246" spans="1:10" ht="15.75" x14ac:dyDescent="0.25">
      <c r="A246" s="230" t="s">
        <v>228</v>
      </c>
      <c r="B246" s="231"/>
      <c r="C246" s="231"/>
      <c r="D246" s="231"/>
      <c r="E246" s="231"/>
      <c r="F246" s="231"/>
      <c r="G246" s="231"/>
      <c r="H246" s="231"/>
      <c r="I246" s="231"/>
      <c r="J246" s="232"/>
    </row>
    <row r="247" spans="1:10" ht="15.75" x14ac:dyDescent="0.25">
      <c r="A247" s="39">
        <v>1</v>
      </c>
      <c r="B247" s="39" t="s">
        <v>223</v>
      </c>
      <c r="C247" s="39" t="s">
        <v>193</v>
      </c>
      <c r="D247" s="214">
        <f>(35.45)*10.764</f>
        <v>381.5838</v>
      </c>
      <c r="E247" s="214"/>
      <c r="F247" s="39">
        <v>0</v>
      </c>
      <c r="G247" s="39">
        <f>D247*(($G$169)+1)+(IF(F247&lt;101,F247,IF(F247&lt;201,F247/2,IF(F247&lt;=301,F247/3,F247/4))))</f>
        <v>572.37570000000005</v>
      </c>
      <c r="H247" s="39" t="s">
        <v>194</v>
      </c>
      <c r="I247" s="246" t="str">
        <f>A246</f>
        <v>3rd to 7th Floor</v>
      </c>
      <c r="J247" s="235"/>
    </row>
    <row r="248" spans="1:10" ht="15.75" x14ac:dyDescent="0.25">
      <c r="A248" s="39">
        <f>A247+1</f>
        <v>2</v>
      </c>
      <c r="B248" s="39" t="s">
        <v>223</v>
      </c>
      <c r="C248" s="39" t="s">
        <v>193</v>
      </c>
      <c r="D248" s="214">
        <f>(31.43)*10.764</f>
        <v>338.31251999999995</v>
      </c>
      <c r="E248" s="214"/>
      <c r="F248" s="39">
        <v>0</v>
      </c>
      <c r="G248" s="39">
        <f>D248*(($G$169)+1)+(IF(F248&lt;101,F248,IF(F248&lt;201,F248/2,IF(F248&lt;=301,F248/3,F248/4))))</f>
        <v>507.46877999999992</v>
      </c>
      <c r="H248" s="39" t="s">
        <v>194</v>
      </c>
      <c r="I248" s="247"/>
      <c r="J248" s="237"/>
    </row>
    <row r="249" spans="1:10" ht="15.75" x14ac:dyDescent="0.25">
      <c r="A249" s="39">
        <f>A248+1</f>
        <v>3</v>
      </c>
      <c r="B249" s="39" t="s">
        <v>223</v>
      </c>
      <c r="C249" s="39" t="s">
        <v>193</v>
      </c>
      <c r="D249" s="214">
        <f>(32.9)*10.764</f>
        <v>354.13559999999995</v>
      </c>
      <c r="E249" s="214"/>
      <c r="F249" s="39">
        <v>0</v>
      </c>
      <c r="G249" s="39">
        <f>D249*(($G$169)+1)+(IF(F249&lt;101,F249,IF(F249&lt;201,F249/2,IF(F249&lt;=301,F249/3,F249/4))))</f>
        <v>531.20339999999987</v>
      </c>
      <c r="H249" s="39" t="s">
        <v>194</v>
      </c>
      <c r="I249" s="247"/>
      <c r="J249" s="237"/>
    </row>
    <row r="250" spans="1:10" ht="15.75" x14ac:dyDescent="0.25">
      <c r="A250" s="39">
        <f>A249+1</f>
        <v>4</v>
      </c>
      <c r="B250" s="39" t="s">
        <v>223</v>
      </c>
      <c r="C250" s="39" t="s">
        <v>193</v>
      </c>
      <c r="D250" s="214">
        <f>(30.96)*10.764</f>
        <v>333.25344000000001</v>
      </c>
      <c r="E250" s="214"/>
      <c r="F250" s="39">
        <v>0</v>
      </c>
      <c r="G250" s="39">
        <f t="shared" ref="G250:G252" si="14">D250*(($G$169)+1)+(IF(F250&lt;101,F250,IF(F250&lt;201,F250/2,IF(F250&lt;=301,F250/3,F250/4))))</f>
        <v>499.88016000000005</v>
      </c>
      <c r="H250" s="39" t="s">
        <v>194</v>
      </c>
      <c r="I250" s="247"/>
      <c r="J250" s="237"/>
    </row>
    <row r="251" spans="1:10" ht="15.75" x14ac:dyDescent="0.25">
      <c r="A251" s="39">
        <f>A250+1</f>
        <v>5</v>
      </c>
      <c r="B251" s="39" t="s">
        <v>223</v>
      </c>
      <c r="C251" s="39" t="s">
        <v>193</v>
      </c>
      <c r="D251" s="214">
        <f>(30.91)*10.764</f>
        <v>332.71523999999999</v>
      </c>
      <c r="E251" s="214"/>
      <c r="F251" s="39">
        <v>0</v>
      </c>
      <c r="G251" s="39">
        <f t="shared" si="14"/>
        <v>499.07285999999999</v>
      </c>
      <c r="H251" s="39" t="s">
        <v>194</v>
      </c>
      <c r="I251" s="247"/>
      <c r="J251" s="237"/>
    </row>
    <row r="252" spans="1:10" ht="15.75" x14ac:dyDescent="0.25">
      <c r="A252" s="39">
        <f>A251+1</f>
        <v>6</v>
      </c>
      <c r="B252" s="39" t="s">
        <v>223</v>
      </c>
      <c r="C252" s="39" t="s">
        <v>221</v>
      </c>
      <c r="D252" s="214">
        <f>(24.08)*10.764</f>
        <v>259.19711999999998</v>
      </c>
      <c r="E252" s="214"/>
      <c r="F252" s="39">
        <v>0</v>
      </c>
      <c r="G252" s="39">
        <f t="shared" si="14"/>
        <v>388.79567999999995</v>
      </c>
      <c r="H252" s="39" t="s">
        <v>194</v>
      </c>
      <c r="I252" s="247"/>
      <c r="J252" s="237"/>
    </row>
    <row r="253" spans="1:10" ht="15.75" x14ac:dyDescent="0.25">
      <c r="A253" s="230" t="s">
        <v>230</v>
      </c>
      <c r="B253" s="231"/>
      <c r="C253" s="231"/>
      <c r="D253" s="231"/>
      <c r="E253" s="231"/>
      <c r="F253" s="231"/>
      <c r="G253" s="231"/>
      <c r="H253" s="231"/>
      <c r="I253" s="231"/>
      <c r="J253" s="232"/>
    </row>
    <row r="254" spans="1:10" ht="15.75" x14ac:dyDescent="0.25">
      <c r="A254" s="39">
        <v>1</v>
      </c>
      <c r="B254" s="39" t="s">
        <v>223</v>
      </c>
      <c r="C254" s="39" t="s">
        <v>193</v>
      </c>
      <c r="D254" s="214">
        <f>(35.45)*10.764</f>
        <v>381.5838</v>
      </c>
      <c r="E254" s="214"/>
      <c r="F254" s="39">
        <v>0</v>
      </c>
      <c r="G254" s="39">
        <f>D254*(($G$169)+1)+(IF(F254&lt;101,F254,IF(F254&lt;201,F254/2,IF(F254&lt;=301,F254/3,F254/4))))</f>
        <v>572.37570000000005</v>
      </c>
      <c r="H254" s="39" t="s">
        <v>194</v>
      </c>
      <c r="I254" s="246" t="str">
        <f>A253</f>
        <v>8th Floor (Part Refuge Area)</v>
      </c>
      <c r="J254" s="235"/>
    </row>
    <row r="255" spans="1:10" ht="15.75" x14ac:dyDescent="0.25">
      <c r="A255" s="39">
        <f>A254+1</f>
        <v>2</v>
      </c>
      <c r="B255" s="39" t="s">
        <v>223</v>
      </c>
      <c r="C255" s="39" t="s">
        <v>193</v>
      </c>
      <c r="D255" s="214">
        <f>(31.43)*10.764</f>
        <v>338.31251999999995</v>
      </c>
      <c r="E255" s="214"/>
      <c r="F255" s="39">
        <v>0</v>
      </c>
      <c r="G255" s="39">
        <f>D255*(($G$169)+1)+(IF(F255&lt;101,F255,IF(F255&lt;201,F255/2,IF(F255&lt;=301,F255/3,F255/4))))</f>
        <v>507.46877999999992</v>
      </c>
      <c r="H255" s="39" t="s">
        <v>194</v>
      </c>
      <c r="I255" s="247"/>
      <c r="J255" s="237"/>
    </row>
    <row r="256" spans="1:10" ht="15.75" x14ac:dyDescent="0.25">
      <c r="A256" s="39">
        <f>A255+1</f>
        <v>3</v>
      </c>
      <c r="B256" s="39" t="s">
        <v>223</v>
      </c>
      <c r="C256" s="39" t="s">
        <v>193</v>
      </c>
      <c r="D256" s="214">
        <f>(32.9)*10.764</f>
        <v>354.13559999999995</v>
      </c>
      <c r="E256" s="214"/>
      <c r="F256" s="39">
        <v>0</v>
      </c>
      <c r="G256" s="39">
        <f>D256*(($G$169)+1)+(IF(F256&lt;101,F256,IF(F256&lt;201,F256/2,IF(F256&lt;=301,F256/3,F256/4))))</f>
        <v>531.20339999999987</v>
      </c>
      <c r="H256" s="39" t="s">
        <v>194</v>
      </c>
      <c r="I256" s="247"/>
      <c r="J256" s="237"/>
    </row>
    <row r="257" spans="1:10" ht="15.75" x14ac:dyDescent="0.25">
      <c r="A257" s="39">
        <f>A256+1</f>
        <v>4</v>
      </c>
      <c r="B257" s="243" t="s">
        <v>231</v>
      </c>
      <c r="C257" s="244"/>
      <c r="D257" s="244"/>
      <c r="E257" s="244"/>
      <c r="F257" s="244"/>
      <c r="G257" s="244"/>
      <c r="H257" s="245"/>
      <c r="I257" s="247"/>
      <c r="J257" s="237"/>
    </row>
    <row r="258" spans="1:10" ht="15.75" x14ac:dyDescent="0.25">
      <c r="A258" s="39">
        <f>A257+1</f>
        <v>5</v>
      </c>
      <c r="B258" s="39" t="s">
        <v>223</v>
      </c>
      <c r="C258" s="39" t="s">
        <v>193</v>
      </c>
      <c r="D258" s="214">
        <f>(30.91)*10.764</f>
        <v>332.71523999999999</v>
      </c>
      <c r="E258" s="214"/>
      <c r="F258" s="39">
        <v>0</v>
      </c>
      <c r="G258" s="39">
        <f>D258*(($G$169)+1)+(IF(F258&lt;101,F258,IF(F258&lt;201,F258/2,IF(F258&lt;=301,F258/3,F258/4))))</f>
        <v>499.07285999999999</v>
      </c>
      <c r="H258" s="39" t="s">
        <v>194</v>
      </c>
      <c r="I258" s="247"/>
      <c r="J258" s="237"/>
    </row>
    <row r="259" spans="1:10" ht="15.75" x14ac:dyDescent="0.25">
      <c r="A259" s="39">
        <f>A258+1</f>
        <v>6</v>
      </c>
      <c r="B259" s="39" t="s">
        <v>223</v>
      </c>
      <c r="C259" s="39" t="s">
        <v>221</v>
      </c>
      <c r="D259" s="214">
        <f>(24.08)*10.764</f>
        <v>259.19711999999998</v>
      </c>
      <c r="E259" s="214"/>
      <c r="F259" s="39">
        <v>0</v>
      </c>
      <c r="G259" s="39">
        <f>D259*(($G$169)+1)+(IF(F259&lt;101,F259,IF(F259&lt;201,F259/2,IF(F259&lt;=301,F259/3,F259/4))))</f>
        <v>388.79567999999995</v>
      </c>
      <c r="H259" s="39" t="s">
        <v>194</v>
      </c>
      <c r="I259" s="247"/>
      <c r="J259" s="237"/>
    </row>
    <row r="260" spans="1:10" ht="15.75" x14ac:dyDescent="0.25">
      <c r="A260" s="230" t="s">
        <v>233</v>
      </c>
      <c r="B260" s="231"/>
      <c r="C260" s="231"/>
      <c r="D260" s="231"/>
      <c r="E260" s="231"/>
      <c r="F260" s="231"/>
      <c r="G260" s="231"/>
      <c r="H260" s="231"/>
      <c r="I260" s="231"/>
      <c r="J260" s="232"/>
    </row>
    <row r="261" spans="1:10" ht="15.75" customHeight="1" x14ac:dyDescent="0.25">
      <c r="A261" s="39">
        <v>1</v>
      </c>
      <c r="B261" s="39" t="s">
        <v>223</v>
      </c>
      <c r="C261" s="39" t="s">
        <v>193</v>
      </c>
      <c r="D261" s="214">
        <f>(35.45)*10.764</f>
        <v>381.5838</v>
      </c>
      <c r="E261" s="214"/>
      <c r="F261" s="39">
        <v>0</v>
      </c>
      <c r="G261" s="39">
        <f>D261*(($G$169)+1)+(IF(F261&lt;101,F261,IF(F261&lt;201,F261/2,IF(F261&lt;=301,F261/3,F261/4))))</f>
        <v>572.37570000000005</v>
      </c>
      <c r="H261" s="39" t="s">
        <v>194</v>
      </c>
      <c r="I261" s="246" t="str">
        <f>A260</f>
        <v>9th Floor</v>
      </c>
      <c r="J261" s="235"/>
    </row>
    <row r="262" spans="1:10" ht="15.75" customHeight="1" x14ac:dyDescent="0.25">
      <c r="A262" s="39">
        <f>A261+1</f>
        <v>2</v>
      </c>
      <c r="B262" s="39" t="s">
        <v>223</v>
      </c>
      <c r="C262" s="39" t="s">
        <v>193</v>
      </c>
      <c r="D262" s="214">
        <f>(31.43)*10.764</f>
        <v>338.31251999999995</v>
      </c>
      <c r="E262" s="214"/>
      <c r="F262" s="39">
        <v>0</v>
      </c>
      <c r="G262" s="39">
        <f>D262*(($G$169)+1)+(IF(F262&lt;101,F262,IF(F262&lt;201,F262/2,IF(F262&lt;=301,F262/3,F262/4))))</f>
        <v>507.46877999999992</v>
      </c>
      <c r="H262" s="39" t="s">
        <v>194</v>
      </c>
      <c r="I262" s="247"/>
      <c r="J262" s="237"/>
    </row>
    <row r="263" spans="1:10" ht="15.75" x14ac:dyDescent="0.25">
      <c r="A263" s="39">
        <f>A262+1</f>
        <v>3</v>
      </c>
      <c r="B263" s="39" t="s">
        <v>223</v>
      </c>
      <c r="C263" s="39" t="s">
        <v>193</v>
      </c>
      <c r="D263" s="214">
        <f>(32.9)*10.764</f>
        <v>354.13559999999995</v>
      </c>
      <c r="E263" s="214"/>
      <c r="F263" s="39">
        <v>0</v>
      </c>
      <c r="G263" s="39">
        <f>D263*(($G$169)+1)+(IF(F263&lt;101,F263,IF(F263&lt;201,F263/2,IF(F263&lt;=301,F263/3,F263/4))))</f>
        <v>531.20339999999987</v>
      </c>
      <c r="H263" s="39" t="s">
        <v>194</v>
      </c>
      <c r="I263" s="247"/>
      <c r="J263" s="237"/>
    </row>
    <row r="264" spans="1:10" ht="15.75" x14ac:dyDescent="0.25">
      <c r="A264" s="39">
        <f>A263+1</f>
        <v>4</v>
      </c>
      <c r="B264" s="39" t="s">
        <v>223</v>
      </c>
      <c r="C264" s="39" t="s">
        <v>193</v>
      </c>
      <c r="D264" s="214">
        <f>(30.96)*10.764</f>
        <v>333.25344000000001</v>
      </c>
      <c r="E264" s="214"/>
      <c r="F264" s="39">
        <v>0</v>
      </c>
      <c r="G264" s="39">
        <f t="shared" ref="G264:G266" si="15">D264*(($G$169)+1)+(IF(F264&lt;101,F264,IF(F264&lt;201,F264/2,IF(F264&lt;=301,F264/3,F264/4))))</f>
        <v>499.88016000000005</v>
      </c>
      <c r="H264" s="39" t="s">
        <v>194</v>
      </c>
      <c r="I264" s="247"/>
      <c r="J264" s="237"/>
    </row>
    <row r="265" spans="1:10" ht="15.75" x14ac:dyDescent="0.25">
      <c r="A265" s="39">
        <f>A264+1</f>
        <v>5</v>
      </c>
      <c r="B265" s="39" t="s">
        <v>223</v>
      </c>
      <c r="C265" s="39" t="s">
        <v>193</v>
      </c>
      <c r="D265" s="214">
        <f>(30.91)*10.764</f>
        <v>332.71523999999999</v>
      </c>
      <c r="E265" s="214"/>
      <c r="F265" s="39">
        <v>0</v>
      </c>
      <c r="G265" s="39">
        <f t="shared" si="15"/>
        <v>499.07285999999999</v>
      </c>
      <c r="H265" s="39" t="s">
        <v>194</v>
      </c>
      <c r="I265" s="247"/>
      <c r="J265" s="237"/>
    </row>
    <row r="266" spans="1:10" ht="15.75" x14ac:dyDescent="0.25">
      <c r="A266" s="39">
        <f>A265+1</f>
        <v>6</v>
      </c>
      <c r="B266" s="39" t="s">
        <v>223</v>
      </c>
      <c r="C266" s="39" t="s">
        <v>221</v>
      </c>
      <c r="D266" s="214">
        <f>(24.08)*10.764</f>
        <v>259.19711999999998</v>
      </c>
      <c r="E266" s="214"/>
      <c r="F266" s="39">
        <v>0</v>
      </c>
      <c r="G266" s="39">
        <f t="shared" si="15"/>
        <v>388.79567999999995</v>
      </c>
      <c r="H266" s="39" t="s">
        <v>194</v>
      </c>
      <c r="I266" s="247"/>
      <c r="J266" s="237"/>
    </row>
    <row r="267" spans="1:10" ht="15.75" x14ac:dyDescent="0.25">
      <c r="A267" s="230" t="s">
        <v>234</v>
      </c>
      <c r="B267" s="231"/>
      <c r="C267" s="231"/>
      <c r="D267" s="231"/>
      <c r="E267" s="231"/>
      <c r="F267" s="231"/>
      <c r="G267" s="231"/>
      <c r="H267" s="231"/>
      <c r="I267" s="231"/>
      <c r="J267" s="232"/>
    </row>
    <row r="268" spans="1:10" ht="15.75" x14ac:dyDescent="0.25">
      <c r="A268" s="39">
        <v>1</v>
      </c>
      <c r="B268" s="39" t="s">
        <v>223</v>
      </c>
      <c r="C268" s="39" t="s">
        <v>193</v>
      </c>
      <c r="D268" s="214">
        <f>(35.45)*10.764</f>
        <v>381.5838</v>
      </c>
      <c r="E268" s="214"/>
      <c r="F268" s="39">
        <v>0</v>
      </c>
      <c r="G268" s="39">
        <f>D268*(($G$169)+1)+(IF(F268&lt;101,F268,IF(F268&lt;201,F268/2,IF(F268&lt;=301,F268/3,F268/4))))</f>
        <v>572.37570000000005</v>
      </c>
      <c r="H268" s="39" t="s">
        <v>194</v>
      </c>
      <c r="I268" s="246" t="str">
        <f>A267</f>
        <v>10th Floor</v>
      </c>
      <c r="J268" s="235"/>
    </row>
    <row r="269" spans="1:10" ht="15.75" x14ac:dyDescent="0.25">
      <c r="A269" s="39">
        <f>A268+1</f>
        <v>2</v>
      </c>
      <c r="B269" s="39" t="s">
        <v>223</v>
      </c>
      <c r="C269" s="39" t="s">
        <v>193</v>
      </c>
      <c r="D269" s="214">
        <f>(31.43)*10.764</f>
        <v>338.31251999999995</v>
      </c>
      <c r="E269" s="214"/>
      <c r="F269" s="39">
        <v>0</v>
      </c>
      <c r="G269" s="39">
        <f>D269*(($G$169)+1)+(IF(F269&lt;101,F269,IF(F269&lt;201,F269/2,IF(F269&lt;=301,F269/3,F269/4))))</f>
        <v>507.46877999999992</v>
      </c>
      <c r="H269" s="39" t="s">
        <v>194</v>
      </c>
      <c r="I269" s="247"/>
      <c r="J269" s="237"/>
    </row>
    <row r="270" spans="1:10" ht="15.75" x14ac:dyDescent="0.25">
      <c r="A270" s="39">
        <f>A269+1</f>
        <v>3</v>
      </c>
      <c r="B270" s="39" t="s">
        <v>223</v>
      </c>
      <c r="C270" s="39" t="s">
        <v>193</v>
      </c>
      <c r="D270" s="214">
        <f>(32.9)*10.764</f>
        <v>354.13559999999995</v>
      </c>
      <c r="E270" s="214"/>
      <c r="F270" s="39">
        <v>0</v>
      </c>
      <c r="G270" s="39">
        <f>D270*(($G$169)+1)+(IF(F270&lt;101,F270,IF(F270&lt;201,F270/2,IF(F270&lt;=301,F270/3,F270/4))))</f>
        <v>531.20339999999987</v>
      </c>
      <c r="H270" s="39" t="s">
        <v>194</v>
      </c>
      <c r="I270" s="247"/>
      <c r="J270" s="237"/>
    </row>
    <row r="271" spans="1:10" ht="15.75" x14ac:dyDescent="0.25">
      <c r="A271" s="39">
        <f>A270+1</f>
        <v>4</v>
      </c>
      <c r="B271" s="39" t="s">
        <v>223</v>
      </c>
      <c r="C271" s="39" t="s">
        <v>193</v>
      </c>
      <c r="D271" s="214">
        <f>(30.96)*10.764</f>
        <v>333.25344000000001</v>
      </c>
      <c r="E271" s="214"/>
      <c r="F271" s="39">
        <v>0</v>
      </c>
      <c r="G271" s="39">
        <f t="shared" ref="G271:G273" si="16">D271*(($G$169)+1)+(IF(F271&lt;101,F271,IF(F271&lt;201,F271/2,IF(F271&lt;=301,F271/3,F271/4))))</f>
        <v>499.88016000000005</v>
      </c>
      <c r="H271" s="39" t="s">
        <v>194</v>
      </c>
      <c r="I271" s="247"/>
      <c r="J271" s="237"/>
    </row>
    <row r="272" spans="1:10" ht="15.75" x14ac:dyDescent="0.25">
      <c r="A272" s="39">
        <f>A271+1</f>
        <v>5</v>
      </c>
      <c r="B272" s="39" t="s">
        <v>223</v>
      </c>
      <c r="C272" s="39" t="s">
        <v>193</v>
      </c>
      <c r="D272" s="214">
        <f>(30.91)*10.764</f>
        <v>332.71523999999999</v>
      </c>
      <c r="E272" s="214"/>
      <c r="F272" s="39">
        <v>0</v>
      </c>
      <c r="G272" s="39">
        <f t="shared" si="16"/>
        <v>499.07285999999999</v>
      </c>
      <c r="H272" s="39" t="s">
        <v>194</v>
      </c>
      <c r="I272" s="247"/>
      <c r="J272" s="237"/>
    </row>
    <row r="273" spans="1:10" ht="15.75" x14ac:dyDescent="0.25">
      <c r="A273" s="39">
        <f>A272+1</f>
        <v>6</v>
      </c>
      <c r="B273" s="39" t="s">
        <v>223</v>
      </c>
      <c r="C273" s="39" t="s">
        <v>221</v>
      </c>
      <c r="D273" s="214">
        <f>(24.08)*10.764</f>
        <v>259.19711999999998</v>
      </c>
      <c r="E273" s="214"/>
      <c r="F273" s="39">
        <v>0</v>
      </c>
      <c r="G273" s="39">
        <f t="shared" si="16"/>
        <v>388.79567999999995</v>
      </c>
      <c r="H273" s="39" t="s">
        <v>194</v>
      </c>
      <c r="I273" s="247"/>
      <c r="J273" s="237"/>
    </row>
    <row r="274" spans="1:10" ht="15.75" x14ac:dyDescent="0.25">
      <c r="A274" s="230" t="s">
        <v>235</v>
      </c>
      <c r="B274" s="231"/>
      <c r="C274" s="231"/>
      <c r="D274" s="231"/>
      <c r="E274" s="231"/>
      <c r="F274" s="231"/>
      <c r="G274" s="231"/>
      <c r="H274" s="231"/>
      <c r="I274" s="231"/>
      <c r="J274" s="232"/>
    </row>
    <row r="275" spans="1:10" ht="15.75" x14ac:dyDescent="0.25">
      <c r="A275" s="39">
        <v>1</v>
      </c>
      <c r="B275" s="39" t="s">
        <v>223</v>
      </c>
      <c r="C275" s="39" t="s">
        <v>193</v>
      </c>
      <c r="D275" s="214">
        <f>(35.45)*10.764</f>
        <v>381.5838</v>
      </c>
      <c r="E275" s="214"/>
      <c r="F275" s="39">
        <v>0</v>
      </c>
      <c r="G275" s="39">
        <f>D275*(($G$169)+1)+(IF(F275&lt;101,F275,IF(F275&lt;201,F275/2,IF(F275&lt;=301,F275/3,F275/4))))</f>
        <v>572.37570000000005</v>
      </c>
      <c r="H275" s="39" t="s">
        <v>194</v>
      </c>
      <c r="I275" s="246" t="str">
        <f>A274</f>
        <v>11th &amp; 12th Floor</v>
      </c>
      <c r="J275" s="235"/>
    </row>
    <row r="276" spans="1:10" ht="15.75" x14ac:dyDescent="0.25">
      <c r="A276" s="39">
        <f>A275+1</f>
        <v>2</v>
      </c>
      <c r="B276" s="39" t="s">
        <v>223</v>
      </c>
      <c r="C276" s="39" t="s">
        <v>193</v>
      </c>
      <c r="D276" s="214">
        <f>(31.43)*10.764</f>
        <v>338.31251999999995</v>
      </c>
      <c r="E276" s="214"/>
      <c r="F276" s="39">
        <v>0</v>
      </c>
      <c r="G276" s="39">
        <f>D276*(($G$169)+1)+(IF(F276&lt;101,F276,IF(F276&lt;201,F276/2,IF(F276&lt;=301,F276/3,F276/4))))</f>
        <v>507.46877999999992</v>
      </c>
      <c r="H276" s="39" t="s">
        <v>194</v>
      </c>
      <c r="I276" s="247"/>
      <c r="J276" s="237"/>
    </row>
    <row r="277" spans="1:10" ht="15.75" x14ac:dyDescent="0.25">
      <c r="A277" s="39">
        <f>A276+1</f>
        <v>3</v>
      </c>
      <c r="B277" s="39" t="s">
        <v>223</v>
      </c>
      <c r="C277" s="39" t="s">
        <v>193</v>
      </c>
      <c r="D277" s="214">
        <f>(32.9)*10.764</f>
        <v>354.13559999999995</v>
      </c>
      <c r="E277" s="214"/>
      <c r="F277" s="39">
        <v>0</v>
      </c>
      <c r="G277" s="39">
        <f>D277*(($G$169)+1)+(IF(F277&lt;101,F277,IF(F277&lt;201,F277/2,IF(F277&lt;=301,F277/3,F277/4))))</f>
        <v>531.20339999999987</v>
      </c>
      <c r="H277" s="39" t="s">
        <v>194</v>
      </c>
      <c r="I277" s="247"/>
      <c r="J277" s="237"/>
    </row>
    <row r="278" spans="1:10" ht="15.75" x14ac:dyDescent="0.25">
      <c r="A278" s="39">
        <f>A277+1</f>
        <v>4</v>
      </c>
      <c r="B278" s="39" t="s">
        <v>223</v>
      </c>
      <c r="C278" s="39" t="s">
        <v>193</v>
      </c>
      <c r="D278" s="214">
        <f>(30.96)*10.764</f>
        <v>333.25344000000001</v>
      </c>
      <c r="E278" s="214"/>
      <c r="F278" s="39">
        <v>0</v>
      </c>
      <c r="G278" s="39">
        <f t="shared" ref="G278:G280" si="17">D278*(($G$169)+1)+(IF(F278&lt;101,F278,IF(F278&lt;201,F278/2,IF(F278&lt;=301,F278/3,F278/4))))</f>
        <v>499.88016000000005</v>
      </c>
      <c r="H278" s="39" t="s">
        <v>194</v>
      </c>
      <c r="I278" s="247"/>
      <c r="J278" s="237"/>
    </row>
    <row r="279" spans="1:10" ht="15.75" x14ac:dyDescent="0.25">
      <c r="A279" s="39">
        <f>A278+1</f>
        <v>5</v>
      </c>
      <c r="B279" s="39" t="s">
        <v>223</v>
      </c>
      <c r="C279" s="39" t="s">
        <v>193</v>
      </c>
      <c r="D279" s="214">
        <f>(30.91)*10.764</f>
        <v>332.71523999999999</v>
      </c>
      <c r="E279" s="214"/>
      <c r="F279" s="39">
        <v>0</v>
      </c>
      <c r="G279" s="39">
        <f t="shared" si="17"/>
        <v>499.07285999999999</v>
      </c>
      <c r="H279" s="39" t="s">
        <v>194</v>
      </c>
      <c r="I279" s="247"/>
      <c r="J279" s="237"/>
    </row>
    <row r="280" spans="1:10" ht="15.75" x14ac:dyDescent="0.25">
      <c r="A280" s="39">
        <f>A279+1</f>
        <v>6</v>
      </c>
      <c r="B280" s="39" t="s">
        <v>223</v>
      </c>
      <c r="C280" s="39" t="s">
        <v>221</v>
      </c>
      <c r="D280" s="214">
        <f>(24.08)*10.764</f>
        <v>259.19711999999998</v>
      </c>
      <c r="E280" s="214"/>
      <c r="F280" s="39">
        <v>0</v>
      </c>
      <c r="G280" s="39">
        <f t="shared" si="17"/>
        <v>388.79567999999995</v>
      </c>
      <c r="H280" s="39" t="s">
        <v>194</v>
      </c>
      <c r="I280" s="247"/>
      <c r="J280" s="237"/>
    </row>
    <row r="281" spans="1:10" ht="15.75" x14ac:dyDescent="0.25">
      <c r="A281" s="230" t="s">
        <v>236</v>
      </c>
      <c r="B281" s="231"/>
      <c r="C281" s="231"/>
      <c r="D281" s="231"/>
      <c r="E281" s="231"/>
      <c r="F281" s="231"/>
      <c r="G281" s="231"/>
      <c r="H281" s="231"/>
      <c r="I281" s="231"/>
      <c r="J281" s="232"/>
    </row>
    <row r="282" spans="1:10" ht="15.75" x14ac:dyDescent="0.25">
      <c r="A282" s="39">
        <v>1</v>
      </c>
      <c r="B282" s="39" t="s">
        <v>223</v>
      </c>
      <c r="C282" s="39" t="s">
        <v>193</v>
      </c>
      <c r="D282" s="214">
        <f>(35.45)*10.764</f>
        <v>381.5838</v>
      </c>
      <c r="E282" s="214"/>
      <c r="F282" s="39">
        <v>0</v>
      </c>
      <c r="G282" s="39">
        <f>D282*(($G$169)+1)+(IF(F282&lt;101,F282,IF(F282&lt;201,F282/2,IF(F282&lt;=301,F282/3,F282/4))))</f>
        <v>572.37570000000005</v>
      </c>
      <c r="H282" s="39" t="s">
        <v>194</v>
      </c>
      <c r="I282" s="246" t="str">
        <f>A281</f>
        <v>13th, 14th &amp; 16th to 22nd Floor</v>
      </c>
      <c r="J282" s="235"/>
    </row>
    <row r="283" spans="1:10" ht="15.75" x14ac:dyDescent="0.25">
      <c r="A283" s="39">
        <f>A282+1</f>
        <v>2</v>
      </c>
      <c r="B283" s="39" t="s">
        <v>223</v>
      </c>
      <c r="C283" s="39" t="s">
        <v>193</v>
      </c>
      <c r="D283" s="214">
        <f>(31.43)*10.764</f>
        <v>338.31251999999995</v>
      </c>
      <c r="E283" s="214"/>
      <c r="F283" s="39">
        <v>0</v>
      </c>
      <c r="G283" s="39">
        <f>D283*(($G$169)+1)+(IF(F283&lt;101,F283,IF(F283&lt;201,F283/2,IF(F283&lt;=301,F283/3,F283/4))))</f>
        <v>507.46877999999992</v>
      </c>
      <c r="H283" s="39" t="s">
        <v>194</v>
      </c>
      <c r="I283" s="247"/>
      <c r="J283" s="237"/>
    </row>
    <row r="284" spans="1:10" ht="15.75" x14ac:dyDescent="0.25">
      <c r="A284" s="39">
        <f>A283+1</f>
        <v>3</v>
      </c>
      <c r="B284" s="39" t="s">
        <v>223</v>
      </c>
      <c r="C284" s="39" t="s">
        <v>193</v>
      </c>
      <c r="D284" s="214">
        <f>(32.9)*10.764</f>
        <v>354.13559999999995</v>
      </c>
      <c r="E284" s="214"/>
      <c r="F284" s="39">
        <v>0</v>
      </c>
      <c r="G284" s="39">
        <f>D284*(($G$169)+1)+(IF(F284&lt;101,F284,IF(F284&lt;201,F284/2,IF(F284&lt;=301,F284/3,F284/4))))</f>
        <v>531.20339999999987</v>
      </c>
      <c r="H284" s="39" t="s">
        <v>194</v>
      </c>
      <c r="I284" s="247"/>
      <c r="J284" s="237"/>
    </row>
    <row r="285" spans="1:10" ht="15.75" x14ac:dyDescent="0.25">
      <c r="A285" s="39">
        <f>A284+1</f>
        <v>4</v>
      </c>
      <c r="B285" s="39" t="s">
        <v>223</v>
      </c>
      <c r="C285" s="39" t="s">
        <v>193</v>
      </c>
      <c r="D285" s="214">
        <f>(30.96)*10.764</f>
        <v>333.25344000000001</v>
      </c>
      <c r="E285" s="214"/>
      <c r="F285" s="39">
        <v>0</v>
      </c>
      <c r="G285" s="39">
        <f t="shared" ref="G285:G287" si="18">D285*(($G$169)+1)+(IF(F285&lt;101,F285,IF(F285&lt;201,F285/2,IF(F285&lt;=301,F285/3,F285/4))))</f>
        <v>499.88016000000005</v>
      </c>
      <c r="H285" s="39" t="s">
        <v>194</v>
      </c>
      <c r="I285" s="247"/>
      <c r="J285" s="237"/>
    </row>
    <row r="286" spans="1:10" ht="15.75" x14ac:dyDescent="0.25">
      <c r="A286" s="39">
        <f>A285+1</f>
        <v>5</v>
      </c>
      <c r="B286" s="39" t="s">
        <v>223</v>
      </c>
      <c r="C286" s="39" t="s">
        <v>193</v>
      </c>
      <c r="D286" s="214">
        <f>(30.91)*10.764</f>
        <v>332.71523999999999</v>
      </c>
      <c r="E286" s="214"/>
      <c r="F286" s="39">
        <v>0</v>
      </c>
      <c r="G286" s="39">
        <f t="shared" si="18"/>
        <v>499.07285999999999</v>
      </c>
      <c r="H286" s="39" t="s">
        <v>194</v>
      </c>
      <c r="I286" s="247"/>
      <c r="J286" s="237"/>
    </row>
    <row r="287" spans="1:10" ht="15.75" x14ac:dyDescent="0.25">
      <c r="A287" s="39">
        <f>A286+1</f>
        <v>6</v>
      </c>
      <c r="B287" s="39" t="s">
        <v>223</v>
      </c>
      <c r="C287" s="39" t="s">
        <v>221</v>
      </c>
      <c r="D287" s="214">
        <f>(24.08)*10.764</f>
        <v>259.19711999999998</v>
      </c>
      <c r="E287" s="214"/>
      <c r="F287" s="39">
        <v>0</v>
      </c>
      <c r="G287" s="39">
        <f t="shared" si="18"/>
        <v>388.79567999999995</v>
      </c>
      <c r="H287" s="39" t="s">
        <v>194</v>
      </c>
      <c r="I287" s="247"/>
      <c r="J287" s="237"/>
    </row>
    <row r="288" spans="1:10" ht="15.75" x14ac:dyDescent="0.25">
      <c r="A288" s="230" t="s">
        <v>237</v>
      </c>
      <c r="B288" s="231"/>
      <c r="C288" s="231"/>
      <c r="D288" s="231"/>
      <c r="E288" s="231"/>
      <c r="F288" s="231"/>
      <c r="G288" s="231"/>
      <c r="H288" s="231"/>
      <c r="I288" s="231"/>
      <c r="J288" s="232"/>
    </row>
    <row r="289" spans="1:10" ht="15.75" x14ac:dyDescent="0.25">
      <c r="A289" s="39">
        <v>1</v>
      </c>
      <c r="B289" s="39" t="s">
        <v>223</v>
      </c>
      <c r="C289" s="39" t="s">
        <v>193</v>
      </c>
      <c r="D289" s="214">
        <f>(35.45)*10.764</f>
        <v>381.5838</v>
      </c>
      <c r="E289" s="214"/>
      <c r="F289" s="39">
        <v>0</v>
      </c>
      <c r="G289" s="39">
        <f>D289*(($G$169)+1)+(IF(F289&lt;101,F289,IF(F289&lt;201,F289/2,IF(F289&lt;=301,F289/3,F289/4))))</f>
        <v>572.37570000000005</v>
      </c>
      <c r="H289" s="39" t="s">
        <v>194</v>
      </c>
      <c r="I289" s="246" t="str">
        <f>A288</f>
        <v>15th Floor (Part Refuge Area)</v>
      </c>
      <c r="J289" s="235"/>
    </row>
    <row r="290" spans="1:10" ht="15.75" x14ac:dyDescent="0.25">
      <c r="A290" s="39">
        <f>A289+1</f>
        <v>2</v>
      </c>
      <c r="B290" s="39" t="s">
        <v>223</v>
      </c>
      <c r="C290" s="39" t="s">
        <v>193</v>
      </c>
      <c r="D290" s="214">
        <f>(31.43)*10.764</f>
        <v>338.31251999999995</v>
      </c>
      <c r="E290" s="214"/>
      <c r="F290" s="39">
        <v>0</v>
      </c>
      <c r="G290" s="39">
        <f>D290*(($G$169)+1)+(IF(F290&lt;101,F290,IF(F290&lt;201,F290/2,IF(F290&lt;=301,F290/3,F290/4))))</f>
        <v>507.46877999999992</v>
      </c>
      <c r="H290" s="39" t="s">
        <v>194</v>
      </c>
      <c r="I290" s="247"/>
      <c r="J290" s="237"/>
    </row>
    <row r="291" spans="1:10" ht="15.75" x14ac:dyDescent="0.25">
      <c r="A291" s="39">
        <f>A290+1</f>
        <v>3</v>
      </c>
      <c r="B291" s="39" t="s">
        <v>223</v>
      </c>
      <c r="C291" s="39" t="s">
        <v>193</v>
      </c>
      <c r="D291" s="214">
        <f>(32.9)*10.764</f>
        <v>354.13559999999995</v>
      </c>
      <c r="E291" s="214"/>
      <c r="F291" s="39">
        <v>0</v>
      </c>
      <c r="G291" s="39">
        <f>D291*(($G$169)+1)+(IF(F291&lt;101,F291,IF(F291&lt;201,F291/2,IF(F291&lt;=301,F291/3,F291/4))))</f>
        <v>531.20339999999987</v>
      </c>
      <c r="H291" s="39" t="s">
        <v>194</v>
      </c>
      <c r="I291" s="247"/>
      <c r="J291" s="237"/>
    </row>
    <row r="292" spans="1:10" ht="15.75" x14ac:dyDescent="0.25">
      <c r="A292" s="39">
        <f>A291+1</f>
        <v>4</v>
      </c>
      <c r="B292" s="243" t="s">
        <v>231</v>
      </c>
      <c r="C292" s="244"/>
      <c r="D292" s="244"/>
      <c r="E292" s="244"/>
      <c r="F292" s="244"/>
      <c r="G292" s="244"/>
      <c r="H292" s="245"/>
      <c r="I292" s="247"/>
      <c r="J292" s="237"/>
    </row>
    <row r="293" spans="1:10" ht="15.75" x14ac:dyDescent="0.25">
      <c r="A293" s="39">
        <f>A292+1</f>
        <v>5</v>
      </c>
      <c r="B293" s="39" t="s">
        <v>223</v>
      </c>
      <c r="C293" s="39" t="s">
        <v>193</v>
      </c>
      <c r="D293" s="214">
        <f>(30.91)*10.764</f>
        <v>332.71523999999999</v>
      </c>
      <c r="E293" s="214"/>
      <c r="F293" s="39">
        <v>0</v>
      </c>
      <c r="G293" s="39">
        <f t="shared" ref="G293:G294" si="19">D293*(($G$169)+1)+(IF(F293&lt;101,F293,IF(F293&lt;201,F293/2,IF(F293&lt;=301,F293/3,F293/4))))</f>
        <v>499.07285999999999</v>
      </c>
      <c r="H293" s="39" t="s">
        <v>194</v>
      </c>
      <c r="I293" s="247"/>
      <c r="J293" s="237"/>
    </row>
    <row r="294" spans="1:10" ht="15.75" x14ac:dyDescent="0.25">
      <c r="A294" s="39">
        <f>A293+1</f>
        <v>6</v>
      </c>
      <c r="B294" s="39" t="s">
        <v>223</v>
      </c>
      <c r="C294" s="39" t="s">
        <v>221</v>
      </c>
      <c r="D294" s="214">
        <f>(24.08)*10.764</f>
        <v>259.19711999999998</v>
      </c>
      <c r="E294" s="214"/>
      <c r="F294" s="39">
        <v>0</v>
      </c>
      <c r="G294" s="39">
        <f t="shared" si="19"/>
        <v>388.79567999999995</v>
      </c>
      <c r="H294" s="39" t="s">
        <v>194</v>
      </c>
      <c r="I294" s="247"/>
      <c r="J294" s="237"/>
    </row>
    <row r="295" spans="1:10" ht="15.75" x14ac:dyDescent="0.25">
      <c r="A295" s="229" t="s">
        <v>200</v>
      </c>
      <c r="B295" s="229"/>
      <c r="C295" s="229"/>
      <c r="D295" s="229"/>
      <c r="E295" s="229"/>
      <c r="F295" s="229"/>
      <c r="G295" s="229"/>
      <c r="H295" s="229"/>
      <c r="I295" s="229"/>
      <c r="J295" s="229"/>
    </row>
    <row r="296" spans="1:10" ht="15.75" x14ac:dyDescent="0.25">
      <c r="A296" s="230" t="s">
        <v>229</v>
      </c>
      <c r="B296" s="231"/>
      <c r="C296" s="231"/>
      <c r="D296" s="231"/>
      <c r="E296" s="231"/>
      <c r="F296" s="231"/>
      <c r="G296" s="231"/>
      <c r="H296" s="231"/>
      <c r="I296" s="231"/>
      <c r="J296" s="232"/>
    </row>
    <row r="297" spans="1:10" ht="15.75" x14ac:dyDescent="0.25">
      <c r="A297" s="39">
        <v>1</v>
      </c>
      <c r="B297" s="39" t="s">
        <v>248</v>
      </c>
      <c r="C297" s="39" t="s">
        <v>193</v>
      </c>
      <c r="D297" s="214">
        <f>(27.88+0.9*(2.7+2.4))*10.764</f>
        <v>349.50707999999997</v>
      </c>
      <c r="E297" s="214"/>
      <c r="F297" s="39">
        <v>0</v>
      </c>
      <c r="G297" s="39">
        <f>D297*(($G$169)+1)+(IF(F297&lt;101,F297,IF(F297&lt;201,F297/2,IF(F297&lt;=301,F297/3,F297/4))))</f>
        <v>524.26062000000002</v>
      </c>
      <c r="H297" s="39" t="s">
        <v>194</v>
      </c>
      <c r="I297" s="234" t="str">
        <f>A296</f>
        <v>2nd Floor For Residential</v>
      </c>
      <c r="J297" s="235"/>
    </row>
    <row r="298" spans="1:10" ht="15.75" x14ac:dyDescent="0.25">
      <c r="A298" s="39">
        <f t="shared" ref="A298:A304" si="20">A297+1</f>
        <v>2</v>
      </c>
      <c r="B298" s="39" t="s">
        <v>248</v>
      </c>
      <c r="C298" s="39" t="s">
        <v>193</v>
      </c>
      <c r="D298" s="214">
        <f>(27.88+0.9*(2.7+2.4))*10.764</f>
        <v>349.50707999999997</v>
      </c>
      <c r="E298" s="214"/>
      <c r="F298" s="39">
        <v>0</v>
      </c>
      <c r="G298" s="39">
        <f>D298*(($G$169)+1)+(IF(F298&lt;101,F298,IF(F298&lt;201,F298/2,IF(F298&lt;=301,F298/3,F298/4))))</f>
        <v>524.26062000000002</v>
      </c>
      <c r="H298" s="39" t="s">
        <v>194</v>
      </c>
      <c r="I298" s="236"/>
      <c r="J298" s="237"/>
    </row>
    <row r="299" spans="1:10" ht="15.75" x14ac:dyDescent="0.25">
      <c r="A299" s="39">
        <f t="shared" si="20"/>
        <v>3</v>
      </c>
      <c r="B299" s="243" t="s">
        <v>226</v>
      </c>
      <c r="C299" s="244"/>
      <c r="D299" s="244"/>
      <c r="E299" s="244"/>
      <c r="F299" s="244"/>
      <c r="G299" s="244"/>
      <c r="H299" s="245"/>
      <c r="I299" s="236"/>
      <c r="J299" s="237"/>
    </row>
    <row r="300" spans="1:10" ht="15.75" x14ac:dyDescent="0.25">
      <c r="A300" s="39">
        <f t="shared" si="20"/>
        <v>4</v>
      </c>
      <c r="B300" s="243" t="s">
        <v>227</v>
      </c>
      <c r="C300" s="244"/>
      <c r="D300" s="244"/>
      <c r="E300" s="244"/>
      <c r="F300" s="244"/>
      <c r="G300" s="244"/>
      <c r="H300" s="245"/>
      <c r="I300" s="236"/>
      <c r="J300" s="237"/>
    </row>
    <row r="301" spans="1:10" ht="15.75" x14ac:dyDescent="0.25">
      <c r="A301" s="39">
        <f t="shared" si="20"/>
        <v>5</v>
      </c>
      <c r="B301" s="39" t="s">
        <v>248</v>
      </c>
      <c r="C301" s="39" t="s">
        <v>193</v>
      </c>
      <c r="D301" s="214">
        <f>(27.88+0.9*(2.7+2.4))*10.764</f>
        <v>349.50707999999997</v>
      </c>
      <c r="E301" s="214"/>
      <c r="F301" s="39">
        <v>0</v>
      </c>
      <c r="G301" s="39">
        <f t="shared" ref="G301:G302" si="21">D301*(($G$169)+1)+(IF(F301&lt;101,F301,IF(F301&lt;201,F301/2,IF(F301&lt;=301,F301/3,F301/4))))</f>
        <v>524.26062000000002</v>
      </c>
      <c r="H301" s="39" t="s">
        <v>194</v>
      </c>
      <c r="I301" s="236"/>
      <c r="J301" s="237"/>
    </row>
    <row r="302" spans="1:10" ht="15.75" customHeight="1" x14ac:dyDescent="0.25">
      <c r="A302" s="39">
        <f t="shared" si="20"/>
        <v>6</v>
      </c>
      <c r="B302" s="39" t="s">
        <v>248</v>
      </c>
      <c r="C302" s="39" t="s">
        <v>193</v>
      </c>
      <c r="D302" s="214">
        <f>(27.88+0.9*(2.7+2.4))*10.764</f>
        <v>349.50707999999997</v>
      </c>
      <c r="E302" s="214"/>
      <c r="F302" s="39">
        <v>0</v>
      </c>
      <c r="G302" s="39">
        <f t="shared" si="21"/>
        <v>524.26062000000002</v>
      </c>
      <c r="H302" s="39" t="s">
        <v>194</v>
      </c>
      <c r="I302" s="236"/>
      <c r="J302" s="237"/>
    </row>
    <row r="303" spans="1:10" ht="15.75" x14ac:dyDescent="0.25">
      <c r="A303" s="39">
        <f t="shared" si="20"/>
        <v>7</v>
      </c>
      <c r="B303" s="39" t="s">
        <v>248</v>
      </c>
      <c r="C303" s="39" t="s">
        <v>193</v>
      </c>
      <c r="D303" s="214">
        <f>(27.88+0.9*(2.7+2.4))*10.764</f>
        <v>349.50707999999997</v>
      </c>
      <c r="E303" s="214"/>
      <c r="F303" s="39">
        <v>0</v>
      </c>
      <c r="G303" s="39">
        <f t="shared" ref="G303" si="22">D303*(($G$169)+1)+(IF(F303&lt;101,F303,IF(F303&lt;201,F303/2,IF(F303&lt;=301,F303/3,F303/4))))</f>
        <v>524.26062000000002</v>
      </c>
      <c r="H303" s="39" t="s">
        <v>194</v>
      </c>
      <c r="I303" s="236"/>
      <c r="J303" s="237"/>
    </row>
    <row r="304" spans="1:10" ht="15.75" x14ac:dyDescent="0.25">
      <c r="A304" s="39">
        <f t="shared" si="20"/>
        <v>8</v>
      </c>
      <c r="B304" s="39" t="s">
        <v>248</v>
      </c>
      <c r="C304" s="39" t="s">
        <v>193</v>
      </c>
      <c r="D304" s="214">
        <f>(27.88+0.9*(2.7+2.4))*10.764</f>
        <v>349.50707999999997</v>
      </c>
      <c r="E304" s="214"/>
      <c r="F304" s="39">
        <v>0</v>
      </c>
      <c r="G304" s="39">
        <f t="shared" ref="G304" si="23">D304*(($G$169)+1)+(IF(F304&lt;101,F304,IF(F304&lt;201,F304/2,IF(F304&lt;=301,F304/3,F304/4))))</f>
        <v>524.26062000000002</v>
      </c>
      <c r="H304" s="39" t="s">
        <v>194</v>
      </c>
      <c r="I304" s="238"/>
      <c r="J304" s="239"/>
    </row>
    <row r="305" spans="1:10" ht="15.75" x14ac:dyDescent="0.25">
      <c r="A305" s="230" t="s">
        <v>249</v>
      </c>
      <c r="B305" s="231"/>
      <c r="C305" s="231"/>
      <c r="D305" s="231"/>
      <c r="E305" s="231"/>
      <c r="F305" s="231"/>
      <c r="G305" s="231"/>
      <c r="H305" s="231"/>
      <c r="I305" s="231"/>
      <c r="J305" s="232"/>
    </row>
    <row r="306" spans="1:10" ht="15.75" x14ac:dyDescent="0.25">
      <c r="A306" s="39">
        <v>1</v>
      </c>
      <c r="B306" s="39" t="s">
        <v>248</v>
      </c>
      <c r="C306" s="39" t="s">
        <v>193</v>
      </c>
      <c r="D306" s="214">
        <f t="shared" ref="D306:D313" si="24">(27.88+0.9*(2.7+2.4))*10.764</f>
        <v>349.50707999999997</v>
      </c>
      <c r="E306" s="214"/>
      <c r="F306" s="39">
        <v>0</v>
      </c>
      <c r="G306" s="39">
        <f>D306*(($G$169)+1)+(IF(F306&lt;101,F306,IF(F306&lt;201,F306/2,IF(F306&lt;=301,F306/3,F306/4))))</f>
        <v>524.26062000000002</v>
      </c>
      <c r="H306" s="39" t="s">
        <v>194</v>
      </c>
      <c r="I306" s="234" t="str">
        <f>A305</f>
        <v>3rd &amp; 4th Floor</v>
      </c>
      <c r="J306" s="235"/>
    </row>
    <row r="307" spans="1:10" ht="15.75" x14ac:dyDescent="0.25">
      <c r="A307" s="39">
        <f t="shared" ref="A307:A313" si="25">A306+1</f>
        <v>2</v>
      </c>
      <c r="B307" s="39" t="s">
        <v>248</v>
      </c>
      <c r="C307" s="39" t="s">
        <v>193</v>
      </c>
      <c r="D307" s="214">
        <f t="shared" si="24"/>
        <v>349.50707999999997</v>
      </c>
      <c r="E307" s="214"/>
      <c r="F307" s="39">
        <v>0</v>
      </c>
      <c r="G307" s="39">
        <f>D307*(($G$169)+1)+(IF(F307&lt;101,F307,IF(F307&lt;201,F307/2,IF(F307&lt;=301,F307/3,F307/4))))</f>
        <v>524.26062000000002</v>
      </c>
      <c r="H307" s="39" t="s">
        <v>194</v>
      </c>
      <c r="I307" s="236"/>
      <c r="J307" s="237"/>
    </row>
    <row r="308" spans="1:10" ht="15.75" x14ac:dyDescent="0.25">
      <c r="A308" s="39">
        <f t="shared" si="25"/>
        <v>3</v>
      </c>
      <c r="B308" s="39" t="s">
        <v>248</v>
      </c>
      <c r="C308" s="39" t="s">
        <v>193</v>
      </c>
      <c r="D308" s="214">
        <f t="shared" si="24"/>
        <v>349.50707999999997</v>
      </c>
      <c r="E308" s="214"/>
      <c r="F308" s="39">
        <v>0</v>
      </c>
      <c r="G308" s="39">
        <f>D308*(($G$169)+1)+(IF(F308&lt;101,F308,IF(F308&lt;201,F308/2,IF(F308&lt;=301,F308/3,F308/4))))</f>
        <v>524.26062000000002</v>
      </c>
      <c r="H308" s="39" t="s">
        <v>194</v>
      </c>
      <c r="I308" s="236"/>
      <c r="J308" s="237"/>
    </row>
    <row r="309" spans="1:10" ht="15.75" x14ac:dyDescent="0.25">
      <c r="A309" s="39">
        <f t="shared" si="25"/>
        <v>4</v>
      </c>
      <c r="B309" s="39" t="s">
        <v>248</v>
      </c>
      <c r="C309" s="39" t="s">
        <v>193</v>
      </c>
      <c r="D309" s="214">
        <f t="shared" si="24"/>
        <v>349.50707999999997</v>
      </c>
      <c r="E309" s="214"/>
      <c r="F309" s="39">
        <v>0</v>
      </c>
      <c r="G309" s="39">
        <f t="shared" ref="G309:G313" si="26">D309*(($G$169)+1)+(IF(F309&lt;101,F309,IF(F309&lt;201,F309/2,IF(F309&lt;=301,F309/3,F309/4))))</f>
        <v>524.26062000000002</v>
      </c>
      <c r="H309" s="39" t="s">
        <v>194</v>
      </c>
      <c r="I309" s="236"/>
      <c r="J309" s="237"/>
    </row>
    <row r="310" spans="1:10" ht="15.75" x14ac:dyDescent="0.25">
      <c r="A310" s="39">
        <f t="shared" si="25"/>
        <v>5</v>
      </c>
      <c r="B310" s="39" t="s">
        <v>248</v>
      </c>
      <c r="C310" s="39" t="s">
        <v>193</v>
      </c>
      <c r="D310" s="214">
        <f t="shared" si="24"/>
        <v>349.50707999999997</v>
      </c>
      <c r="E310" s="214"/>
      <c r="F310" s="39">
        <v>0</v>
      </c>
      <c r="G310" s="39">
        <f t="shared" si="26"/>
        <v>524.26062000000002</v>
      </c>
      <c r="H310" s="39" t="s">
        <v>194</v>
      </c>
      <c r="I310" s="236"/>
      <c r="J310" s="237"/>
    </row>
    <row r="311" spans="1:10" ht="15.75" x14ac:dyDescent="0.25">
      <c r="A311" s="39">
        <f t="shared" si="25"/>
        <v>6</v>
      </c>
      <c r="B311" s="39" t="s">
        <v>248</v>
      </c>
      <c r="C311" s="39" t="s">
        <v>193</v>
      </c>
      <c r="D311" s="214">
        <f t="shared" si="24"/>
        <v>349.50707999999997</v>
      </c>
      <c r="E311" s="214"/>
      <c r="F311" s="39">
        <v>0</v>
      </c>
      <c r="G311" s="39">
        <f t="shared" si="26"/>
        <v>524.26062000000002</v>
      </c>
      <c r="H311" s="39" t="s">
        <v>194</v>
      </c>
      <c r="I311" s="236"/>
      <c r="J311" s="237"/>
    </row>
    <row r="312" spans="1:10" ht="15.75" x14ac:dyDescent="0.25">
      <c r="A312" s="39">
        <f t="shared" si="25"/>
        <v>7</v>
      </c>
      <c r="B312" s="39" t="s">
        <v>248</v>
      </c>
      <c r="C312" s="39" t="s">
        <v>193</v>
      </c>
      <c r="D312" s="214">
        <f t="shared" si="24"/>
        <v>349.50707999999997</v>
      </c>
      <c r="E312" s="214"/>
      <c r="F312" s="39">
        <v>0</v>
      </c>
      <c r="G312" s="39">
        <f t="shared" si="26"/>
        <v>524.26062000000002</v>
      </c>
      <c r="H312" s="39" t="s">
        <v>194</v>
      </c>
      <c r="I312" s="236"/>
      <c r="J312" s="237"/>
    </row>
    <row r="313" spans="1:10" ht="15.75" x14ac:dyDescent="0.25">
      <c r="A313" s="39">
        <f t="shared" si="25"/>
        <v>8</v>
      </c>
      <c r="B313" s="39" t="s">
        <v>248</v>
      </c>
      <c r="C313" s="39" t="s">
        <v>193</v>
      </c>
      <c r="D313" s="214">
        <f t="shared" si="24"/>
        <v>349.50707999999997</v>
      </c>
      <c r="E313" s="214"/>
      <c r="F313" s="39">
        <v>0</v>
      </c>
      <c r="G313" s="39">
        <f t="shared" si="26"/>
        <v>524.26062000000002</v>
      </c>
      <c r="H313" s="39" t="s">
        <v>194</v>
      </c>
      <c r="I313" s="238"/>
      <c r="J313" s="239"/>
    </row>
    <row r="314" spans="1:10" ht="15.75" x14ac:dyDescent="0.25">
      <c r="A314" s="230" t="s">
        <v>246</v>
      </c>
      <c r="B314" s="231"/>
      <c r="C314" s="231"/>
      <c r="D314" s="231"/>
      <c r="E314" s="231"/>
      <c r="F314" s="231"/>
      <c r="G314" s="231"/>
      <c r="H314" s="231"/>
      <c r="I314" s="231"/>
      <c r="J314" s="232"/>
    </row>
    <row r="315" spans="1:10" ht="15.75" x14ac:dyDescent="0.25">
      <c r="A315" s="39">
        <v>1</v>
      </c>
      <c r="B315" s="39" t="s">
        <v>248</v>
      </c>
      <c r="C315" s="39" t="s">
        <v>193</v>
      </c>
      <c r="D315" s="214">
        <f t="shared" ref="D315:D322" si="27">(27.88+0.9*(2.7+2.4))*10.764</f>
        <v>349.50707999999997</v>
      </c>
      <c r="E315" s="214"/>
      <c r="F315" s="39">
        <v>0</v>
      </c>
      <c r="G315" s="39">
        <f>D315*(($G$169)+1)+(IF(F315&lt;101,F315,IF(F315&lt;201,F315/2,IF(F315&lt;=301,F315/3,F315/4))))</f>
        <v>524.26062000000002</v>
      </c>
      <c r="H315" s="39" t="s">
        <v>194</v>
      </c>
      <c r="I315" s="234" t="str">
        <f>A314</f>
        <v>5th Floor</v>
      </c>
      <c r="J315" s="235"/>
    </row>
    <row r="316" spans="1:10" ht="15.75" x14ac:dyDescent="0.25">
      <c r="A316" s="39">
        <f t="shared" ref="A316:A322" si="28">A315+1</f>
        <v>2</v>
      </c>
      <c r="B316" s="39" t="s">
        <v>248</v>
      </c>
      <c r="C316" s="39" t="s">
        <v>193</v>
      </c>
      <c r="D316" s="214">
        <f t="shared" si="27"/>
        <v>349.50707999999997</v>
      </c>
      <c r="E316" s="214"/>
      <c r="F316" s="39">
        <v>0</v>
      </c>
      <c r="G316" s="39">
        <f>D316*(($G$169)+1)+(IF(F316&lt;101,F316,IF(F316&lt;201,F316/2,IF(F316&lt;=301,F316/3,F316/4))))</f>
        <v>524.26062000000002</v>
      </c>
      <c r="H316" s="39" t="s">
        <v>194</v>
      </c>
      <c r="I316" s="236"/>
      <c r="J316" s="237"/>
    </row>
    <row r="317" spans="1:10" ht="15.75" x14ac:dyDescent="0.25">
      <c r="A317" s="39">
        <f t="shared" si="28"/>
        <v>3</v>
      </c>
      <c r="B317" s="39" t="s">
        <v>224</v>
      </c>
      <c r="C317" s="39" t="s">
        <v>193</v>
      </c>
      <c r="D317" s="214">
        <f t="shared" si="27"/>
        <v>349.50707999999997</v>
      </c>
      <c r="E317" s="214"/>
      <c r="F317" s="39">
        <v>0</v>
      </c>
      <c r="G317" s="39">
        <f>D317*(($G$169)+1)+(IF(F317&lt;101,F317,IF(F317&lt;201,F317/2,IF(F317&lt;=301,F317/3,F317/4))))</f>
        <v>524.26062000000002</v>
      </c>
      <c r="H317" s="39" t="s">
        <v>194</v>
      </c>
      <c r="I317" s="236"/>
      <c r="J317" s="237"/>
    </row>
    <row r="318" spans="1:10" ht="15.75" x14ac:dyDescent="0.25">
      <c r="A318" s="39">
        <f t="shared" si="28"/>
        <v>4</v>
      </c>
      <c r="B318" s="39" t="s">
        <v>224</v>
      </c>
      <c r="C318" s="39" t="s">
        <v>193</v>
      </c>
      <c r="D318" s="214">
        <f t="shared" si="27"/>
        <v>349.50707999999997</v>
      </c>
      <c r="E318" s="214"/>
      <c r="F318" s="39">
        <v>0</v>
      </c>
      <c r="G318" s="39">
        <f t="shared" ref="G318:G322" si="29">D318*(($G$169)+1)+(IF(F318&lt;101,F318,IF(F318&lt;201,F318/2,IF(F318&lt;=301,F318/3,F318/4))))</f>
        <v>524.26062000000002</v>
      </c>
      <c r="H318" s="39" t="s">
        <v>194</v>
      </c>
      <c r="I318" s="236"/>
      <c r="J318" s="237"/>
    </row>
    <row r="319" spans="1:10" ht="15.75" x14ac:dyDescent="0.25">
      <c r="A319" s="39">
        <f t="shared" si="28"/>
        <v>5</v>
      </c>
      <c r="B319" s="39" t="s">
        <v>224</v>
      </c>
      <c r="C319" s="39" t="s">
        <v>193</v>
      </c>
      <c r="D319" s="214">
        <f t="shared" si="27"/>
        <v>349.50707999999997</v>
      </c>
      <c r="E319" s="214"/>
      <c r="F319" s="39">
        <v>0</v>
      </c>
      <c r="G319" s="39">
        <f t="shared" si="29"/>
        <v>524.26062000000002</v>
      </c>
      <c r="H319" s="39" t="s">
        <v>194</v>
      </c>
      <c r="I319" s="236"/>
      <c r="J319" s="237"/>
    </row>
    <row r="320" spans="1:10" ht="15.75" x14ac:dyDescent="0.25">
      <c r="A320" s="39">
        <f t="shared" si="28"/>
        <v>6</v>
      </c>
      <c r="B320" s="39" t="s">
        <v>224</v>
      </c>
      <c r="C320" s="39" t="s">
        <v>193</v>
      </c>
      <c r="D320" s="214">
        <f t="shared" si="27"/>
        <v>349.50707999999997</v>
      </c>
      <c r="E320" s="214"/>
      <c r="F320" s="39">
        <v>0</v>
      </c>
      <c r="G320" s="39">
        <f t="shared" si="29"/>
        <v>524.26062000000002</v>
      </c>
      <c r="H320" s="39" t="s">
        <v>194</v>
      </c>
      <c r="I320" s="236"/>
      <c r="J320" s="237"/>
    </row>
    <row r="321" spans="1:10" ht="15.75" x14ac:dyDescent="0.25">
      <c r="A321" s="39">
        <f t="shared" si="28"/>
        <v>7</v>
      </c>
      <c r="B321" s="39" t="s">
        <v>224</v>
      </c>
      <c r="C321" s="39" t="s">
        <v>193</v>
      </c>
      <c r="D321" s="214">
        <f t="shared" si="27"/>
        <v>349.50707999999997</v>
      </c>
      <c r="E321" s="214"/>
      <c r="F321" s="39">
        <v>0</v>
      </c>
      <c r="G321" s="39">
        <f t="shared" si="29"/>
        <v>524.26062000000002</v>
      </c>
      <c r="H321" s="39" t="s">
        <v>194</v>
      </c>
      <c r="I321" s="236"/>
      <c r="J321" s="237"/>
    </row>
    <row r="322" spans="1:10" ht="15.75" x14ac:dyDescent="0.25">
      <c r="A322" s="39">
        <f t="shared" si="28"/>
        <v>8</v>
      </c>
      <c r="B322" s="39" t="s">
        <v>224</v>
      </c>
      <c r="C322" s="39" t="s">
        <v>193</v>
      </c>
      <c r="D322" s="214">
        <f t="shared" si="27"/>
        <v>349.50707999999997</v>
      </c>
      <c r="E322" s="214"/>
      <c r="F322" s="39">
        <v>0</v>
      </c>
      <c r="G322" s="39">
        <f t="shared" si="29"/>
        <v>524.26062000000002</v>
      </c>
      <c r="H322" s="39" t="s">
        <v>194</v>
      </c>
      <c r="I322" s="238"/>
      <c r="J322" s="239"/>
    </row>
    <row r="323" spans="1:10" ht="15.75" x14ac:dyDescent="0.25">
      <c r="A323" s="230" t="s">
        <v>247</v>
      </c>
      <c r="B323" s="231"/>
      <c r="C323" s="231"/>
      <c r="D323" s="231"/>
      <c r="E323" s="231"/>
      <c r="F323" s="231"/>
      <c r="G323" s="231"/>
      <c r="H323" s="231"/>
      <c r="I323" s="231"/>
      <c r="J323" s="232"/>
    </row>
    <row r="324" spans="1:10" ht="15.75" customHeight="1" x14ac:dyDescent="0.25">
      <c r="A324" s="39">
        <v>1</v>
      </c>
      <c r="B324" s="39" t="s">
        <v>224</v>
      </c>
      <c r="C324" s="39" t="s">
        <v>193</v>
      </c>
      <c r="D324" s="214">
        <f t="shared" ref="D324:D331" si="30">(27.88+0.9*(2.7+2.4))*10.764</f>
        <v>349.50707999999997</v>
      </c>
      <c r="E324" s="214"/>
      <c r="F324" s="39">
        <v>0</v>
      </c>
      <c r="G324" s="39">
        <f>D324*(($G$169)+1)+(IF(F324&lt;101,F324,IF(F324&lt;201,F324/2,IF(F324&lt;=301,F324/3,F324/4))))</f>
        <v>524.26062000000002</v>
      </c>
      <c r="H324" s="39" t="s">
        <v>194</v>
      </c>
      <c r="I324" s="234" t="str">
        <f>A323</f>
        <v>6th &amp; 7th Floor</v>
      </c>
      <c r="J324" s="235"/>
    </row>
    <row r="325" spans="1:10" ht="15.75" x14ac:dyDescent="0.25">
      <c r="A325" s="39">
        <f t="shared" ref="A325:A331" si="31">A324+1</f>
        <v>2</v>
      </c>
      <c r="B325" s="39" t="s">
        <v>224</v>
      </c>
      <c r="C325" s="39" t="s">
        <v>193</v>
      </c>
      <c r="D325" s="214">
        <f t="shared" si="30"/>
        <v>349.50707999999997</v>
      </c>
      <c r="E325" s="214"/>
      <c r="F325" s="39">
        <v>0</v>
      </c>
      <c r="G325" s="39">
        <f>D325*(($G$169)+1)+(IF(F325&lt;101,F325,IF(F325&lt;201,F325/2,IF(F325&lt;=301,F325/3,F325/4))))</f>
        <v>524.26062000000002</v>
      </c>
      <c r="H325" s="39" t="s">
        <v>194</v>
      </c>
      <c r="I325" s="236"/>
      <c r="J325" s="237"/>
    </row>
    <row r="326" spans="1:10" ht="15.75" x14ac:dyDescent="0.25">
      <c r="A326" s="39">
        <f t="shared" si="31"/>
        <v>3</v>
      </c>
      <c r="B326" s="39" t="s">
        <v>224</v>
      </c>
      <c r="C326" s="39" t="s">
        <v>193</v>
      </c>
      <c r="D326" s="214">
        <f t="shared" si="30"/>
        <v>349.50707999999997</v>
      </c>
      <c r="E326" s="214"/>
      <c r="F326" s="39">
        <v>0</v>
      </c>
      <c r="G326" s="39">
        <f>D326*(($G$169)+1)+(IF(F326&lt;101,F326,IF(F326&lt;201,F326/2,IF(F326&lt;=301,F326/3,F326/4))))</f>
        <v>524.26062000000002</v>
      </c>
      <c r="H326" s="39" t="s">
        <v>194</v>
      </c>
      <c r="I326" s="236"/>
      <c r="J326" s="237"/>
    </row>
    <row r="327" spans="1:10" ht="15.75" x14ac:dyDescent="0.25">
      <c r="A327" s="39">
        <f t="shared" si="31"/>
        <v>4</v>
      </c>
      <c r="B327" s="39" t="s">
        <v>224</v>
      </c>
      <c r="C327" s="39" t="s">
        <v>193</v>
      </c>
      <c r="D327" s="214">
        <f t="shared" si="30"/>
        <v>349.50707999999997</v>
      </c>
      <c r="E327" s="214"/>
      <c r="F327" s="39">
        <v>0</v>
      </c>
      <c r="G327" s="39">
        <f t="shared" ref="G327:G331" si="32">D327*(($G$169)+1)+(IF(F327&lt;101,F327,IF(F327&lt;201,F327/2,IF(F327&lt;=301,F327/3,F327/4))))</f>
        <v>524.26062000000002</v>
      </c>
      <c r="H327" s="39" t="s">
        <v>194</v>
      </c>
      <c r="I327" s="236"/>
      <c r="J327" s="237"/>
    </row>
    <row r="328" spans="1:10" ht="15.75" x14ac:dyDescent="0.25">
      <c r="A328" s="39">
        <f t="shared" si="31"/>
        <v>5</v>
      </c>
      <c r="B328" s="39" t="s">
        <v>224</v>
      </c>
      <c r="C328" s="39" t="s">
        <v>193</v>
      </c>
      <c r="D328" s="214">
        <f t="shared" si="30"/>
        <v>349.50707999999997</v>
      </c>
      <c r="E328" s="214"/>
      <c r="F328" s="39">
        <v>0</v>
      </c>
      <c r="G328" s="39">
        <f t="shared" si="32"/>
        <v>524.26062000000002</v>
      </c>
      <c r="H328" s="39" t="s">
        <v>194</v>
      </c>
      <c r="I328" s="236"/>
      <c r="J328" s="237"/>
    </row>
    <row r="329" spans="1:10" ht="15.75" x14ac:dyDescent="0.25">
      <c r="A329" s="39">
        <f t="shared" si="31"/>
        <v>6</v>
      </c>
      <c r="B329" s="39" t="s">
        <v>224</v>
      </c>
      <c r="C329" s="39" t="s">
        <v>193</v>
      </c>
      <c r="D329" s="214">
        <f t="shared" si="30"/>
        <v>349.50707999999997</v>
      </c>
      <c r="E329" s="214"/>
      <c r="F329" s="39">
        <v>0</v>
      </c>
      <c r="G329" s="39">
        <f t="shared" si="32"/>
        <v>524.26062000000002</v>
      </c>
      <c r="H329" s="39" t="s">
        <v>194</v>
      </c>
      <c r="I329" s="236"/>
      <c r="J329" s="237"/>
    </row>
    <row r="330" spans="1:10" ht="15.75" x14ac:dyDescent="0.25">
      <c r="A330" s="39">
        <f t="shared" si="31"/>
        <v>7</v>
      </c>
      <c r="B330" s="39" t="s">
        <v>224</v>
      </c>
      <c r="C330" s="39" t="s">
        <v>193</v>
      </c>
      <c r="D330" s="214">
        <f t="shared" si="30"/>
        <v>349.50707999999997</v>
      </c>
      <c r="E330" s="214"/>
      <c r="F330" s="39">
        <v>0</v>
      </c>
      <c r="G330" s="39">
        <f t="shared" si="32"/>
        <v>524.26062000000002</v>
      </c>
      <c r="H330" s="39" t="s">
        <v>194</v>
      </c>
      <c r="I330" s="236"/>
      <c r="J330" s="237"/>
    </row>
    <row r="331" spans="1:10" ht="15.75" x14ac:dyDescent="0.25">
      <c r="A331" s="39">
        <f t="shared" si="31"/>
        <v>8</v>
      </c>
      <c r="B331" s="39" t="s">
        <v>224</v>
      </c>
      <c r="C331" s="39" t="s">
        <v>193</v>
      </c>
      <c r="D331" s="214">
        <f t="shared" si="30"/>
        <v>349.50707999999997</v>
      </c>
      <c r="E331" s="214"/>
      <c r="F331" s="39">
        <v>0</v>
      </c>
      <c r="G331" s="39">
        <f t="shared" si="32"/>
        <v>524.26062000000002</v>
      </c>
      <c r="H331" s="39" t="s">
        <v>194</v>
      </c>
      <c r="I331" s="238"/>
      <c r="J331" s="239"/>
    </row>
    <row r="332" spans="1:10" ht="15.75" x14ac:dyDescent="0.25">
      <c r="A332" s="230" t="s">
        <v>230</v>
      </c>
      <c r="B332" s="231"/>
      <c r="C332" s="231"/>
      <c r="D332" s="231"/>
      <c r="E332" s="231"/>
      <c r="F332" s="231"/>
      <c r="G332" s="231"/>
      <c r="H332" s="231"/>
      <c r="I332" s="231"/>
      <c r="J332" s="232"/>
    </row>
    <row r="333" spans="1:10" ht="15.75" x14ac:dyDescent="0.25">
      <c r="A333" s="39">
        <v>1</v>
      </c>
      <c r="B333" s="39" t="s">
        <v>224</v>
      </c>
      <c r="C333" s="39" t="s">
        <v>193</v>
      </c>
      <c r="D333" s="214">
        <f>(27.88+0.9*(2.7+2.4))*10.764</f>
        <v>349.50707999999997</v>
      </c>
      <c r="E333" s="214"/>
      <c r="F333" s="39">
        <v>0</v>
      </c>
      <c r="G333" s="39">
        <f>D333*(($G$169)+1)+(IF(F333&lt;101,F333,IF(F333&lt;201,F333/2,IF(F333&lt;=301,F333/3,F333/4))))</f>
        <v>524.26062000000002</v>
      </c>
      <c r="H333" s="39" t="s">
        <v>194</v>
      </c>
      <c r="I333" s="234" t="str">
        <f>A332</f>
        <v>8th Floor (Part Refuge Area)</v>
      </c>
      <c r="J333" s="235"/>
    </row>
    <row r="334" spans="1:10" ht="15.75" x14ac:dyDescent="0.25">
      <c r="A334" s="39">
        <f t="shared" ref="A334:A340" si="33">A333+1</f>
        <v>2</v>
      </c>
      <c r="B334" s="39" t="s">
        <v>224</v>
      </c>
      <c r="C334" s="39" t="s">
        <v>193</v>
      </c>
      <c r="D334" s="214">
        <f>(27.88+0.9*(2.7+2.4))*10.764</f>
        <v>349.50707999999997</v>
      </c>
      <c r="E334" s="214"/>
      <c r="F334" s="39">
        <v>0</v>
      </c>
      <c r="G334" s="39">
        <f>D334*(($G$169)+1)+(IF(F334&lt;101,F334,IF(F334&lt;201,F334/2,IF(F334&lt;=301,F334/3,F334/4))))</f>
        <v>524.26062000000002</v>
      </c>
      <c r="H334" s="39" t="s">
        <v>194</v>
      </c>
      <c r="I334" s="236"/>
      <c r="J334" s="237"/>
    </row>
    <row r="335" spans="1:10" ht="15.75" x14ac:dyDescent="0.25">
      <c r="A335" s="39">
        <f t="shared" si="33"/>
        <v>3</v>
      </c>
      <c r="B335" s="39" t="s">
        <v>224</v>
      </c>
      <c r="C335" s="39" t="s">
        <v>193</v>
      </c>
      <c r="D335" s="214">
        <f>(27.88+0.9*(2.7+2.4))*10.764</f>
        <v>349.50707999999997</v>
      </c>
      <c r="E335" s="214"/>
      <c r="F335" s="39">
        <v>0</v>
      </c>
      <c r="G335" s="39">
        <f>D335*(($G$169)+1)+(IF(F335&lt;101,F335,IF(F335&lt;201,F335/2,IF(F335&lt;=301,F335/3,F335/4))))</f>
        <v>524.26062000000002</v>
      </c>
      <c r="H335" s="39" t="s">
        <v>194</v>
      </c>
      <c r="I335" s="236"/>
      <c r="J335" s="237"/>
    </row>
    <row r="336" spans="1:10" ht="15.75" x14ac:dyDescent="0.25">
      <c r="A336" s="39">
        <f t="shared" si="33"/>
        <v>4</v>
      </c>
      <c r="B336" s="39" t="s">
        <v>224</v>
      </c>
      <c r="C336" s="39" t="s">
        <v>193</v>
      </c>
      <c r="D336" s="214">
        <f>(27.88+0.9*(2.7+2.4))*10.764</f>
        <v>349.50707999999997</v>
      </c>
      <c r="E336" s="214"/>
      <c r="F336" s="39">
        <v>0</v>
      </c>
      <c r="G336" s="39">
        <f>D336*(($G$169)+1)+(IF(F336&lt;101,F336,IF(F336&lt;201,F336/2,IF(F336&lt;=301,F336/3,F336/4))))</f>
        <v>524.26062000000002</v>
      </c>
      <c r="H336" s="39" t="s">
        <v>194</v>
      </c>
      <c r="I336" s="236"/>
      <c r="J336" s="237"/>
    </row>
    <row r="337" spans="1:10" ht="15.75" x14ac:dyDescent="0.25">
      <c r="A337" s="39">
        <f t="shared" si="33"/>
        <v>5</v>
      </c>
      <c r="B337" s="246" t="s">
        <v>232</v>
      </c>
      <c r="C337" s="234"/>
      <c r="D337" s="234"/>
      <c r="E337" s="234"/>
      <c r="F337" s="234"/>
      <c r="G337" s="234"/>
      <c r="H337" s="235"/>
      <c r="I337" s="236"/>
      <c r="J337" s="237"/>
    </row>
    <row r="338" spans="1:10" ht="15.75" x14ac:dyDescent="0.25">
      <c r="A338" s="39">
        <f t="shared" si="33"/>
        <v>6</v>
      </c>
      <c r="B338" s="251"/>
      <c r="C338" s="238"/>
      <c r="D338" s="238"/>
      <c r="E338" s="238"/>
      <c r="F338" s="238"/>
      <c r="G338" s="238"/>
      <c r="H338" s="239"/>
      <c r="I338" s="236"/>
      <c r="J338" s="237"/>
    </row>
    <row r="339" spans="1:10" ht="15.75" customHeight="1" x14ac:dyDescent="0.25">
      <c r="A339" s="39">
        <f t="shared" si="33"/>
        <v>7</v>
      </c>
      <c r="B339" s="39" t="s">
        <v>224</v>
      </c>
      <c r="C339" s="39" t="s">
        <v>193</v>
      </c>
      <c r="D339" s="214">
        <f>(27.88+0.9*(2.7+2.4))*10.764</f>
        <v>349.50707999999997</v>
      </c>
      <c r="E339" s="214"/>
      <c r="F339" s="39">
        <v>0</v>
      </c>
      <c r="G339" s="39">
        <f>D339*(($G$169)+1)+(IF(F339&lt;101,F339,IF(F339&lt;201,F339/2,IF(F339&lt;=301,F339/3,F339/4))))</f>
        <v>524.26062000000002</v>
      </c>
      <c r="H339" s="39" t="s">
        <v>194</v>
      </c>
      <c r="I339" s="236"/>
      <c r="J339" s="237"/>
    </row>
    <row r="340" spans="1:10" ht="15.75" x14ac:dyDescent="0.25">
      <c r="A340" s="39">
        <f t="shared" si="33"/>
        <v>8</v>
      </c>
      <c r="B340" s="39" t="s">
        <v>224</v>
      </c>
      <c r="C340" s="39" t="s">
        <v>193</v>
      </c>
      <c r="D340" s="214">
        <f>(27.88+0.9*(2.7+2.4))*10.764</f>
        <v>349.50707999999997</v>
      </c>
      <c r="E340" s="214"/>
      <c r="F340" s="39">
        <v>0</v>
      </c>
      <c r="G340" s="39">
        <f>D340*(($G$169)+1)+(IF(F340&lt;101,F340,IF(F340&lt;201,F340/2,IF(F340&lt;=301,F340/3,F340/4))))</f>
        <v>524.26062000000002</v>
      </c>
      <c r="H340" s="39" t="s">
        <v>194</v>
      </c>
      <c r="I340" s="238"/>
      <c r="J340" s="239"/>
    </row>
    <row r="341" spans="1:10" ht="15.75" x14ac:dyDescent="0.25">
      <c r="A341" s="230" t="s">
        <v>233</v>
      </c>
      <c r="B341" s="231"/>
      <c r="C341" s="231"/>
      <c r="D341" s="231"/>
      <c r="E341" s="231"/>
      <c r="F341" s="231"/>
      <c r="G341" s="231"/>
      <c r="H341" s="231"/>
      <c r="I341" s="231"/>
      <c r="J341" s="232"/>
    </row>
    <row r="342" spans="1:10" ht="15.75" x14ac:dyDescent="0.25">
      <c r="A342" s="39">
        <v>1</v>
      </c>
      <c r="B342" s="39" t="s">
        <v>224</v>
      </c>
      <c r="C342" s="39" t="s">
        <v>193</v>
      </c>
      <c r="D342" s="214">
        <f t="shared" ref="D342:D349" si="34">(27.88+0.9*(2.7+2.4))*10.764</f>
        <v>349.50707999999997</v>
      </c>
      <c r="E342" s="214"/>
      <c r="F342" s="39">
        <v>0</v>
      </c>
      <c r="G342" s="39">
        <f>D342*(($G$169)+1)+(IF(F342&lt;101,F342,IF(F342&lt;201,F342/2,IF(F342&lt;=301,F342/3,F342/4))))</f>
        <v>524.26062000000002</v>
      </c>
      <c r="H342" s="39" t="s">
        <v>194</v>
      </c>
      <c r="I342" s="234" t="str">
        <f>A341</f>
        <v>9th Floor</v>
      </c>
      <c r="J342" s="235"/>
    </row>
    <row r="343" spans="1:10" ht="15.75" x14ac:dyDescent="0.25">
      <c r="A343" s="39">
        <f t="shared" ref="A343:A349" si="35">A342+1</f>
        <v>2</v>
      </c>
      <c r="B343" s="39" t="s">
        <v>224</v>
      </c>
      <c r="C343" s="39" t="s">
        <v>193</v>
      </c>
      <c r="D343" s="214">
        <f t="shared" si="34"/>
        <v>349.50707999999997</v>
      </c>
      <c r="E343" s="214"/>
      <c r="F343" s="39">
        <v>0</v>
      </c>
      <c r="G343" s="39">
        <f>D343*(($G$169)+1)+(IF(F343&lt;101,F343,IF(F343&lt;201,F343/2,IF(F343&lt;=301,F343/3,F343/4))))</f>
        <v>524.26062000000002</v>
      </c>
      <c r="H343" s="39" t="s">
        <v>194</v>
      </c>
      <c r="I343" s="236"/>
      <c r="J343" s="237"/>
    </row>
    <row r="344" spans="1:10" ht="15.75" x14ac:dyDescent="0.25">
      <c r="A344" s="39">
        <f t="shared" si="35"/>
        <v>3</v>
      </c>
      <c r="B344" s="39" t="s">
        <v>224</v>
      </c>
      <c r="C344" s="39" t="s">
        <v>193</v>
      </c>
      <c r="D344" s="214">
        <f t="shared" si="34"/>
        <v>349.50707999999997</v>
      </c>
      <c r="E344" s="214"/>
      <c r="F344" s="39">
        <v>0</v>
      </c>
      <c r="G344" s="39">
        <f>D344*(($G$169)+1)+(IF(F344&lt;101,F344,IF(F344&lt;201,F344/2,IF(F344&lt;=301,F344/3,F344/4))))</f>
        <v>524.26062000000002</v>
      </c>
      <c r="H344" s="39" t="s">
        <v>194</v>
      </c>
      <c r="I344" s="236"/>
      <c r="J344" s="237"/>
    </row>
    <row r="345" spans="1:10" ht="15.75" x14ac:dyDescent="0.25">
      <c r="A345" s="39">
        <f t="shared" si="35"/>
        <v>4</v>
      </c>
      <c r="B345" s="39" t="s">
        <v>224</v>
      </c>
      <c r="C345" s="39" t="s">
        <v>193</v>
      </c>
      <c r="D345" s="214">
        <f t="shared" si="34"/>
        <v>349.50707999999997</v>
      </c>
      <c r="E345" s="214"/>
      <c r="F345" s="39">
        <v>0</v>
      </c>
      <c r="G345" s="39">
        <f t="shared" ref="G345:G349" si="36">D345*(($G$169)+1)+(IF(F345&lt;101,F345,IF(F345&lt;201,F345/2,IF(F345&lt;=301,F345/3,F345/4))))</f>
        <v>524.26062000000002</v>
      </c>
      <c r="H345" s="39" t="s">
        <v>194</v>
      </c>
      <c r="I345" s="236"/>
      <c r="J345" s="237"/>
    </row>
    <row r="346" spans="1:10" ht="15.75" x14ac:dyDescent="0.25">
      <c r="A346" s="39">
        <f t="shared" si="35"/>
        <v>5</v>
      </c>
      <c r="B346" s="39" t="s">
        <v>224</v>
      </c>
      <c r="C346" s="39" t="s">
        <v>193</v>
      </c>
      <c r="D346" s="214">
        <f t="shared" si="34"/>
        <v>349.50707999999997</v>
      </c>
      <c r="E346" s="214"/>
      <c r="F346" s="39">
        <v>0</v>
      </c>
      <c r="G346" s="39">
        <f t="shared" si="36"/>
        <v>524.26062000000002</v>
      </c>
      <c r="H346" s="39" t="s">
        <v>194</v>
      </c>
      <c r="I346" s="236"/>
      <c r="J346" s="237"/>
    </row>
    <row r="347" spans="1:10" ht="15.75" x14ac:dyDescent="0.25">
      <c r="A347" s="39">
        <f t="shared" si="35"/>
        <v>6</v>
      </c>
      <c r="B347" s="39" t="s">
        <v>224</v>
      </c>
      <c r="C347" s="39" t="s">
        <v>193</v>
      </c>
      <c r="D347" s="214">
        <f t="shared" si="34"/>
        <v>349.50707999999997</v>
      </c>
      <c r="E347" s="214"/>
      <c r="F347" s="39">
        <v>0</v>
      </c>
      <c r="G347" s="39">
        <f t="shared" si="36"/>
        <v>524.26062000000002</v>
      </c>
      <c r="H347" s="39" t="s">
        <v>194</v>
      </c>
      <c r="I347" s="236"/>
      <c r="J347" s="237"/>
    </row>
    <row r="348" spans="1:10" ht="15.75" x14ac:dyDescent="0.25">
      <c r="A348" s="39">
        <f t="shared" si="35"/>
        <v>7</v>
      </c>
      <c r="B348" s="39" t="s">
        <v>224</v>
      </c>
      <c r="C348" s="39" t="s">
        <v>193</v>
      </c>
      <c r="D348" s="214">
        <f t="shared" si="34"/>
        <v>349.50707999999997</v>
      </c>
      <c r="E348" s="214"/>
      <c r="F348" s="39">
        <v>0</v>
      </c>
      <c r="G348" s="39">
        <f t="shared" si="36"/>
        <v>524.26062000000002</v>
      </c>
      <c r="H348" s="39" t="s">
        <v>194</v>
      </c>
      <c r="I348" s="236"/>
      <c r="J348" s="237"/>
    </row>
    <row r="349" spans="1:10" ht="15.75" x14ac:dyDescent="0.25">
      <c r="A349" s="39">
        <f t="shared" si="35"/>
        <v>8</v>
      </c>
      <c r="B349" s="39" t="s">
        <v>224</v>
      </c>
      <c r="C349" s="39" t="s">
        <v>193</v>
      </c>
      <c r="D349" s="214">
        <f t="shared" si="34"/>
        <v>349.50707999999997</v>
      </c>
      <c r="E349" s="214"/>
      <c r="F349" s="39">
        <v>0</v>
      </c>
      <c r="G349" s="39">
        <f t="shared" si="36"/>
        <v>524.26062000000002</v>
      </c>
      <c r="H349" s="39" t="s">
        <v>194</v>
      </c>
      <c r="I349" s="238"/>
      <c r="J349" s="239"/>
    </row>
    <row r="350" spans="1:10" ht="15.75" x14ac:dyDescent="0.25">
      <c r="A350" s="230" t="s">
        <v>234</v>
      </c>
      <c r="B350" s="231"/>
      <c r="C350" s="231"/>
      <c r="D350" s="231"/>
      <c r="E350" s="231"/>
      <c r="F350" s="231"/>
      <c r="G350" s="231"/>
      <c r="H350" s="231"/>
      <c r="I350" s="231"/>
      <c r="J350" s="232"/>
    </row>
    <row r="351" spans="1:10" ht="15.75" x14ac:dyDescent="0.25">
      <c r="A351" s="39">
        <v>1</v>
      </c>
      <c r="B351" s="39" t="s">
        <v>224</v>
      </c>
      <c r="C351" s="39" t="s">
        <v>193</v>
      </c>
      <c r="D351" s="214">
        <f t="shared" ref="D351:D358" si="37">(27.88+0.9*(2.7+2.4))*10.764</f>
        <v>349.50707999999997</v>
      </c>
      <c r="E351" s="214"/>
      <c r="F351" s="39">
        <v>0</v>
      </c>
      <c r="G351" s="39">
        <f>D351*(($G$169)+1)+(IF(F351&lt;101,F351,IF(F351&lt;201,F351/2,IF(F351&lt;=301,F351/3,F351/4))))</f>
        <v>524.26062000000002</v>
      </c>
      <c r="H351" s="39" t="s">
        <v>194</v>
      </c>
      <c r="I351" s="234" t="str">
        <f>A350</f>
        <v>10th Floor</v>
      </c>
      <c r="J351" s="235"/>
    </row>
    <row r="352" spans="1:10" ht="15.75" x14ac:dyDescent="0.25">
      <c r="A352" s="39">
        <f t="shared" ref="A352:A358" si="38">A351+1</f>
        <v>2</v>
      </c>
      <c r="B352" s="39" t="s">
        <v>224</v>
      </c>
      <c r="C352" s="39" t="s">
        <v>193</v>
      </c>
      <c r="D352" s="214">
        <f t="shared" si="37"/>
        <v>349.50707999999997</v>
      </c>
      <c r="E352" s="214"/>
      <c r="F352" s="39">
        <v>0</v>
      </c>
      <c r="G352" s="39">
        <f>D352*(($G$169)+1)+(IF(F352&lt;101,F352,IF(F352&lt;201,F352/2,IF(F352&lt;=301,F352/3,F352/4))))</f>
        <v>524.26062000000002</v>
      </c>
      <c r="H352" s="39" t="s">
        <v>194</v>
      </c>
      <c r="I352" s="236"/>
      <c r="J352" s="237"/>
    </row>
    <row r="353" spans="1:10" ht="15.75" x14ac:dyDescent="0.25">
      <c r="A353" s="39">
        <f t="shared" si="38"/>
        <v>3</v>
      </c>
      <c r="B353" s="39" t="s">
        <v>224</v>
      </c>
      <c r="C353" s="39" t="s">
        <v>193</v>
      </c>
      <c r="D353" s="214">
        <f t="shared" si="37"/>
        <v>349.50707999999997</v>
      </c>
      <c r="E353" s="214"/>
      <c r="F353" s="39">
        <v>0</v>
      </c>
      <c r="G353" s="39">
        <f>D353*(($G$169)+1)+(IF(F353&lt;101,F353,IF(F353&lt;201,F353/2,IF(F353&lt;=301,F353/3,F353/4))))</f>
        <v>524.26062000000002</v>
      </c>
      <c r="H353" s="39" t="s">
        <v>194</v>
      </c>
      <c r="I353" s="236"/>
      <c r="J353" s="237"/>
    </row>
    <row r="354" spans="1:10" ht="15.75" x14ac:dyDescent="0.25">
      <c r="A354" s="39">
        <f t="shared" si="38"/>
        <v>4</v>
      </c>
      <c r="B354" s="39" t="s">
        <v>224</v>
      </c>
      <c r="C354" s="39" t="s">
        <v>193</v>
      </c>
      <c r="D354" s="214">
        <f t="shared" si="37"/>
        <v>349.50707999999997</v>
      </c>
      <c r="E354" s="214"/>
      <c r="F354" s="39">
        <v>0</v>
      </c>
      <c r="G354" s="39">
        <f t="shared" ref="G354:G358" si="39">D354*(($G$169)+1)+(IF(F354&lt;101,F354,IF(F354&lt;201,F354/2,IF(F354&lt;=301,F354/3,F354/4))))</f>
        <v>524.26062000000002</v>
      </c>
      <c r="H354" s="39" t="s">
        <v>194</v>
      </c>
      <c r="I354" s="236"/>
      <c r="J354" s="237"/>
    </row>
    <row r="355" spans="1:10" ht="15.75" x14ac:dyDescent="0.25">
      <c r="A355" s="39">
        <f t="shared" si="38"/>
        <v>5</v>
      </c>
      <c r="B355" s="39" t="s">
        <v>224</v>
      </c>
      <c r="C355" s="39" t="s">
        <v>193</v>
      </c>
      <c r="D355" s="214">
        <f t="shared" si="37"/>
        <v>349.50707999999997</v>
      </c>
      <c r="E355" s="214"/>
      <c r="F355" s="39">
        <v>0</v>
      </c>
      <c r="G355" s="39">
        <f t="shared" si="39"/>
        <v>524.26062000000002</v>
      </c>
      <c r="H355" s="39" t="s">
        <v>194</v>
      </c>
      <c r="I355" s="236"/>
      <c r="J355" s="237"/>
    </row>
    <row r="356" spans="1:10" ht="15.75" x14ac:dyDescent="0.25">
      <c r="A356" s="39">
        <f t="shared" si="38"/>
        <v>6</v>
      </c>
      <c r="B356" s="39" t="s">
        <v>224</v>
      </c>
      <c r="C356" s="39" t="s">
        <v>193</v>
      </c>
      <c r="D356" s="214">
        <f t="shared" si="37"/>
        <v>349.50707999999997</v>
      </c>
      <c r="E356" s="214"/>
      <c r="F356" s="39">
        <v>0</v>
      </c>
      <c r="G356" s="39">
        <f t="shared" si="39"/>
        <v>524.26062000000002</v>
      </c>
      <c r="H356" s="39" t="s">
        <v>194</v>
      </c>
      <c r="I356" s="236"/>
      <c r="J356" s="237"/>
    </row>
    <row r="357" spans="1:10" ht="15.75" x14ac:dyDescent="0.25">
      <c r="A357" s="39">
        <f t="shared" si="38"/>
        <v>7</v>
      </c>
      <c r="B357" s="39" t="s">
        <v>224</v>
      </c>
      <c r="C357" s="39" t="s">
        <v>193</v>
      </c>
      <c r="D357" s="214">
        <f t="shared" si="37"/>
        <v>349.50707999999997</v>
      </c>
      <c r="E357" s="214"/>
      <c r="F357" s="39">
        <v>0</v>
      </c>
      <c r="G357" s="39">
        <f t="shared" si="39"/>
        <v>524.26062000000002</v>
      </c>
      <c r="H357" s="39" t="s">
        <v>194</v>
      </c>
      <c r="I357" s="236"/>
      <c r="J357" s="237"/>
    </row>
    <row r="358" spans="1:10" ht="15.75" x14ac:dyDescent="0.25">
      <c r="A358" s="39">
        <f t="shared" si="38"/>
        <v>8</v>
      </c>
      <c r="B358" s="39" t="s">
        <v>224</v>
      </c>
      <c r="C358" s="39" t="s">
        <v>193</v>
      </c>
      <c r="D358" s="214">
        <f t="shared" si="37"/>
        <v>349.50707999999997</v>
      </c>
      <c r="E358" s="214"/>
      <c r="F358" s="39">
        <v>0</v>
      </c>
      <c r="G358" s="39">
        <f t="shared" si="39"/>
        <v>524.26062000000002</v>
      </c>
      <c r="H358" s="39" t="s">
        <v>194</v>
      </c>
      <c r="I358" s="238"/>
      <c r="J358" s="239"/>
    </row>
    <row r="359" spans="1:10" ht="15.75" x14ac:dyDescent="0.25">
      <c r="A359" s="230" t="s">
        <v>235</v>
      </c>
      <c r="B359" s="231"/>
      <c r="C359" s="231"/>
      <c r="D359" s="231"/>
      <c r="E359" s="231"/>
      <c r="F359" s="231"/>
      <c r="G359" s="231"/>
      <c r="H359" s="231"/>
      <c r="I359" s="231"/>
      <c r="J359" s="232"/>
    </row>
    <row r="360" spans="1:10" ht="15.75" x14ac:dyDescent="0.25">
      <c r="A360" s="39">
        <v>1</v>
      </c>
      <c r="B360" s="39" t="s">
        <v>224</v>
      </c>
      <c r="C360" s="39" t="s">
        <v>193</v>
      </c>
      <c r="D360" s="214">
        <f t="shared" ref="D360:D367" si="40">(27.88+0.9*(2.7+2.4))*10.764</f>
        <v>349.50707999999997</v>
      </c>
      <c r="E360" s="214"/>
      <c r="F360" s="39">
        <v>0</v>
      </c>
      <c r="G360" s="39">
        <f>D360*(($G$169)+1)+(IF(F360&lt;101,F360,IF(F360&lt;201,F360/2,IF(F360&lt;=301,F360/3,F360/4))))</f>
        <v>524.26062000000002</v>
      </c>
      <c r="H360" s="39" t="s">
        <v>194</v>
      </c>
      <c r="I360" s="234" t="str">
        <f>A359</f>
        <v>11th &amp; 12th Floor</v>
      </c>
      <c r="J360" s="235"/>
    </row>
    <row r="361" spans="1:10" ht="15.75" x14ac:dyDescent="0.25">
      <c r="A361" s="39">
        <f t="shared" ref="A361:A367" si="41">A360+1</f>
        <v>2</v>
      </c>
      <c r="B361" s="39" t="s">
        <v>224</v>
      </c>
      <c r="C361" s="39" t="s">
        <v>193</v>
      </c>
      <c r="D361" s="214">
        <f t="shared" si="40"/>
        <v>349.50707999999997</v>
      </c>
      <c r="E361" s="214"/>
      <c r="F361" s="39">
        <v>0</v>
      </c>
      <c r="G361" s="39">
        <f>D361*(($G$169)+1)+(IF(F361&lt;101,F361,IF(F361&lt;201,F361/2,IF(F361&lt;=301,F361/3,F361/4))))</f>
        <v>524.26062000000002</v>
      </c>
      <c r="H361" s="39" t="s">
        <v>194</v>
      </c>
      <c r="I361" s="236"/>
      <c r="J361" s="237"/>
    </row>
    <row r="362" spans="1:10" ht="15.75" x14ac:dyDescent="0.25">
      <c r="A362" s="39">
        <f t="shared" si="41"/>
        <v>3</v>
      </c>
      <c r="B362" s="39" t="s">
        <v>224</v>
      </c>
      <c r="C362" s="39" t="s">
        <v>193</v>
      </c>
      <c r="D362" s="214">
        <f t="shared" si="40"/>
        <v>349.50707999999997</v>
      </c>
      <c r="E362" s="214"/>
      <c r="F362" s="39">
        <v>0</v>
      </c>
      <c r="G362" s="39">
        <f>D362*(($G$169)+1)+(IF(F362&lt;101,F362,IF(F362&lt;201,F362/2,IF(F362&lt;=301,F362/3,F362/4))))</f>
        <v>524.26062000000002</v>
      </c>
      <c r="H362" s="39" t="s">
        <v>194</v>
      </c>
      <c r="I362" s="236"/>
      <c r="J362" s="237"/>
    </row>
    <row r="363" spans="1:10" ht="15.75" x14ac:dyDescent="0.25">
      <c r="A363" s="39">
        <f t="shared" si="41"/>
        <v>4</v>
      </c>
      <c r="B363" s="39" t="s">
        <v>224</v>
      </c>
      <c r="C363" s="39" t="s">
        <v>193</v>
      </c>
      <c r="D363" s="214">
        <f t="shared" si="40"/>
        <v>349.50707999999997</v>
      </c>
      <c r="E363" s="214"/>
      <c r="F363" s="39">
        <v>0</v>
      </c>
      <c r="G363" s="39">
        <f t="shared" ref="G363:G367" si="42">D363*(($G$169)+1)+(IF(F363&lt;101,F363,IF(F363&lt;201,F363/2,IF(F363&lt;=301,F363/3,F363/4))))</f>
        <v>524.26062000000002</v>
      </c>
      <c r="H363" s="39" t="s">
        <v>194</v>
      </c>
      <c r="I363" s="236"/>
      <c r="J363" s="237"/>
    </row>
    <row r="364" spans="1:10" ht="15.75" x14ac:dyDescent="0.25">
      <c r="A364" s="39">
        <f t="shared" si="41"/>
        <v>5</v>
      </c>
      <c r="B364" s="39" t="s">
        <v>224</v>
      </c>
      <c r="C364" s="39" t="s">
        <v>193</v>
      </c>
      <c r="D364" s="214">
        <f t="shared" si="40"/>
        <v>349.50707999999997</v>
      </c>
      <c r="E364" s="214"/>
      <c r="F364" s="39">
        <v>0</v>
      </c>
      <c r="G364" s="39">
        <f t="shared" si="42"/>
        <v>524.26062000000002</v>
      </c>
      <c r="H364" s="39" t="s">
        <v>194</v>
      </c>
      <c r="I364" s="236"/>
      <c r="J364" s="237"/>
    </row>
    <row r="365" spans="1:10" ht="15.75" customHeight="1" x14ac:dyDescent="0.25">
      <c r="A365" s="39">
        <f t="shared" si="41"/>
        <v>6</v>
      </c>
      <c r="B365" s="39" t="s">
        <v>224</v>
      </c>
      <c r="C365" s="39" t="s">
        <v>193</v>
      </c>
      <c r="D365" s="214">
        <f t="shared" si="40"/>
        <v>349.50707999999997</v>
      </c>
      <c r="E365" s="214"/>
      <c r="F365" s="39">
        <v>0</v>
      </c>
      <c r="G365" s="39">
        <f t="shared" si="42"/>
        <v>524.26062000000002</v>
      </c>
      <c r="H365" s="39" t="s">
        <v>194</v>
      </c>
      <c r="I365" s="236"/>
      <c r="J365" s="237"/>
    </row>
    <row r="366" spans="1:10" ht="15.75" x14ac:dyDescent="0.25">
      <c r="A366" s="39">
        <f t="shared" si="41"/>
        <v>7</v>
      </c>
      <c r="B366" s="39" t="s">
        <v>224</v>
      </c>
      <c r="C366" s="39" t="s">
        <v>193</v>
      </c>
      <c r="D366" s="214">
        <f t="shared" si="40"/>
        <v>349.50707999999997</v>
      </c>
      <c r="E366" s="214"/>
      <c r="F366" s="39">
        <v>0</v>
      </c>
      <c r="G366" s="39">
        <f t="shared" si="42"/>
        <v>524.26062000000002</v>
      </c>
      <c r="H366" s="39" t="s">
        <v>194</v>
      </c>
      <c r="I366" s="236"/>
      <c r="J366" s="237"/>
    </row>
    <row r="367" spans="1:10" ht="15.75" x14ac:dyDescent="0.25">
      <c r="A367" s="39">
        <f t="shared" si="41"/>
        <v>8</v>
      </c>
      <c r="B367" s="39" t="s">
        <v>224</v>
      </c>
      <c r="C367" s="39" t="s">
        <v>193</v>
      </c>
      <c r="D367" s="214">
        <f t="shared" si="40"/>
        <v>349.50707999999997</v>
      </c>
      <c r="E367" s="214"/>
      <c r="F367" s="39">
        <v>0</v>
      </c>
      <c r="G367" s="39">
        <f t="shared" si="42"/>
        <v>524.26062000000002</v>
      </c>
      <c r="H367" s="39" t="s">
        <v>194</v>
      </c>
      <c r="I367" s="238"/>
      <c r="J367" s="239"/>
    </row>
    <row r="368" spans="1:10" ht="15.75" x14ac:dyDescent="0.25">
      <c r="A368" s="230" t="s">
        <v>236</v>
      </c>
      <c r="B368" s="231"/>
      <c r="C368" s="231"/>
      <c r="D368" s="231"/>
      <c r="E368" s="231"/>
      <c r="F368" s="231"/>
      <c r="G368" s="231"/>
      <c r="H368" s="231"/>
      <c r="I368" s="231"/>
      <c r="J368" s="232"/>
    </row>
    <row r="369" spans="1:10" ht="15.75" x14ac:dyDescent="0.25">
      <c r="A369" s="39">
        <v>1</v>
      </c>
      <c r="B369" s="39" t="s">
        <v>224</v>
      </c>
      <c r="C369" s="39" t="s">
        <v>193</v>
      </c>
      <c r="D369" s="214">
        <f t="shared" ref="D369:D376" si="43">(27.88+0.9*(2.7+2.4))*10.764</f>
        <v>349.50707999999997</v>
      </c>
      <c r="E369" s="214"/>
      <c r="F369" s="39">
        <v>0</v>
      </c>
      <c r="G369" s="39">
        <f>D369*(($G$169)+1)+(IF(F369&lt;101,F369,IF(F369&lt;201,F369/2,IF(F369&lt;=301,F369/3,F369/4))))</f>
        <v>524.26062000000002</v>
      </c>
      <c r="H369" s="39" t="s">
        <v>194</v>
      </c>
      <c r="I369" s="234" t="str">
        <f>A368</f>
        <v>13th, 14th &amp; 16th to 22nd Floor</v>
      </c>
      <c r="J369" s="235"/>
    </row>
    <row r="370" spans="1:10" ht="15.75" x14ac:dyDescent="0.25">
      <c r="A370" s="39">
        <f t="shared" ref="A370:A376" si="44">A369+1</f>
        <v>2</v>
      </c>
      <c r="B370" s="39" t="s">
        <v>224</v>
      </c>
      <c r="C370" s="39" t="s">
        <v>193</v>
      </c>
      <c r="D370" s="214">
        <f t="shared" si="43"/>
        <v>349.50707999999997</v>
      </c>
      <c r="E370" s="214"/>
      <c r="F370" s="39">
        <v>0</v>
      </c>
      <c r="G370" s="39">
        <f>D370*(($G$169)+1)+(IF(F370&lt;101,F370,IF(F370&lt;201,F370/2,IF(F370&lt;=301,F370/3,F370/4))))</f>
        <v>524.26062000000002</v>
      </c>
      <c r="H370" s="39" t="s">
        <v>194</v>
      </c>
      <c r="I370" s="236"/>
      <c r="J370" s="237"/>
    </row>
    <row r="371" spans="1:10" ht="15.75" x14ac:dyDescent="0.25">
      <c r="A371" s="39">
        <f t="shared" si="44"/>
        <v>3</v>
      </c>
      <c r="B371" s="39" t="s">
        <v>224</v>
      </c>
      <c r="C371" s="39" t="s">
        <v>193</v>
      </c>
      <c r="D371" s="214">
        <f t="shared" si="43"/>
        <v>349.50707999999997</v>
      </c>
      <c r="E371" s="214"/>
      <c r="F371" s="39">
        <v>0</v>
      </c>
      <c r="G371" s="39">
        <f>D371*(($G$169)+1)+(IF(F371&lt;101,F371,IF(F371&lt;201,F371/2,IF(F371&lt;=301,F371/3,F371/4))))</f>
        <v>524.26062000000002</v>
      </c>
      <c r="H371" s="39" t="s">
        <v>194</v>
      </c>
      <c r="I371" s="236"/>
      <c r="J371" s="237"/>
    </row>
    <row r="372" spans="1:10" ht="15.75" x14ac:dyDescent="0.25">
      <c r="A372" s="39">
        <f t="shared" si="44"/>
        <v>4</v>
      </c>
      <c r="B372" s="39" t="s">
        <v>224</v>
      </c>
      <c r="C372" s="39" t="s">
        <v>193</v>
      </c>
      <c r="D372" s="214">
        <f t="shared" si="43"/>
        <v>349.50707999999997</v>
      </c>
      <c r="E372" s="214"/>
      <c r="F372" s="39">
        <v>0</v>
      </c>
      <c r="G372" s="39">
        <f t="shared" ref="G372:G376" si="45">D372*(($G$169)+1)+(IF(F372&lt;101,F372,IF(F372&lt;201,F372/2,IF(F372&lt;=301,F372/3,F372/4))))</f>
        <v>524.26062000000002</v>
      </c>
      <c r="H372" s="39" t="s">
        <v>194</v>
      </c>
      <c r="I372" s="236"/>
      <c r="J372" s="237"/>
    </row>
    <row r="373" spans="1:10" ht="15.75" x14ac:dyDescent="0.25">
      <c r="A373" s="39">
        <f t="shared" si="44"/>
        <v>5</v>
      </c>
      <c r="B373" s="39" t="s">
        <v>224</v>
      </c>
      <c r="C373" s="39" t="s">
        <v>193</v>
      </c>
      <c r="D373" s="214">
        <f t="shared" si="43"/>
        <v>349.50707999999997</v>
      </c>
      <c r="E373" s="214"/>
      <c r="F373" s="39">
        <v>0</v>
      </c>
      <c r="G373" s="39">
        <f t="shared" si="45"/>
        <v>524.26062000000002</v>
      </c>
      <c r="H373" s="39" t="s">
        <v>194</v>
      </c>
      <c r="I373" s="236"/>
      <c r="J373" s="237"/>
    </row>
    <row r="374" spans="1:10" ht="15.75" x14ac:dyDescent="0.25">
      <c r="A374" s="39">
        <f t="shared" si="44"/>
        <v>6</v>
      </c>
      <c r="B374" s="39" t="s">
        <v>224</v>
      </c>
      <c r="C374" s="39" t="s">
        <v>193</v>
      </c>
      <c r="D374" s="214">
        <f t="shared" si="43"/>
        <v>349.50707999999997</v>
      </c>
      <c r="E374" s="214"/>
      <c r="F374" s="39">
        <v>0</v>
      </c>
      <c r="G374" s="39">
        <f t="shared" si="45"/>
        <v>524.26062000000002</v>
      </c>
      <c r="H374" s="39" t="s">
        <v>194</v>
      </c>
      <c r="I374" s="236"/>
      <c r="J374" s="237"/>
    </row>
    <row r="375" spans="1:10" ht="15.75" x14ac:dyDescent="0.25">
      <c r="A375" s="39">
        <f t="shared" si="44"/>
        <v>7</v>
      </c>
      <c r="B375" s="39" t="s">
        <v>224</v>
      </c>
      <c r="C375" s="39" t="s">
        <v>193</v>
      </c>
      <c r="D375" s="214">
        <f t="shared" si="43"/>
        <v>349.50707999999997</v>
      </c>
      <c r="E375" s="214"/>
      <c r="F375" s="39">
        <v>0</v>
      </c>
      <c r="G375" s="39">
        <f t="shared" si="45"/>
        <v>524.26062000000002</v>
      </c>
      <c r="H375" s="39" t="s">
        <v>194</v>
      </c>
      <c r="I375" s="236"/>
      <c r="J375" s="237"/>
    </row>
    <row r="376" spans="1:10" ht="15.75" x14ac:dyDescent="0.25">
      <c r="A376" s="39">
        <f t="shared" si="44"/>
        <v>8</v>
      </c>
      <c r="B376" s="39" t="s">
        <v>224</v>
      </c>
      <c r="C376" s="39" t="s">
        <v>193</v>
      </c>
      <c r="D376" s="214">
        <f t="shared" si="43"/>
        <v>349.50707999999997</v>
      </c>
      <c r="E376" s="214"/>
      <c r="F376" s="39">
        <v>0</v>
      </c>
      <c r="G376" s="39">
        <f t="shared" si="45"/>
        <v>524.26062000000002</v>
      </c>
      <c r="H376" s="39" t="s">
        <v>194</v>
      </c>
      <c r="I376" s="238"/>
      <c r="J376" s="239"/>
    </row>
    <row r="377" spans="1:10" ht="15.75" x14ac:dyDescent="0.25">
      <c r="A377" s="230" t="s">
        <v>237</v>
      </c>
      <c r="B377" s="231"/>
      <c r="C377" s="231"/>
      <c r="D377" s="231"/>
      <c r="E377" s="231"/>
      <c r="F377" s="231"/>
      <c r="G377" s="231"/>
      <c r="H377" s="231"/>
      <c r="I377" s="231"/>
      <c r="J377" s="232"/>
    </row>
    <row r="378" spans="1:10" ht="15.75" x14ac:dyDescent="0.25">
      <c r="A378" s="39">
        <v>1</v>
      </c>
      <c r="B378" s="39" t="s">
        <v>224</v>
      </c>
      <c r="C378" s="39" t="s">
        <v>193</v>
      </c>
      <c r="D378" s="214">
        <f>(27.88+0.9*(2.7+2.4))*10.764</f>
        <v>349.50707999999997</v>
      </c>
      <c r="E378" s="214"/>
      <c r="F378" s="39">
        <v>0</v>
      </c>
      <c r="G378" s="39">
        <f>D378*(($G$169)+1)+(IF(F378&lt;101,F378,IF(F378&lt;201,F378/2,IF(F378&lt;=301,F378/3,F378/4))))</f>
        <v>524.26062000000002</v>
      </c>
      <c r="H378" s="39" t="s">
        <v>194</v>
      </c>
      <c r="I378" s="234" t="str">
        <f>A377</f>
        <v>15th Floor (Part Refuge Area)</v>
      </c>
      <c r="J378" s="235"/>
    </row>
    <row r="379" spans="1:10" ht="15.75" x14ac:dyDescent="0.25">
      <c r="A379" s="39">
        <f t="shared" ref="A379:A385" si="46">A378+1</f>
        <v>2</v>
      </c>
      <c r="B379" s="39" t="s">
        <v>224</v>
      </c>
      <c r="C379" s="39" t="s">
        <v>193</v>
      </c>
      <c r="D379" s="214">
        <f>(27.88+0.9*(2.7+2.4))*10.764</f>
        <v>349.50707999999997</v>
      </c>
      <c r="E379" s="214"/>
      <c r="F379" s="39">
        <v>0</v>
      </c>
      <c r="G379" s="39">
        <f>D379*(($G$169)+1)+(IF(F379&lt;101,F379,IF(F379&lt;201,F379/2,IF(F379&lt;=301,F379/3,F379/4))))</f>
        <v>524.26062000000002</v>
      </c>
      <c r="H379" s="39" t="s">
        <v>194</v>
      </c>
      <c r="I379" s="236"/>
      <c r="J379" s="237"/>
    </row>
    <row r="380" spans="1:10" ht="15.75" x14ac:dyDescent="0.25">
      <c r="A380" s="39">
        <f t="shared" si="46"/>
        <v>3</v>
      </c>
      <c r="B380" s="39" t="s">
        <v>224</v>
      </c>
      <c r="C380" s="39" t="s">
        <v>193</v>
      </c>
      <c r="D380" s="214">
        <f>(27.88+0.9*(2.7+2.4))*10.764</f>
        <v>349.50707999999997</v>
      </c>
      <c r="E380" s="214"/>
      <c r="F380" s="39">
        <v>0</v>
      </c>
      <c r="G380" s="39">
        <f>D380*(($G$169)+1)+(IF(F380&lt;101,F380,IF(F380&lt;201,F380/2,IF(F380&lt;=301,F380/3,F380/4))))</f>
        <v>524.26062000000002</v>
      </c>
      <c r="H380" s="39" t="s">
        <v>194</v>
      </c>
      <c r="I380" s="236"/>
      <c r="J380" s="237"/>
    </row>
    <row r="381" spans="1:10" ht="15.75" x14ac:dyDescent="0.25">
      <c r="A381" s="39">
        <f t="shared" si="46"/>
        <v>4</v>
      </c>
      <c r="B381" s="39" t="s">
        <v>224</v>
      </c>
      <c r="C381" s="39" t="s">
        <v>193</v>
      </c>
      <c r="D381" s="214">
        <f>(27.88+0.9*(2.7+2.4))*10.764</f>
        <v>349.50707999999997</v>
      </c>
      <c r="E381" s="214"/>
      <c r="F381" s="39">
        <v>0</v>
      </c>
      <c r="G381" s="39">
        <f t="shared" ref="G381" si="47">D381*(($G$169)+1)+(IF(F381&lt;101,F381,IF(F381&lt;201,F381/2,IF(F381&lt;=301,F381/3,F381/4))))</f>
        <v>524.26062000000002</v>
      </c>
      <c r="H381" s="39" t="s">
        <v>194</v>
      </c>
      <c r="I381" s="236"/>
      <c r="J381" s="237"/>
    </row>
    <row r="382" spans="1:10" ht="15.75" x14ac:dyDescent="0.25">
      <c r="A382" s="39">
        <f t="shared" si="46"/>
        <v>5</v>
      </c>
      <c r="B382" s="246" t="s">
        <v>232</v>
      </c>
      <c r="C382" s="234"/>
      <c r="D382" s="234"/>
      <c r="E382" s="234"/>
      <c r="F382" s="234"/>
      <c r="G382" s="234"/>
      <c r="H382" s="235"/>
      <c r="I382" s="236"/>
      <c r="J382" s="237"/>
    </row>
    <row r="383" spans="1:10" ht="15.75" x14ac:dyDescent="0.25">
      <c r="A383" s="39">
        <f t="shared" si="46"/>
        <v>6</v>
      </c>
      <c r="B383" s="251"/>
      <c r="C383" s="238"/>
      <c r="D383" s="238"/>
      <c r="E383" s="238"/>
      <c r="F383" s="238"/>
      <c r="G383" s="238"/>
      <c r="H383" s="239"/>
      <c r="I383" s="236"/>
      <c r="J383" s="237"/>
    </row>
    <row r="384" spans="1:10" ht="15.75" x14ac:dyDescent="0.25">
      <c r="A384" s="39">
        <f t="shared" si="46"/>
        <v>7</v>
      </c>
      <c r="B384" s="39" t="s">
        <v>224</v>
      </c>
      <c r="C384" s="39" t="s">
        <v>193</v>
      </c>
      <c r="D384" s="214">
        <f>(27.88+0.9*(2.7+2.4))*10.764</f>
        <v>349.50707999999997</v>
      </c>
      <c r="E384" s="214"/>
      <c r="F384" s="39">
        <v>0</v>
      </c>
      <c r="G384" s="39">
        <f t="shared" ref="G384:G385" si="48">D384*(($G$169)+1)+(IF(F384&lt;101,F384,IF(F384&lt;201,F384/2,IF(F384&lt;=301,F384/3,F384/4))))</f>
        <v>524.26062000000002</v>
      </c>
      <c r="H384" s="39" t="s">
        <v>194</v>
      </c>
      <c r="I384" s="236"/>
      <c r="J384" s="237"/>
    </row>
    <row r="385" spans="1:10" ht="15.75" x14ac:dyDescent="0.25">
      <c r="A385" s="39">
        <f t="shared" si="46"/>
        <v>8</v>
      </c>
      <c r="B385" s="39" t="s">
        <v>224</v>
      </c>
      <c r="C385" s="39" t="s">
        <v>193</v>
      </c>
      <c r="D385" s="214">
        <f>(27.88+0.9*(2.7+2.4))*10.764</f>
        <v>349.50707999999997</v>
      </c>
      <c r="E385" s="214"/>
      <c r="F385" s="39">
        <v>0</v>
      </c>
      <c r="G385" s="39">
        <f t="shared" si="48"/>
        <v>524.26062000000002</v>
      </c>
      <c r="H385" s="39" t="s">
        <v>194</v>
      </c>
      <c r="I385" s="238"/>
      <c r="J385" s="239"/>
    </row>
    <row r="386" spans="1:10" ht="15.75" x14ac:dyDescent="0.25">
      <c r="A386" s="240" t="s">
        <v>203</v>
      </c>
      <c r="B386" s="241"/>
      <c r="C386" s="241"/>
      <c r="D386" s="241"/>
      <c r="E386" s="241"/>
      <c r="F386" s="241"/>
      <c r="G386" s="241"/>
      <c r="H386" s="241"/>
      <c r="I386" s="241"/>
      <c r="J386" s="242"/>
    </row>
    <row r="387" spans="1:10" ht="15.75" x14ac:dyDescent="0.25">
      <c r="A387" s="248" t="s">
        <v>198</v>
      </c>
      <c r="B387" s="249"/>
      <c r="C387" s="249"/>
      <c r="D387" s="249"/>
      <c r="E387" s="249"/>
      <c r="F387" s="249"/>
      <c r="G387" s="249"/>
      <c r="H387" s="249"/>
      <c r="I387" s="249"/>
      <c r="J387" s="250"/>
    </row>
    <row r="388" spans="1:10" ht="15.75" x14ac:dyDescent="0.25">
      <c r="A388" s="230" t="s">
        <v>207</v>
      </c>
      <c r="B388" s="231"/>
      <c r="C388" s="231"/>
      <c r="D388" s="231"/>
      <c r="E388" s="231"/>
      <c r="F388" s="231"/>
      <c r="G388" s="231"/>
      <c r="H388" s="231"/>
      <c r="I388" s="231"/>
      <c r="J388" s="232"/>
    </row>
    <row r="389" spans="1:10" ht="15.75" x14ac:dyDescent="0.25">
      <c r="A389" s="230" t="s">
        <v>212</v>
      </c>
      <c r="B389" s="231"/>
      <c r="C389" s="231"/>
      <c r="D389" s="231"/>
      <c r="E389" s="231"/>
      <c r="F389" s="231"/>
      <c r="G389" s="231"/>
      <c r="H389" s="231"/>
      <c r="I389" s="231"/>
      <c r="J389" s="232"/>
    </row>
    <row r="390" spans="1:10" ht="15.75" x14ac:dyDescent="0.25">
      <c r="A390" s="230" t="s">
        <v>220</v>
      </c>
      <c r="B390" s="231"/>
      <c r="C390" s="231"/>
      <c r="D390" s="231"/>
      <c r="E390" s="231"/>
      <c r="F390" s="231"/>
      <c r="G390" s="231"/>
      <c r="H390" s="231"/>
      <c r="I390" s="231"/>
      <c r="J390" s="232"/>
    </row>
    <row r="391" spans="1:10" ht="15.75" customHeight="1" x14ac:dyDescent="0.25">
      <c r="A391" s="39">
        <v>1</v>
      </c>
      <c r="B391" s="39" t="s">
        <v>223</v>
      </c>
      <c r="C391" s="39" t="s">
        <v>193</v>
      </c>
      <c r="D391" s="214">
        <f>(30.52)*10.764</f>
        <v>328.51727999999997</v>
      </c>
      <c r="E391" s="214"/>
      <c r="F391" s="39">
        <v>0</v>
      </c>
      <c r="G391" s="39">
        <f>D391*(($G$169)+1)+(IF(F391&lt;101,F391,IF(F391&lt;201,F391/2,IF(F391&lt;=301,F391/3,F391/4))))</f>
        <v>492.77591999999993</v>
      </c>
      <c r="H391" s="39" t="s">
        <v>194</v>
      </c>
      <c r="I391" s="246" t="str">
        <f>A390</f>
        <v>1st Floor For Residential</v>
      </c>
      <c r="J391" s="235"/>
    </row>
    <row r="392" spans="1:10" ht="15.75" x14ac:dyDescent="0.25">
      <c r="A392" s="39">
        <f>A391+1</f>
        <v>2</v>
      </c>
      <c r="B392" s="39" t="s">
        <v>223</v>
      </c>
      <c r="C392" s="39" t="s">
        <v>193</v>
      </c>
      <c r="D392" s="214">
        <f>(30.89)*10.764</f>
        <v>332.49995999999999</v>
      </c>
      <c r="E392" s="214"/>
      <c r="F392" s="39">
        <v>0</v>
      </c>
      <c r="G392" s="39">
        <f>D392*(($G$169)+1)+(IF(F392&lt;101,F392,IF(F392&lt;201,F392/2,IF(F392&lt;=301,F392/3,F392/4))))</f>
        <v>498.74993999999998</v>
      </c>
      <c r="H392" s="39" t="s">
        <v>194</v>
      </c>
      <c r="I392" s="247"/>
      <c r="J392" s="237"/>
    </row>
    <row r="393" spans="1:10" ht="15.75" x14ac:dyDescent="0.25">
      <c r="A393" s="39">
        <f>A392+1</f>
        <v>3</v>
      </c>
      <c r="B393" s="39" t="s">
        <v>223</v>
      </c>
      <c r="C393" s="39" t="s">
        <v>221</v>
      </c>
      <c r="D393" s="214">
        <f>(24.43)*10.764</f>
        <v>262.96451999999999</v>
      </c>
      <c r="E393" s="214"/>
      <c r="F393" s="39">
        <v>0</v>
      </c>
      <c r="G393" s="39">
        <f>D393*(($G$169)+1)+(IF(F393&lt;101,F393,IF(F393&lt;201,F393/2,IF(F393&lt;=301,F393/3,F393/4))))</f>
        <v>394.44677999999999</v>
      </c>
      <c r="H393" s="39" t="s">
        <v>194</v>
      </c>
      <c r="I393" s="247"/>
      <c r="J393" s="237"/>
    </row>
    <row r="394" spans="1:10" ht="15.75" x14ac:dyDescent="0.25">
      <c r="A394" s="230" t="s">
        <v>225</v>
      </c>
      <c r="B394" s="231"/>
      <c r="C394" s="231"/>
      <c r="D394" s="231"/>
      <c r="E394" s="231"/>
      <c r="F394" s="231"/>
      <c r="G394" s="231"/>
      <c r="H394" s="231"/>
      <c r="I394" s="231"/>
      <c r="J394" s="232"/>
    </row>
    <row r="395" spans="1:10" ht="15.75" x14ac:dyDescent="0.25">
      <c r="A395" s="39">
        <v>1</v>
      </c>
      <c r="B395" s="39" t="s">
        <v>223</v>
      </c>
      <c r="C395" s="39" t="s">
        <v>193</v>
      </c>
      <c r="D395" s="214">
        <f>(30.52)*10.764</f>
        <v>328.51727999999997</v>
      </c>
      <c r="E395" s="214"/>
      <c r="F395" s="39">
        <v>0</v>
      </c>
      <c r="G395" s="39">
        <f>D395*(($G$169)+1)+(IF(F395&lt;101,F395,IF(F395&lt;201,F395/2,IF(F395&lt;=301,F395/3,F395/4))))</f>
        <v>492.77591999999993</v>
      </c>
      <c r="H395" s="39" t="s">
        <v>194</v>
      </c>
      <c r="I395" s="246" t="str">
        <f>A394</f>
        <v>2nd Floor</v>
      </c>
      <c r="J395" s="235"/>
    </row>
    <row r="396" spans="1:10" ht="15.75" x14ac:dyDescent="0.25">
      <c r="A396" s="39">
        <f>A395+1</f>
        <v>2</v>
      </c>
      <c r="B396" s="39" t="s">
        <v>223</v>
      </c>
      <c r="C396" s="39" t="s">
        <v>193</v>
      </c>
      <c r="D396" s="214">
        <f>(30.89)*10.764</f>
        <v>332.49995999999999</v>
      </c>
      <c r="E396" s="214"/>
      <c r="F396" s="39">
        <v>0</v>
      </c>
      <c r="G396" s="39">
        <f>D396*(($G$169)+1)+(IF(F396&lt;101,F396,IF(F396&lt;201,F396/2,IF(F396&lt;=301,F396/3,F396/4))))</f>
        <v>498.74993999999998</v>
      </c>
      <c r="H396" s="39" t="s">
        <v>194</v>
      </c>
      <c r="I396" s="247"/>
      <c r="J396" s="237"/>
    </row>
    <row r="397" spans="1:10" ht="15.75" x14ac:dyDescent="0.25">
      <c r="A397" s="39">
        <f>A396+1</f>
        <v>3</v>
      </c>
      <c r="B397" s="39" t="s">
        <v>223</v>
      </c>
      <c r="C397" s="39" t="s">
        <v>221</v>
      </c>
      <c r="D397" s="214">
        <f>(24.43)*10.764</f>
        <v>262.96451999999999</v>
      </c>
      <c r="E397" s="214"/>
      <c r="F397" s="39">
        <v>0</v>
      </c>
      <c r="G397" s="39">
        <f>D397*(($G$169)+1)+(IF(F397&lt;101,F397,IF(F397&lt;201,F397/2,IF(F397&lt;=301,F397/3,F397/4))))</f>
        <v>394.44677999999999</v>
      </c>
      <c r="H397" s="39" t="s">
        <v>194</v>
      </c>
      <c r="I397" s="247"/>
      <c r="J397" s="237"/>
    </row>
    <row r="398" spans="1:10" ht="15.75" x14ac:dyDescent="0.25">
      <c r="A398" s="230" t="s">
        <v>228</v>
      </c>
      <c r="B398" s="231"/>
      <c r="C398" s="231"/>
      <c r="D398" s="231"/>
      <c r="E398" s="231"/>
      <c r="F398" s="231"/>
      <c r="G398" s="231"/>
      <c r="H398" s="231"/>
      <c r="I398" s="231"/>
      <c r="J398" s="232"/>
    </row>
    <row r="399" spans="1:10" ht="15.75" x14ac:dyDescent="0.25">
      <c r="A399" s="39">
        <v>1</v>
      </c>
      <c r="B399" s="39" t="s">
        <v>223</v>
      </c>
      <c r="C399" s="39" t="s">
        <v>193</v>
      </c>
      <c r="D399" s="214">
        <f>(30.52)*10.764</f>
        <v>328.51727999999997</v>
      </c>
      <c r="E399" s="214"/>
      <c r="F399" s="39">
        <v>0</v>
      </c>
      <c r="G399" s="39">
        <f>D399*(($G$169)+1)+(IF(F399&lt;101,F399,IF(F399&lt;201,F399/2,IF(F399&lt;=301,F399/3,F399/4))))</f>
        <v>492.77591999999993</v>
      </c>
      <c r="H399" s="39" t="s">
        <v>194</v>
      </c>
      <c r="I399" s="246" t="str">
        <f>A398</f>
        <v>3rd to 7th Floor</v>
      </c>
      <c r="J399" s="235"/>
    </row>
    <row r="400" spans="1:10" ht="15.75" x14ac:dyDescent="0.25">
      <c r="A400" s="39">
        <f>A399+1</f>
        <v>2</v>
      </c>
      <c r="B400" s="39" t="s">
        <v>223</v>
      </c>
      <c r="C400" s="39" t="s">
        <v>193</v>
      </c>
      <c r="D400" s="214">
        <f>(30.89)*10.764</f>
        <v>332.49995999999999</v>
      </c>
      <c r="E400" s="214"/>
      <c r="F400" s="39">
        <v>0</v>
      </c>
      <c r="G400" s="39">
        <f>D400*(($G$169)+1)+(IF(F400&lt;101,F400,IF(F400&lt;201,F400/2,IF(F400&lt;=301,F400/3,F400/4))))</f>
        <v>498.74993999999998</v>
      </c>
      <c r="H400" s="39" t="s">
        <v>194</v>
      </c>
      <c r="I400" s="247"/>
      <c r="J400" s="237"/>
    </row>
    <row r="401" spans="1:10" ht="15.75" x14ac:dyDescent="0.25">
      <c r="A401" s="39">
        <f>A400+1</f>
        <v>3</v>
      </c>
      <c r="B401" s="39" t="s">
        <v>223</v>
      </c>
      <c r="C401" s="39" t="s">
        <v>221</v>
      </c>
      <c r="D401" s="214">
        <f>(24.43)*10.764</f>
        <v>262.96451999999999</v>
      </c>
      <c r="E401" s="214"/>
      <c r="F401" s="39">
        <v>0</v>
      </c>
      <c r="G401" s="39">
        <f>D401*(($G$169)+1)+(IF(F401&lt;101,F401,IF(F401&lt;201,F401/2,IF(F401&lt;=301,F401/3,F401/4))))</f>
        <v>394.44677999999999</v>
      </c>
      <c r="H401" s="39" t="s">
        <v>194</v>
      </c>
      <c r="I401" s="247"/>
      <c r="J401" s="237"/>
    </row>
    <row r="402" spans="1:10" ht="15.75" x14ac:dyDescent="0.25">
      <c r="A402" s="230" t="s">
        <v>230</v>
      </c>
      <c r="B402" s="231"/>
      <c r="C402" s="231"/>
      <c r="D402" s="231"/>
      <c r="E402" s="231"/>
      <c r="F402" s="231"/>
      <c r="G402" s="231"/>
      <c r="H402" s="231"/>
      <c r="I402" s="231"/>
      <c r="J402" s="232"/>
    </row>
    <row r="403" spans="1:10" ht="15.75" x14ac:dyDescent="0.25">
      <c r="A403" s="39">
        <v>1</v>
      </c>
      <c r="B403" s="39" t="s">
        <v>223</v>
      </c>
      <c r="C403" s="39" t="s">
        <v>193</v>
      </c>
      <c r="D403" s="214">
        <f>(30.52)*10.764</f>
        <v>328.51727999999997</v>
      </c>
      <c r="E403" s="214"/>
      <c r="F403" s="39">
        <v>0</v>
      </c>
      <c r="G403" s="39">
        <f>D403*(($G$169)+1)+(IF(F403&lt;101,F403,IF(F403&lt;201,F403/2,IF(F403&lt;=301,F403/3,F403/4))))</f>
        <v>492.77591999999993</v>
      </c>
      <c r="H403" s="39" t="s">
        <v>194</v>
      </c>
      <c r="I403" s="246" t="str">
        <f>A402</f>
        <v>8th Floor (Part Refuge Area)</v>
      </c>
      <c r="J403" s="235"/>
    </row>
    <row r="404" spans="1:10" ht="15.75" x14ac:dyDescent="0.25">
      <c r="A404" s="39">
        <f>A403+1</f>
        <v>2</v>
      </c>
      <c r="B404" s="39" t="s">
        <v>223</v>
      </c>
      <c r="C404" s="39" t="s">
        <v>193</v>
      </c>
      <c r="D404" s="214">
        <f>(30.89)*10.764</f>
        <v>332.49995999999999</v>
      </c>
      <c r="E404" s="214"/>
      <c r="F404" s="39">
        <v>0</v>
      </c>
      <c r="G404" s="39">
        <f>D404*(($G$169)+1)+(IF(F404&lt;101,F404,IF(F404&lt;201,F404/2,IF(F404&lt;=301,F404/3,F404/4))))</f>
        <v>498.74993999999998</v>
      </c>
      <c r="H404" s="39" t="s">
        <v>194</v>
      </c>
      <c r="I404" s="247"/>
      <c r="J404" s="237"/>
    </row>
    <row r="405" spans="1:10" ht="15.75" x14ac:dyDescent="0.25">
      <c r="A405" s="39">
        <f>A404+1</f>
        <v>3</v>
      </c>
      <c r="B405" s="243" t="s">
        <v>231</v>
      </c>
      <c r="C405" s="244"/>
      <c r="D405" s="244"/>
      <c r="E405" s="244"/>
      <c r="F405" s="244"/>
      <c r="G405" s="244"/>
      <c r="H405" s="245"/>
      <c r="I405" s="247"/>
      <c r="J405" s="237"/>
    </row>
    <row r="406" spans="1:10" ht="15.75" x14ac:dyDescent="0.25">
      <c r="A406" s="230" t="s">
        <v>233</v>
      </c>
      <c r="B406" s="231"/>
      <c r="C406" s="231"/>
      <c r="D406" s="231"/>
      <c r="E406" s="231"/>
      <c r="F406" s="231"/>
      <c r="G406" s="231"/>
      <c r="H406" s="231"/>
      <c r="I406" s="231"/>
      <c r="J406" s="232"/>
    </row>
    <row r="407" spans="1:10" ht="15.75" x14ac:dyDescent="0.25">
      <c r="A407" s="39">
        <v>1</v>
      </c>
      <c r="B407" s="39" t="s">
        <v>223</v>
      </c>
      <c r="C407" s="39" t="s">
        <v>193</v>
      </c>
      <c r="D407" s="214">
        <f>(30.52)*10.764</f>
        <v>328.51727999999997</v>
      </c>
      <c r="E407" s="214"/>
      <c r="F407" s="39">
        <v>0</v>
      </c>
      <c r="G407" s="39">
        <f>D407*(($G$169)+1)+(IF(F407&lt;101,F407,IF(F407&lt;201,F407/2,IF(F407&lt;=301,F407/3,F407/4))))</f>
        <v>492.77591999999993</v>
      </c>
      <c r="H407" s="39" t="s">
        <v>194</v>
      </c>
      <c r="I407" s="246" t="str">
        <f>A406</f>
        <v>9th Floor</v>
      </c>
      <c r="J407" s="235"/>
    </row>
    <row r="408" spans="1:10" ht="15.75" x14ac:dyDescent="0.25">
      <c r="A408" s="39">
        <f>A407+1</f>
        <v>2</v>
      </c>
      <c r="B408" s="39" t="s">
        <v>223</v>
      </c>
      <c r="C408" s="39" t="s">
        <v>193</v>
      </c>
      <c r="D408" s="214">
        <f>(30.89)*10.764</f>
        <v>332.49995999999999</v>
      </c>
      <c r="E408" s="214"/>
      <c r="F408" s="39">
        <v>0</v>
      </c>
      <c r="G408" s="39">
        <f>D408*(($G$169)+1)+(IF(F408&lt;101,F408,IF(F408&lt;201,F408/2,IF(F408&lt;=301,F408/3,F408/4))))</f>
        <v>498.74993999999998</v>
      </c>
      <c r="H408" s="39" t="s">
        <v>194</v>
      </c>
      <c r="I408" s="247"/>
      <c r="J408" s="237"/>
    </row>
    <row r="409" spans="1:10" ht="15.75" x14ac:dyDescent="0.25">
      <c r="A409" s="39">
        <f>A408+1</f>
        <v>3</v>
      </c>
      <c r="B409" s="39" t="s">
        <v>223</v>
      </c>
      <c r="C409" s="39" t="s">
        <v>221</v>
      </c>
      <c r="D409" s="214">
        <f>(24.43)*10.764</f>
        <v>262.96451999999999</v>
      </c>
      <c r="E409" s="214"/>
      <c r="F409" s="39">
        <v>0</v>
      </c>
      <c r="G409" s="39">
        <f>D409*(($G$169)+1)+(IF(F409&lt;101,F409,IF(F409&lt;201,F409/2,IF(F409&lt;=301,F409/3,F409/4))))</f>
        <v>394.44677999999999</v>
      </c>
      <c r="H409" s="39" t="s">
        <v>194</v>
      </c>
      <c r="I409" s="247"/>
      <c r="J409" s="237"/>
    </row>
    <row r="410" spans="1:10" ht="15.75" x14ac:dyDescent="0.25">
      <c r="A410" s="230" t="s">
        <v>234</v>
      </c>
      <c r="B410" s="231"/>
      <c r="C410" s="231"/>
      <c r="D410" s="231"/>
      <c r="E410" s="231"/>
      <c r="F410" s="231"/>
      <c r="G410" s="231"/>
      <c r="H410" s="231"/>
      <c r="I410" s="231"/>
      <c r="J410" s="232"/>
    </row>
    <row r="411" spans="1:10" ht="15.75" x14ac:dyDescent="0.25">
      <c r="A411" s="39">
        <v>1</v>
      </c>
      <c r="B411" s="39" t="s">
        <v>223</v>
      </c>
      <c r="C411" s="39" t="s">
        <v>193</v>
      </c>
      <c r="D411" s="214">
        <f>(30.52)*10.764</f>
        <v>328.51727999999997</v>
      </c>
      <c r="E411" s="214"/>
      <c r="F411" s="39">
        <v>0</v>
      </c>
      <c r="G411" s="39">
        <f>D411*(($G$169)+1)+(IF(F411&lt;101,F411,IF(F411&lt;201,F411/2,IF(F411&lt;=301,F411/3,F411/4))))</f>
        <v>492.77591999999993</v>
      </c>
      <c r="H411" s="39" t="s">
        <v>194</v>
      </c>
      <c r="I411" s="246" t="str">
        <f>A410</f>
        <v>10th Floor</v>
      </c>
      <c r="J411" s="235"/>
    </row>
    <row r="412" spans="1:10" ht="15.75" x14ac:dyDescent="0.25">
      <c r="A412" s="39">
        <f>A411+1</f>
        <v>2</v>
      </c>
      <c r="B412" s="39" t="s">
        <v>223</v>
      </c>
      <c r="C412" s="39" t="s">
        <v>193</v>
      </c>
      <c r="D412" s="214">
        <f>(30.89)*10.764</f>
        <v>332.49995999999999</v>
      </c>
      <c r="E412" s="214"/>
      <c r="F412" s="39">
        <v>0</v>
      </c>
      <c r="G412" s="39">
        <f>D412*(($G$169)+1)+(IF(F412&lt;101,F412,IF(F412&lt;201,F412/2,IF(F412&lt;=301,F412/3,F412/4))))</f>
        <v>498.74993999999998</v>
      </c>
      <c r="H412" s="39" t="s">
        <v>194</v>
      </c>
      <c r="I412" s="247"/>
      <c r="J412" s="237"/>
    </row>
    <row r="413" spans="1:10" ht="15.75" x14ac:dyDescent="0.25">
      <c r="A413" s="39">
        <f>A412+1</f>
        <v>3</v>
      </c>
      <c r="B413" s="39" t="s">
        <v>223</v>
      </c>
      <c r="C413" s="39" t="s">
        <v>221</v>
      </c>
      <c r="D413" s="214">
        <f>(24.43)*10.764</f>
        <v>262.96451999999999</v>
      </c>
      <c r="E413" s="214"/>
      <c r="F413" s="39">
        <v>0</v>
      </c>
      <c r="G413" s="39">
        <f>D413*(($G$169)+1)+(IF(F413&lt;101,F413,IF(F413&lt;201,F413/2,IF(F413&lt;=301,F413/3,F413/4))))</f>
        <v>394.44677999999999</v>
      </c>
      <c r="H413" s="39" t="s">
        <v>194</v>
      </c>
      <c r="I413" s="247"/>
      <c r="J413" s="237"/>
    </row>
    <row r="414" spans="1:10" ht="15.75" x14ac:dyDescent="0.25">
      <c r="A414" s="230" t="s">
        <v>235</v>
      </c>
      <c r="B414" s="231"/>
      <c r="C414" s="231"/>
      <c r="D414" s="231"/>
      <c r="E414" s="231"/>
      <c r="F414" s="231"/>
      <c r="G414" s="231"/>
      <c r="H414" s="231"/>
      <c r="I414" s="231"/>
      <c r="J414" s="232"/>
    </row>
    <row r="415" spans="1:10" ht="15.75" x14ac:dyDescent="0.25">
      <c r="A415" s="39">
        <v>1</v>
      </c>
      <c r="B415" s="39" t="s">
        <v>223</v>
      </c>
      <c r="C415" s="39" t="s">
        <v>193</v>
      </c>
      <c r="D415" s="214">
        <f>(30.52)*10.764</f>
        <v>328.51727999999997</v>
      </c>
      <c r="E415" s="214"/>
      <c r="F415" s="39">
        <v>0</v>
      </c>
      <c r="G415" s="39">
        <f>D415*(($G$169)+1)+(IF(F415&lt;101,F415,IF(F415&lt;201,F415/2,IF(F415&lt;=301,F415/3,F415/4))))</f>
        <v>492.77591999999993</v>
      </c>
      <c r="H415" s="39" t="s">
        <v>194</v>
      </c>
      <c r="I415" s="246" t="str">
        <f>A414</f>
        <v>11th &amp; 12th Floor</v>
      </c>
      <c r="J415" s="235"/>
    </row>
    <row r="416" spans="1:10" ht="15.75" x14ac:dyDescent="0.25">
      <c r="A416" s="39">
        <f>A415+1</f>
        <v>2</v>
      </c>
      <c r="B416" s="39" t="s">
        <v>223</v>
      </c>
      <c r="C416" s="39" t="s">
        <v>193</v>
      </c>
      <c r="D416" s="214">
        <f>(30.89)*10.764</f>
        <v>332.49995999999999</v>
      </c>
      <c r="E416" s="214"/>
      <c r="F416" s="39">
        <v>0</v>
      </c>
      <c r="G416" s="39">
        <f>D416*(($G$169)+1)+(IF(F416&lt;101,F416,IF(F416&lt;201,F416/2,IF(F416&lt;=301,F416/3,F416/4))))</f>
        <v>498.74993999999998</v>
      </c>
      <c r="H416" s="39" t="s">
        <v>194</v>
      </c>
      <c r="I416" s="247"/>
      <c r="J416" s="237"/>
    </row>
    <row r="417" spans="1:12" ht="15.75" x14ac:dyDescent="0.25">
      <c r="A417" s="39">
        <f>A416+1</f>
        <v>3</v>
      </c>
      <c r="B417" s="39" t="s">
        <v>223</v>
      </c>
      <c r="C417" s="39" t="s">
        <v>221</v>
      </c>
      <c r="D417" s="214">
        <f>(24.43)*10.764</f>
        <v>262.96451999999999</v>
      </c>
      <c r="E417" s="214"/>
      <c r="F417" s="39">
        <v>0</v>
      </c>
      <c r="G417" s="39">
        <f>D417*(($G$169)+1)+(IF(F417&lt;101,F417,IF(F417&lt;201,F417/2,IF(F417&lt;=301,F417/3,F417/4))))</f>
        <v>394.44677999999999</v>
      </c>
      <c r="H417" s="39" t="s">
        <v>194</v>
      </c>
      <c r="I417" s="247"/>
      <c r="J417" s="237"/>
    </row>
    <row r="418" spans="1:12" ht="15.75" x14ac:dyDescent="0.25">
      <c r="A418" s="230" t="s">
        <v>236</v>
      </c>
      <c r="B418" s="231"/>
      <c r="C418" s="231"/>
      <c r="D418" s="231"/>
      <c r="E418" s="231"/>
      <c r="F418" s="231"/>
      <c r="G418" s="231"/>
      <c r="H418" s="231"/>
      <c r="I418" s="231"/>
      <c r="J418" s="232"/>
    </row>
    <row r="419" spans="1:12" ht="15.75" x14ac:dyDescent="0.25">
      <c r="A419" s="39">
        <v>1</v>
      </c>
      <c r="B419" s="39" t="s">
        <v>248</v>
      </c>
      <c r="C419" s="39" t="s">
        <v>193</v>
      </c>
      <c r="D419" s="214">
        <f>(27.88+2.74*0.53)*10.764</f>
        <v>315.73180079999997</v>
      </c>
      <c r="E419" s="214"/>
      <c r="F419" s="39">
        <v>0</v>
      </c>
      <c r="G419" s="39">
        <f>D419*(($G$169)+1)+(IF(F419&lt;101,F419,IF(F419&lt;201,F419/2,IF(F419&lt;=301,F419/3,F419/4))))</f>
        <v>473.59770119999996</v>
      </c>
      <c r="H419" s="39" t="s">
        <v>194</v>
      </c>
      <c r="I419" s="246" t="str">
        <f>A418</f>
        <v>13th, 14th &amp; 16th to 22nd Floor</v>
      </c>
      <c r="J419" s="235"/>
    </row>
    <row r="420" spans="1:12" ht="15.75" x14ac:dyDescent="0.25">
      <c r="A420" s="39">
        <f>A419+1</f>
        <v>2</v>
      </c>
      <c r="B420" s="39" t="s">
        <v>248</v>
      </c>
      <c r="C420" s="39" t="s">
        <v>193</v>
      </c>
      <c r="D420" s="214">
        <f>(27.88+2.74*0.53)*10.764</f>
        <v>315.73180079999997</v>
      </c>
      <c r="E420" s="214"/>
      <c r="F420" s="39">
        <v>0</v>
      </c>
      <c r="G420" s="39">
        <f>D420*(($G$169)+1)+(IF(F420&lt;101,F420,IF(F420&lt;201,F420/2,IF(F420&lt;=301,F420/3,F420/4))))</f>
        <v>473.59770119999996</v>
      </c>
      <c r="H420" s="39" t="s">
        <v>194</v>
      </c>
      <c r="I420" s="247"/>
      <c r="J420" s="237"/>
    </row>
    <row r="421" spans="1:12" ht="15.75" x14ac:dyDescent="0.25">
      <c r="A421" s="39">
        <f>A420+1</f>
        <v>3</v>
      </c>
      <c r="B421" s="39" t="s">
        <v>223</v>
      </c>
      <c r="C421" s="39" t="s">
        <v>221</v>
      </c>
      <c r="D421" s="214">
        <f>(24.43)*10.764</f>
        <v>262.96451999999999</v>
      </c>
      <c r="E421" s="214"/>
      <c r="F421" s="39">
        <v>0</v>
      </c>
      <c r="G421" s="39">
        <f>D421*(($G$169)+1)+(IF(F421&lt;101,F421,IF(F421&lt;201,F421/2,IF(F421&lt;=301,F421/3,F421/4))))</f>
        <v>394.44677999999999</v>
      </c>
      <c r="H421" s="39" t="s">
        <v>194</v>
      </c>
      <c r="I421" s="247"/>
      <c r="J421" s="237"/>
    </row>
    <row r="422" spans="1:12" ht="15.75" x14ac:dyDescent="0.25">
      <c r="A422" s="230" t="s">
        <v>237</v>
      </c>
      <c r="B422" s="231"/>
      <c r="C422" s="231"/>
      <c r="D422" s="231"/>
      <c r="E422" s="231"/>
      <c r="F422" s="231"/>
      <c r="G422" s="231"/>
      <c r="H422" s="231"/>
      <c r="I422" s="231"/>
      <c r="J422" s="232"/>
    </row>
    <row r="423" spans="1:12" ht="15.75" x14ac:dyDescent="0.25">
      <c r="A423" s="39">
        <v>1</v>
      </c>
      <c r="B423" s="39" t="s">
        <v>248</v>
      </c>
      <c r="C423" s="39" t="s">
        <v>193</v>
      </c>
      <c r="D423" s="214">
        <f>(27.88+2.74*0.53)*10.764</f>
        <v>315.73180079999997</v>
      </c>
      <c r="E423" s="214"/>
      <c r="F423" s="39">
        <v>0</v>
      </c>
      <c r="G423" s="39">
        <f>D423*(($G$169)+1)+(IF(F423&lt;101,F423,IF(F423&lt;201,F423/2,IF(F423&lt;=301,F423/3,F423/4))))</f>
        <v>473.59770119999996</v>
      </c>
      <c r="H423" s="39" t="s">
        <v>194</v>
      </c>
      <c r="I423" s="246" t="str">
        <f>A422</f>
        <v>15th Floor (Part Refuge Area)</v>
      </c>
      <c r="J423" s="235"/>
    </row>
    <row r="424" spans="1:12" ht="15.75" x14ac:dyDescent="0.25">
      <c r="A424" s="39">
        <f>A423+1</f>
        <v>2</v>
      </c>
      <c r="B424" s="39" t="s">
        <v>248</v>
      </c>
      <c r="C424" s="39" t="s">
        <v>193</v>
      </c>
      <c r="D424" s="214">
        <f>(27.88+2.74*0.53)*10.764</f>
        <v>315.73180079999997</v>
      </c>
      <c r="E424" s="214"/>
      <c r="F424" s="39">
        <v>0</v>
      </c>
      <c r="G424" s="39">
        <f>D424*(($G$169)+1)+(IF(F424&lt;101,F424,IF(F424&lt;201,F424/2,IF(F424&lt;=301,F424/3,F424/4))))</f>
        <v>473.59770119999996</v>
      </c>
      <c r="H424" s="39" t="s">
        <v>194</v>
      </c>
      <c r="I424" s="247"/>
      <c r="J424" s="237"/>
    </row>
    <row r="425" spans="1:12" ht="15.75" x14ac:dyDescent="0.25">
      <c r="A425" s="39">
        <f>A424+1</f>
        <v>3</v>
      </c>
      <c r="B425" s="243" t="s">
        <v>231</v>
      </c>
      <c r="C425" s="244"/>
      <c r="D425" s="244"/>
      <c r="E425" s="244"/>
      <c r="F425" s="244"/>
      <c r="G425" s="244"/>
      <c r="H425" s="245"/>
      <c r="I425" s="247"/>
      <c r="J425" s="237"/>
    </row>
    <row r="426" spans="1:12" ht="15.75" customHeight="1" x14ac:dyDescent="0.25">
      <c r="A426" s="53"/>
      <c r="B426" s="54"/>
      <c r="C426" s="54"/>
      <c r="D426" s="54"/>
      <c r="E426" s="54"/>
      <c r="F426" s="54"/>
      <c r="G426" s="54"/>
      <c r="H426" s="54"/>
      <c r="I426" s="54"/>
      <c r="J426" s="55"/>
      <c r="L426" s="21" t="s">
        <v>252</v>
      </c>
    </row>
    <row r="427" spans="1:12" x14ac:dyDescent="0.25">
      <c r="A427" s="167" t="s">
        <v>268</v>
      </c>
      <c r="B427" s="168"/>
      <c r="C427" s="168"/>
      <c r="D427" s="168"/>
      <c r="E427" s="168"/>
      <c r="F427" s="168"/>
      <c r="G427" s="168"/>
      <c r="H427" s="168"/>
      <c r="I427" s="168"/>
      <c r="J427" s="169"/>
    </row>
    <row r="428" spans="1:12" ht="131.25" customHeight="1" x14ac:dyDescent="0.25">
      <c r="A428" s="170"/>
      <c r="B428" s="171"/>
      <c r="C428" s="171"/>
      <c r="D428" s="171"/>
      <c r="E428" s="171"/>
      <c r="F428" s="171"/>
      <c r="G428" s="171"/>
      <c r="H428" s="171"/>
      <c r="I428" s="171"/>
      <c r="J428" s="172"/>
    </row>
    <row r="429" spans="1:12" x14ac:dyDescent="0.25">
      <c r="A429" s="155" t="s">
        <v>24</v>
      </c>
      <c r="B429" s="156"/>
      <c r="C429" s="156"/>
      <c r="D429" s="156"/>
      <c r="E429" s="156"/>
      <c r="F429" s="156"/>
      <c r="G429" s="156"/>
      <c r="H429" s="156"/>
      <c r="I429" s="156"/>
      <c r="J429" s="157"/>
    </row>
    <row r="430" spans="1:12" x14ac:dyDescent="0.25">
      <c r="A430" s="80" t="s">
        <v>28</v>
      </c>
      <c r="B430" s="81"/>
      <c r="C430" s="81"/>
      <c r="D430" s="81"/>
      <c r="E430" s="81"/>
      <c r="F430" s="81"/>
      <c r="G430" s="81"/>
      <c r="H430" s="81"/>
      <c r="I430" s="81"/>
      <c r="J430" s="82"/>
    </row>
    <row r="431" spans="1:12" x14ac:dyDescent="0.25">
      <c r="A431" s="155" t="s">
        <v>26</v>
      </c>
      <c r="B431" s="156"/>
      <c r="C431" s="156"/>
      <c r="D431" s="156"/>
      <c r="E431" s="156"/>
      <c r="F431" s="156"/>
      <c r="G431" s="156"/>
      <c r="H431" s="156"/>
      <c r="I431" s="156"/>
      <c r="J431" s="157"/>
    </row>
    <row r="432" spans="1:12" x14ac:dyDescent="0.25">
      <c r="A432" s="80" t="s">
        <v>33</v>
      </c>
      <c r="B432" s="81"/>
      <c r="C432" s="81"/>
      <c r="D432" s="81"/>
      <c r="E432" s="81"/>
      <c r="F432" s="81"/>
      <c r="G432" s="81"/>
      <c r="H432" s="81"/>
      <c r="I432" s="81"/>
      <c r="J432" s="82"/>
    </row>
    <row r="433" spans="1:10" x14ac:dyDescent="0.25">
      <c r="A433" s="80" t="s">
        <v>71</v>
      </c>
      <c r="B433" s="81"/>
      <c r="C433" s="81"/>
      <c r="D433" s="81"/>
      <c r="E433" s="81"/>
      <c r="F433" s="81"/>
      <c r="G433" s="81"/>
      <c r="H433" s="81"/>
      <c r="I433" s="81"/>
      <c r="J433" s="82"/>
    </row>
    <row r="434" spans="1:10" x14ac:dyDescent="0.25">
      <c r="A434" s="80" t="s">
        <v>72</v>
      </c>
      <c r="B434" s="81"/>
      <c r="C434" s="81"/>
      <c r="D434" s="81"/>
      <c r="E434" s="81"/>
      <c r="F434" s="81"/>
      <c r="G434" s="81"/>
      <c r="H434" s="81"/>
      <c r="I434" s="81"/>
      <c r="J434" s="82"/>
    </row>
    <row r="435" spans="1:10" x14ac:dyDescent="0.25">
      <c r="A435" s="56" t="s">
        <v>73</v>
      </c>
      <c r="B435" s="57"/>
      <c r="C435" s="57"/>
      <c r="D435" s="57"/>
      <c r="E435" s="57"/>
      <c r="F435" s="57"/>
      <c r="G435" s="57"/>
      <c r="H435" s="57"/>
      <c r="I435" s="57"/>
      <c r="J435" s="58"/>
    </row>
    <row r="436" spans="1:10" x14ac:dyDescent="0.25">
      <c r="A436" s="158" t="s">
        <v>25</v>
      </c>
      <c r="B436" s="159"/>
      <c r="C436" s="159"/>
      <c r="D436" s="159"/>
      <c r="E436" s="159"/>
      <c r="F436" s="159"/>
      <c r="G436" s="159"/>
      <c r="H436" s="159"/>
      <c r="I436" s="159"/>
      <c r="J436" s="160"/>
    </row>
    <row r="437" spans="1:10" x14ac:dyDescent="0.25">
      <c r="A437" s="161"/>
      <c r="B437" s="162"/>
      <c r="C437" s="162"/>
      <c r="D437" s="162"/>
      <c r="E437" s="162"/>
      <c r="F437" s="162"/>
      <c r="G437" s="162"/>
      <c r="H437" s="162"/>
      <c r="I437" s="162"/>
      <c r="J437" s="163"/>
    </row>
    <row r="438" spans="1:10" x14ac:dyDescent="0.25">
      <c r="A438" s="161"/>
      <c r="B438" s="162"/>
      <c r="C438" s="162"/>
      <c r="D438" s="162"/>
      <c r="E438" s="162"/>
      <c r="F438" s="162"/>
      <c r="G438" s="162"/>
      <c r="H438" s="162"/>
      <c r="I438" s="162"/>
      <c r="J438" s="163"/>
    </row>
    <row r="439" spans="1:10" x14ac:dyDescent="0.25">
      <c r="A439" s="164"/>
      <c r="B439" s="165"/>
      <c r="C439" s="165"/>
      <c r="D439" s="165"/>
      <c r="E439" s="165"/>
      <c r="F439" s="165"/>
      <c r="G439" s="165"/>
      <c r="H439" s="165"/>
      <c r="I439" s="165"/>
      <c r="J439" s="166"/>
    </row>
    <row r="440" spans="1:10" x14ac:dyDescent="0.25">
      <c r="A440" s="4" t="s">
        <v>118</v>
      </c>
      <c r="B440" s="4"/>
      <c r="C440" s="4"/>
      <c r="D440" s="4" t="str">
        <f>F8</f>
        <v>Platinum Heights</v>
      </c>
      <c r="E440" s="4"/>
      <c r="F440" s="4"/>
      <c r="G440" s="4"/>
      <c r="H440" s="4"/>
      <c r="I440" s="4"/>
      <c r="J440" s="4"/>
    </row>
    <row r="441" spans="1:10" x14ac:dyDescent="0.25">
      <c r="A441" s="4"/>
      <c r="B441" s="4"/>
      <c r="C441" s="4"/>
      <c r="D441" s="4"/>
      <c r="E441" s="4"/>
      <c r="F441" s="4"/>
      <c r="G441" s="4"/>
      <c r="H441" s="4"/>
      <c r="I441" s="4"/>
      <c r="J441" s="4"/>
    </row>
    <row r="484" spans="1:10" x14ac:dyDescent="0.25">
      <c r="A484" s="4" t="s">
        <v>175</v>
      </c>
      <c r="B484" s="4"/>
      <c r="C484" s="4"/>
      <c r="D484" s="4"/>
      <c r="E484" s="4"/>
      <c r="F484" s="4"/>
      <c r="G484" s="4"/>
      <c r="H484" s="4"/>
      <c r="I484" s="4"/>
      <c r="J484" s="4"/>
    </row>
    <row r="485" spans="1:10" x14ac:dyDescent="0.25">
      <c r="A485" s="4"/>
      <c r="B485" s="4"/>
      <c r="C485" s="4"/>
      <c r="D485" s="4"/>
      <c r="E485" s="4"/>
      <c r="F485" s="4"/>
      <c r="G485" s="4"/>
      <c r="H485" s="4"/>
      <c r="I485" s="4"/>
      <c r="J485" s="4"/>
    </row>
    <row r="528" spans="1:10" x14ac:dyDescent="0.25">
      <c r="A528" s="36" t="s">
        <v>86</v>
      </c>
      <c r="B528" s="34"/>
      <c r="C528" s="35"/>
      <c r="D528" s="35"/>
      <c r="E528" s="35"/>
      <c r="F528" s="35"/>
      <c r="G528" s="35"/>
      <c r="H528" s="35"/>
      <c r="I528" s="35"/>
      <c r="J528" s="35"/>
    </row>
    <row r="529" spans="1:10" x14ac:dyDescent="0.25">
      <c r="A529" s="35"/>
      <c r="B529" s="35"/>
      <c r="C529" s="35"/>
      <c r="D529" s="35"/>
      <c r="E529" s="35"/>
      <c r="F529" s="35"/>
      <c r="G529" s="35"/>
      <c r="H529" s="35"/>
      <c r="I529" s="35"/>
      <c r="J529" s="35"/>
    </row>
    <row r="530" spans="1:10" x14ac:dyDescent="0.25">
      <c r="A530" s="35"/>
      <c r="B530" s="35"/>
      <c r="C530" s="35"/>
      <c r="D530" s="35"/>
      <c r="E530" s="35"/>
      <c r="F530" s="35"/>
      <c r="G530" s="35"/>
      <c r="H530" s="35"/>
      <c r="I530" s="35"/>
      <c r="J530" s="35"/>
    </row>
    <row r="531" spans="1:10" x14ac:dyDescent="0.25">
      <c r="A531" s="35"/>
      <c r="B531" s="35"/>
      <c r="C531" s="35"/>
      <c r="D531" s="35"/>
      <c r="E531" s="35"/>
      <c r="F531" s="35"/>
      <c r="G531" s="35"/>
      <c r="H531" s="35"/>
      <c r="I531" s="35"/>
      <c r="J531" s="35"/>
    </row>
    <row r="532" spans="1:10" x14ac:dyDescent="0.25">
      <c r="A532" s="35"/>
      <c r="B532" s="35"/>
      <c r="C532" s="35"/>
      <c r="D532" s="35"/>
      <c r="E532" s="35"/>
      <c r="F532" s="35"/>
      <c r="G532" s="35"/>
      <c r="H532" s="35"/>
      <c r="I532" s="35"/>
      <c r="J532" s="35"/>
    </row>
    <row r="533" spans="1:10" x14ac:dyDescent="0.25">
      <c r="A533" s="35"/>
      <c r="B533" s="35"/>
      <c r="C533" s="35"/>
      <c r="D533" s="35"/>
      <c r="E533" s="35"/>
      <c r="F533" s="35"/>
      <c r="G533" s="35"/>
      <c r="H533" s="35"/>
      <c r="I533" s="35"/>
      <c r="J533" s="35"/>
    </row>
    <row r="534" spans="1:10" x14ac:dyDescent="0.25">
      <c r="A534" s="35"/>
      <c r="B534" s="35"/>
      <c r="C534" s="35"/>
      <c r="D534" s="35"/>
      <c r="E534" s="35"/>
      <c r="F534" s="35"/>
      <c r="G534" s="35"/>
      <c r="H534" s="35"/>
      <c r="I534" s="35"/>
      <c r="J534" s="35"/>
    </row>
    <row r="535" spans="1:10" x14ac:dyDescent="0.25">
      <c r="A535" s="35"/>
      <c r="B535" s="35"/>
      <c r="C535" s="35"/>
      <c r="D535" s="35"/>
      <c r="E535" s="35"/>
      <c r="F535" s="35"/>
      <c r="G535" s="35"/>
      <c r="H535" s="35"/>
      <c r="I535" s="35"/>
      <c r="J535" s="35"/>
    </row>
    <row r="536" spans="1:10" x14ac:dyDescent="0.25">
      <c r="A536" s="35"/>
      <c r="B536" s="35"/>
      <c r="C536" s="35"/>
      <c r="D536" s="35"/>
      <c r="E536" s="35"/>
      <c r="F536" s="35"/>
      <c r="G536" s="35"/>
      <c r="H536" s="35"/>
      <c r="I536" s="35"/>
      <c r="J536" s="35"/>
    </row>
    <row r="537" spans="1:10" x14ac:dyDescent="0.25">
      <c r="A537" s="35"/>
      <c r="B537" s="35"/>
      <c r="C537" s="35"/>
      <c r="D537" s="35"/>
      <c r="E537" s="35"/>
      <c r="F537" s="35"/>
      <c r="G537" s="35"/>
      <c r="H537" s="35"/>
      <c r="I537" s="35"/>
      <c r="J537" s="35"/>
    </row>
    <row r="538" spans="1:10" x14ac:dyDescent="0.25">
      <c r="A538" s="35"/>
      <c r="B538" s="35"/>
      <c r="C538" s="35"/>
      <c r="D538" s="35"/>
      <c r="E538" s="35"/>
      <c r="F538" s="35"/>
      <c r="G538" s="35"/>
      <c r="H538" s="35"/>
      <c r="I538" s="35"/>
      <c r="J538" s="35"/>
    </row>
    <row r="539" spans="1:10" x14ac:dyDescent="0.25">
      <c r="A539" s="35"/>
      <c r="B539" s="35"/>
      <c r="C539" s="35"/>
      <c r="D539" s="35"/>
      <c r="E539" s="35"/>
      <c r="F539" s="35"/>
      <c r="G539" s="35"/>
      <c r="H539" s="35"/>
      <c r="I539" s="35"/>
      <c r="J539" s="35"/>
    </row>
    <row r="540" spans="1:10" x14ac:dyDescent="0.25">
      <c r="A540" s="35"/>
      <c r="B540" s="35"/>
      <c r="C540" s="35"/>
      <c r="D540" s="35"/>
      <c r="E540" s="35"/>
      <c r="F540" s="35"/>
      <c r="G540" s="35"/>
      <c r="H540" s="35"/>
      <c r="I540" s="35"/>
      <c r="J540" s="35"/>
    </row>
    <row r="541" spans="1:10" x14ac:dyDescent="0.25">
      <c r="A541" s="35"/>
      <c r="B541" s="35"/>
      <c r="C541" s="35"/>
      <c r="D541" s="35"/>
      <c r="E541" s="35"/>
      <c r="F541" s="35"/>
      <c r="G541" s="35"/>
      <c r="H541" s="35"/>
      <c r="I541" s="35"/>
      <c r="J541" s="35"/>
    </row>
    <row r="542" spans="1:10" x14ac:dyDescent="0.25">
      <c r="A542" s="35"/>
      <c r="B542" s="35"/>
      <c r="C542" s="35"/>
      <c r="D542" s="35"/>
      <c r="E542" s="35"/>
      <c r="F542" s="35"/>
      <c r="G542" s="35"/>
      <c r="H542" s="35"/>
      <c r="I542" s="35"/>
      <c r="J542" s="35"/>
    </row>
    <row r="543" spans="1:10" x14ac:dyDescent="0.25">
      <c r="A543" s="35"/>
      <c r="B543" s="35"/>
      <c r="C543" s="35"/>
      <c r="D543" s="35"/>
      <c r="E543" s="35"/>
      <c r="F543" s="35"/>
      <c r="G543" s="35"/>
      <c r="H543" s="35"/>
      <c r="I543" s="35"/>
      <c r="J543" s="35"/>
    </row>
    <row r="544" spans="1:10" x14ac:dyDescent="0.25">
      <c r="A544" s="35"/>
      <c r="B544" s="35"/>
      <c r="C544" s="35"/>
      <c r="D544" s="35"/>
      <c r="E544" s="35"/>
      <c r="F544" s="35"/>
      <c r="G544" s="35"/>
      <c r="H544" s="35"/>
      <c r="I544" s="35"/>
      <c r="J544" s="35"/>
    </row>
    <row r="545" spans="1:10" x14ac:dyDescent="0.25">
      <c r="A545" s="35"/>
      <c r="B545" s="35"/>
      <c r="C545" s="35"/>
      <c r="D545" s="35"/>
      <c r="E545" s="35"/>
      <c r="F545" s="35"/>
      <c r="G545" s="35"/>
      <c r="H545" s="35"/>
      <c r="I545" s="35"/>
      <c r="J545" s="35"/>
    </row>
    <row r="546" spans="1:10" x14ac:dyDescent="0.25">
      <c r="A546" s="35"/>
      <c r="B546" s="35"/>
      <c r="C546" s="35"/>
      <c r="D546" s="35"/>
      <c r="E546" s="35"/>
      <c r="F546" s="35"/>
      <c r="G546" s="35"/>
      <c r="H546" s="35"/>
      <c r="I546" s="35"/>
      <c r="J546" s="35"/>
    </row>
    <row r="547" spans="1:10" x14ac:dyDescent="0.25">
      <c r="A547" s="35"/>
      <c r="B547" s="35"/>
      <c r="C547" s="35"/>
      <c r="D547" s="35"/>
      <c r="E547" s="35"/>
      <c r="F547" s="35"/>
      <c r="G547" s="35"/>
      <c r="H547" s="35"/>
      <c r="I547" s="35"/>
      <c r="J547" s="35"/>
    </row>
    <row r="548" spans="1:10" x14ac:dyDescent="0.25">
      <c r="A548" s="35"/>
      <c r="B548" s="35"/>
      <c r="C548" s="35"/>
      <c r="D548" s="35"/>
      <c r="E548" s="35"/>
      <c r="F548" s="35"/>
      <c r="G548" s="35"/>
      <c r="H548" s="35"/>
      <c r="I548" s="35"/>
      <c r="J548" s="35"/>
    </row>
    <row r="549" spans="1:10" x14ac:dyDescent="0.25">
      <c r="A549" s="35"/>
      <c r="B549" s="35"/>
      <c r="C549" s="35"/>
      <c r="D549" s="35"/>
      <c r="E549" s="35"/>
      <c r="F549" s="35"/>
      <c r="G549" s="35"/>
      <c r="H549" s="35"/>
      <c r="I549" s="35"/>
      <c r="J549" s="35"/>
    </row>
    <row r="550" spans="1:10" x14ac:dyDescent="0.25">
      <c r="A550" s="35"/>
      <c r="B550" s="35"/>
      <c r="C550" s="35"/>
      <c r="D550" s="35"/>
      <c r="E550" s="35"/>
      <c r="F550" s="35"/>
      <c r="G550" s="35"/>
      <c r="H550" s="35"/>
      <c r="I550" s="35"/>
      <c r="J550" s="35"/>
    </row>
    <row r="551" spans="1:10" x14ac:dyDescent="0.25">
      <c r="A551" s="35"/>
      <c r="B551" s="35"/>
      <c r="C551" s="35"/>
      <c r="D551" s="35"/>
      <c r="E551" s="35"/>
      <c r="F551" s="35"/>
      <c r="G551" s="35"/>
      <c r="H551" s="35"/>
      <c r="I551" s="35"/>
      <c r="J551" s="35"/>
    </row>
    <row r="552" spans="1:10" x14ac:dyDescent="0.25">
      <c r="A552" s="35"/>
      <c r="B552" s="35"/>
      <c r="C552" s="35"/>
      <c r="D552" s="35"/>
      <c r="E552" s="35"/>
      <c r="F552" s="35"/>
      <c r="G552" s="35"/>
      <c r="H552" s="35"/>
      <c r="I552" s="35"/>
      <c r="J552" s="35"/>
    </row>
    <row r="553" spans="1:10" x14ac:dyDescent="0.25">
      <c r="A553" s="35"/>
      <c r="B553" s="35"/>
      <c r="C553" s="35"/>
      <c r="D553" s="35"/>
      <c r="E553" s="35"/>
      <c r="F553" s="35"/>
      <c r="G553" s="35"/>
      <c r="H553" s="35"/>
      <c r="I553" s="35"/>
      <c r="J553" s="35"/>
    </row>
    <row r="554" spans="1:10" x14ac:dyDescent="0.25">
      <c r="A554" s="35"/>
      <c r="B554" s="35"/>
      <c r="C554" s="35"/>
      <c r="D554" s="35"/>
      <c r="E554" s="35"/>
      <c r="F554" s="35"/>
      <c r="G554" s="35"/>
      <c r="H554" s="35"/>
      <c r="I554" s="35"/>
      <c r="J554" s="35"/>
    </row>
    <row r="555" spans="1:10" x14ac:dyDescent="0.25">
      <c r="A555" s="35"/>
      <c r="B555" s="35"/>
      <c r="C555" s="35"/>
      <c r="D555" s="35"/>
      <c r="E555" s="35"/>
      <c r="F555" s="35"/>
      <c r="G555" s="35"/>
      <c r="H555" s="35"/>
      <c r="I555" s="35"/>
      <c r="J555" s="35"/>
    </row>
    <row r="556" spans="1:10" x14ac:dyDescent="0.25">
      <c r="A556" s="35"/>
      <c r="B556" s="35"/>
      <c r="C556" s="35"/>
      <c r="D556" s="35"/>
      <c r="E556" s="35"/>
      <c r="F556" s="35"/>
      <c r="G556" s="35"/>
      <c r="H556" s="35"/>
      <c r="I556" s="35"/>
      <c r="J556" s="35"/>
    </row>
    <row r="557" spans="1:10" x14ac:dyDescent="0.25">
      <c r="A557" s="35"/>
      <c r="B557" s="35"/>
      <c r="C557" s="35"/>
      <c r="D557" s="35"/>
      <c r="E557" s="35"/>
      <c r="F557" s="35"/>
      <c r="G557" s="35"/>
      <c r="H557" s="35"/>
      <c r="I557" s="35"/>
      <c r="J557" s="35"/>
    </row>
    <row r="558" spans="1:10" x14ac:dyDescent="0.25">
      <c r="A558" s="35"/>
      <c r="B558" s="35"/>
      <c r="C558" s="35"/>
      <c r="D558" s="35"/>
      <c r="E558" s="35"/>
      <c r="F558" s="35"/>
      <c r="G558" s="35"/>
      <c r="H558" s="35"/>
      <c r="I558" s="35"/>
      <c r="J558" s="35"/>
    </row>
    <row r="559" spans="1:10" x14ac:dyDescent="0.25">
      <c r="A559" s="35"/>
      <c r="B559" s="35"/>
      <c r="C559" s="35"/>
      <c r="D559" s="35"/>
      <c r="E559" s="35"/>
      <c r="F559" s="35"/>
      <c r="G559" s="35"/>
      <c r="H559" s="35"/>
      <c r="I559" s="35"/>
      <c r="J559" s="35"/>
    </row>
    <row r="560" spans="1:10" x14ac:dyDescent="0.25">
      <c r="A560" s="35"/>
      <c r="B560" s="35"/>
      <c r="C560" s="35"/>
      <c r="D560" s="35"/>
      <c r="E560" s="35"/>
      <c r="F560" s="35"/>
      <c r="G560" s="35"/>
      <c r="H560" s="35"/>
      <c r="I560" s="35"/>
      <c r="J560" s="35"/>
    </row>
    <row r="561" spans="1:10" x14ac:dyDescent="0.25">
      <c r="A561" s="35"/>
      <c r="B561" s="35"/>
      <c r="C561" s="35"/>
      <c r="D561" s="35"/>
      <c r="E561" s="35"/>
      <c r="F561" s="35"/>
      <c r="G561" s="35"/>
      <c r="H561" s="35"/>
      <c r="I561" s="35"/>
      <c r="J561" s="35"/>
    </row>
    <row r="562" spans="1:10" x14ac:dyDescent="0.25">
      <c r="A562" s="35"/>
      <c r="B562" s="35"/>
      <c r="C562" s="35"/>
      <c r="D562" s="35"/>
      <c r="E562" s="35"/>
      <c r="F562" s="35"/>
      <c r="G562" s="35"/>
      <c r="H562" s="35"/>
      <c r="I562" s="35"/>
      <c r="J562" s="35"/>
    </row>
    <row r="563" spans="1:10" x14ac:dyDescent="0.25">
      <c r="A563" s="35"/>
      <c r="B563" s="35"/>
      <c r="C563" s="35"/>
      <c r="D563" s="35"/>
      <c r="E563" s="35"/>
      <c r="F563" s="35"/>
      <c r="G563" s="35"/>
      <c r="H563" s="35"/>
      <c r="I563" s="35"/>
      <c r="J563" s="35"/>
    </row>
    <row r="564" spans="1:10" x14ac:dyDescent="0.25">
      <c r="A564" s="35"/>
      <c r="B564" s="35"/>
      <c r="C564" s="35"/>
      <c r="D564" s="35"/>
      <c r="E564" s="35"/>
      <c r="F564" s="35"/>
      <c r="G564" s="35"/>
      <c r="H564" s="35"/>
      <c r="I564" s="35"/>
      <c r="J564" s="35"/>
    </row>
    <row r="565" spans="1:10" x14ac:dyDescent="0.25">
      <c r="A565" s="35"/>
      <c r="B565" s="35"/>
      <c r="C565" s="35"/>
      <c r="D565" s="35"/>
      <c r="E565" s="35"/>
      <c r="F565" s="35"/>
      <c r="G565" s="35"/>
      <c r="H565" s="35"/>
      <c r="I565" s="35"/>
      <c r="J565" s="35"/>
    </row>
    <row r="566" spans="1:10" x14ac:dyDescent="0.25">
      <c r="A566" s="35"/>
      <c r="B566" s="35"/>
      <c r="C566" s="35"/>
      <c r="D566" s="35"/>
      <c r="E566" s="35"/>
      <c r="F566" s="35"/>
      <c r="G566" s="35"/>
      <c r="H566" s="35"/>
      <c r="I566" s="35"/>
      <c r="J566" s="35"/>
    </row>
    <row r="567" spans="1:10" x14ac:dyDescent="0.25">
      <c r="A567" s="35"/>
      <c r="B567" s="35"/>
      <c r="C567" s="35"/>
      <c r="D567" s="35"/>
      <c r="E567" s="35"/>
      <c r="F567" s="35"/>
      <c r="G567" s="35"/>
      <c r="H567" s="35"/>
      <c r="I567" s="35"/>
      <c r="J567" s="35"/>
    </row>
    <row r="568" spans="1:10" x14ac:dyDescent="0.25">
      <c r="A568" s="35"/>
      <c r="B568" s="35"/>
      <c r="C568" s="35"/>
      <c r="D568" s="35"/>
      <c r="E568" s="35"/>
      <c r="F568" s="35"/>
      <c r="G568" s="35"/>
      <c r="H568" s="35"/>
      <c r="I568" s="35"/>
      <c r="J568" s="35"/>
    </row>
    <row r="569" spans="1:10" x14ac:dyDescent="0.25">
      <c r="A569" s="35"/>
      <c r="B569" s="35"/>
      <c r="C569" s="35"/>
      <c r="D569" s="35"/>
      <c r="E569" s="35"/>
      <c r="F569" s="35"/>
      <c r="G569" s="35"/>
      <c r="H569" s="35"/>
      <c r="I569" s="35"/>
      <c r="J569" s="35"/>
    </row>
    <row r="570" spans="1:10" x14ac:dyDescent="0.25">
      <c r="A570" s="35"/>
      <c r="B570" s="35"/>
      <c r="C570" s="35"/>
      <c r="D570" s="35"/>
      <c r="E570" s="35"/>
      <c r="F570" s="35"/>
      <c r="G570" s="35"/>
      <c r="H570" s="35"/>
      <c r="I570" s="35"/>
      <c r="J570" s="35"/>
    </row>
  </sheetData>
  <mergeCells count="644">
    <mergeCell ref="A126:F126"/>
    <mergeCell ref="G126:J126"/>
    <mergeCell ref="A186:J186"/>
    <mergeCell ref="D187:E187"/>
    <mergeCell ref="I187:J191"/>
    <mergeCell ref="D188:E188"/>
    <mergeCell ref="A246:J246"/>
    <mergeCell ref="I247:J252"/>
    <mergeCell ref="D248:E248"/>
    <mergeCell ref="D249:E249"/>
    <mergeCell ref="D245:E245"/>
    <mergeCell ref="A192:J192"/>
    <mergeCell ref="I193:J197"/>
    <mergeCell ref="D194:E194"/>
    <mergeCell ref="D196:E196"/>
    <mergeCell ref="D197:E197"/>
    <mergeCell ref="B193:H193"/>
    <mergeCell ref="B195:H195"/>
    <mergeCell ref="D221:E221"/>
    <mergeCell ref="D189:E189"/>
    <mergeCell ref="D190:E190"/>
    <mergeCell ref="D191:E191"/>
    <mergeCell ref="I240:J245"/>
    <mergeCell ref="D241:E241"/>
    <mergeCell ref="A16:B16"/>
    <mergeCell ref="C16:J16"/>
    <mergeCell ref="H48:J48"/>
    <mergeCell ref="D250:E250"/>
    <mergeCell ref="D251:E251"/>
    <mergeCell ref="D252:E252"/>
    <mergeCell ref="D211:E211"/>
    <mergeCell ref="D247:E247"/>
    <mergeCell ref="A216:J216"/>
    <mergeCell ref="D217:E217"/>
    <mergeCell ref="I217:J221"/>
    <mergeCell ref="D218:E218"/>
    <mergeCell ref="D219:E219"/>
    <mergeCell ref="D220:E220"/>
    <mergeCell ref="D244:E244"/>
    <mergeCell ref="A232:J232"/>
    <mergeCell ref="D179:E179"/>
    <mergeCell ref="A172:J172"/>
    <mergeCell ref="A173:J173"/>
    <mergeCell ref="I162:J166"/>
    <mergeCell ref="D166:E166"/>
    <mergeCell ref="B177:H178"/>
    <mergeCell ref="B235:H236"/>
    <mergeCell ref="B238:H238"/>
    <mergeCell ref="K146:L146"/>
    <mergeCell ref="A141:J141"/>
    <mergeCell ref="A142:B142"/>
    <mergeCell ref="D142:F142"/>
    <mergeCell ref="G142:J142"/>
    <mergeCell ref="D143:F143"/>
    <mergeCell ref="G143:J143"/>
    <mergeCell ref="D145:F145"/>
    <mergeCell ref="G145:J145"/>
    <mergeCell ref="A146:B146"/>
    <mergeCell ref="D146:F146"/>
    <mergeCell ref="G146:J146"/>
    <mergeCell ref="A143:A144"/>
    <mergeCell ref="D144:F144"/>
    <mergeCell ref="G144:J144"/>
    <mergeCell ref="D423:E423"/>
    <mergeCell ref="I423:J425"/>
    <mergeCell ref="D424:E424"/>
    <mergeCell ref="B425:H425"/>
    <mergeCell ref="A134:B134"/>
    <mergeCell ref="D134:F134"/>
    <mergeCell ref="G134:J134"/>
    <mergeCell ref="A135:J135"/>
    <mergeCell ref="A136:B136"/>
    <mergeCell ref="D136:F136"/>
    <mergeCell ref="G136:J136"/>
    <mergeCell ref="A137:B137"/>
    <mergeCell ref="D137:F137"/>
    <mergeCell ref="G137:J137"/>
    <mergeCell ref="A138:B138"/>
    <mergeCell ref="D138:F138"/>
    <mergeCell ref="G138:J138"/>
    <mergeCell ref="A139:B139"/>
    <mergeCell ref="A418:J418"/>
    <mergeCell ref="D419:E419"/>
    <mergeCell ref="I419:J421"/>
    <mergeCell ref="D420:E420"/>
    <mergeCell ref="A314:J314"/>
    <mergeCell ref="D315:E315"/>
    <mergeCell ref="A422:J422"/>
    <mergeCell ref="I315:J322"/>
    <mergeCell ref="D316:E316"/>
    <mergeCell ref="D317:E317"/>
    <mergeCell ref="D318:E318"/>
    <mergeCell ref="D319:E319"/>
    <mergeCell ref="D320:E320"/>
    <mergeCell ref="D321:E321"/>
    <mergeCell ref="D322:E322"/>
    <mergeCell ref="D365:E365"/>
    <mergeCell ref="D366:E366"/>
    <mergeCell ref="D367:E367"/>
    <mergeCell ref="D347:E347"/>
    <mergeCell ref="A332:J332"/>
    <mergeCell ref="D333:E333"/>
    <mergeCell ref="D335:E335"/>
    <mergeCell ref="D421:E421"/>
    <mergeCell ref="A377:J377"/>
    <mergeCell ref="I324:J331"/>
    <mergeCell ref="D325:E325"/>
    <mergeCell ref="D326:E326"/>
    <mergeCell ref="D327:E327"/>
    <mergeCell ref="D328:E328"/>
    <mergeCell ref="D329:E329"/>
    <mergeCell ref="A288:J288"/>
    <mergeCell ref="D289:E289"/>
    <mergeCell ref="I289:J294"/>
    <mergeCell ref="D290:E290"/>
    <mergeCell ref="D291:E291"/>
    <mergeCell ref="B292:H292"/>
    <mergeCell ref="D293:E293"/>
    <mergeCell ref="D294:E294"/>
    <mergeCell ref="D283:E283"/>
    <mergeCell ref="D330:E330"/>
    <mergeCell ref="A414:J414"/>
    <mergeCell ref="D415:E415"/>
    <mergeCell ref="I415:J417"/>
    <mergeCell ref="D416:E416"/>
    <mergeCell ref="D417:E417"/>
    <mergeCell ref="D369:E369"/>
    <mergeCell ref="I369:J376"/>
    <mergeCell ref="D370:E370"/>
    <mergeCell ref="D371:E371"/>
    <mergeCell ref="D372:E372"/>
    <mergeCell ref="D373:E373"/>
    <mergeCell ref="D374:E374"/>
    <mergeCell ref="D375:E375"/>
    <mergeCell ref="D376:E376"/>
    <mergeCell ref="I378:J385"/>
    <mergeCell ref="D379:E379"/>
    <mergeCell ref="D380:E380"/>
    <mergeCell ref="D381:E381"/>
    <mergeCell ref="B382:H383"/>
    <mergeCell ref="D384:E384"/>
    <mergeCell ref="A410:J410"/>
    <mergeCell ref="D411:E411"/>
    <mergeCell ref="D378:E378"/>
    <mergeCell ref="D385:E385"/>
    <mergeCell ref="I411:J413"/>
    <mergeCell ref="D412:E412"/>
    <mergeCell ref="D413:E413"/>
    <mergeCell ref="A210:J210"/>
    <mergeCell ref="I211:J215"/>
    <mergeCell ref="D212:E212"/>
    <mergeCell ref="D213:E213"/>
    <mergeCell ref="D214:E214"/>
    <mergeCell ref="D215:E215"/>
    <mergeCell ref="A274:J274"/>
    <mergeCell ref="D275:E275"/>
    <mergeCell ref="I275:J280"/>
    <mergeCell ref="D276:E276"/>
    <mergeCell ref="D277:E277"/>
    <mergeCell ref="D278:E278"/>
    <mergeCell ref="D279:E279"/>
    <mergeCell ref="D280:E280"/>
    <mergeCell ref="A359:J359"/>
    <mergeCell ref="D360:E360"/>
    <mergeCell ref="I360:J367"/>
    <mergeCell ref="D361:E361"/>
    <mergeCell ref="D362:E362"/>
    <mergeCell ref="A406:J406"/>
    <mergeCell ref="D407:E407"/>
    <mergeCell ref="I407:J409"/>
    <mergeCell ref="D408:E408"/>
    <mergeCell ref="D409:E409"/>
    <mergeCell ref="A204:J204"/>
    <mergeCell ref="D205:E205"/>
    <mergeCell ref="I205:J209"/>
    <mergeCell ref="D206:E206"/>
    <mergeCell ref="D207:E207"/>
    <mergeCell ref="D208:E208"/>
    <mergeCell ref="D209:E209"/>
    <mergeCell ref="A267:J267"/>
    <mergeCell ref="D268:E268"/>
    <mergeCell ref="I268:J273"/>
    <mergeCell ref="D269:E269"/>
    <mergeCell ref="D270:E270"/>
    <mergeCell ref="D271:E271"/>
    <mergeCell ref="D272:E272"/>
    <mergeCell ref="D273:E273"/>
    <mergeCell ref="A350:J350"/>
    <mergeCell ref="D351:E351"/>
    <mergeCell ref="I351:J358"/>
    <mergeCell ref="D352:E352"/>
    <mergeCell ref="A402:J402"/>
    <mergeCell ref="D403:E403"/>
    <mergeCell ref="I403:J405"/>
    <mergeCell ref="D404:E404"/>
    <mergeCell ref="B405:H405"/>
    <mergeCell ref="A198:J198"/>
    <mergeCell ref="D199:E199"/>
    <mergeCell ref="I199:J203"/>
    <mergeCell ref="D200:E200"/>
    <mergeCell ref="D201:E201"/>
    <mergeCell ref="D202:E202"/>
    <mergeCell ref="D203:E203"/>
    <mergeCell ref="A260:J260"/>
    <mergeCell ref="D261:E261"/>
    <mergeCell ref="I261:J266"/>
    <mergeCell ref="D262:E262"/>
    <mergeCell ref="D263:E263"/>
    <mergeCell ref="D264:E264"/>
    <mergeCell ref="D265:E265"/>
    <mergeCell ref="D266:E266"/>
    <mergeCell ref="A341:J341"/>
    <mergeCell ref="D342:E342"/>
    <mergeCell ref="I342:J349"/>
    <mergeCell ref="D336:E336"/>
    <mergeCell ref="D339:E339"/>
    <mergeCell ref="D340:E340"/>
    <mergeCell ref="A398:J398"/>
    <mergeCell ref="D399:E399"/>
    <mergeCell ref="I399:J401"/>
    <mergeCell ref="D400:E400"/>
    <mergeCell ref="D401:E401"/>
    <mergeCell ref="B337:H338"/>
    <mergeCell ref="D343:E343"/>
    <mergeCell ref="D344:E344"/>
    <mergeCell ref="D345:E345"/>
    <mergeCell ref="D346:E346"/>
    <mergeCell ref="D348:E348"/>
    <mergeCell ref="D349:E349"/>
    <mergeCell ref="D353:E353"/>
    <mergeCell ref="D354:E354"/>
    <mergeCell ref="D355:E355"/>
    <mergeCell ref="D356:E356"/>
    <mergeCell ref="D357:E357"/>
    <mergeCell ref="D358:E358"/>
    <mergeCell ref="D363:E363"/>
    <mergeCell ref="A394:J394"/>
    <mergeCell ref="D395:E395"/>
    <mergeCell ref="I395:J397"/>
    <mergeCell ref="D396:E396"/>
    <mergeCell ref="D397:E397"/>
    <mergeCell ref="D165:E165"/>
    <mergeCell ref="D157:E157"/>
    <mergeCell ref="A386:J386"/>
    <mergeCell ref="A167:J167"/>
    <mergeCell ref="I175:J179"/>
    <mergeCell ref="D159:E159"/>
    <mergeCell ref="D164:E164"/>
    <mergeCell ref="D303:E303"/>
    <mergeCell ref="D304:E304"/>
    <mergeCell ref="B299:H299"/>
    <mergeCell ref="B300:H300"/>
    <mergeCell ref="A253:J253"/>
    <mergeCell ref="D254:E254"/>
    <mergeCell ref="I254:J259"/>
    <mergeCell ref="D255:E255"/>
    <mergeCell ref="D256:E256"/>
    <mergeCell ref="D258:E258"/>
    <mergeCell ref="D259:E259"/>
    <mergeCell ref="D331:E331"/>
    <mergeCell ref="D364:E364"/>
    <mergeCell ref="A281:J281"/>
    <mergeCell ref="D282:E282"/>
    <mergeCell ref="I282:J287"/>
    <mergeCell ref="A387:J387"/>
    <mergeCell ref="A295:J295"/>
    <mergeCell ref="A296:J296"/>
    <mergeCell ref="I181:J185"/>
    <mergeCell ref="D183:E183"/>
    <mergeCell ref="D184:E184"/>
    <mergeCell ref="D185:E185"/>
    <mergeCell ref="A239:J239"/>
    <mergeCell ref="D234:E234"/>
    <mergeCell ref="I306:J313"/>
    <mergeCell ref="D307:E307"/>
    <mergeCell ref="I233:J238"/>
    <mergeCell ref="D182:E182"/>
    <mergeCell ref="D306:E306"/>
    <mergeCell ref="D308:E308"/>
    <mergeCell ref="D309:E309"/>
    <mergeCell ref="D310:E310"/>
    <mergeCell ref="D240:E240"/>
    <mergeCell ref="D242:E242"/>
    <mergeCell ref="D243:E243"/>
    <mergeCell ref="D287:E287"/>
    <mergeCell ref="A368:J368"/>
    <mergeCell ref="I333:J340"/>
    <mergeCell ref="D334:E334"/>
    <mergeCell ref="A323:J323"/>
    <mergeCell ref="D324:E324"/>
    <mergeCell ref="A389:J389"/>
    <mergeCell ref="A180:J180"/>
    <mergeCell ref="D181:E181"/>
    <mergeCell ref="A390:J390"/>
    <mergeCell ref="D391:E391"/>
    <mergeCell ref="D393:E393"/>
    <mergeCell ref="A388:J388"/>
    <mergeCell ref="D233:E233"/>
    <mergeCell ref="D237:E237"/>
    <mergeCell ref="A230:J230"/>
    <mergeCell ref="A231:J231"/>
    <mergeCell ref="D392:E392"/>
    <mergeCell ref="I391:J393"/>
    <mergeCell ref="D311:E311"/>
    <mergeCell ref="D312:E312"/>
    <mergeCell ref="D313:E313"/>
    <mergeCell ref="A305:J305"/>
    <mergeCell ref="D297:E297"/>
    <mergeCell ref="D298:E298"/>
    <mergeCell ref="A228:J228"/>
    <mergeCell ref="A229:J229"/>
    <mergeCell ref="D301:E301"/>
    <mergeCell ref="D302:E302"/>
    <mergeCell ref="I297:J304"/>
    <mergeCell ref="A170:J170"/>
    <mergeCell ref="A168:B169"/>
    <mergeCell ref="C168:C169"/>
    <mergeCell ref="D168:E169"/>
    <mergeCell ref="F168:F169"/>
    <mergeCell ref="H168:H169"/>
    <mergeCell ref="I168:J169"/>
    <mergeCell ref="B257:H257"/>
    <mergeCell ref="D286:E286"/>
    <mergeCell ref="A171:J171"/>
    <mergeCell ref="A174:J174"/>
    <mergeCell ref="D175:E175"/>
    <mergeCell ref="D176:E176"/>
    <mergeCell ref="D284:E284"/>
    <mergeCell ref="D285:E285"/>
    <mergeCell ref="A222:J222"/>
    <mergeCell ref="I223:J227"/>
    <mergeCell ref="D224:E224"/>
    <mergeCell ref="D226:E226"/>
    <mergeCell ref="D227:E227"/>
    <mergeCell ref="B223:H223"/>
    <mergeCell ref="B225:H225"/>
    <mergeCell ref="D151:E152"/>
    <mergeCell ref="F151:F152"/>
    <mergeCell ref="H151:H152"/>
    <mergeCell ref="I151:J152"/>
    <mergeCell ref="A153:J153"/>
    <mergeCell ref="A154:J154"/>
    <mergeCell ref="A161:J161"/>
    <mergeCell ref="I157:J160"/>
    <mergeCell ref="A155:J155"/>
    <mergeCell ref="A156:J156"/>
    <mergeCell ref="D158:E158"/>
    <mergeCell ref="A130:J130"/>
    <mergeCell ref="A131:B131"/>
    <mergeCell ref="D131:F131"/>
    <mergeCell ref="G131:J131"/>
    <mergeCell ref="D132:F132"/>
    <mergeCell ref="G132:J132"/>
    <mergeCell ref="D160:E160"/>
    <mergeCell ref="D162:E162"/>
    <mergeCell ref="D163:E163"/>
    <mergeCell ref="D139:F139"/>
    <mergeCell ref="G139:J139"/>
    <mergeCell ref="A140:B140"/>
    <mergeCell ref="D140:F140"/>
    <mergeCell ref="G140:J140"/>
    <mergeCell ref="A148:J148"/>
    <mergeCell ref="A147:B147"/>
    <mergeCell ref="D147:F147"/>
    <mergeCell ref="G147:J147"/>
    <mergeCell ref="A149:J149"/>
    <mergeCell ref="A150:J150"/>
    <mergeCell ref="D133:F133"/>
    <mergeCell ref="G133:J133"/>
    <mergeCell ref="A151:B152"/>
    <mergeCell ref="C151:C152"/>
    <mergeCell ref="A12:E12"/>
    <mergeCell ref="A10:E10"/>
    <mergeCell ref="F10:J10"/>
    <mergeCell ref="C53:J53"/>
    <mergeCell ref="C55:J55"/>
    <mergeCell ref="C56:J56"/>
    <mergeCell ref="A54:B57"/>
    <mergeCell ref="C57:J57"/>
    <mergeCell ref="A105:B105"/>
    <mergeCell ref="D105:E105"/>
    <mergeCell ref="F105:G114"/>
    <mergeCell ref="H105:J114"/>
    <mergeCell ref="A106:B106"/>
    <mergeCell ref="D106:E106"/>
    <mergeCell ref="A107:B107"/>
    <mergeCell ref="D107:E107"/>
    <mergeCell ref="A108:B108"/>
    <mergeCell ref="A113:B113"/>
    <mergeCell ref="D113:E113"/>
    <mergeCell ref="A114:B114"/>
    <mergeCell ref="D114:E114"/>
    <mergeCell ref="A101:B101"/>
    <mergeCell ref="C101:J101"/>
    <mergeCell ref="E102:F102"/>
    <mergeCell ref="A112:B112"/>
    <mergeCell ref="D112:E112"/>
    <mergeCell ref="A91:B91"/>
    <mergeCell ref="D91:E91"/>
    <mergeCell ref="F91:G100"/>
    <mergeCell ref="I102:J102"/>
    <mergeCell ref="A103:B103"/>
    <mergeCell ref="C103:J103"/>
    <mergeCell ref="A104:B104"/>
    <mergeCell ref="D104:E104"/>
    <mergeCell ref="F104:G104"/>
    <mergeCell ref="H104:J104"/>
    <mergeCell ref="D108:E108"/>
    <mergeCell ref="A109:B109"/>
    <mergeCell ref="D109:E109"/>
    <mergeCell ref="D98:E98"/>
    <mergeCell ref="A99:B99"/>
    <mergeCell ref="D99:E99"/>
    <mergeCell ref="A100:B100"/>
    <mergeCell ref="D100:E100"/>
    <mergeCell ref="A110:B110"/>
    <mergeCell ref="D110:E110"/>
    <mergeCell ref="A111:B111"/>
    <mergeCell ref="D111:E111"/>
    <mergeCell ref="A115:B115"/>
    <mergeCell ref="C115:J115"/>
    <mergeCell ref="E116:F116"/>
    <mergeCell ref="I116:J116"/>
    <mergeCell ref="A117:B117"/>
    <mergeCell ref="C117:J117"/>
    <mergeCell ref="A90:B90"/>
    <mergeCell ref="D90:E90"/>
    <mergeCell ref="F90:G90"/>
    <mergeCell ref="H90:J90"/>
    <mergeCell ref="H91:J100"/>
    <mergeCell ref="A92:B92"/>
    <mergeCell ref="D92:E92"/>
    <mergeCell ref="A93:B93"/>
    <mergeCell ref="D93:E93"/>
    <mergeCell ref="A94:B94"/>
    <mergeCell ref="D94:E94"/>
    <mergeCell ref="A95:B95"/>
    <mergeCell ref="D95:E95"/>
    <mergeCell ref="A96:B96"/>
    <mergeCell ref="D96:E96"/>
    <mergeCell ref="A97:B97"/>
    <mergeCell ref="D97:E97"/>
    <mergeCell ref="A98:B98"/>
    <mergeCell ref="A80:B80"/>
    <mergeCell ref="D80:E80"/>
    <mergeCell ref="F80:G89"/>
    <mergeCell ref="H80:J89"/>
    <mergeCell ref="A81:B81"/>
    <mergeCell ref="D81:E81"/>
    <mergeCell ref="A82:B82"/>
    <mergeCell ref="D82:E82"/>
    <mergeCell ref="A83:B83"/>
    <mergeCell ref="D83:E83"/>
    <mergeCell ref="A84:B84"/>
    <mergeCell ref="D84:E84"/>
    <mergeCell ref="A85:B85"/>
    <mergeCell ref="D85:E85"/>
    <mergeCell ref="A86:B86"/>
    <mergeCell ref="D86:E86"/>
    <mergeCell ref="A87:B87"/>
    <mergeCell ref="D87:E87"/>
    <mergeCell ref="A88:B88"/>
    <mergeCell ref="D88:E88"/>
    <mergeCell ref="A89:B89"/>
    <mergeCell ref="D89:E89"/>
    <mergeCell ref="G128:J128"/>
    <mergeCell ref="A17:F17"/>
    <mergeCell ref="G30:H30"/>
    <mergeCell ref="F39:J39"/>
    <mergeCell ref="A37:J38"/>
    <mergeCell ref="A60:B60"/>
    <mergeCell ref="A26:E26"/>
    <mergeCell ref="B19:E19"/>
    <mergeCell ref="A20:B20"/>
    <mergeCell ref="A39:E39"/>
    <mergeCell ref="H17:J17"/>
    <mergeCell ref="G19:J19"/>
    <mergeCell ref="C30:D30"/>
    <mergeCell ref="E30:F30"/>
    <mergeCell ref="I30:J30"/>
    <mergeCell ref="A29:B29"/>
    <mergeCell ref="C29:D29"/>
    <mergeCell ref="D75:E75"/>
    <mergeCell ref="A76:B76"/>
    <mergeCell ref="C76:J76"/>
    <mergeCell ref="E77:F77"/>
    <mergeCell ref="I77:J77"/>
    <mergeCell ref="A78:B78"/>
    <mergeCell ref="A27:E27"/>
    <mergeCell ref="A2:J2"/>
    <mergeCell ref="A3:E3"/>
    <mergeCell ref="F3:J3"/>
    <mergeCell ref="A4:E4"/>
    <mergeCell ref="F4:J4"/>
    <mergeCell ref="A11:E11"/>
    <mergeCell ref="A6:E6"/>
    <mergeCell ref="F6:J6"/>
    <mergeCell ref="F11:J11"/>
    <mergeCell ref="A9:E9"/>
    <mergeCell ref="F9:J9"/>
    <mergeCell ref="A14:E14"/>
    <mergeCell ref="F8:J8"/>
    <mergeCell ref="F14:J14"/>
    <mergeCell ref="B18:E18"/>
    <mergeCell ref="F28:J28"/>
    <mergeCell ref="A23:E24"/>
    <mergeCell ref="A5:E5"/>
    <mergeCell ref="F5:J5"/>
    <mergeCell ref="A21:E22"/>
    <mergeCell ref="F21:J22"/>
    <mergeCell ref="A8:E8"/>
    <mergeCell ref="A15:B15"/>
    <mergeCell ref="C15:J15"/>
    <mergeCell ref="A13:E13"/>
    <mergeCell ref="A7:E7"/>
    <mergeCell ref="F7:J7"/>
    <mergeCell ref="C20:E20"/>
    <mergeCell ref="F26:J26"/>
    <mergeCell ref="F23:J24"/>
    <mergeCell ref="G18:J18"/>
    <mergeCell ref="F20:G20"/>
    <mergeCell ref="H20:J20"/>
    <mergeCell ref="A25:E25"/>
    <mergeCell ref="F25:J25"/>
    <mergeCell ref="A28:E28"/>
    <mergeCell ref="F27:J27"/>
    <mergeCell ref="A436:J439"/>
    <mergeCell ref="A129:F129"/>
    <mergeCell ref="G129:J129"/>
    <mergeCell ref="F65:G65"/>
    <mergeCell ref="A433:J433"/>
    <mergeCell ref="A430:J430"/>
    <mergeCell ref="A434:J434"/>
    <mergeCell ref="A435:J435"/>
    <mergeCell ref="A431:J431"/>
    <mergeCell ref="A427:J428"/>
    <mergeCell ref="A429:J429"/>
    <mergeCell ref="A62:B62"/>
    <mergeCell ref="C62:J62"/>
    <mergeCell ref="A65:B65"/>
    <mergeCell ref="D65:E65"/>
    <mergeCell ref="A432:J432"/>
    <mergeCell ref="A127:F127"/>
    <mergeCell ref="A41:E41"/>
    <mergeCell ref="A128:F128"/>
    <mergeCell ref="A69:B69"/>
    <mergeCell ref="D69:E69"/>
    <mergeCell ref="A70:B70"/>
    <mergeCell ref="A36:J36"/>
    <mergeCell ref="A34:B34"/>
    <mergeCell ref="C54:J54"/>
    <mergeCell ref="G29:H29"/>
    <mergeCell ref="C34:J34"/>
    <mergeCell ref="A35:B35"/>
    <mergeCell ref="C35:J35"/>
    <mergeCell ref="A49:B49"/>
    <mergeCell ref="C49:F49"/>
    <mergeCell ref="H49:J49"/>
    <mergeCell ref="A43:E43"/>
    <mergeCell ref="A40:E40"/>
    <mergeCell ref="I31:J31"/>
    <mergeCell ref="A33:J33"/>
    <mergeCell ref="F42:J42"/>
    <mergeCell ref="A1:J1"/>
    <mergeCell ref="A58:E58"/>
    <mergeCell ref="F58:J58"/>
    <mergeCell ref="F43:J43"/>
    <mergeCell ref="A51:J51"/>
    <mergeCell ref="A30:B30"/>
    <mergeCell ref="I29:J29"/>
    <mergeCell ref="C48:F48"/>
    <mergeCell ref="A50:C50"/>
    <mergeCell ref="D52:E52"/>
    <mergeCell ref="H46:J46"/>
    <mergeCell ref="H47:J47"/>
    <mergeCell ref="F41:J41"/>
    <mergeCell ref="H50:J50"/>
    <mergeCell ref="A48:B48"/>
    <mergeCell ref="E31:F31"/>
    <mergeCell ref="G31:H31"/>
    <mergeCell ref="A31:B31"/>
    <mergeCell ref="C31:D31"/>
    <mergeCell ref="F40:J40"/>
    <mergeCell ref="F13:J13"/>
    <mergeCell ref="A32:J32"/>
    <mergeCell ref="E29:F29"/>
    <mergeCell ref="A42:E42"/>
    <mergeCell ref="G125:J125"/>
    <mergeCell ref="A45:J45"/>
    <mergeCell ref="D50:E50"/>
    <mergeCell ref="C47:F47"/>
    <mergeCell ref="A46:B46"/>
    <mergeCell ref="A47:B47"/>
    <mergeCell ref="A125:F125"/>
    <mergeCell ref="A120:J120"/>
    <mergeCell ref="F66:G75"/>
    <mergeCell ref="H66:J75"/>
    <mergeCell ref="A67:B67"/>
    <mergeCell ref="D67:E67"/>
    <mergeCell ref="A68:B68"/>
    <mergeCell ref="D68:E68"/>
    <mergeCell ref="D70:E70"/>
    <mergeCell ref="A71:B71"/>
    <mergeCell ref="D71:E71"/>
    <mergeCell ref="A72:B72"/>
    <mergeCell ref="D72:E72"/>
    <mergeCell ref="C78:J78"/>
    <mergeCell ref="A79:B79"/>
    <mergeCell ref="D79:E79"/>
    <mergeCell ref="F79:G79"/>
    <mergeCell ref="H79:J79"/>
    <mergeCell ref="A66:B66"/>
    <mergeCell ref="D66:E66"/>
    <mergeCell ref="A73:B73"/>
    <mergeCell ref="D73:E73"/>
    <mergeCell ref="A74:B74"/>
    <mergeCell ref="D74:E74"/>
    <mergeCell ref="A75:B75"/>
    <mergeCell ref="C46:F46"/>
    <mergeCell ref="F50:G50"/>
    <mergeCell ref="A426:J426"/>
    <mergeCell ref="F12:J12"/>
    <mergeCell ref="F52:G52"/>
    <mergeCell ref="A63:B64"/>
    <mergeCell ref="C63:E64"/>
    <mergeCell ref="F63:G64"/>
    <mergeCell ref="H63:J64"/>
    <mergeCell ref="A118:B119"/>
    <mergeCell ref="C118:E119"/>
    <mergeCell ref="F118:G119"/>
    <mergeCell ref="H118:J119"/>
    <mergeCell ref="H52:J52"/>
    <mergeCell ref="G127:J127"/>
    <mergeCell ref="A121:J121"/>
    <mergeCell ref="A122:J123"/>
    <mergeCell ref="A124:J124"/>
    <mergeCell ref="F44:J44"/>
    <mergeCell ref="A59:J59"/>
    <mergeCell ref="A52:C52"/>
    <mergeCell ref="A44:E44"/>
    <mergeCell ref="C60:J60"/>
    <mergeCell ref="E61:F61"/>
    <mergeCell ref="I61:J61"/>
    <mergeCell ref="H65:J65"/>
  </mergeCells>
  <phoneticPr fontId="0" type="noConversion"/>
  <dataValidations count="2">
    <dataValidation type="list" allowBlank="1" showInputMessage="1" showErrorMessage="1" sqref="G168 G151">
      <formula1>"Saleable area Loading :,Builder Saleable Area"</formula1>
    </dataValidation>
    <dataValidation type="list" allowBlank="1" showInputMessage="1" showErrorMessage="1" sqref="G169 G152">
      <formula1>".45,.50,.55,.60"</formula1>
    </dataValidation>
  </dataValidations>
  <hyperlinks>
    <hyperlink ref="C35" r:id="rId1"/>
  </hyperlinks>
  <printOptions horizontalCentered="1"/>
  <pageMargins left="0.43307086614173229" right="0.43307086614173229" top="0.78740157480314965" bottom="0.78740157480314965" header="0.19685039370078741" footer="0.19685039370078741"/>
  <pageSetup paperSize="9" scale="92" fitToHeight="0" orientation="portrait" r:id="rId2"/>
  <headerFooter>
    <oddHeader>&amp;C&amp;G</oddHeader>
    <oddFooter>&amp;L&amp;"Times New Roman,Bold"Ref No: &amp;F&amp;C&amp;G&amp;R&amp;P</oddFooter>
  </headerFooter>
  <rowBreaks count="6" manualBreakCount="6">
    <brk id="44" max="9" man="1"/>
    <brk id="100" max="9" man="1"/>
    <brk id="426" max="16383" man="1"/>
    <brk id="439" max="9" man="1"/>
    <brk id="483" max="9" man="1"/>
    <brk id="527" max="9" man="1"/>
  </rowBreaks>
  <colBreaks count="1" manualBreakCount="1">
    <brk id="2" max="569" man="1"/>
  </col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9" sqref="C9"/>
    </sheetView>
  </sheetViews>
  <sheetFormatPr defaultColWidth="9.140625" defaultRowHeight="15" x14ac:dyDescent="0.25"/>
  <cols>
    <col min="1" max="1" width="20.5703125" style="7" customWidth="1"/>
    <col min="2" max="2" width="11.7109375" style="7" customWidth="1"/>
    <col min="3" max="4" width="9.140625" style="7"/>
    <col min="5" max="5" width="10.140625" style="7" customWidth="1"/>
    <col min="6" max="6" width="10.7109375" style="7" customWidth="1"/>
    <col min="7" max="7" width="9.140625" style="7"/>
    <col min="8" max="8" width="10.42578125" style="7" customWidth="1"/>
    <col min="9" max="9" width="15.42578125" style="7" customWidth="1"/>
    <col min="10" max="16384" width="9.140625" style="7"/>
  </cols>
  <sheetData>
    <row r="2" spans="1:13" x14ac:dyDescent="0.25">
      <c r="A2" s="6" t="s">
        <v>87</v>
      </c>
      <c r="B2" s="6" t="s">
        <v>88</v>
      </c>
      <c r="C2" s="6" t="s">
        <v>89</v>
      </c>
      <c r="D2" s="258" t="s">
        <v>90</v>
      </c>
      <c r="E2" s="258"/>
    </row>
    <row r="3" spans="1:13" x14ac:dyDescent="0.25">
      <c r="A3" s="8">
        <v>1</v>
      </c>
      <c r="B3" s="8">
        <v>1</v>
      </c>
      <c r="C3" s="8">
        <v>0</v>
      </c>
      <c r="D3" s="259">
        <v>22</v>
      </c>
      <c r="E3" s="259"/>
    </row>
    <row r="5" spans="1:13" x14ac:dyDescent="0.25">
      <c r="A5" s="7" t="s">
        <v>74</v>
      </c>
      <c r="B5" s="9" t="s">
        <v>91</v>
      </c>
      <c r="C5" s="9">
        <f>D3</f>
        <v>22</v>
      </c>
      <c r="D5" s="10"/>
    </row>
    <row r="6" spans="1:13" x14ac:dyDescent="0.25">
      <c r="A6" s="7" t="s">
        <v>75</v>
      </c>
      <c r="B6" s="11">
        <v>10</v>
      </c>
      <c r="C6" s="12">
        <v>10</v>
      </c>
      <c r="D6" s="13">
        <f>((100/B6)*C6)/100</f>
        <v>1</v>
      </c>
    </row>
    <row r="7" spans="1:13" x14ac:dyDescent="0.25">
      <c r="A7" s="7" t="s">
        <v>76</v>
      </c>
      <c r="B7" s="11">
        <f>A3+B3+C3+D3</f>
        <v>24</v>
      </c>
      <c r="C7" s="12">
        <f>A3+B3+D3</f>
        <v>24</v>
      </c>
      <c r="D7" s="13">
        <f t="shared" ref="D7:D12" si="0">((100/B7)*C7)/100</f>
        <v>1</v>
      </c>
      <c r="F7" s="260" t="s">
        <v>92</v>
      </c>
      <c r="G7" s="260"/>
      <c r="H7" s="14" t="s">
        <v>93</v>
      </c>
      <c r="J7" s="15"/>
    </row>
    <row r="8" spans="1:13" x14ac:dyDescent="0.25">
      <c r="A8" s="7" t="s">
        <v>81</v>
      </c>
      <c r="B8" s="11">
        <f>C5</f>
        <v>22</v>
      </c>
      <c r="C8" s="12">
        <v>22</v>
      </c>
      <c r="D8" s="13">
        <f t="shared" si="0"/>
        <v>1.0000000000000002</v>
      </c>
      <c r="F8" s="261" t="s">
        <v>94</v>
      </c>
      <c r="G8" s="261"/>
      <c r="H8" s="11" t="s">
        <v>95</v>
      </c>
    </row>
    <row r="9" spans="1:13" x14ac:dyDescent="0.25">
      <c r="A9" s="7" t="s">
        <v>83</v>
      </c>
      <c r="B9" s="11">
        <f>C5</f>
        <v>22</v>
      </c>
      <c r="C9" s="12">
        <f>15/2</f>
        <v>7.5</v>
      </c>
      <c r="D9" s="13">
        <f t="shared" si="0"/>
        <v>0.34090909090909094</v>
      </c>
      <c r="F9" s="261" t="s">
        <v>96</v>
      </c>
      <c r="G9" s="261"/>
      <c r="H9" s="11" t="s">
        <v>97</v>
      </c>
    </row>
    <row r="10" spans="1:13" x14ac:dyDescent="0.25">
      <c r="A10" s="7" t="s">
        <v>35</v>
      </c>
      <c r="B10" s="11">
        <f>C5</f>
        <v>22</v>
      </c>
      <c r="C10" s="12">
        <v>0</v>
      </c>
      <c r="D10" s="13">
        <f t="shared" si="0"/>
        <v>0</v>
      </c>
      <c r="F10" s="261" t="s">
        <v>98</v>
      </c>
      <c r="G10" s="261"/>
      <c r="H10" s="11" t="s">
        <v>99</v>
      </c>
    </row>
    <row r="11" spans="1:13" x14ac:dyDescent="0.25">
      <c r="A11" s="16" t="s">
        <v>79</v>
      </c>
      <c r="B11" s="11">
        <f>C5</f>
        <v>22</v>
      </c>
      <c r="C11" s="12">
        <v>0</v>
      </c>
      <c r="D11" s="13">
        <f t="shared" si="0"/>
        <v>0</v>
      </c>
      <c r="F11" s="261" t="s">
        <v>100</v>
      </c>
      <c r="G11" s="261"/>
      <c r="H11" s="11" t="s">
        <v>101</v>
      </c>
    </row>
    <row r="12" spans="1:13" x14ac:dyDescent="0.25">
      <c r="A12" s="7" t="s">
        <v>36</v>
      </c>
      <c r="B12" s="11">
        <f>C5</f>
        <v>22</v>
      </c>
      <c r="C12" s="12">
        <v>0</v>
      </c>
      <c r="D12" s="13">
        <f t="shared" si="0"/>
        <v>0</v>
      </c>
      <c r="F12" s="261" t="s">
        <v>102</v>
      </c>
      <c r="G12" s="261"/>
      <c r="H12" s="11" t="s">
        <v>103</v>
      </c>
    </row>
    <row r="13" spans="1:13" ht="31.5" customHeight="1" x14ac:dyDescent="0.25">
      <c r="F13" s="261" t="s">
        <v>104</v>
      </c>
      <c r="G13" s="261"/>
      <c r="H13" s="11" t="s">
        <v>105</v>
      </c>
    </row>
    <row r="14" spans="1:13" hidden="1" x14ac:dyDescent="0.25">
      <c r="A14" s="6"/>
      <c r="B14" s="6" t="s">
        <v>80</v>
      </c>
      <c r="C14" s="6" t="s">
        <v>84</v>
      </c>
      <c r="G14" s="6" t="s">
        <v>75</v>
      </c>
      <c r="H14" s="6" t="s">
        <v>77</v>
      </c>
      <c r="I14" s="6" t="s">
        <v>78</v>
      </c>
      <c r="J14" s="6" t="s">
        <v>32</v>
      </c>
      <c r="K14" s="6" t="s">
        <v>35</v>
      </c>
      <c r="L14" s="6" t="s">
        <v>79</v>
      </c>
      <c r="M14" s="6" t="s">
        <v>36</v>
      </c>
    </row>
    <row r="15" spans="1:13" hidden="1" x14ac:dyDescent="0.25">
      <c r="A15" s="6" t="s">
        <v>30</v>
      </c>
      <c r="B15" s="6">
        <f>G15</f>
        <v>10</v>
      </c>
      <c r="C15" s="6">
        <f>G16</f>
        <v>30</v>
      </c>
      <c r="E15" s="258" t="s">
        <v>80</v>
      </c>
      <c r="F15" s="258"/>
      <c r="G15" s="17">
        <f>C6</f>
        <v>10</v>
      </c>
      <c r="H15" s="17">
        <f>40/B7*C7</f>
        <v>40</v>
      </c>
      <c r="I15" s="17">
        <f>15/B8*C8</f>
        <v>14.999999999999998</v>
      </c>
      <c r="J15" s="17">
        <f>10/B9*C9</f>
        <v>3.4090909090909092</v>
      </c>
      <c r="K15" s="17">
        <f>10/B10*C10</f>
        <v>0</v>
      </c>
      <c r="L15" s="17">
        <f>5/B11*C11</f>
        <v>0</v>
      </c>
      <c r="M15" s="17">
        <f>5/B12*C12</f>
        <v>0</v>
      </c>
    </row>
    <row r="16" spans="1:13" hidden="1" x14ac:dyDescent="0.25">
      <c r="A16" s="6" t="s">
        <v>31</v>
      </c>
      <c r="B16" s="6">
        <f>H15</f>
        <v>40</v>
      </c>
      <c r="C16" s="6">
        <f>H16</f>
        <v>30</v>
      </c>
      <c r="E16" s="258" t="s">
        <v>82</v>
      </c>
      <c r="F16" s="258"/>
      <c r="G16" s="6">
        <f>G15+20</f>
        <v>30</v>
      </c>
      <c r="H16" s="6">
        <f>30/B7*C7</f>
        <v>30</v>
      </c>
      <c r="I16" s="6">
        <f>15/B8*C8</f>
        <v>14.999999999999998</v>
      </c>
      <c r="J16" s="6">
        <f>10/B9*C9</f>
        <v>3.4090909090909092</v>
      </c>
      <c r="K16" s="6">
        <f>5/B10*C10</f>
        <v>0</v>
      </c>
      <c r="L16" s="6">
        <f>5/B11*C11</f>
        <v>0</v>
      </c>
      <c r="M16" s="6">
        <f>5/B12*C12</f>
        <v>0</v>
      </c>
    </row>
    <row r="17" spans="1:8" hidden="1" x14ac:dyDescent="0.25">
      <c r="A17" s="6" t="s">
        <v>78</v>
      </c>
      <c r="B17" s="6">
        <f>I15</f>
        <v>14.999999999999998</v>
      </c>
      <c r="C17" s="6">
        <f>I16</f>
        <v>14.999999999999998</v>
      </c>
    </row>
    <row r="18" spans="1:8" ht="29.25" hidden="1" customHeight="1" x14ac:dyDescent="0.25">
      <c r="A18" s="6" t="s">
        <v>32</v>
      </c>
      <c r="B18" s="6">
        <f>J15</f>
        <v>3.4090909090909092</v>
      </c>
      <c r="C18" s="6">
        <f>J16</f>
        <v>3.4090909090909092</v>
      </c>
    </row>
    <row r="19" spans="1:8" hidden="1" x14ac:dyDescent="0.25">
      <c r="A19" s="6" t="s">
        <v>35</v>
      </c>
      <c r="B19" s="6">
        <f>K15</f>
        <v>0</v>
      </c>
      <c r="C19" s="6">
        <f>K16</f>
        <v>0</v>
      </c>
    </row>
    <row r="20" spans="1:8" hidden="1" x14ac:dyDescent="0.25">
      <c r="A20" s="18" t="s">
        <v>79</v>
      </c>
      <c r="B20" s="6">
        <f>L15</f>
        <v>0</v>
      </c>
      <c r="C20" s="6">
        <f>L16</f>
        <v>0</v>
      </c>
    </row>
    <row r="21" spans="1:8" hidden="1" x14ac:dyDescent="0.25">
      <c r="A21" s="6" t="s">
        <v>36</v>
      </c>
      <c r="B21" s="6">
        <f>M15</f>
        <v>0</v>
      </c>
      <c r="C21" s="6">
        <f>M16</f>
        <v>0</v>
      </c>
    </row>
    <row r="22" spans="1:8" x14ac:dyDescent="0.25">
      <c r="A22" s="6" t="s">
        <v>85</v>
      </c>
      <c r="B22" s="19">
        <f>(B15+B16+B17+B18+B19+B20+B21)/100</f>
        <v>0.68409090909090908</v>
      </c>
      <c r="C22" s="19">
        <f>(C15+C16+C17+C18+C19+C20+C21)/100</f>
        <v>0.78409090909090906</v>
      </c>
      <c r="F22" s="261" t="s">
        <v>106</v>
      </c>
      <c r="G22" s="261"/>
      <c r="H22" s="11" t="s">
        <v>97</v>
      </c>
    </row>
    <row r="23" spans="1:8" x14ac:dyDescent="0.25">
      <c r="F23" s="261" t="s">
        <v>107</v>
      </c>
      <c r="G23" s="261"/>
      <c r="H23" s="11" t="s">
        <v>108</v>
      </c>
    </row>
    <row r="24" spans="1:8" x14ac:dyDescent="0.25">
      <c r="A24" s="7" t="s">
        <v>109</v>
      </c>
      <c r="B24" s="20">
        <v>0.01</v>
      </c>
      <c r="C24" s="20">
        <v>0.02</v>
      </c>
      <c r="F24" s="261" t="s">
        <v>110</v>
      </c>
      <c r="G24" s="261"/>
      <c r="H24" s="11" t="s">
        <v>111</v>
      </c>
    </row>
    <row r="25" spans="1:8" x14ac:dyDescent="0.25">
      <c r="A25" s="7" t="s">
        <v>112</v>
      </c>
      <c r="B25" s="20">
        <v>0.01</v>
      </c>
      <c r="C25" s="20">
        <v>0.03</v>
      </c>
    </row>
    <row r="26" spans="1:8" x14ac:dyDescent="0.25">
      <c r="A26" s="7" t="s">
        <v>113</v>
      </c>
      <c r="B26" s="20">
        <v>0.03</v>
      </c>
      <c r="C26" s="20">
        <v>0.08</v>
      </c>
    </row>
    <row r="27" spans="1:8" x14ac:dyDescent="0.25">
      <c r="A27" s="7" t="s">
        <v>114</v>
      </c>
      <c r="B27" s="20">
        <v>0.05</v>
      </c>
      <c r="C27" s="20">
        <v>0.15</v>
      </c>
    </row>
    <row r="28" spans="1:8" x14ac:dyDescent="0.25">
      <c r="A28" s="7" t="s">
        <v>115</v>
      </c>
      <c r="B28" s="20">
        <v>7.0000000000000007E-2</v>
      </c>
      <c r="C28" s="20">
        <v>0.2</v>
      </c>
    </row>
    <row r="29" spans="1:8" x14ac:dyDescent="0.25">
      <c r="A29" s="7" t="s">
        <v>116</v>
      </c>
      <c r="B29" s="20">
        <v>0.1</v>
      </c>
      <c r="C29" s="20">
        <v>0.3</v>
      </c>
    </row>
  </sheetData>
  <mergeCells count="14">
    <mergeCell ref="F10:G10"/>
    <mergeCell ref="F23:G23"/>
    <mergeCell ref="F24:G24"/>
    <mergeCell ref="F11:G11"/>
    <mergeCell ref="F12:G12"/>
    <mergeCell ref="F13:G13"/>
    <mergeCell ref="E15:F15"/>
    <mergeCell ref="E16:F16"/>
    <mergeCell ref="F22:G22"/>
    <mergeCell ref="D2:E2"/>
    <mergeCell ref="D3:E3"/>
    <mergeCell ref="F7:G7"/>
    <mergeCell ref="F8:G8"/>
    <mergeCell ref="F9:G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0" sqref="C10"/>
    </sheetView>
  </sheetViews>
  <sheetFormatPr defaultColWidth="9.140625" defaultRowHeight="15" x14ac:dyDescent="0.25"/>
  <cols>
    <col min="1" max="1" width="20.5703125" style="7" customWidth="1"/>
    <col min="2" max="2" width="11.7109375" style="7" customWidth="1"/>
    <col min="3" max="4" width="9.140625" style="7"/>
    <col min="5" max="5" width="10.140625" style="7" customWidth="1"/>
    <col min="6" max="6" width="10.7109375" style="7" customWidth="1"/>
    <col min="7" max="7" width="9.140625" style="7"/>
    <col min="8" max="8" width="10.42578125" style="7" customWidth="1"/>
    <col min="9" max="9" width="15.42578125" style="7" customWidth="1"/>
    <col min="10" max="16384" width="9.140625" style="7"/>
  </cols>
  <sheetData>
    <row r="2" spans="1:13" x14ac:dyDescent="0.25">
      <c r="A2" s="6" t="s">
        <v>87</v>
      </c>
      <c r="B2" s="6" t="s">
        <v>88</v>
      </c>
      <c r="C2" s="6" t="s">
        <v>89</v>
      </c>
      <c r="D2" s="258" t="s">
        <v>90</v>
      </c>
      <c r="E2" s="258"/>
    </row>
    <row r="3" spans="1:13" x14ac:dyDescent="0.25">
      <c r="A3" s="8">
        <v>1</v>
      </c>
      <c r="B3" s="8">
        <v>1</v>
      </c>
      <c r="C3" s="8">
        <v>0</v>
      </c>
      <c r="D3" s="259">
        <v>22</v>
      </c>
      <c r="E3" s="259"/>
    </row>
    <row r="5" spans="1:13" x14ac:dyDescent="0.25">
      <c r="A5" s="7" t="s">
        <v>74</v>
      </c>
      <c r="B5" s="9" t="s">
        <v>91</v>
      </c>
      <c r="C5" s="9">
        <f>D3</f>
        <v>22</v>
      </c>
      <c r="D5" s="10"/>
    </row>
    <row r="6" spans="1:13" x14ac:dyDescent="0.25">
      <c r="A6" s="7" t="s">
        <v>75</v>
      </c>
      <c r="B6" s="11">
        <v>10</v>
      </c>
      <c r="C6" s="12">
        <v>10</v>
      </c>
      <c r="D6" s="13">
        <f>((100/B6)*C6)/100</f>
        <v>1</v>
      </c>
    </row>
    <row r="7" spans="1:13" x14ac:dyDescent="0.25">
      <c r="A7" s="7" t="s">
        <v>76</v>
      </c>
      <c r="B7" s="11">
        <f>A3+B3+C3+D3</f>
        <v>24</v>
      </c>
      <c r="C7" s="12">
        <v>1</v>
      </c>
      <c r="D7" s="13">
        <f t="shared" ref="D7:D12" si="0">((100/B7)*C7)/100</f>
        <v>4.1666666666666671E-2</v>
      </c>
      <c r="F7" s="260" t="s">
        <v>92</v>
      </c>
      <c r="G7" s="260"/>
      <c r="H7" s="14" t="s">
        <v>93</v>
      </c>
      <c r="J7" s="15"/>
    </row>
    <row r="8" spans="1:13" x14ac:dyDescent="0.25">
      <c r="A8" s="7" t="s">
        <v>81</v>
      </c>
      <c r="B8" s="11">
        <f>C5</f>
        <v>22</v>
      </c>
      <c r="C8" s="12">
        <v>0</v>
      </c>
      <c r="D8" s="13">
        <f t="shared" si="0"/>
        <v>0</v>
      </c>
      <c r="F8" s="261" t="s">
        <v>94</v>
      </c>
      <c r="G8" s="261"/>
      <c r="H8" s="11" t="s">
        <v>95</v>
      </c>
    </row>
    <row r="9" spans="1:13" x14ac:dyDescent="0.25">
      <c r="A9" s="7" t="s">
        <v>83</v>
      </c>
      <c r="B9" s="11">
        <f>C5</f>
        <v>22</v>
      </c>
      <c r="C9" s="12">
        <v>0</v>
      </c>
      <c r="D9" s="13">
        <f t="shared" si="0"/>
        <v>0</v>
      </c>
      <c r="F9" s="261" t="s">
        <v>96</v>
      </c>
      <c r="G9" s="261"/>
      <c r="H9" s="11" t="s">
        <v>97</v>
      </c>
    </row>
    <row r="10" spans="1:13" x14ac:dyDescent="0.25">
      <c r="A10" s="7" t="s">
        <v>35</v>
      </c>
      <c r="B10" s="11">
        <f>C5</f>
        <v>22</v>
      </c>
      <c r="C10" s="12">
        <v>0</v>
      </c>
      <c r="D10" s="13">
        <f t="shared" si="0"/>
        <v>0</v>
      </c>
      <c r="F10" s="261" t="s">
        <v>98</v>
      </c>
      <c r="G10" s="261"/>
      <c r="H10" s="11" t="s">
        <v>99</v>
      </c>
    </row>
    <row r="11" spans="1:13" x14ac:dyDescent="0.25">
      <c r="A11" s="16" t="s">
        <v>79</v>
      </c>
      <c r="B11" s="11">
        <f>C5</f>
        <v>22</v>
      </c>
      <c r="C11" s="12">
        <v>0</v>
      </c>
      <c r="D11" s="13">
        <f t="shared" si="0"/>
        <v>0</v>
      </c>
      <c r="F11" s="261" t="s">
        <v>100</v>
      </c>
      <c r="G11" s="261"/>
      <c r="H11" s="11" t="s">
        <v>101</v>
      </c>
    </row>
    <row r="12" spans="1:13" x14ac:dyDescent="0.25">
      <c r="A12" s="7" t="s">
        <v>36</v>
      </c>
      <c r="B12" s="11">
        <f>C5</f>
        <v>22</v>
      </c>
      <c r="C12" s="12">
        <v>0</v>
      </c>
      <c r="D12" s="13">
        <f t="shared" si="0"/>
        <v>0</v>
      </c>
      <c r="F12" s="261" t="s">
        <v>102</v>
      </c>
      <c r="G12" s="261"/>
      <c r="H12" s="11" t="s">
        <v>103</v>
      </c>
    </row>
    <row r="13" spans="1:13" ht="31.5" customHeight="1" x14ac:dyDescent="0.25">
      <c r="F13" s="261" t="s">
        <v>104</v>
      </c>
      <c r="G13" s="261"/>
      <c r="H13" s="11" t="s">
        <v>105</v>
      </c>
    </row>
    <row r="14" spans="1:13" hidden="1" x14ac:dyDescent="0.25">
      <c r="A14" s="6"/>
      <c r="B14" s="6" t="s">
        <v>80</v>
      </c>
      <c r="C14" s="6" t="s">
        <v>84</v>
      </c>
      <c r="G14" s="6" t="s">
        <v>75</v>
      </c>
      <c r="H14" s="6" t="s">
        <v>77</v>
      </c>
      <c r="I14" s="6" t="s">
        <v>78</v>
      </c>
      <c r="J14" s="6" t="s">
        <v>32</v>
      </c>
      <c r="K14" s="6" t="s">
        <v>35</v>
      </c>
      <c r="L14" s="6" t="s">
        <v>79</v>
      </c>
      <c r="M14" s="6" t="s">
        <v>36</v>
      </c>
    </row>
    <row r="15" spans="1:13" hidden="1" x14ac:dyDescent="0.25">
      <c r="A15" s="6" t="s">
        <v>30</v>
      </c>
      <c r="B15" s="6">
        <f>G15</f>
        <v>10</v>
      </c>
      <c r="C15" s="6">
        <f>G16</f>
        <v>30</v>
      </c>
      <c r="E15" s="258" t="s">
        <v>80</v>
      </c>
      <c r="F15" s="258"/>
      <c r="G15" s="17">
        <f>C6</f>
        <v>10</v>
      </c>
      <c r="H15" s="17">
        <f>40/B7*C7</f>
        <v>1.6666666666666667</v>
      </c>
      <c r="I15" s="17">
        <f>15/B8*C8</f>
        <v>0</v>
      </c>
      <c r="J15" s="17">
        <f>10/B9*C9</f>
        <v>0</v>
      </c>
      <c r="K15" s="17">
        <f>10/B10*C10</f>
        <v>0</v>
      </c>
      <c r="L15" s="17">
        <f>5/B11*C11</f>
        <v>0</v>
      </c>
      <c r="M15" s="17">
        <f>5/B12*C12</f>
        <v>0</v>
      </c>
    </row>
    <row r="16" spans="1:13" hidden="1" x14ac:dyDescent="0.25">
      <c r="A16" s="6" t="s">
        <v>31</v>
      </c>
      <c r="B16" s="6">
        <f>H15</f>
        <v>1.6666666666666667</v>
      </c>
      <c r="C16" s="6">
        <f>H16</f>
        <v>1.25</v>
      </c>
      <c r="E16" s="258" t="s">
        <v>82</v>
      </c>
      <c r="F16" s="258"/>
      <c r="G16" s="6">
        <f>G15+20</f>
        <v>30</v>
      </c>
      <c r="H16" s="6">
        <f>30/B7*C7</f>
        <v>1.25</v>
      </c>
      <c r="I16" s="6">
        <f>15/B8*C8</f>
        <v>0</v>
      </c>
      <c r="J16" s="6">
        <f>10/B9*C9</f>
        <v>0</v>
      </c>
      <c r="K16" s="6">
        <f>5/B10*C10</f>
        <v>0</v>
      </c>
      <c r="L16" s="6">
        <f>5/B11*C11</f>
        <v>0</v>
      </c>
      <c r="M16" s="6">
        <f>5/B12*C12</f>
        <v>0</v>
      </c>
    </row>
    <row r="17" spans="1:8" hidden="1" x14ac:dyDescent="0.25">
      <c r="A17" s="6" t="s">
        <v>78</v>
      </c>
      <c r="B17" s="6">
        <f>I15</f>
        <v>0</v>
      </c>
      <c r="C17" s="6">
        <f>I16</f>
        <v>0</v>
      </c>
    </row>
    <row r="18" spans="1:8" ht="29.25" hidden="1" customHeight="1" x14ac:dyDescent="0.25">
      <c r="A18" s="6" t="s">
        <v>32</v>
      </c>
      <c r="B18" s="6">
        <f>J15</f>
        <v>0</v>
      </c>
      <c r="C18" s="6">
        <f>J16</f>
        <v>0</v>
      </c>
    </row>
    <row r="19" spans="1:8" hidden="1" x14ac:dyDescent="0.25">
      <c r="A19" s="6" t="s">
        <v>35</v>
      </c>
      <c r="B19" s="6">
        <f>K15</f>
        <v>0</v>
      </c>
      <c r="C19" s="6">
        <f>K16</f>
        <v>0</v>
      </c>
    </row>
    <row r="20" spans="1:8" hidden="1" x14ac:dyDescent="0.25">
      <c r="A20" s="18" t="s">
        <v>79</v>
      </c>
      <c r="B20" s="6">
        <f>L15</f>
        <v>0</v>
      </c>
      <c r="C20" s="6">
        <f>L16</f>
        <v>0</v>
      </c>
    </row>
    <row r="21" spans="1:8" hidden="1" x14ac:dyDescent="0.25">
      <c r="A21" s="6" t="s">
        <v>36</v>
      </c>
      <c r="B21" s="6">
        <f>M15</f>
        <v>0</v>
      </c>
      <c r="C21" s="6">
        <f>M16</f>
        <v>0</v>
      </c>
    </row>
    <row r="22" spans="1:8" x14ac:dyDescent="0.25">
      <c r="A22" s="6" t="s">
        <v>85</v>
      </c>
      <c r="B22" s="19">
        <f>(B15+B16+B17+B18+B19+B20+B21)/100</f>
        <v>0.11666666666666665</v>
      </c>
      <c r="C22" s="19">
        <f>(C15+C16+C17+C18+C19+C20+C21)/100</f>
        <v>0.3125</v>
      </c>
      <c r="F22" s="261" t="s">
        <v>106</v>
      </c>
      <c r="G22" s="261"/>
      <c r="H22" s="11" t="s">
        <v>97</v>
      </c>
    </row>
    <row r="23" spans="1:8" x14ac:dyDescent="0.25">
      <c r="F23" s="261" t="s">
        <v>107</v>
      </c>
      <c r="G23" s="261"/>
      <c r="H23" s="11" t="s">
        <v>108</v>
      </c>
    </row>
    <row r="24" spans="1:8" x14ac:dyDescent="0.25">
      <c r="A24" s="7" t="s">
        <v>109</v>
      </c>
      <c r="B24" s="20">
        <v>0.01</v>
      </c>
      <c r="C24" s="20">
        <v>0.02</v>
      </c>
      <c r="F24" s="261" t="s">
        <v>110</v>
      </c>
      <c r="G24" s="261"/>
      <c r="H24" s="11" t="s">
        <v>111</v>
      </c>
    </row>
    <row r="25" spans="1:8" x14ac:dyDescent="0.25">
      <c r="A25" s="7" t="s">
        <v>112</v>
      </c>
      <c r="B25" s="20">
        <v>0.01</v>
      </c>
      <c r="C25" s="20">
        <v>0.03</v>
      </c>
    </row>
    <row r="26" spans="1:8" x14ac:dyDescent="0.25">
      <c r="A26" s="7" t="s">
        <v>113</v>
      </c>
      <c r="B26" s="20">
        <v>0.03</v>
      </c>
      <c r="C26" s="20">
        <v>0.08</v>
      </c>
    </row>
    <row r="27" spans="1:8" x14ac:dyDescent="0.25">
      <c r="A27" s="7" t="s">
        <v>114</v>
      </c>
      <c r="B27" s="20">
        <v>0.05</v>
      </c>
      <c r="C27" s="20">
        <v>0.15</v>
      </c>
    </row>
    <row r="28" spans="1:8" x14ac:dyDescent="0.25">
      <c r="A28" s="7" t="s">
        <v>115</v>
      </c>
      <c r="B28" s="20">
        <v>7.0000000000000007E-2</v>
      </c>
      <c r="C28" s="20">
        <v>0.2</v>
      </c>
    </row>
    <row r="29" spans="1:8" x14ac:dyDescent="0.25">
      <c r="A29" s="7" t="s">
        <v>116</v>
      </c>
      <c r="B29" s="20">
        <v>0.1</v>
      </c>
      <c r="C29" s="20">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0" sqref="C10"/>
    </sheetView>
  </sheetViews>
  <sheetFormatPr defaultColWidth="9.140625" defaultRowHeight="15" x14ac:dyDescent="0.25"/>
  <cols>
    <col min="1" max="1" width="20.5703125" style="7" customWidth="1"/>
    <col min="2" max="2" width="11.7109375" style="7" customWidth="1"/>
    <col min="3" max="4" width="9.140625" style="7"/>
    <col min="5" max="5" width="10.140625" style="7" customWidth="1"/>
    <col min="6" max="6" width="10.7109375" style="7" customWidth="1"/>
    <col min="7" max="7" width="9.140625" style="7"/>
    <col min="8" max="8" width="10.42578125" style="7" customWidth="1"/>
    <col min="9" max="9" width="15.42578125" style="7" customWidth="1"/>
    <col min="10" max="16384" width="9.140625" style="7"/>
  </cols>
  <sheetData>
    <row r="2" spans="1:13" x14ac:dyDescent="0.25">
      <c r="A2" s="6" t="s">
        <v>87</v>
      </c>
      <c r="B2" s="6" t="s">
        <v>88</v>
      </c>
      <c r="C2" s="6" t="s">
        <v>89</v>
      </c>
      <c r="D2" s="258" t="s">
        <v>90</v>
      </c>
      <c r="E2" s="258"/>
    </row>
    <row r="3" spans="1:13" x14ac:dyDescent="0.25">
      <c r="A3" s="8">
        <v>1</v>
      </c>
      <c r="B3" s="8">
        <v>1</v>
      </c>
      <c r="C3" s="8">
        <v>0</v>
      </c>
      <c r="D3" s="259">
        <v>22</v>
      </c>
      <c r="E3" s="259"/>
    </row>
    <row r="5" spans="1:13" x14ac:dyDescent="0.25">
      <c r="A5" s="7" t="s">
        <v>74</v>
      </c>
      <c r="B5" s="9" t="s">
        <v>91</v>
      </c>
      <c r="C5" s="9">
        <f>D3</f>
        <v>22</v>
      </c>
      <c r="D5" s="10"/>
    </row>
    <row r="6" spans="1:13" x14ac:dyDescent="0.25">
      <c r="A6" s="7" t="s">
        <v>75</v>
      </c>
      <c r="B6" s="11">
        <v>10</v>
      </c>
      <c r="C6" s="12">
        <v>10</v>
      </c>
      <c r="D6" s="13">
        <f>((100/B6)*C6)/100</f>
        <v>1</v>
      </c>
    </row>
    <row r="7" spans="1:13" x14ac:dyDescent="0.25">
      <c r="A7" s="7" t="s">
        <v>76</v>
      </c>
      <c r="B7" s="11">
        <f>A3+B3+C3+D3</f>
        <v>24</v>
      </c>
      <c r="C7" s="12">
        <f>A3+B3+D3</f>
        <v>24</v>
      </c>
      <c r="D7" s="13">
        <f t="shared" ref="D7:D12" si="0">((100/B7)*C7)/100</f>
        <v>1</v>
      </c>
      <c r="F7" s="260" t="s">
        <v>92</v>
      </c>
      <c r="G7" s="260"/>
      <c r="H7" s="14" t="s">
        <v>93</v>
      </c>
      <c r="J7" s="15"/>
    </row>
    <row r="8" spans="1:13" x14ac:dyDescent="0.25">
      <c r="A8" s="7" t="s">
        <v>81</v>
      </c>
      <c r="B8" s="11">
        <f>C5</f>
        <v>22</v>
      </c>
      <c r="C8" s="12">
        <v>22</v>
      </c>
      <c r="D8" s="13">
        <f t="shared" si="0"/>
        <v>1.0000000000000002</v>
      </c>
      <c r="F8" s="261" t="s">
        <v>94</v>
      </c>
      <c r="G8" s="261"/>
      <c r="H8" s="11" t="s">
        <v>95</v>
      </c>
    </row>
    <row r="9" spans="1:13" x14ac:dyDescent="0.25">
      <c r="A9" s="7" t="s">
        <v>83</v>
      </c>
      <c r="B9" s="11">
        <f>C5</f>
        <v>22</v>
      </c>
      <c r="C9" s="12">
        <v>22</v>
      </c>
      <c r="D9" s="13">
        <f t="shared" si="0"/>
        <v>1.0000000000000002</v>
      </c>
      <c r="F9" s="261" t="s">
        <v>96</v>
      </c>
      <c r="G9" s="261"/>
      <c r="H9" s="11" t="s">
        <v>97</v>
      </c>
    </row>
    <row r="10" spans="1:13" x14ac:dyDescent="0.25">
      <c r="A10" s="7" t="s">
        <v>35</v>
      </c>
      <c r="B10" s="11">
        <f>C5</f>
        <v>22</v>
      </c>
      <c r="C10" s="12">
        <v>6</v>
      </c>
      <c r="D10" s="13">
        <f t="shared" si="0"/>
        <v>0.27272727272727271</v>
      </c>
      <c r="F10" s="261" t="s">
        <v>98</v>
      </c>
      <c r="G10" s="261"/>
      <c r="H10" s="11" t="s">
        <v>99</v>
      </c>
    </row>
    <row r="11" spans="1:13" x14ac:dyDescent="0.25">
      <c r="A11" s="16" t="s">
        <v>79</v>
      </c>
      <c r="B11" s="11">
        <f>C5</f>
        <v>22</v>
      </c>
      <c r="C11" s="12">
        <v>0</v>
      </c>
      <c r="D11" s="13">
        <f t="shared" si="0"/>
        <v>0</v>
      </c>
      <c r="F11" s="261" t="s">
        <v>100</v>
      </c>
      <c r="G11" s="261"/>
      <c r="H11" s="11" t="s">
        <v>101</v>
      </c>
    </row>
    <row r="12" spans="1:13" x14ac:dyDescent="0.25">
      <c r="A12" s="7" t="s">
        <v>36</v>
      </c>
      <c r="B12" s="11">
        <f>C5</f>
        <v>22</v>
      </c>
      <c r="C12" s="12">
        <v>0</v>
      </c>
      <c r="D12" s="13">
        <f t="shared" si="0"/>
        <v>0</v>
      </c>
      <c r="F12" s="261" t="s">
        <v>102</v>
      </c>
      <c r="G12" s="261"/>
      <c r="H12" s="11" t="s">
        <v>103</v>
      </c>
    </row>
    <row r="13" spans="1:13" ht="31.5" customHeight="1" x14ac:dyDescent="0.25">
      <c r="F13" s="261" t="s">
        <v>104</v>
      </c>
      <c r="G13" s="261"/>
      <c r="H13" s="11" t="s">
        <v>105</v>
      </c>
    </row>
    <row r="14" spans="1:13" hidden="1" x14ac:dyDescent="0.25">
      <c r="A14" s="6"/>
      <c r="B14" s="6" t="s">
        <v>80</v>
      </c>
      <c r="C14" s="6" t="s">
        <v>84</v>
      </c>
      <c r="G14" s="6" t="s">
        <v>75</v>
      </c>
      <c r="H14" s="6" t="s">
        <v>77</v>
      </c>
      <c r="I14" s="6" t="s">
        <v>78</v>
      </c>
      <c r="J14" s="6" t="s">
        <v>32</v>
      </c>
      <c r="K14" s="6" t="s">
        <v>35</v>
      </c>
      <c r="L14" s="6" t="s">
        <v>79</v>
      </c>
      <c r="M14" s="6" t="s">
        <v>36</v>
      </c>
    </row>
    <row r="15" spans="1:13" hidden="1" x14ac:dyDescent="0.25">
      <c r="A15" s="6" t="s">
        <v>30</v>
      </c>
      <c r="B15" s="6">
        <f>G15</f>
        <v>10</v>
      </c>
      <c r="C15" s="6">
        <f>G16</f>
        <v>30</v>
      </c>
      <c r="E15" s="258" t="s">
        <v>80</v>
      </c>
      <c r="F15" s="258"/>
      <c r="G15" s="17">
        <f>C6</f>
        <v>10</v>
      </c>
      <c r="H15" s="17">
        <f>40/B7*C7</f>
        <v>40</v>
      </c>
      <c r="I15" s="17">
        <f>15/B8*C8</f>
        <v>14.999999999999998</v>
      </c>
      <c r="J15" s="17">
        <f>10/B9*C9</f>
        <v>10</v>
      </c>
      <c r="K15" s="17">
        <f>10/B10*C10</f>
        <v>2.7272727272727271</v>
      </c>
      <c r="L15" s="17">
        <f>5/B11*C11</f>
        <v>0</v>
      </c>
      <c r="M15" s="17">
        <f>5/B12*C12</f>
        <v>0</v>
      </c>
    </row>
    <row r="16" spans="1:13" hidden="1" x14ac:dyDescent="0.25">
      <c r="A16" s="6" t="s">
        <v>31</v>
      </c>
      <c r="B16" s="6">
        <f>H15</f>
        <v>40</v>
      </c>
      <c r="C16" s="6">
        <f>H16</f>
        <v>30</v>
      </c>
      <c r="E16" s="258" t="s">
        <v>82</v>
      </c>
      <c r="F16" s="258"/>
      <c r="G16" s="6">
        <f>G15+20</f>
        <v>30</v>
      </c>
      <c r="H16" s="6">
        <f>30/B7*C7</f>
        <v>30</v>
      </c>
      <c r="I16" s="6">
        <f>15/B8*C8</f>
        <v>14.999999999999998</v>
      </c>
      <c r="J16" s="6">
        <f>10/B9*C9</f>
        <v>10</v>
      </c>
      <c r="K16" s="6">
        <f>5/B10*C10</f>
        <v>1.3636363636363635</v>
      </c>
      <c r="L16" s="6">
        <f>5/B11*C11</f>
        <v>0</v>
      </c>
      <c r="M16" s="6">
        <f>5/B12*C12</f>
        <v>0</v>
      </c>
    </row>
    <row r="17" spans="1:8" hidden="1" x14ac:dyDescent="0.25">
      <c r="A17" s="6" t="s">
        <v>78</v>
      </c>
      <c r="B17" s="6">
        <f>I15</f>
        <v>14.999999999999998</v>
      </c>
      <c r="C17" s="6">
        <f>I16</f>
        <v>14.999999999999998</v>
      </c>
    </row>
    <row r="18" spans="1:8" ht="29.25" hidden="1" customHeight="1" x14ac:dyDescent="0.25">
      <c r="A18" s="6" t="s">
        <v>32</v>
      </c>
      <c r="B18" s="6">
        <f>J15</f>
        <v>10</v>
      </c>
      <c r="C18" s="6">
        <f>J16</f>
        <v>10</v>
      </c>
    </row>
    <row r="19" spans="1:8" hidden="1" x14ac:dyDescent="0.25">
      <c r="A19" s="6" t="s">
        <v>35</v>
      </c>
      <c r="B19" s="6">
        <f>K15</f>
        <v>2.7272727272727271</v>
      </c>
      <c r="C19" s="6">
        <f>K16</f>
        <v>1.3636363636363635</v>
      </c>
    </row>
    <row r="20" spans="1:8" hidden="1" x14ac:dyDescent="0.25">
      <c r="A20" s="18" t="s">
        <v>79</v>
      </c>
      <c r="B20" s="6">
        <f>L15</f>
        <v>0</v>
      </c>
      <c r="C20" s="6">
        <f>L16</f>
        <v>0</v>
      </c>
    </row>
    <row r="21" spans="1:8" hidden="1" x14ac:dyDescent="0.25">
      <c r="A21" s="6" t="s">
        <v>36</v>
      </c>
      <c r="B21" s="6">
        <f>M15</f>
        <v>0</v>
      </c>
      <c r="C21" s="6">
        <f>M16</f>
        <v>0</v>
      </c>
    </row>
    <row r="22" spans="1:8" x14ac:dyDescent="0.25">
      <c r="A22" s="6" t="s">
        <v>85</v>
      </c>
      <c r="B22" s="19">
        <f>(B15+B16+B17+B18+B19+B20+B21)/100</f>
        <v>0.77727272727272734</v>
      </c>
      <c r="C22" s="19">
        <f>(C15+C16+C17+C18+C19+C20+C21)/100</f>
        <v>0.86363636363636365</v>
      </c>
      <c r="F22" s="261" t="s">
        <v>106</v>
      </c>
      <c r="G22" s="261"/>
      <c r="H22" s="11" t="s">
        <v>97</v>
      </c>
    </row>
    <row r="23" spans="1:8" x14ac:dyDescent="0.25">
      <c r="F23" s="261" t="s">
        <v>107</v>
      </c>
      <c r="G23" s="261"/>
      <c r="H23" s="11" t="s">
        <v>108</v>
      </c>
    </row>
    <row r="24" spans="1:8" x14ac:dyDescent="0.25">
      <c r="A24" s="7" t="s">
        <v>109</v>
      </c>
      <c r="B24" s="20">
        <v>0.01</v>
      </c>
      <c r="C24" s="20">
        <v>0.02</v>
      </c>
      <c r="F24" s="261" t="s">
        <v>110</v>
      </c>
      <c r="G24" s="261"/>
      <c r="H24" s="11" t="s">
        <v>111</v>
      </c>
    </row>
    <row r="25" spans="1:8" x14ac:dyDescent="0.25">
      <c r="A25" s="7" t="s">
        <v>112</v>
      </c>
      <c r="B25" s="20">
        <v>0.01</v>
      </c>
      <c r="C25" s="20">
        <v>0.03</v>
      </c>
    </row>
    <row r="26" spans="1:8" x14ac:dyDescent="0.25">
      <c r="A26" s="7" t="s">
        <v>113</v>
      </c>
      <c r="B26" s="20">
        <v>0.03</v>
      </c>
      <c r="C26" s="20">
        <v>0.08</v>
      </c>
    </row>
    <row r="27" spans="1:8" x14ac:dyDescent="0.25">
      <c r="A27" s="7" t="s">
        <v>114</v>
      </c>
      <c r="B27" s="20">
        <v>0.05</v>
      </c>
      <c r="C27" s="20">
        <v>0.15</v>
      </c>
    </row>
    <row r="28" spans="1:8" x14ac:dyDescent="0.25">
      <c r="A28" s="7" t="s">
        <v>115</v>
      </c>
      <c r="B28" s="20">
        <v>7.0000000000000007E-2</v>
      </c>
      <c r="C28" s="20">
        <v>0.2</v>
      </c>
    </row>
    <row r="29" spans="1:8" x14ac:dyDescent="0.25">
      <c r="A29" s="7" t="s">
        <v>116</v>
      </c>
      <c r="B29" s="20">
        <v>0.1</v>
      </c>
      <c r="C29" s="20">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2" sqref="C12"/>
    </sheetView>
  </sheetViews>
  <sheetFormatPr defaultColWidth="9.140625" defaultRowHeight="15" x14ac:dyDescent="0.25"/>
  <cols>
    <col min="1" max="1" width="20.5703125" style="7" customWidth="1"/>
    <col min="2" max="2" width="11.7109375" style="7" customWidth="1"/>
    <col min="3" max="4" width="9.140625" style="7"/>
    <col min="5" max="5" width="10.140625" style="7" customWidth="1"/>
    <col min="6" max="6" width="10.7109375" style="7" customWidth="1"/>
    <col min="7" max="7" width="9.140625" style="7"/>
    <col min="8" max="8" width="10.42578125" style="7" customWidth="1"/>
    <col min="9" max="9" width="15.42578125" style="7" customWidth="1"/>
    <col min="10" max="16384" width="9.140625" style="7"/>
  </cols>
  <sheetData>
    <row r="2" spans="1:13" x14ac:dyDescent="0.25">
      <c r="A2" s="6" t="s">
        <v>87</v>
      </c>
      <c r="B2" s="6" t="s">
        <v>88</v>
      </c>
      <c r="C2" s="6" t="s">
        <v>89</v>
      </c>
      <c r="D2" s="258" t="s">
        <v>90</v>
      </c>
      <c r="E2" s="258"/>
    </row>
    <row r="3" spans="1:13" x14ac:dyDescent="0.25">
      <c r="A3" s="8">
        <v>0</v>
      </c>
      <c r="B3" s="8">
        <v>1</v>
      </c>
      <c r="C3" s="8">
        <v>0</v>
      </c>
      <c r="D3" s="259">
        <v>11</v>
      </c>
      <c r="E3" s="259"/>
    </row>
    <row r="5" spans="1:13" x14ac:dyDescent="0.25">
      <c r="A5" s="7" t="s">
        <v>74</v>
      </c>
      <c r="B5" s="9" t="s">
        <v>91</v>
      </c>
      <c r="C5" s="9">
        <f>D3</f>
        <v>11</v>
      </c>
      <c r="D5" s="10"/>
    </row>
    <row r="6" spans="1:13" x14ac:dyDescent="0.25">
      <c r="A6" s="7" t="s">
        <v>75</v>
      </c>
      <c r="B6" s="11">
        <v>10</v>
      </c>
      <c r="C6" s="12">
        <v>10</v>
      </c>
      <c r="D6" s="13">
        <f>((100/B6)*C6)/100</f>
        <v>1</v>
      </c>
    </row>
    <row r="7" spans="1:13" x14ac:dyDescent="0.25">
      <c r="A7" s="7" t="s">
        <v>76</v>
      </c>
      <c r="B7" s="11">
        <f>A3+B3+C3+D3</f>
        <v>12</v>
      </c>
      <c r="C7" s="12">
        <v>12</v>
      </c>
      <c r="D7" s="13">
        <f t="shared" ref="D7:D12" si="0">((100/B7)*C7)/100</f>
        <v>1</v>
      </c>
      <c r="F7" s="260" t="s">
        <v>92</v>
      </c>
      <c r="G7" s="260"/>
      <c r="H7" s="14" t="s">
        <v>93</v>
      </c>
      <c r="J7" s="15"/>
    </row>
    <row r="8" spans="1:13" x14ac:dyDescent="0.25">
      <c r="A8" s="7" t="s">
        <v>81</v>
      </c>
      <c r="B8" s="11">
        <f>C5</f>
        <v>11</v>
      </c>
      <c r="C8" s="12">
        <v>11</v>
      </c>
      <c r="D8" s="13">
        <f t="shared" si="0"/>
        <v>1.0000000000000002</v>
      </c>
      <c r="F8" s="261" t="s">
        <v>94</v>
      </c>
      <c r="G8" s="261"/>
      <c r="H8" s="11" t="s">
        <v>95</v>
      </c>
    </row>
    <row r="9" spans="1:13" x14ac:dyDescent="0.25">
      <c r="A9" s="7" t="s">
        <v>83</v>
      </c>
      <c r="B9" s="11">
        <f>C5</f>
        <v>11</v>
      </c>
      <c r="C9" s="12">
        <v>11</v>
      </c>
      <c r="D9" s="13">
        <f t="shared" si="0"/>
        <v>1.0000000000000002</v>
      </c>
      <c r="F9" s="261" t="s">
        <v>96</v>
      </c>
      <c r="G9" s="261"/>
      <c r="H9" s="11" t="s">
        <v>97</v>
      </c>
    </row>
    <row r="10" spans="1:13" x14ac:dyDescent="0.25">
      <c r="A10" s="7" t="s">
        <v>35</v>
      </c>
      <c r="B10" s="11">
        <f>C5</f>
        <v>11</v>
      </c>
      <c r="C10" s="12">
        <v>11</v>
      </c>
      <c r="D10" s="13">
        <f t="shared" si="0"/>
        <v>1.0000000000000002</v>
      </c>
      <c r="F10" s="261" t="s">
        <v>98</v>
      </c>
      <c r="G10" s="261"/>
      <c r="H10" s="11" t="s">
        <v>99</v>
      </c>
    </row>
    <row r="11" spans="1:13" x14ac:dyDescent="0.25">
      <c r="A11" s="16" t="s">
        <v>79</v>
      </c>
      <c r="B11" s="11">
        <f>C5</f>
        <v>11</v>
      </c>
      <c r="C11" s="12">
        <v>7</v>
      </c>
      <c r="D11" s="13">
        <f t="shared" si="0"/>
        <v>0.63636363636363635</v>
      </c>
      <c r="F11" s="261" t="s">
        <v>100</v>
      </c>
      <c r="G11" s="261"/>
      <c r="H11" s="11" t="s">
        <v>101</v>
      </c>
    </row>
    <row r="12" spans="1:13" x14ac:dyDescent="0.25">
      <c r="A12" s="7" t="s">
        <v>36</v>
      </c>
      <c r="B12" s="11">
        <f>C5</f>
        <v>11</v>
      </c>
      <c r="C12" s="12">
        <v>0</v>
      </c>
      <c r="D12" s="13">
        <f t="shared" si="0"/>
        <v>0</v>
      </c>
      <c r="F12" s="261" t="s">
        <v>102</v>
      </c>
      <c r="G12" s="261"/>
      <c r="H12" s="11" t="s">
        <v>103</v>
      </c>
    </row>
    <row r="13" spans="1:13" ht="31.5" customHeight="1" x14ac:dyDescent="0.25">
      <c r="F13" s="261" t="s">
        <v>104</v>
      </c>
      <c r="G13" s="261"/>
      <c r="H13" s="11" t="s">
        <v>105</v>
      </c>
    </row>
    <row r="14" spans="1:13" hidden="1" x14ac:dyDescent="0.25">
      <c r="A14" s="6"/>
      <c r="B14" s="6" t="s">
        <v>80</v>
      </c>
      <c r="C14" s="6" t="s">
        <v>84</v>
      </c>
      <c r="G14" s="6" t="s">
        <v>75</v>
      </c>
      <c r="H14" s="6" t="s">
        <v>77</v>
      </c>
      <c r="I14" s="6" t="s">
        <v>78</v>
      </c>
      <c r="J14" s="6" t="s">
        <v>32</v>
      </c>
      <c r="K14" s="6" t="s">
        <v>35</v>
      </c>
      <c r="L14" s="6" t="s">
        <v>79</v>
      </c>
      <c r="M14" s="6" t="s">
        <v>36</v>
      </c>
    </row>
    <row r="15" spans="1:13" hidden="1" x14ac:dyDescent="0.25">
      <c r="A15" s="6" t="s">
        <v>30</v>
      </c>
      <c r="B15" s="6">
        <f>G15</f>
        <v>10</v>
      </c>
      <c r="C15" s="6">
        <f>G16</f>
        <v>30</v>
      </c>
      <c r="E15" s="258" t="s">
        <v>80</v>
      </c>
      <c r="F15" s="258"/>
      <c r="G15" s="17">
        <f>C6</f>
        <v>10</v>
      </c>
      <c r="H15" s="17">
        <f>40/B7*C7</f>
        <v>40</v>
      </c>
      <c r="I15" s="17">
        <f>15/B8*C8</f>
        <v>14.999999999999998</v>
      </c>
      <c r="J15" s="17">
        <f>10/B9*C9</f>
        <v>10</v>
      </c>
      <c r="K15" s="17">
        <f>10/B10*C10</f>
        <v>10</v>
      </c>
      <c r="L15" s="17">
        <f>5/B11*C11</f>
        <v>3.1818181818181817</v>
      </c>
      <c r="M15" s="17">
        <f>5/B12*C12</f>
        <v>0</v>
      </c>
    </row>
    <row r="16" spans="1:13" hidden="1" x14ac:dyDescent="0.25">
      <c r="A16" s="6" t="s">
        <v>31</v>
      </c>
      <c r="B16" s="6">
        <f>H15</f>
        <v>40</v>
      </c>
      <c r="C16" s="6">
        <f>H16</f>
        <v>30</v>
      </c>
      <c r="E16" s="258" t="s">
        <v>82</v>
      </c>
      <c r="F16" s="258"/>
      <c r="G16" s="6">
        <f>G15+20</f>
        <v>30</v>
      </c>
      <c r="H16" s="6">
        <f>30/B7*C7</f>
        <v>30</v>
      </c>
      <c r="I16" s="6">
        <f>15/B8*C8</f>
        <v>14.999999999999998</v>
      </c>
      <c r="J16" s="6">
        <f>10/B9*C9</f>
        <v>10</v>
      </c>
      <c r="K16" s="6">
        <f>5/B10*C10</f>
        <v>5</v>
      </c>
      <c r="L16" s="6">
        <f>5/B11*C11</f>
        <v>3.1818181818181817</v>
      </c>
      <c r="M16" s="6">
        <f>5/B12*C12</f>
        <v>0</v>
      </c>
    </row>
    <row r="17" spans="1:8" hidden="1" x14ac:dyDescent="0.25">
      <c r="A17" s="6" t="s">
        <v>78</v>
      </c>
      <c r="B17" s="6">
        <f>I15</f>
        <v>14.999999999999998</v>
      </c>
      <c r="C17" s="6">
        <f>I16</f>
        <v>14.999999999999998</v>
      </c>
    </row>
    <row r="18" spans="1:8" ht="29.25" hidden="1" customHeight="1" x14ac:dyDescent="0.25">
      <c r="A18" s="6" t="s">
        <v>32</v>
      </c>
      <c r="B18" s="6">
        <f>J15</f>
        <v>10</v>
      </c>
      <c r="C18" s="6">
        <f>J16</f>
        <v>10</v>
      </c>
    </row>
    <row r="19" spans="1:8" hidden="1" x14ac:dyDescent="0.25">
      <c r="A19" s="6" t="s">
        <v>35</v>
      </c>
      <c r="B19" s="6">
        <f>K15</f>
        <v>10</v>
      </c>
      <c r="C19" s="6">
        <f>K16</f>
        <v>5</v>
      </c>
    </row>
    <row r="20" spans="1:8" hidden="1" x14ac:dyDescent="0.25">
      <c r="A20" s="18" t="s">
        <v>79</v>
      </c>
      <c r="B20" s="6">
        <f>L15</f>
        <v>3.1818181818181817</v>
      </c>
      <c r="C20" s="6">
        <f>L16</f>
        <v>3.1818181818181817</v>
      </c>
    </row>
    <row r="21" spans="1:8" hidden="1" x14ac:dyDescent="0.25">
      <c r="A21" s="6" t="s">
        <v>36</v>
      </c>
      <c r="B21" s="6">
        <f>M15</f>
        <v>0</v>
      </c>
      <c r="C21" s="6">
        <f>M16</f>
        <v>0</v>
      </c>
    </row>
    <row r="22" spans="1:8" x14ac:dyDescent="0.25">
      <c r="A22" s="6" t="s">
        <v>85</v>
      </c>
      <c r="B22" s="19">
        <f>(B15+B16+B17+B18+B19+B20+B21)/100</f>
        <v>0.88181818181818183</v>
      </c>
      <c r="C22" s="19">
        <f>(C15+C16+C17+C18+C19+C20+C21)/100</f>
        <v>0.93181818181818188</v>
      </c>
      <c r="F22" s="261" t="s">
        <v>106</v>
      </c>
      <c r="G22" s="261"/>
      <c r="H22" s="11" t="s">
        <v>97</v>
      </c>
    </row>
    <row r="23" spans="1:8" x14ac:dyDescent="0.25">
      <c r="F23" s="261" t="s">
        <v>107</v>
      </c>
      <c r="G23" s="261"/>
      <c r="H23" s="11" t="s">
        <v>108</v>
      </c>
    </row>
    <row r="24" spans="1:8" x14ac:dyDescent="0.25">
      <c r="A24" s="7" t="s">
        <v>109</v>
      </c>
      <c r="B24" s="20">
        <v>0.01</v>
      </c>
      <c r="C24" s="20">
        <v>0.02</v>
      </c>
      <c r="F24" s="261" t="s">
        <v>110</v>
      </c>
      <c r="G24" s="261"/>
      <c r="H24" s="11" t="s">
        <v>111</v>
      </c>
    </row>
    <row r="25" spans="1:8" x14ac:dyDescent="0.25">
      <c r="A25" s="7" t="s">
        <v>112</v>
      </c>
      <c r="B25" s="20">
        <v>0.01</v>
      </c>
      <c r="C25" s="20">
        <v>0.03</v>
      </c>
    </row>
    <row r="26" spans="1:8" x14ac:dyDescent="0.25">
      <c r="A26" s="7" t="s">
        <v>113</v>
      </c>
      <c r="B26" s="20">
        <v>0.03</v>
      </c>
      <c r="C26" s="20">
        <v>0.08</v>
      </c>
    </row>
    <row r="27" spans="1:8" x14ac:dyDescent="0.25">
      <c r="A27" s="7" t="s">
        <v>114</v>
      </c>
      <c r="B27" s="20">
        <v>0.05</v>
      </c>
      <c r="C27" s="20">
        <v>0.15</v>
      </c>
    </row>
    <row r="28" spans="1:8" x14ac:dyDescent="0.25">
      <c r="A28" s="7" t="s">
        <v>115</v>
      </c>
      <c r="B28" s="20">
        <v>7.0000000000000007E-2</v>
      </c>
      <c r="C28" s="20">
        <v>0.2</v>
      </c>
    </row>
    <row r="29" spans="1:8" x14ac:dyDescent="0.25">
      <c r="A29" s="7" t="s">
        <v>116</v>
      </c>
      <c r="B29" s="20">
        <v>0.1</v>
      </c>
      <c r="C29" s="20">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A</vt:lpstr>
      <vt:lpstr>B</vt:lpstr>
      <vt:lpstr>C</vt:lpstr>
      <vt:lpstr>D</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PC-51</cp:lastModifiedBy>
  <cp:lastPrinted>2025-07-07T12:16:55Z</cp:lastPrinted>
  <dcterms:created xsi:type="dcterms:W3CDTF">2013-11-23T05:32:33Z</dcterms:created>
  <dcterms:modified xsi:type="dcterms:W3CDTF">2025-07-07T12:28:53Z</dcterms:modified>
</cp:coreProperties>
</file>