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July 2025\05-07-2025\"/>
    </mc:Choice>
  </mc:AlternateContent>
  <bookViews>
    <workbookView xWindow="0" yWindow="0" windowWidth="19200" windowHeight="6640" tabRatio="901"/>
  </bookViews>
  <sheets>
    <sheet name="Sheet1" sheetId="1" r:id="rId1"/>
    <sheet name="Note" sheetId="16" r:id="rId2"/>
    <sheet name="Wing A" sheetId="11" r:id="rId3"/>
    <sheet name="B" sheetId="15" r:id="rId4"/>
    <sheet name="C" sheetId="14" r:id="rId5"/>
  </sheets>
  <definedNames>
    <definedName name="_xlnm.Print_Area" localSheetId="0">Sheet1!$A$1:$J$368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 l="1"/>
  <c r="D71" i="1" l="1"/>
  <c r="D70" i="1"/>
  <c r="C96" i="1"/>
  <c r="C81" i="1"/>
  <c r="F3" i="1" l="1"/>
  <c r="I192" i="1" l="1"/>
  <c r="I207" i="1"/>
  <c r="I218" i="1"/>
  <c r="I229" i="1"/>
  <c r="I240" i="1"/>
  <c r="I252" i="1"/>
  <c r="I264" i="1"/>
  <c r="R200" i="1"/>
  <c r="R199" i="1"/>
  <c r="R198" i="1"/>
  <c r="D249" i="1"/>
  <c r="G249" i="1" s="1"/>
  <c r="D248" i="1"/>
  <c r="G248" i="1" s="1"/>
  <c r="D247" i="1"/>
  <c r="G247" i="1" s="1"/>
  <c r="D246" i="1"/>
  <c r="G246" i="1" s="1"/>
  <c r="D245" i="1"/>
  <c r="G245" i="1" s="1"/>
  <c r="D244" i="1"/>
  <c r="G244" i="1" s="1"/>
  <c r="D243" i="1"/>
  <c r="D242" i="1"/>
  <c r="G242" i="1" s="1"/>
  <c r="D240" i="1"/>
  <c r="G240" i="1" s="1"/>
  <c r="D241" i="1"/>
  <c r="G241" i="1" s="1"/>
  <c r="G243" i="1"/>
  <c r="M244" i="1"/>
  <c r="M240" i="1"/>
  <c r="E204" i="1"/>
  <c r="D204" i="1"/>
  <c r="G204" i="1" s="1"/>
  <c r="E203" i="1"/>
  <c r="D203" i="1"/>
  <c r="G203" i="1" s="1"/>
  <c r="E202" i="1"/>
  <c r="D202" i="1"/>
  <c r="G202" i="1" s="1"/>
  <c r="E201" i="1"/>
  <c r="D201" i="1"/>
  <c r="G201" i="1" s="1"/>
  <c r="M200" i="1"/>
  <c r="N200" i="1" s="1"/>
  <c r="E200" i="1"/>
  <c r="D200" i="1"/>
  <c r="G200" i="1" s="1"/>
  <c r="M199" i="1"/>
  <c r="N199" i="1" s="1"/>
  <c r="E199" i="1"/>
  <c r="D199" i="1"/>
  <c r="G199" i="1" s="1"/>
  <c r="E198" i="1"/>
  <c r="D198" i="1"/>
  <c r="G198" i="1" s="1"/>
  <c r="E197" i="1"/>
  <c r="D197" i="1"/>
  <c r="G197" i="1" s="1"/>
  <c r="E196" i="1"/>
  <c r="D196" i="1"/>
  <c r="G196" i="1" s="1"/>
  <c r="L195" i="1"/>
  <c r="E195" i="1"/>
  <c r="D195" i="1"/>
  <c r="G195" i="1" s="1"/>
  <c r="E194" i="1"/>
  <c r="D194" i="1"/>
  <c r="G194" i="1" s="1"/>
  <c r="E193" i="1"/>
  <c r="D193" i="1"/>
  <c r="G193" i="1" s="1"/>
  <c r="E192" i="1"/>
  <c r="D192" i="1"/>
  <c r="G192" i="1" s="1"/>
  <c r="E190" i="1"/>
  <c r="D190" i="1"/>
  <c r="G190" i="1" s="1"/>
  <c r="E189" i="1"/>
  <c r="D189" i="1"/>
  <c r="G189" i="1" s="1"/>
  <c r="E188" i="1"/>
  <c r="D188" i="1"/>
  <c r="G188" i="1" s="1"/>
  <c r="E187" i="1"/>
  <c r="D187" i="1"/>
  <c r="G187" i="1" s="1"/>
  <c r="E186" i="1"/>
  <c r="D186" i="1"/>
  <c r="G186" i="1" s="1"/>
  <c r="E185" i="1"/>
  <c r="D185" i="1"/>
  <c r="G185" i="1" s="1"/>
  <c r="E184" i="1"/>
  <c r="D184" i="1"/>
  <c r="G184" i="1" s="1"/>
  <c r="E183" i="1"/>
  <c r="D183" i="1"/>
  <c r="G183" i="1" s="1"/>
  <c r="E182" i="1"/>
  <c r="D182" i="1"/>
  <c r="G182" i="1" s="1"/>
  <c r="E181" i="1"/>
  <c r="D181" i="1"/>
  <c r="G181" i="1" s="1"/>
  <c r="E180" i="1"/>
  <c r="D180" i="1"/>
  <c r="G180" i="1" s="1"/>
  <c r="E179" i="1"/>
  <c r="D179" i="1"/>
  <c r="G179" i="1" s="1"/>
  <c r="E178" i="1"/>
  <c r="D178" i="1"/>
  <c r="G178" i="1" s="1"/>
  <c r="E177" i="1"/>
  <c r="D177" i="1"/>
  <c r="G177" i="1" s="1"/>
  <c r="M185" i="1"/>
  <c r="N185" i="1" s="1"/>
  <c r="M186" i="1"/>
  <c r="N186" i="1" s="1"/>
  <c r="D173" i="1"/>
  <c r="G173" i="1" s="1"/>
  <c r="E173" i="1"/>
  <c r="D174" i="1"/>
  <c r="G174" i="1" s="1"/>
  <c r="E174" i="1"/>
  <c r="D175" i="1"/>
  <c r="G175" i="1" s="1"/>
  <c r="E175" i="1"/>
  <c r="E172" i="1"/>
  <c r="D172" i="1"/>
  <c r="G172" i="1" s="1"/>
  <c r="D170" i="1"/>
  <c r="G170" i="1" s="1"/>
  <c r="E170" i="1"/>
  <c r="E169" i="1"/>
  <c r="D169" i="1"/>
  <c r="G169" i="1" s="1"/>
  <c r="D164" i="1"/>
  <c r="G164" i="1" s="1"/>
  <c r="E164" i="1"/>
  <c r="D165" i="1"/>
  <c r="G165" i="1" s="1"/>
  <c r="E165" i="1"/>
  <c r="D166" i="1"/>
  <c r="G166" i="1" s="1"/>
  <c r="E166" i="1"/>
  <c r="E163" i="1"/>
  <c r="D163" i="1"/>
  <c r="G163" i="1" s="1"/>
  <c r="E162" i="1"/>
  <c r="D162" i="1"/>
  <c r="G162" i="1" s="1"/>
  <c r="D155" i="1"/>
  <c r="G155" i="1" s="1"/>
  <c r="E155" i="1"/>
  <c r="E154" i="1"/>
  <c r="D154" i="1"/>
  <c r="G154" i="1" s="1"/>
  <c r="D160" i="1"/>
  <c r="G160" i="1" s="1"/>
  <c r="E160" i="1"/>
  <c r="E159" i="1"/>
  <c r="D159" i="1"/>
  <c r="G159" i="1" s="1"/>
  <c r="E158" i="1"/>
  <c r="D158" i="1"/>
  <c r="G158" i="1" s="1"/>
  <c r="E157" i="1"/>
  <c r="D157" i="1"/>
  <c r="G157" i="1" s="1"/>
  <c r="D151" i="1"/>
  <c r="G151" i="1" s="1"/>
  <c r="E151" i="1"/>
  <c r="E150" i="1"/>
  <c r="D150" i="1"/>
  <c r="G150" i="1" s="1"/>
  <c r="E149" i="1"/>
  <c r="D149" i="1"/>
  <c r="G149" i="1" s="1"/>
  <c r="E148" i="1"/>
  <c r="D148" i="1"/>
  <c r="G148" i="1" s="1"/>
  <c r="E147" i="1"/>
  <c r="D147" i="1"/>
  <c r="G147" i="1" s="1"/>
  <c r="E145" i="1"/>
  <c r="D145" i="1"/>
  <c r="G145" i="1" s="1"/>
  <c r="E144" i="1"/>
  <c r="D144" i="1"/>
  <c r="G144" i="1" s="1"/>
  <c r="E143" i="1"/>
  <c r="D143" i="1"/>
  <c r="G143" i="1" s="1"/>
  <c r="E142" i="1"/>
  <c r="D142" i="1"/>
  <c r="G142" i="1" s="1"/>
  <c r="E140" i="1"/>
  <c r="D140" i="1"/>
  <c r="G140" i="1" s="1"/>
  <c r="E139" i="1"/>
  <c r="D139" i="1"/>
  <c r="G139" i="1" s="1"/>
  <c r="E138" i="1"/>
  <c r="D138" i="1"/>
  <c r="G138" i="1" s="1"/>
  <c r="D141" i="1"/>
  <c r="G141" i="1" s="1"/>
  <c r="E137" i="1"/>
  <c r="D137" i="1"/>
  <c r="G137" i="1" s="1"/>
  <c r="E136" i="1"/>
  <c r="D136" i="1"/>
  <c r="G136" i="1" s="1"/>
  <c r="M136" i="1" s="1"/>
  <c r="L181" i="1"/>
  <c r="I177" i="1"/>
  <c r="E171" i="1"/>
  <c r="D171" i="1"/>
  <c r="G171" i="1" s="1"/>
  <c r="E168" i="1"/>
  <c r="D168" i="1"/>
  <c r="G168" i="1" s="1"/>
  <c r="E167" i="1"/>
  <c r="D167" i="1"/>
  <c r="G167" i="1" s="1"/>
  <c r="L166" i="1"/>
  <c r="I162" i="1"/>
  <c r="E156" i="1"/>
  <c r="D156" i="1"/>
  <c r="G156" i="1" s="1"/>
  <c r="D153" i="1"/>
  <c r="G153" i="1" s="1"/>
  <c r="E153" i="1"/>
  <c r="E152" i="1"/>
  <c r="D152" i="1"/>
  <c r="G152" i="1" s="1"/>
  <c r="L151" i="1"/>
  <c r="I147" i="1"/>
  <c r="I128" i="1"/>
  <c r="E135" i="1"/>
  <c r="D135" i="1"/>
  <c r="G135" i="1" s="1"/>
  <c r="E134" i="1"/>
  <c r="D134" i="1"/>
  <c r="G134" i="1" s="1"/>
  <c r="E133" i="1"/>
  <c r="D133" i="1"/>
  <c r="G133" i="1" s="1"/>
  <c r="E132" i="1"/>
  <c r="D132" i="1"/>
  <c r="G132" i="1" s="1"/>
  <c r="E131" i="1"/>
  <c r="D131" i="1"/>
  <c r="G131" i="1" s="1"/>
  <c r="E130" i="1"/>
  <c r="D130" i="1"/>
  <c r="G130" i="1" s="1"/>
  <c r="E129" i="1"/>
  <c r="D129" i="1"/>
  <c r="G129" i="1" s="1"/>
  <c r="D128" i="1"/>
  <c r="G128" i="1" s="1"/>
  <c r="L132" i="1"/>
  <c r="D108" i="1"/>
  <c r="M107" i="1"/>
  <c r="C100" i="1" s="1"/>
  <c r="D100" i="1" s="1"/>
  <c r="D107" i="1"/>
  <c r="M106" i="1"/>
  <c r="D106" i="1"/>
  <c r="M105" i="1"/>
  <c r="D105" i="1"/>
  <c r="M104" i="1"/>
  <c r="D104" i="1"/>
  <c r="D103" i="1"/>
  <c r="M102" i="1"/>
  <c r="C99" i="1" s="1"/>
  <c r="D102" i="1"/>
  <c r="M101" i="1"/>
  <c r="D101" i="1"/>
  <c r="D93" i="1"/>
  <c r="M92" i="1"/>
  <c r="C85" i="1" s="1"/>
  <c r="D85" i="1" s="1"/>
  <c r="D92" i="1"/>
  <c r="M91" i="1"/>
  <c r="D91" i="1"/>
  <c r="M90" i="1"/>
  <c r="D90" i="1"/>
  <c r="M89" i="1"/>
  <c r="D89" i="1"/>
  <c r="D88" i="1"/>
  <c r="M87" i="1"/>
  <c r="C84" i="1" s="1"/>
  <c r="D87" i="1"/>
  <c r="M86" i="1"/>
  <c r="D86" i="1"/>
  <c r="D78" i="1"/>
  <c r="M77" i="1"/>
  <c r="D77" i="1"/>
  <c r="M76" i="1"/>
  <c r="D76" i="1"/>
  <c r="M75" i="1"/>
  <c r="D75" i="1"/>
  <c r="M74" i="1"/>
  <c r="D74" i="1"/>
  <c r="D73" i="1"/>
  <c r="M72" i="1"/>
  <c r="D69" i="1"/>
  <c r="D72" i="1"/>
  <c r="M71" i="1"/>
  <c r="G39" i="15"/>
  <c r="B39" i="15" s="1"/>
  <c r="C36" i="15"/>
  <c r="B12" i="15" s="1"/>
  <c r="H19" i="15"/>
  <c r="B7" i="15"/>
  <c r="H39" i="15" s="1"/>
  <c r="B40" i="15" s="1"/>
  <c r="D6" i="15"/>
  <c r="G39" i="14"/>
  <c r="G40" i="14" s="1"/>
  <c r="C39" i="14" s="1"/>
  <c r="B39" i="14"/>
  <c r="C36" i="14"/>
  <c r="B10" i="14" s="1"/>
  <c r="H19" i="14"/>
  <c r="B7" i="14"/>
  <c r="H39" i="14" s="1"/>
  <c r="B40" i="14" s="1"/>
  <c r="D6" i="14"/>
  <c r="D274" i="1"/>
  <c r="G274" i="1" s="1"/>
  <c r="D273" i="1"/>
  <c r="G273" i="1" s="1"/>
  <c r="D270" i="1"/>
  <c r="G270" i="1" s="1"/>
  <c r="D269" i="1"/>
  <c r="G269" i="1" s="1"/>
  <c r="D268" i="1"/>
  <c r="G268" i="1" s="1"/>
  <c r="D267" i="1"/>
  <c r="G267" i="1" s="1"/>
  <c r="D266" i="1"/>
  <c r="G266" i="1" s="1"/>
  <c r="D265" i="1"/>
  <c r="G265" i="1" s="1"/>
  <c r="D264" i="1"/>
  <c r="G264" i="1" s="1"/>
  <c r="D258" i="1"/>
  <c r="G258" i="1" s="1"/>
  <c r="D257" i="1"/>
  <c r="G257" i="1" s="1"/>
  <c r="D256" i="1"/>
  <c r="G256" i="1" s="1"/>
  <c r="D255" i="1"/>
  <c r="G255" i="1" s="1"/>
  <c r="D254" i="1"/>
  <c r="G254" i="1" s="1"/>
  <c r="D253" i="1"/>
  <c r="G253" i="1" s="1"/>
  <c r="D262" i="1"/>
  <c r="G262" i="1" s="1"/>
  <c r="D261" i="1"/>
  <c r="G261" i="1" s="1"/>
  <c r="D252" i="1"/>
  <c r="G252" i="1" s="1"/>
  <c r="F226" i="1"/>
  <c r="F225" i="1"/>
  <c r="F224" i="1"/>
  <c r="F221" i="1"/>
  <c r="F220" i="1"/>
  <c r="F218" i="1"/>
  <c r="F223" i="1" s="1"/>
  <c r="D221" i="1"/>
  <c r="D227" i="1"/>
  <c r="D226" i="1"/>
  <c r="D225" i="1"/>
  <c r="D224" i="1"/>
  <c r="G224" i="1" s="1"/>
  <c r="D223" i="1"/>
  <c r="D222" i="1"/>
  <c r="D220" i="1"/>
  <c r="D219" i="1"/>
  <c r="D218" i="1"/>
  <c r="D238" i="1"/>
  <c r="G238" i="1" s="1"/>
  <c r="D237" i="1"/>
  <c r="G237" i="1" s="1"/>
  <c r="D236" i="1"/>
  <c r="G236" i="1" s="1"/>
  <c r="D235" i="1"/>
  <c r="G235" i="1" s="1"/>
  <c r="D234" i="1"/>
  <c r="G234" i="1" s="1"/>
  <c r="D233" i="1"/>
  <c r="G233" i="1" s="1"/>
  <c r="D232" i="1"/>
  <c r="G232" i="1" s="1"/>
  <c r="D231" i="1"/>
  <c r="G231" i="1" s="1"/>
  <c r="D230" i="1"/>
  <c r="G230" i="1" s="1"/>
  <c r="D229" i="1"/>
  <c r="G229" i="1" s="1"/>
  <c r="D216" i="1"/>
  <c r="G216" i="1" s="1"/>
  <c r="D215" i="1"/>
  <c r="G215" i="1" s="1"/>
  <c r="D214" i="1"/>
  <c r="G214" i="1" s="1"/>
  <c r="D212" i="1"/>
  <c r="G212" i="1" s="1"/>
  <c r="D211" i="1"/>
  <c r="G211" i="1" s="1"/>
  <c r="D210" i="1"/>
  <c r="G210" i="1" s="1"/>
  <c r="D209" i="1"/>
  <c r="G209" i="1" s="1"/>
  <c r="D208" i="1"/>
  <c r="G208" i="1" s="1"/>
  <c r="D207" i="1"/>
  <c r="G207" i="1" s="1"/>
  <c r="D213" i="1"/>
  <c r="G213" i="1" s="1"/>
  <c r="M47" i="11"/>
  <c r="J47" i="11"/>
  <c r="F47" i="11"/>
  <c r="M46" i="11"/>
  <c r="J46" i="11"/>
  <c r="F46" i="11"/>
  <c r="M45" i="11"/>
  <c r="J45" i="11"/>
  <c r="F45" i="11"/>
  <c r="M44" i="11"/>
  <c r="J44" i="11"/>
  <c r="F44" i="11"/>
  <c r="M43" i="11"/>
  <c r="J43" i="11"/>
  <c r="F43" i="11"/>
  <c r="M42" i="11"/>
  <c r="J42" i="11"/>
  <c r="F42" i="11"/>
  <c r="M41" i="11"/>
  <c r="J41" i="11"/>
  <c r="F41" i="11"/>
  <c r="M40" i="11"/>
  <c r="J40" i="11"/>
  <c r="F40" i="11"/>
  <c r="M39" i="11"/>
  <c r="J39" i="11"/>
  <c r="F39" i="11"/>
  <c r="M38" i="11"/>
  <c r="J38" i="11"/>
  <c r="F38" i="11"/>
  <c r="M37" i="11"/>
  <c r="J37" i="11"/>
  <c r="F37"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F38" i="1"/>
  <c r="D59" i="1"/>
  <c r="E288" i="1"/>
  <c r="G122" i="1"/>
  <c r="M10" i="11"/>
  <c r="M11" i="11"/>
  <c r="M12" i="11"/>
  <c r="M13" i="11"/>
  <c r="M14" i="11"/>
  <c r="J10" i="11"/>
  <c r="J11" i="11"/>
  <c r="J12" i="11"/>
  <c r="J13" i="11"/>
  <c r="J14" i="11"/>
  <c r="F10" i="11"/>
  <c r="F11" i="11"/>
  <c r="F12" i="11"/>
  <c r="F13" i="11"/>
  <c r="F14" i="11"/>
  <c r="M7" i="11"/>
  <c r="M8" i="11"/>
  <c r="M9" i="11"/>
  <c r="J7" i="11"/>
  <c r="J8" i="11"/>
  <c r="J9" i="11"/>
  <c r="F7" i="11"/>
  <c r="F8" i="11"/>
  <c r="F9" i="11"/>
  <c r="M6" i="11"/>
  <c r="J6" i="11"/>
  <c r="F6" i="11"/>
  <c r="D7" i="15"/>
  <c r="H40" i="15"/>
  <c r="C40" i="15" s="1"/>
  <c r="H69" i="1"/>
  <c r="B11" i="15" l="1"/>
  <c r="D11" i="15" s="1"/>
  <c r="J31" i="11"/>
  <c r="I31" i="11" s="1"/>
  <c r="H40" i="14"/>
  <c r="C40" i="14" s="1"/>
  <c r="B9" i="14"/>
  <c r="F15" i="11"/>
  <c r="E15" i="11" s="1"/>
  <c r="D12" i="15"/>
  <c r="M40" i="15"/>
  <c r="C45" i="15" s="1"/>
  <c r="M39" i="15"/>
  <c r="B45" i="15" s="1"/>
  <c r="L39" i="15"/>
  <c r="B44" i="15" s="1"/>
  <c r="B10" i="15"/>
  <c r="B9" i="15"/>
  <c r="J40" i="15" s="1"/>
  <c r="C42" i="15" s="1"/>
  <c r="J15" i="11"/>
  <c r="I15" i="11" s="1"/>
  <c r="G40" i="15"/>
  <c r="C39" i="15" s="1"/>
  <c r="M15" i="11"/>
  <c r="L15" i="11" s="1"/>
  <c r="F31" i="11"/>
  <c r="E31" i="11" s="1"/>
  <c r="O31" i="11" s="1"/>
  <c r="F48" i="11"/>
  <c r="E48" i="11" s="1"/>
  <c r="J48" i="11"/>
  <c r="I48" i="11" s="1"/>
  <c r="M48" i="11"/>
  <c r="L48" i="11" s="1"/>
  <c r="B8" i="15"/>
  <c r="M31" i="11"/>
  <c r="L31" i="11" s="1"/>
  <c r="L40" i="15"/>
  <c r="C44" i="15" s="1"/>
  <c r="B12" i="14"/>
  <c r="R201" i="1"/>
  <c r="K64" i="1"/>
  <c r="G220" i="1"/>
  <c r="D271" i="1"/>
  <c r="D272" i="1" s="1"/>
  <c r="G272" i="1" s="1"/>
  <c r="D10" i="14"/>
  <c r="K40" i="14"/>
  <c r="C43" i="14" s="1"/>
  <c r="K39" i="14"/>
  <c r="B43" i="14" s="1"/>
  <c r="K39" i="15"/>
  <c r="B43" i="15" s="1"/>
  <c r="J40" i="14"/>
  <c r="C42" i="14" s="1"/>
  <c r="J39" i="15"/>
  <c r="B42" i="15" s="1"/>
  <c r="D7" i="14"/>
  <c r="B8" i="14"/>
  <c r="B11" i="14"/>
  <c r="G221" i="1"/>
  <c r="H99" i="1"/>
  <c r="G218" i="1"/>
  <c r="G226" i="1"/>
  <c r="H84" i="1"/>
  <c r="D84" i="1"/>
  <c r="K79" i="1" s="1"/>
  <c r="F84" i="1" s="1"/>
  <c r="D259" i="1"/>
  <c r="G225" i="1"/>
  <c r="F222" i="1"/>
  <c r="G222" i="1" s="1"/>
  <c r="G223" i="1"/>
  <c r="D99" i="1"/>
  <c r="K94" i="1" s="1"/>
  <c r="F99" i="1" s="1"/>
  <c r="F219" i="1"/>
  <c r="F227" i="1" s="1"/>
  <c r="G227" i="1" s="1"/>
  <c r="O15" i="11" l="1"/>
  <c r="F69" i="1"/>
  <c r="J39" i="14"/>
  <c r="B42" i="14" s="1"/>
  <c r="D9" i="14"/>
  <c r="D9" i="15"/>
  <c r="I40" i="15"/>
  <c r="C41" i="15" s="1"/>
  <c r="I39" i="15"/>
  <c r="B41" i="15" s="1"/>
  <c r="B14" i="15" s="1"/>
  <c r="D8" i="15"/>
  <c r="O48" i="11"/>
  <c r="D12" i="14"/>
  <c r="M40" i="14"/>
  <c r="C45" i="14" s="1"/>
  <c r="M39" i="14"/>
  <c r="B45" i="14" s="1"/>
  <c r="D10" i="15"/>
  <c r="K40" i="15"/>
  <c r="C43" i="15" s="1"/>
  <c r="G271" i="1"/>
  <c r="L40" i="14"/>
  <c r="C44" i="14" s="1"/>
  <c r="L39" i="14"/>
  <c r="B44" i="14" s="1"/>
  <c r="D11" i="14"/>
  <c r="D8" i="14"/>
  <c r="I39" i="14"/>
  <c r="B41" i="14" s="1"/>
  <c r="I40" i="14"/>
  <c r="C41" i="14" s="1"/>
  <c r="D260" i="1"/>
  <c r="G260" i="1" s="1"/>
  <c r="G259" i="1"/>
  <c r="G219" i="1"/>
  <c r="C14" i="15" l="1"/>
  <c r="C14" i="14"/>
  <c r="M138" i="1"/>
  <c r="M137" i="1"/>
  <c r="B14" i="14"/>
</calcChain>
</file>

<file path=xl/sharedStrings.xml><?xml version="1.0" encoding="utf-8"?>
<sst xmlns="http://schemas.openxmlformats.org/spreadsheetml/2006/main" count="792" uniqueCount="262">
  <si>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</si>
  <si>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</si>
  <si>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</si>
  <si>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</si>
  <si>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</si>
  <si>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</si>
  <si>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</si>
  <si>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</si>
  <si>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</si>
  <si>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</si>
  <si>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</si>
  <si>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</si>
  <si>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</si>
  <si>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</si>
  <si>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</si>
  <si>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</si>
  <si>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</si>
  <si>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</si>
  <si>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</si>
  <si>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</si>
  <si>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</si>
  <si>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</si>
  <si>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</si>
  <si>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</si>
  <si>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</si>
  <si>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</si>
  <si>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</si>
  <si>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</si>
  <si>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</si>
  <si>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</si>
  <si>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</si>
  <si>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</si>
  <si>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</si>
  <si>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</si>
  <si>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</si>
  <si>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</si>
  <si>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</si>
  <si>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</si>
  <si>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</si>
  <si>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</si>
  <si>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</si>
  <si>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</si>
  <si>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</si>
  <si>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</si>
  <si>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</si>
  <si>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</si>
  <si>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</si>
  <si>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</si>
  <si>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</si>
  <si>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</si>
  <si>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</si>
  <si>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</si>
  <si>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</si>
  <si>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</si>
  <si>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</si>
  <si>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Expiry date: NA</t>
  </si>
  <si>
    <t>No of floors at site : See Construction details</t>
  </si>
  <si>
    <t xml:space="preserve">4)  The saleable area is as per Our Calculation.  </t>
  </si>
  <si>
    <t>Does the boundaries at site match, as mentioned in the Docoumentation: NA</t>
  </si>
  <si>
    <t>all available at  1 to 2 km.</t>
  </si>
  <si>
    <t>Dated</t>
  </si>
  <si>
    <t>Locality</t>
  </si>
  <si>
    <t>District</t>
  </si>
  <si>
    <t>Pin Code</t>
  </si>
  <si>
    <t>Near by Landmark</t>
  </si>
  <si>
    <t>Good</t>
  </si>
  <si>
    <t>Total land area of the project in Sq. Mt.</t>
  </si>
  <si>
    <t>Total Approved Builtup area of the project in Sq. Mt.</t>
  </si>
  <si>
    <t xml:space="preserve">Approval Detail : Plan approval </t>
  </si>
  <si>
    <t>Expected Completion</t>
  </si>
  <si>
    <t>Approved no of Floors</t>
  </si>
  <si>
    <t>Floor rise rate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</si>
  <si>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</si>
  <si>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</si>
  <si>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</si>
  <si>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</si>
  <si>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</si>
  <si>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</si>
  <si>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</si>
  <si>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</si>
  <si>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</si>
  <si>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</si>
  <si>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</si>
  <si>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</si>
  <si>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</si>
  <si>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</si>
  <si>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</si>
  <si>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</si>
  <si>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</si>
  <si>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</si>
  <si>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</si>
  <si>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</si>
  <si>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</si>
  <si>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Total</t>
  </si>
  <si>
    <t xml:space="preserve">Floor No </t>
  </si>
  <si>
    <t>Flat</t>
  </si>
  <si>
    <t xml:space="preserve">Recommended rate of Parking </t>
  </si>
  <si>
    <t>CB</t>
  </si>
  <si>
    <t>DB</t>
  </si>
  <si>
    <t xml:space="preserve">O. Certificate No.: </t>
  </si>
  <si>
    <t xml:space="preserve">Date of approval: </t>
  </si>
  <si>
    <t>Contect Details ( Name &amp; Contect No.)</t>
  </si>
  <si>
    <t>Name / no of the Building</t>
  </si>
  <si>
    <t>Plot No</t>
  </si>
  <si>
    <t>Does property have Electricity / Water / Drainage Connection</t>
  </si>
  <si>
    <t>Distressed valuation of the Property</t>
  </si>
  <si>
    <t>Building details Floor Wise</t>
  </si>
  <si>
    <t>Floor</t>
  </si>
  <si>
    <t>Particulars</t>
  </si>
  <si>
    <t>plinth</t>
  </si>
  <si>
    <t>slab</t>
  </si>
  <si>
    <t>rcc</t>
  </si>
  <si>
    <t>Bricks</t>
  </si>
  <si>
    <t>Wood &amp; painting</t>
  </si>
  <si>
    <t>Progress</t>
  </si>
  <si>
    <t xml:space="preserve">Bricks </t>
  </si>
  <si>
    <t xml:space="preserve">Recommended </t>
  </si>
  <si>
    <t>plaster</t>
  </si>
  <si>
    <t>Recommended</t>
  </si>
  <si>
    <t>total</t>
  </si>
  <si>
    <t>Type of Structure : RCC Frame Structure</t>
  </si>
  <si>
    <t>Any Other</t>
  </si>
  <si>
    <t>Accessibility to the Project from the City:
(Proximity to civic amenities like school, hospital, market)</t>
  </si>
  <si>
    <t>GOOGLE MAP :</t>
  </si>
  <si>
    <t>Saleable area</t>
  </si>
  <si>
    <t>Flat/Shop No.</t>
  </si>
  <si>
    <t>1st</t>
  </si>
  <si>
    <t>1 BHK</t>
  </si>
  <si>
    <t>Recommended rate of the Flat Per Sq. Ft. ( on saleable area)</t>
  </si>
  <si>
    <t>Development charges</t>
  </si>
  <si>
    <t>Approved no of units</t>
  </si>
  <si>
    <t>Middle class</t>
  </si>
  <si>
    <t>Developing</t>
  </si>
  <si>
    <t>2 BHK</t>
  </si>
  <si>
    <t>Ground</t>
  </si>
  <si>
    <t xml:space="preserve">M/s.Vrudee Associates </t>
  </si>
  <si>
    <t>Patels Prestige</t>
  </si>
  <si>
    <t>9665393600/9820412604</t>
  </si>
  <si>
    <t>Patels Prestige, Survey no.17 Hissa no. 2/A, C, D Plot no.3, Ambernath, Thane.</t>
  </si>
  <si>
    <t>Survey no.17 Hissa no. 2/A, C, D</t>
  </si>
  <si>
    <t>Plot no.3</t>
  </si>
  <si>
    <t>Ambernath</t>
  </si>
  <si>
    <t>Thane</t>
  </si>
  <si>
    <t>Khoj Khuntavali</t>
  </si>
  <si>
    <t>Shankar Heights</t>
  </si>
  <si>
    <t>Main road</t>
  </si>
  <si>
    <t>Open Plot</t>
  </si>
  <si>
    <t>Father Agnel School</t>
  </si>
  <si>
    <t>2.8 Km from Ambernath Railway Station.</t>
  </si>
  <si>
    <t>Approved Layout, Approved Building Plan, CC.</t>
  </si>
  <si>
    <t>6800 (Net area =5332.5)</t>
  </si>
  <si>
    <t>NRV/BP/18-19/263/8844/15</t>
  </si>
  <si>
    <t>Shop</t>
  </si>
  <si>
    <t>Ground Floor For Commercial &amp; Residential</t>
  </si>
  <si>
    <t>3 BHK</t>
  </si>
  <si>
    <t>1st, 3rd, 5th &amp; 7th Floors</t>
  </si>
  <si>
    <t>2nd, 4th &amp; 6th Floors</t>
  </si>
  <si>
    <t>Ground, 2nd, 4th &amp; 6th Floors</t>
  </si>
  <si>
    <t>Survey no</t>
  </si>
  <si>
    <r>
      <t xml:space="preserve">Approved usage of the Property: </t>
    </r>
    <r>
      <rPr>
        <sz val="11"/>
        <rFont val="Times New Roman"/>
        <family val="1"/>
      </rPr>
      <t>Residential + Commercial</t>
    </r>
    <r>
      <rPr>
        <sz val="11"/>
        <color indexed="8"/>
        <rFont val="Times New Roman"/>
        <family val="1"/>
      </rPr>
      <t xml:space="preserve">
(Restrictive Covenants in regard to Land Use, if any) : No                                                                                                                                               </t>
    </r>
  </si>
  <si>
    <t>Approved area of building Sq.Mt</t>
  </si>
  <si>
    <t>Project Address</t>
  </si>
  <si>
    <t>Navare Park Road</t>
  </si>
  <si>
    <t>Axis Sanpada</t>
  </si>
  <si>
    <t>Recommended rate of the Shop Per Sq. Ft. ( on saleable area)</t>
  </si>
  <si>
    <t>Basement</t>
  </si>
  <si>
    <t>Podium</t>
  </si>
  <si>
    <t>Upper Floor</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</si>
  <si>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</si>
  <si>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</si>
  <si>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</si>
  <si>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</si>
  <si>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</si>
  <si>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</si>
  <si>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</si>
  <si>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</si>
  <si>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</si>
  <si>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</si>
  <si>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</si>
  <si>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</si>
  <si>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</si>
  <si>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</si>
  <si>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</si>
  <si>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</si>
  <si>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</si>
  <si>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</si>
  <si>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</si>
  <si>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</si>
  <si>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</si>
  <si>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</si>
  <si>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</si>
  <si>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</si>
  <si>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</si>
  <si>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 xml:space="preserve">total floor </t>
  </si>
  <si>
    <t>15/- from 5th Floor</t>
  </si>
  <si>
    <t>Club house Charges</t>
  </si>
  <si>
    <t>2,00,000/-</t>
  </si>
  <si>
    <t xml:space="preserve">PHOTOGRAPHS OF PROPERTY : 
</t>
  </si>
  <si>
    <t>16/06/2020.</t>
  </si>
  <si>
    <t>Pratiksha</t>
  </si>
  <si>
    <t>We considered recommended rate as per Builder cost sheet.</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</si>
  <si>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</si>
  <si>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</si>
  <si>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</si>
  <si>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</si>
  <si>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</si>
  <si>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</si>
  <si>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</si>
  <si>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</si>
  <si>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</si>
  <si>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</si>
  <si>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</si>
  <si>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</si>
  <si>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</si>
  <si>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</si>
  <si>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</si>
  <si>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</si>
  <si>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</si>
  <si>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</si>
  <si>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</si>
  <si>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</si>
  <si>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Construction details: C Wing  = B + G + 1st to 7th Floor.</t>
  </si>
  <si>
    <t xml:space="preserve">300000/- </t>
  </si>
  <si>
    <t>RERA No.</t>
  </si>
  <si>
    <t>03 Wings</t>
  </si>
  <si>
    <t>Type A, B &amp; C</t>
  </si>
  <si>
    <t>Type A</t>
  </si>
  <si>
    <t>8th Floor (Part Refuge Area)</t>
  </si>
  <si>
    <t>9th, 10th, 11th &amp; 12th Floor</t>
  </si>
  <si>
    <t>1BHK</t>
  </si>
  <si>
    <t>Shops = 8 , Flats = 360</t>
  </si>
  <si>
    <t>Type B</t>
  </si>
  <si>
    <t>Type C</t>
  </si>
  <si>
    <t>Layout Approval No</t>
  </si>
  <si>
    <t>Date of CC
Valid up to:</t>
  </si>
  <si>
    <t>ANP/NRV/BP/20-21/1312/9110/58</t>
  </si>
  <si>
    <t xml:space="preserve">
A.N.P/NRV/BP/19-20/379/8933/22
A.N.P/NRV/BP/20-21/1312/9110/58</t>
  </si>
  <si>
    <t xml:space="preserve">Building plan No 
B + Gr + 1st to 7th Floor
8th to 12th Floor
   </t>
  </si>
  <si>
    <t xml:space="preserve">Layout Approval No </t>
  </si>
  <si>
    <t xml:space="preserve">
09/07/2019
15/03/2021</t>
  </si>
  <si>
    <t xml:space="preserve">Building plan No 
1st to 7th Floor
8th Floor
</t>
  </si>
  <si>
    <t xml:space="preserve">
NRV/BP/18-19/263/8844/15
A.N.P/NRV/BP/20-21/1312/9110/58                                                                                   </t>
  </si>
  <si>
    <t xml:space="preserve">
24/05/2018
15/03/2021</t>
  </si>
  <si>
    <t>Building plan No    
B + Gr + 1st to 7th Floor</t>
  </si>
  <si>
    <t>ANP/NRV/B.P/20-21/1312/9110/58                                                                                  Type A = B + Gr/st + 1st to 12th Floor
Type B = B + Gr/st + 1st to 8th Floor
Type C = B + Gr/st + 1st to 7th Floor</t>
  </si>
  <si>
    <t>Construction details: B Wing  = LG + G + 1st to 8th Floor.</t>
  </si>
  <si>
    <t>Construction details: A Wing  = LG + Gr + 1st to 12th Floor.</t>
  </si>
  <si>
    <t>Type A = LG + Gr + 1st to 12th Floor.
Type B = LG + G + 1st to 8th Floor.
Type C = LG + G + 1st to7th Floor.
Club house = G + 1st Floor</t>
  </si>
  <si>
    <t>Type A = LG + Gr/st + 1st to 12th Floor
Type B = LG + Gr/st + 1st to 8th Floor
Type C = LG + Gr/st + 1st to 7th Floor
Club house = G + 1st Floor</t>
  </si>
  <si>
    <t>P51700017035</t>
  </si>
  <si>
    <t>Ground Floor For  Residential</t>
  </si>
  <si>
    <t>Location Link</t>
  </si>
  <si>
    <t>https://goo.gl/maps/4nais2D5WcM238gS8?coh=178572&amp;entry=tt</t>
  </si>
  <si>
    <t>ANP/NRV/2021-22/1101
Approved upto : Type B = LG + G + 1st to 8th Floor</t>
  </si>
  <si>
    <t>ANP/NRV/22-23/1465
Approved upto : Type C = B + Gr/st + 1st to 7th Floor</t>
  </si>
  <si>
    <t>Office No. 1031, Wing J, Akshar Business Park, Plot No. 03 Sector 25, Near APMC Market, Vashi,
Navi Mumbai, Maharashtra 400703 TEL: 022-46090378/79/80                                                                                                     Email : vsjcapf@gmail.com. Web site : www.vsjadon.com</t>
  </si>
  <si>
    <t>Completed</t>
  </si>
  <si>
    <t>Projected life of the structure: 60 Years</t>
  </si>
  <si>
    <t>Material laying at Site: : Nothing</t>
  </si>
  <si>
    <t>AMC/TPD/2024-25/1251
Approved upto : Type A = LG + Gr/st + 1st to 12th Floor</t>
  </si>
  <si>
    <t>Remarks:  
1.  Type A, B &amp; C = All work Completed. OC Received.
2. We adopted Carpet area as per Builder area statement sheet.
3. We have given rate verify by market inquire.
4. Other charges from Builder cost sheet.
5. Construction work was in process at the time of visit.
6.We have updated Approved C.C &amp; Floor plan of Type A (Gr + 12th Floor) &amp; Type B (8th Floor) on (04/07/2022)
7. We have updated OC from Rera for Wing B &amp; C (On 14/05/2023).
8. We have updated OC for Type A (On 06/07/2025).
6. On site, we meet Mr. Patel - 9665393600/ 9819242190/ 8928730617</t>
  </si>
  <si>
    <t>Wheather the construction is as per approved Building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</si>
</sst>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000000"/>
      <name val="Times New Roman"/>
      <family val="1"/>
    </font>
    <font>
      <b/>
      <sz val="11"/>
      <color rgb="FF000000"/>
      <name val="Times New Roman"/>
      <family val="1"/>
    </font>
    <font>
      <b/>
      <sz val="11"/>
      <color theme="1"/>
      <name val="Times New Roman"/>
      <family val="1"/>
    </font>
    <font>
      <sz val="12"/>
      <color theme="1"/>
      <name val="Times New Roman"/>
      <family val="1"/>
    </font>
    <font>
      <b/>
      <sz val="12"/>
      <color theme="1"/>
      <name val="Times New Roman"/>
      <family val="1"/>
    </font>
    <font>
      <sz val="12"/>
      <name val="Times New Roman"/>
      <family val="1"/>
    </font>
    <font>
      <b/>
      <sz val="12"/>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xf numFmtId="0" fontId="14" fillId="0" borderId="0"/>
    <xf numFmtId="9" fontId="4" fillId="0" borderId="0" applyFont="0" applyFill="0" applyBorder="0" applyAlignment="0" applyProtection="0"/>
    <xf numFmtId="0" fontId="23" fillId="0" borderId="0" applyNumberFormat="0" applyFill="0" applyBorder="0" applyAlignment="0" applyProtection="0"/>
  </cellStyleXfs>
  <cellXfs count="238">
    <xf numFmtId="0" fontId="0" fillId="0" borderId="0" xfId="0"/>
    <xf numFmtId="0" fontId="1" fillId="0" borderId="0" xfId="1"/>
    <xf numFmtId="0" fontId="3" fillId="0" borderId="1" xfId="0" applyFont="1" applyBorder="1" applyAlignment="1">
      <alignment vertical="top"/>
    </xf>
    <xf numFmtId="0" fontId="5"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5" fillId="0" borderId="2" xfId="0" applyFont="1" applyBorder="1"/>
    <xf numFmtId="0" fontId="0" fillId="0" borderId="3" xfId="0" applyBorder="1"/>
    <xf numFmtId="0" fontId="0" fillId="3" borderId="2" xfId="0" applyFill="1" applyBorder="1"/>
    <xf numFmtId="0" fontId="15" fillId="0" borderId="2" xfId="0" applyFont="1" applyBorder="1" applyAlignment="1">
      <alignment horizontal="center"/>
    </xf>
    <xf numFmtId="1" fontId="10" fillId="0" borderId="2" xfId="0" applyNumberFormat="1" applyFont="1" applyBorder="1" applyAlignment="1">
      <alignment horizontal="center" vertical="center" wrapText="1"/>
    </xf>
    <xf numFmtId="1" fontId="13" fillId="0" borderId="2" xfId="0" applyNumberFormat="1" applyFont="1" applyBorder="1" applyAlignment="1">
      <alignment horizontal="center" vertical="top" wrapText="1"/>
    </xf>
    <xf numFmtId="0" fontId="13"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3" fillId="0" borderId="1" xfId="0" applyFont="1" applyBorder="1" applyAlignment="1">
      <alignment vertical="top" wrapText="1"/>
    </xf>
    <xf numFmtId="2" fontId="0" fillId="0" borderId="2" xfId="0" applyNumberFormat="1" applyBorder="1"/>
    <xf numFmtId="2" fontId="0" fillId="0" borderId="0" xfId="0" applyNumberFormat="1"/>
    <xf numFmtId="0" fontId="16" fillId="0" borderId="2" xfId="0" applyFont="1" applyBorder="1"/>
    <xf numFmtId="0" fontId="16" fillId="0" borderId="0" xfId="0" applyFont="1"/>
    <xf numFmtId="0" fontId="16" fillId="3" borderId="2" xfId="0" applyFont="1" applyFill="1" applyBorder="1"/>
    <xf numFmtId="0" fontId="16" fillId="0" borderId="2" xfId="0" applyFont="1" applyBorder="1" applyAlignment="1">
      <alignment horizontal="center"/>
    </xf>
    <xf numFmtId="0" fontId="16" fillId="3" borderId="2" xfId="0" applyFont="1" applyFill="1" applyBorder="1" applyAlignment="1">
      <alignment horizontal="center"/>
    </xf>
    <xf numFmtId="9" fontId="16" fillId="0" borderId="0" xfId="3" applyFont="1" applyBorder="1"/>
    <xf numFmtId="0" fontId="17" fillId="0" borderId="2" xfId="0" applyFont="1" applyBorder="1" applyAlignment="1">
      <alignment horizontal="center"/>
    </xf>
    <xf numFmtId="0" fontId="16" fillId="0" borderId="0" xfId="0" applyFont="1" applyAlignment="1">
      <alignment horizontal="right"/>
    </xf>
    <xf numFmtId="0" fontId="16" fillId="0" borderId="0" xfId="0" applyFont="1" applyAlignment="1">
      <alignment wrapText="1"/>
    </xf>
    <xf numFmtId="9" fontId="17" fillId="0" borderId="2" xfId="3" applyFont="1" applyBorder="1"/>
    <xf numFmtId="9" fontId="16" fillId="0" borderId="0" xfId="0" applyNumberFormat="1" applyFont="1"/>
    <xf numFmtId="0" fontId="18" fillId="0" borderId="2" xfId="0" applyFont="1" applyBorder="1" applyAlignment="1">
      <alignment horizontal="center"/>
    </xf>
    <xf numFmtId="0" fontId="18" fillId="0" borderId="0" xfId="0" applyFont="1" applyAlignment="1">
      <alignment horizontal="center"/>
    </xf>
    <xf numFmtId="0" fontId="16" fillId="0" borderId="4" xfId="0" applyFont="1" applyBorder="1"/>
    <xf numFmtId="0" fontId="16" fillId="0" borderId="2" xfId="0" applyFont="1" applyBorder="1" applyAlignment="1">
      <alignment wrapText="1"/>
    </xf>
    <xf numFmtId="0" fontId="19" fillId="0" borderId="14" xfId="2" applyFont="1" applyBorder="1" applyProtection="1">
      <protection hidden="1"/>
    </xf>
    <xf numFmtId="0" fontId="19" fillId="0" borderId="15" xfId="2" applyFont="1" applyBorder="1" applyProtection="1">
      <protection hidden="1"/>
    </xf>
    <xf numFmtId="0" fontId="19" fillId="0" borderId="0" xfId="2" applyFont="1" applyProtection="1">
      <protection hidden="1"/>
    </xf>
    <xf numFmtId="0" fontId="19" fillId="0" borderId="16" xfId="2" applyFont="1" applyBorder="1" applyProtection="1">
      <protection hidden="1"/>
    </xf>
    <xf numFmtId="0" fontId="19" fillId="0" borderId="2" xfId="2" applyFont="1" applyBorder="1" applyAlignment="1" applyProtection="1">
      <alignment horizontal="center" vertical="top" wrapText="1"/>
      <protection locked="0"/>
    </xf>
    <xf numFmtId="0" fontId="19" fillId="0" borderId="0" xfId="2" applyFont="1"/>
    <xf numFmtId="0" fontId="19" fillId="0" borderId="16" xfId="2" applyFont="1" applyBorder="1"/>
    <xf numFmtId="0" fontId="16" fillId="0" borderId="0" xfId="0" applyFont="1" applyProtection="1">
      <protection hidden="1"/>
    </xf>
    <xf numFmtId="9" fontId="16" fillId="0" borderId="0" xfId="0" applyNumberFormat="1" applyFont="1" applyProtection="1">
      <protection hidden="1"/>
    </xf>
    <xf numFmtId="0" fontId="16" fillId="0" borderId="16" xfId="0" applyFont="1" applyBorder="1" applyProtection="1">
      <protection hidden="1"/>
    </xf>
    <xf numFmtId="0" fontId="0" fillId="0" borderId="22" xfId="0" applyBorder="1"/>
    <xf numFmtId="0" fontId="0" fillId="0" borderId="23" xfId="0" applyBorder="1"/>
    <xf numFmtId="0" fontId="19" fillId="0" borderId="2" xfId="2" applyFont="1" applyBorder="1" applyAlignment="1" applyProtection="1">
      <alignment horizontal="center" vertical="top"/>
      <protection locked="0"/>
    </xf>
    <xf numFmtId="0" fontId="19" fillId="0" borderId="2" xfId="2" applyFont="1" applyBorder="1" applyAlignment="1" applyProtection="1">
      <alignment horizontal="center" wrapText="1"/>
      <protection locked="0"/>
    </xf>
    <xf numFmtId="1" fontId="19" fillId="0" borderId="2" xfId="2" applyNumberFormat="1" applyFont="1" applyBorder="1" applyAlignment="1" applyProtection="1">
      <alignment horizontal="center" wrapText="1"/>
      <protection locked="0"/>
    </xf>
    <xf numFmtId="0" fontId="19" fillId="0" borderId="20" xfId="2" applyFont="1" applyBorder="1" applyAlignment="1" applyProtection="1">
      <alignment horizontal="center" wrapText="1"/>
      <protection locked="0"/>
    </xf>
    <xf numFmtId="1" fontId="21" fillId="0" borderId="2" xfId="2" applyNumberFormat="1" applyFont="1" applyBorder="1" applyAlignment="1" applyProtection="1">
      <alignment horizontal="center" wrapText="1"/>
      <protection locked="0"/>
    </xf>
    <xf numFmtId="1" fontId="0" fillId="0" borderId="0" xfId="0" applyNumberFormat="1"/>
    <xf numFmtId="1" fontId="0" fillId="0" borderId="2" xfId="0" applyNumberFormat="1" applyBorder="1"/>
    <xf numFmtId="0" fontId="2" fillId="2" borderId="2" xfId="0" applyFont="1" applyFill="1" applyBorder="1" applyAlignment="1">
      <alignment vertical="top"/>
    </xf>
    <xf numFmtId="0" fontId="19" fillId="0" borderId="29" xfId="2" applyFont="1" applyBorder="1" applyAlignment="1" applyProtection="1">
      <alignment horizontal="center" vertical="top" wrapText="1"/>
      <protection locked="0"/>
    </xf>
    <xf numFmtId="0" fontId="3" fillId="0" borderId="1" xfId="0" applyFont="1" applyBorder="1" applyAlignment="1">
      <alignment horizontal="left" vertical="top"/>
    </xf>
    <xf numFmtId="0" fontId="3" fillId="0" borderId="12" xfId="0" applyFont="1" applyBorder="1" applyAlignment="1">
      <alignment horizontal="left" vertical="top"/>
    </xf>
    <xf numFmtId="0" fontId="23" fillId="0" borderId="1" xfId="4"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2" fillId="2" borderId="1" xfId="0" applyFont="1" applyFill="1" applyBorder="1" applyAlignment="1">
      <alignment horizontal="left" vertical="top" wrapText="1"/>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14" fontId="2" fillId="2" borderId="1" xfId="0" applyNumberFormat="1" applyFont="1" applyFill="1" applyBorder="1" applyAlignment="1">
      <alignment horizontal="left" vertical="top"/>
    </xf>
    <xf numFmtId="14" fontId="2" fillId="2" borderId="11" xfId="0" applyNumberFormat="1" applyFont="1" applyFill="1" applyBorder="1" applyAlignment="1">
      <alignment horizontal="left" vertical="top"/>
    </xf>
    <xf numFmtId="14" fontId="2" fillId="2" borderId="12" xfId="0" applyNumberFormat="1" applyFont="1" applyFill="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2" borderId="1"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14" fontId="3" fillId="2" borderId="1" xfId="0" applyNumberFormat="1" applyFont="1" applyFill="1" applyBorder="1" applyAlignment="1">
      <alignment horizontal="left" vertical="top"/>
    </xf>
    <xf numFmtId="14" fontId="3" fillId="2" borderId="11" xfId="0" applyNumberFormat="1" applyFont="1" applyFill="1" applyBorder="1" applyAlignment="1">
      <alignment horizontal="left" vertical="top"/>
    </xf>
    <xf numFmtId="14" fontId="3" fillId="2" borderId="12" xfId="0" applyNumberFormat="1" applyFont="1" applyFill="1" applyBorder="1" applyAlignment="1">
      <alignment horizontal="left" vertical="top"/>
    </xf>
    <xf numFmtId="0" fontId="3" fillId="2" borderId="1"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14" fontId="3" fillId="2" borderId="1" xfId="0" applyNumberFormat="1" applyFont="1" applyFill="1" applyBorder="1" applyAlignment="1">
      <alignment horizontal="left" vertical="top" wrapText="1"/>
    </xf>
    <xf numFmtId="1" fontId="10" fillId="0" borderId="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0" fillId="0" borderId="2" xfId="0" applyNumberFormat="1" applyBorder="1" applyAlignment="1">
      <alignment horizontal="center"/>
    </xf>
    <xf numFmtId="1" fontId="0" fillId="0" borderId="1" xfId="0" applyNumberFormat="1" applyBorder="1" applyAlignment="1">
      <alignment horizontal="center"/>
    </xf>
    <xf numFmtId="1" fontId="0" fillId="0" borderId="12" xfId="0" applyNumberFormat="1" applyBorder="1" applyAlignment="1">
      <alignment horizontal="center"/>
    </xf>
    <xf numFmtId="1" fontId="6" fillId="0" borderId="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9" fillId="0" borderId="17" xfId="2" applyFont="1" applyBorder="1" applyAlignment="1" applyProtection="1">
      <alignment horizontal="center" vertical="top" wrapText="1"/>
      <protection locked="0"/>
    </xf>
    <xf numFmtId="0" fontId="19" fillId="0" borderId="2" xfId="2" applyFont="1" applyBorder="1" applyAlignment="1" applyProtection="1">
      <alignment horizontal="center" vertical="top" wrapText="1"/>
      <protection locked="0"/>
    </xf>
    <xf numFmtId="9" fontId="19" fillId="2" borderId="2" xfId="2" applyNumberFormat="1" applyFont="1" applyFill="1" applyBorder="1" applyAlignment="1" applyProtection="1">
      <alignment horizontal="center" vertical="center" wrapText="1"/>
      <protection hidden="1"/>
    </xf>
    <xf numFmtId="9" fontId="19" fillId="2" borderId="20" xfId="2" applyNumberFormat="1" applyFont="1" applyFill="1" applyBorder="1" applyAlignment="1" applyProtection="1">
      <alignment horizontal="center" vertical="center" wrapText="1"/>
      <protection hidden="1"/>
    </xf>
    <xf numFmtId="9" fontId="19" fillId="2" borderId="18" xfId="2" applyNumberFormat="1" applyFont="1" applyFill="1" applyBorder="1" applyAlignment="1" applyProtection="1">
      <alignment horizontal="center" vertical="center" wrapText="1"/>
      <protection hidden="1"/>
    </xf>
    <xf numFmtId="9" fontId="19" fillId="2" borderId="21" xfId="2" applyNumberFormat="1" applyFont="1" applyFill="1" applyBorder="1" applyAlignment="1" applyProtection="1">
      <alignment horizontal="center" vertical="center" wrapText="1"/>
      <protection hidden="1"/>
    </xf>
    <xf numFmtId="0" fontId="19" fillId="0" borderId="19" xfId="2" applyFont="1" applyBorder="1" applyAlignment="1" applyProtection="1">
      <alignment horizontal="center" vertical="top" wrapText="1"/>
      <protection locked="0"/>
    </xf>
    <xf numFmtId="0" fontId="19" fillId="0" borderId="20" xfId="2" applyFont="1" applyBorder="1" applyAlignment="1" applyProtection="1">
      <alignment horizontal="center" vertical="top" wrapText="1"/>
      <protection locked="0"/>
    </xf>
    <xf numFmtId="0" fontId="19" fillId="0" borderId="17" xfId="2" applyFont="1" applyBorder="1" applyAlignment="1" applyProtection="1">
      <alignment horizontal="center" vertical="top"/>
      <protection locked="0"/>
    </xf>
    <xf numFmtId="0" fontId="19" fillId="0" borderId="2" xfId="2" applyFont="1" applyBorder="1" applyAlignment="1" applyProtection="1">
      <alignment horizontal="center" vertical="top"/>
      <protection locked="0"/>
    </xf>
    <xf numFmtId="0" fontId="3" fillId="0" borderId="2" xfId="0" applyFont="1" applyBorder="1" applyAlignment="1">
      <alignment horizontal="left" vertical="top" wrapText="1"/>
    </xf>
    <xf numFmtId="0" fontId="20" fillId="0" borderId="24" xfId="2" applyFont="1" applyBorder="1" applyAlignment="1" applyProtection="1">
      <alignment horizontal="left" vertical="top" wrapText="1"/>
      <protection locked="0"/>
    </xf>
    <xf numFmtId="0" fontId="20" fillId="0" borderId="25" xfId="2" applyFont="1" applyBorder="1" applyAlignment="1" applyProtection="1">
      <alignment horizontal="left" vertical="top" wrapText="1"/>
      <protection locked="0"/>
    </xf>
    <xf numFmtId="0" fontId="20" fillId="0" borderId="26" xfId="2" applyFont="1" applyBorder="1" applyAlignment="1" applyProtection="1">
      <alignment horizontal="left" vertical="top" wrapText="1"/>
      <protection locked="0"/>
    </xf>
    <xf numFmtId="0" fontId="19" fillId="0" borderId="18" xfId="2" applyFont="1" applyBorder="1" applyAlignment="1" applyProtection="1">
      <alignment horizontal="center" vertical="top"/>
      <protection locked="0"/>
    </xf>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left" vertical="top" wrapText="1"/>
    </xf>
    <xf numFmtId="0" fontId="20" fillId="0" borderId="17" xfId="2" applyFont="1" applyBorder="1" applyAlignment="1" applyProtection="1">
      <alignment horizontal="left" vertical="top"/>
      <protection locked="0"/>
    </xf>
    <xf numFmtId="0" fontId="20" fillId="0" borderId="2" xfId="2" applyFont="1" applyBorder="1" applyAlignment="1" applyProtection="1">
      <alignment horizontal="left" vertical="top"/>
      <protection locked="0"/>
    </xf>
    <xf numFmtId="0" fontId="20" fillId="0" borderId="1" xfId="2" applyFont="1" applyBorder="1" applyAlignment="1" applyProtection="1">
      <alignment horizontal="left" vertical="top" wrapText="1"/>
      <protection locked="0"/>
    </xf>
    <xf numFmtId="0" fontId="20" fillId="0" borderId="11" xfId="2" applyFont="1" applyBorder="1" applyAlignment="1" applyProtection="1">
      <alignment horizontal="left" vertical="top" wrapText="1"/>
      <protection locked="0"/>
    </xf>
    <xf numFmtId="0" fontId="20" fillId="0" borderId="27" xfId="2" applyFont="1" applyBorder="1" applyAlignment="1" applyProtection="1">
      <alignment horizontal="left" vertical="top" wrapText="1"/>
      <protection locked="0"/>
    </xf>
    <xf numFmtId="0" fontId="19" fillId="0" borderId="18" xfId="2" applyFont="1" applyBorder="1" applyAlignment="1" applyProtection="1">
      <alignment horizontal="center" vertical="top" wrapText="1"/>
      <protection locked="0"/>
    </xf>
    <xf numFmtId="0" fontId="19" fillId="0" borderId="28" xfId="2" applyFont="1" applyBorder="1" applyAlignment="1" applyProtection="1">
      <alignment horizontal="center" vertical="top" wrapText="1"/>
      <protection locked="0"/>
    </xf>
    <xf numFmtId="0" fontId="19" fillId="0" borderId="29" xfId="2" applyFont="1" applyBorder="1" applyAlignment="1" applyProtection="1">
      <alignment horizontal="center" vertical="top" wrapText="1"/>
      <protection locked="0"/>
    </xf>
    <xf numFmtId="0" fontId="19" fillId="0" borderId="30" xfId="2" applyFont="1" applyBorder="1" applyAlignment="1" applyProtection="1">
      <alignment horizontal="center" vertical="top" wrapText="1"/>
      <protection locked="0"/>
    </xf>
    <xf numFmtId="0" fontId="22" fillId="0" borderId="2" xfId="2" applyFont="1" applyBorder="1" applyAlignment="1" applyProtection="1">
      <alignment horizontal="center" vertical="center" wrapText="1"/>
      <protection locked="0"/>
    </xf>
    <xf numFmtId="9" fontId="22" fillId="0" borderId="2" xfId="2" applyNumberFormat="1" applyFont="1" applyBorder="1" applyAlignment="1" applyProtection="1">
      <alignment horizontal="center" vertical="center" wrapText="1"/>
      <protection locked="0"/>
    </xf>
    <xf numFmtId="0" fontId="5" fillId="0" borderId="11" xfId="0" applyFont="1" applyBorder="1" applyAlignment="1">
      <alignment horizontal="left" vertical="top"/>
    </xf>
    <xf numFmtId="0" fontId="5" fillId="0" borderId="12" xfId="0" applyFont="1" applyBorder="1" applyAlignment="1">
      <alignment horizontal="left" vertical="top"/>
    </xf>
    <xf numFmtId="1" fontId="6" fillId="0" borderId="5"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3" fillId="0" borderId="11"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3"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2" xfId="0" applyFont="1" applyBorder="1" applyAlignment="1">
      <alignment horizontal="left" vertical="top" wrapText="1"/>
    </xf>
    <xf numFmtId="0" fontId="5" fillId="0" borderId="1" xfId="0" applyFont="1" applyBorder="1" applyAlignment="1">
      <alignment horizontal="left" vertical="top"/>
    </xf>
    <xf numFmtId="0" fontId="2" fillId="0" borderId="5" xfId="0" applyFont="1" applyBorder="1" applyAlignment="1">
      <alignment horizontal="center" vertical="top" wrapText="1"/>
    </xf>
    <xf numFmtId="0" fontId="2" fillId="0" borderId="13"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3" xfId="0" applyFont="1" applyBorder="1" applyAlignment="1">
      <alignment horizontal="center" vertical="top" wrapText="1"/>
    </xf>
    <xf numFmtId="0" fontId="2" fillId="0" borderId="10" xfId="0"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12" xfId="0" applyNumberFormat="1" applyFont="1" applyBorder="1" applyAlignment="1">
      <alignment horizontal="center" vertical="top" wrapText="1"/>
    </xf>
    <xf numFmtId="0" fontId="5" fillId="0" borderId="1"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9" fillId="0" borderId="11" xfId="0" applyFont="1" applyBorder="1" applyAlignment="1">
      <alignment horizontal="left" vertical="top" wrapText="1"/>
    </xf>
    <xf numFmtId="0" fontId="2" fillId="0" borderId="2" xfId="1" applyFont="1" applyBorder="1" applyAlignment="1">
      <alignment horizontal="left" vertical="top" wrapText="1"/>
    </xf>
    <xf numFmtId="0" fontId="2" fillId="0" borderId="1"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9" fillId="0" borderId="1" xfId="0" applyFont="1" applyBorder="1" applyAlignment="1">
      <alignment horizontal="center" vertical="top"/>
    </xf>
    <xf numFmtId="0" fontId="9" fillId="0" borderId="12" xfId="0" applyFont="1" applyBorder="1" applyAlignment="1">
      <alignment horizontal="center" vertical="top"/>
    </xf>
    <xf numFmtId="14" fontId="3" fillId="0" borderId="2" xfId="0" applyNumberFormat="1" applyFont="1" applyBorder="1" applyAlignment="1">
      <alignment horizontal="left" vertical="top"/>
    </xf>
    <xf numFmtId="0" fontId="3" fillId="0" borderId="2" xfId="0" applyFont="1" applyBorder="1" applyAlignment="1">
      <alignment horizontal="left" vertical="top"/>
    </xf>
    <xf numFmtId="0" fontId="9" fillId="0" borderId="1"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2" fontId="3" fillId="0" borderId="1" xfId="0" applyNumberFormat="1" applyFont="1" applyBorder="1" applyAlignment="1">
      <alignment horizontal="left" vertical="top"/>
    </xf>
    <xf numFmtId="2" fontId="3" fillId="0" borderId="11" xfId="0" applyNumberFormat="1" applyFont="1" applyBorder="1" applyAlignment="1">
      <alignment horizontal="left" vertical="top"/>
    </xf>
    <xf numFmtId="2" fontId="3" fillId="0" borderId="12" xfId="0" applyNumberFormat="1" applyFont="1" applyBorder="1" applyAlignment="1">
      <alignment horizontal="left" vertical="top"/>
    </xf>
    <xf numFmtId="0" fontId="12" fillId="0" borderId="1"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14" fontId="3" fillId="0" borderId="1" xfId="0" applyNumberFormat="1" applyFont="1" applyBorder="1" applyAlignment="1">
      <alignment horizontal="left" vertical="top"/>
    </xf>
    <xf numFmtId="14" fontId="3" fillId="0" borderId="11" xfId="0" applyNumberFormat="1" applyFont="1" applyBorder="1" applyAlignment="1">
      <alignment horizontal="left" vertical="top"/>
    </xf>
    <xf numFmtId="14" fontId="3" fillId="0" borderId="12" xfId="0" applyNumberFormat="1" applyFont="1" applyBorder="1" applyAlignment="1">
      <alignment horizontal="left" vertical="top"/>
    </xf>
    <xf numFmtId="0" fontId="5" fillId="0" borderId="12" xfId="0" applyFont="1" applyBorder="1" applyAlignment="1">
      <alignment horizontal="center" vertical="top"/>
    </xf>
    <xf numFmtId="0" fontId="5" fillId="0" borderId="1" xfId="0" applyFont="1" applyBorder="1" applyAlignment="1">
      <alignment horizontal="center" vertical="top"/>
    </xf>
    <xf numFmtId="0" fontId="3" fillId="0" borderId="5" xfId="0" applyFont="1" applyBorder="1" applyAlignment="1">
      <alignment horizontal="left" vertical="top"/>
    </xf>
    <xf numFmtId="0" fontId="3" fillId="0" borderId="13"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1" xfId="0" applyFont="1" applyBorder="1" applyAlignment="1">
      <alignment vertical="top"/>
    </xf>
    <xf numFmtId="0" fontId="3"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1" xfId="0" applyFont="1" applyBorder="1" applyAlignment="1">
      <alignment vertical="top"/>
    </xf>
    <xf numFmtId="0" fontId="3" fillId="0" borderId="12" xfId="0" applyFont="1" applyBorder="1" applyAlignment="1">
      <alignment vertical="top"/>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2" fillId="0" borderId="1"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3" fillId="2" borderId="2" xfId="0" applyFont="1" applyFill="1" applyBorder="1" applyAlignment="1">
      <alignment horizontal="left" vertical="top"/>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0" fillId="0" borderId="12" xfId="0" applyBorder="1" applyAlignment="1">
      <alignment horizontal="left"/>
    </xf>
    <xf numFmtId="1" fontId="22" fillId="0" borderId="5" xfId="0" applyNumberFormat="1" applyFont="1" applyBorder="1" applyAlignment="1">
      <alignment horizontal="center" vertical="center" wrapText="1"/>
    </xf>
    <xf numFmtId="1" fontId="22" fillId="0" borderId="13"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0" fontId="8" fillId="0" borderId="5" xfId="0" applyFont="1" applyBorder="1" applyAlignment="1">
      <alignment vertical="top" wrapText="1"/>
    </xf>
    <xf numFmtId="0" fontId="8" fillId="0" borderId="13"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2" fontId="3" fillId="0" borderId="1" xfId="0" applyNumberFormat="1" applyFont="1" applyBorder="1" applyAlignment="1">
      <alignment horizontal="center" vertical="top"/>
    </xf>
    <xf numFmtId="2" fontId="3" fillId="0" borderId="12" xfId="0" applyNumberFormat="1" applyFont="1" applyBorder="1" applyAlignment="1">
      <alignment horizontal="center" vertical="top"/>
    </xf>
    <xf numFmtId="0" fontId="7" fillId="0" borderId="1" xfId="0" applyFont="1" applyBorder="1" applyAlignment="1">
      <alignment horizontal="left" vertical="top"/>
    </xf>
    <xf numFmtId="0" fontId="9" fillId="2" borderId="1" xfId="0" applyFont="1" applyFill="1" applyBorder="1" applyAlignment="1">
      <alignment horizontal="left" vertical="top"/>
    </xf>
    <xf numFmtId="0" fontId="9" fillId="2" borderId="11" xfId="0" applyFont="1" applyFill="1" applyBorder="1" applyAlignment="1">
      <alignment horizontal="left" vertical="top"/>
    </xf>
    <xf numFmtId="0" fontId="9" fillId="2" borderId="12" xfId="0" applyFont="1" applyFill="1" applyBorder="1" applyAlignment="1">
      <alignment horizontal="left" vertical="top"/>
    </xf>
    <xf numFmtId="1" fontId="2" fillId="0" borderId="1" xfId="0" applyNumberFormat="1" applyFont="1" applyBorder="1" applyAlignment="1">
      <alignment horizontal="center" vertical="top" wrapText="1"/>
    </xf>
    <xf numFmtId="1" fontId="2" fillId="0" borderId="12" xfId="0" applyNumberFormat="1" applyFont="1" applyBorder="1" applyAlignment="1">
      <alignment horizontal="center" vertical="top" wrapText="1"/>
    </xf>
    <xf numFmtId="0" fontId="0" fillId="3" borderId="2" xfId="0" applyFill="1" applyBorder="1" applyAlignment="1">
      <alignment horizontal="center" wrapText="1"/>
    </xf>
    <xf numFmtId="0" fontId="15" fillId="0" borderId="2" xfId="0" applyFont="1" applyBorder="1" applyAlignment="1">
      <alignment horizontal="center"/>
    </xf>
    <xf numFmtId="0" fontId="16" fillId="0" borderId="2" xfId="0" applyFont="1" applyBorder="1" applyAlignment="1">
      <alignment horizontal="left"/>
    </xf>
    <xf numFmtId="0" fontId="16" fillId="0" borderId="2" xfId="0" applyFont="1" applyBorder="1" applyAlignment="1">
      <alignment horizontal="center"/>
    </xf>
    <xf numFmtId="0" fontId="16" fillId="3" borderId="2" xfId="0" applyFont="1" applyFill="1" applyBorder="1" applyAlignment="1">
      <alignment horizontal="center"/>
    </xf>
    <xf numFmtId="0" fontId="17" fillId="0" borderId="2" xfId="0" applyFont="1" applyBorder="1" applyAlignment="1">
      <alignment horizontal="center"/>
    </xf>
    <xf numFmtId="0" fontId="2" fillId="0" borderId="2" xfId="0" applyFont="1" applyBorder="1" applyAlignment="1">
      <alignment horizontal="left" vertical="top"/>
    </xf>
    <xf numFmtId="14" fontId="3" fillId="2" borderId="2" xfId="0" applyNumberFormat="1" applyFont="1" applyFill="1" applyBorder="1" applyAlignment="1">
      <alignment horizontal="left" vertical="top"/>
    </xf>
    <xf numFmtId="0" fontId="3" fillId="2" borderId="2"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cellXfs>
  <cellStyles count="5">
    <cellStyle name="Excel Built-in Normal" xfId="1"/>
    <cellStyle name="Hyperlink" xfId="4" builtinId="8"/>
    <cellStyle name="Normal" xfId="0" builtinId="0"/>
    <cellStyle name="Normal 3"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601870</xdr:colOff>
      <xdr:row>335</xdr:row>
      <xdr:rowOff>15017</xdr:rowOff>
    </xdr:from>
    <xdr:to>
      <xdr:col>8</xdr:col>
      <xdr:colOff>124612</xdr:colOff>
      <xdr:row>350</xdr:row>
      <xdr:rowOff>37517</xdr:rowOff>
    </xdr:to>
    <xdr:pic>
      <xdr:nvPicPr>
        <xdr:cNvPr id="1347" name="Picture 5">
          <a:extLst>
            <a:ext uri="{FF2B5EF4-FFF2-40B4-BE49-F238E27FC236}">
              <a16:creationId xmlns:a16="http://schemas.microsoft.com/office/drawing/2014/main" id="{00000000-0008-0000-0000-00004305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249570" y="65562257"/>
          <a:ext cx="4254762" cy="2765700"/>
        </a:xfrm>
        <a:prstGeom prst="rect">
          <a:avLst/>
        </a:prstGeom>
        <a:noFill/>
        <a:ln w="1">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603550</xdr:colOff>
      <xdr:row>350</xdr:row>
      <xdr:rowOff>97044</xdr:rowOff>
    </xdr:from>
    <xdr:to>
      <xdr:col>8</xdr:col>
      <xdr:colOff>111558</xdr:colOff>
      <xdr:row>365</xdr:row>
      <xdr:rowOff>119544</xdr:rowOff>
    </xdr:to>
    <xdr:pic>
      <xdr:nvPicPr>
        <xdr:cNvPr id="1348" name="Picture 6">
          <a:extLst>
            <a:ext uri="{FF2B5EF4-FFF2-40B4-BE49-F238E27FC236}">
              <a16:creationId xmlns:a16="http://schemas.microsoft.com/office/drawing/2014/main" id="{00000000-0008-0000-0000-00004405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51250" y="68387484"/>
          <a:ext cx="4240028" cy="2765700"/>
        </a:xfrm>
        <a:prstGeom prst="rect">
          <a:avLst/>
        </a:prstGeom>
        <a:noFill/>
        <a:ln w="1">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104775</xdr:colOff>
      <xdr:row>286</xdr:row>
      <xdr:rowOff>63500</xdr:rowOff>
    </xdr:from>
    <xdr:to>
      <xdr:col>11</xdr:col>
      <xdr:colOff>125535</xdr:colOff>
      <xdr:row>287</xdr:row>
      <xdr:rowOff>153377</xdr:rowOff>
    </xdr:to>
    <xdr:sp macro="" textlink="">
      <xdr:nvSpPr>
        <xdr:cNvPr id="27" name="TextBox 26">
          <a:extLst>
            <a:ext uri="{FF2B5EF4-FFF2-40B4-BE49-F238E27FC236}">
              <a16:creationId xmlns:a16="http://schemas.microsoft.com/office/drawing/2014/main" id="{2F48D761-21C1-86C1-1347-C10B7C8D1960}"/>
            </a:ext>
          </a:extLst>
        </xdr:cNvPr>
        <xdr:cNvSpPr txBox="1"/>
      </xdr:nvSpPr>
      <xdr:spPr>
        <a:xfrm>
          <a:off x="6019800" y="58461275"/>
          <a:ext cx="258885" cy="280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A</a:t>
          </a:r>
        </a:p>
      </xdr:txBody>
    </xdr:sp>
    <xdr:clientData/>
  </xdr:twoCellAnchor>
  <xdr:twoCellAnchor>
    <xdr:from>
      <xdr:col>13</xdr:col>
      <xdr:colOff>590950</xdr:colOff>
      <xdr:row>286</xdr:row>
      <xdr:rowOff>63500</xdr:rowOff>
    </xdr:from>
    <xdr:to>
      <xdr:col>14</xdr:col>
      <xdr:colOff>195785</xdr:colOff>
      <xdr:row>287</xdr:row>
      <xdr:rowOff>153377</xdr:rowOff>
    </xdr:to>
    <xdr:sp macro="" textlink="">
      <xdr:nvSpPr>
        <xdr:cNvPr id="28" name="TextBox 27">
          <a:extLst>
            <a:ext uri="{FF2B5EF4-FFF2-40B4-BE49-F238E27FC236}">
              <a16:creationId xmlns:a16="http://schemas.microsoft.com/office/drawing/2014/main" id="{2F48D761-21C1-86C1-1347-C10B7C8D1960}"/>
            </a:ext>
          </a:extLst>
        </xdr:cNvPr>
        <xdr:cNvSpPr txBox="1"/>
      </xdr:nvSpPr>
      <xdr:spPr>
        <a:xfrm>
          <a:off x="8058550" y="58461275"/>
          <a:ext cx="214435" cy="280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a:t>
          </a:r>
        </a:p>
      </xdr:txBody>
    </xdr:sp>
    <xdr:clientData/>
  </xdr:twoCellAnchor>
  <xdr:twoCellAnchor>
    <xdr:from>
      <xdr:col>17</xdr:col>
      <xdr:colOff>121450</xdr:colOff>
      <xdr:row>286</xdr:row>
      <xdr:rowOff>63500</xdr:rowOff>
    </xdr:from>
    <xdr:to>
      <xdr:col>17</xdr:col>
      <xdr:colOff>380335</xdr:colOff>
      <xdr:row>287</xdr:row>
      <xdr:rowOff>153377</xdr:rowOff>
    </xdr:to>
    <xdr:sp macro="" textlink="">
      <xdr:nvSpPr>
        <xdr:cNvPr id="29" name="TextBox 28">
          <a:extLst>
            <a:ext uri="{FF2B5EF4-FFF2-40B4-BE49-F238E27FC236}">
              <a16:creationId xmlns:a16="http://schemas.microsoft.com/office/drawing/2014/main" id="{2F48D761-21C1-86C1-1347-C10B7C8D1960}"/>
            </a:ext>
          </a:extLst>
        </xdr:cNvPr>
        <xdr:cNvSpPr txBox="1"/>
      </xdr:nvSpPr>
      <xdr:spPr>
        <a:xfrm>
          <a:off x="10027450" y="58461275"/>
          <a:ext cx="258885" cy="280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C</a:t>
          </a:r>
        </a:p>
      </xdr:txBody>
    </xdr:sp>
    <xdr:clientData/>
  </xdr:twoCellAnchor>
  <xdr:twoCellAnchor>
    <xdr:from>
      <xdr:col>10</xdr:col>
      <xdr:colOff>161925</xdr:colOff>
      <xdr:row>288</xdr:row>
      <xdr:rowOff>114300</xdr:rowOff>
    </xdr:from>
    <xdr:to>
      <xdr:col>21</xdr:col>
      <xdr:colOff>138949</xdr:colOff>
      <xdr:row>326</xdr:row>
      <xdr:rowOff>109572</xdr:rowOff>
    </xdr:to>
    <xdr:grpSp>
      <xdr:nvGrpSpPr>
        <xdr:cNvPr id="2" name="Group 1"/>
        <xdr:cNvGrpSpPr/>
      </xdr:nvGrpSpPr>
      <xdr:grpSpPr>
        <a:xfrm>
          <a:off x="7496175" y="55695850"/>
          <a:ext cx="6447674" cy="6992972"/>
          <a:chOff x="419100" y="58912125"/>
          <a:chExt cx="6406399" cy="7234272"/>
        </a:xfrm>
      </xdr:grpSpPr>
      <xdr:pic>
        <xdr:nvPicPr>
          <xdr:cNvPr id="18" name="Picture 17" descr="https://vsjcllp.vsjadon.com/upload/insp-197373-843.jpg"/>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58420" y="61575261"/>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197373-845.jpg"/>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145436" y="63986397"/>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197373-844.jpg"/>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19100" y="63986397"/>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197373-847.jpg"/>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709833" y="61575261"/>
            <a:ext cx="3115666" cy="23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197373-849.jpg"/>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77291" y="58912125"/>
            <a:ext cx="19413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197373-874.jpg"/>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684319" y="58912125"/>
            <a:ext cx="19413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197373-871.jpg"/>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871772" y="63986397"/>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197373-880.jpg"/>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4757869" y="58912125"/>
            <a:ext cx="19413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431800</xdr:colOff>
      <xdr:row>288</xdr:row>
      <xdr:rowOff>114300</xdr:rowOff>
    </xdr:from>
    <xdr:to>
      <xdr:col>9</xdr:col>
      <xdr:colOff>793330</xdr:colOff>
      <xdr:row>331</xdr:row>
      <xdr:rowOff>74722</xdr:rowOff>
    </xdr:to>
    <xdr:grpSp>
      <xdr:nvGrpSpPr>
        <xdr:cNvPr id="3" name="Group 2"/>
        <xdr:cNvGrpSpPr/>
      </xdr:nvGrpSpPr>
      <xdr:grpSpPr>
        <a:xfrm>
          <a:off x="431800" y="55695850"/>
          <a:ext cx="6476580" cy="7878872"/>
          <a:chOff x="431800" y="55695850"/>
          <a:chExt cx="6476580" cy="7878872"/>
        </a:xfrm>
      </xdr:grpSpPr>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31800" y="55695850"/>
            <a:ext cx="2057724"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845290" y="58555286"/>
            <a:ext cx="2057724"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662099" y="61414722"/>
            <a:ext cx="161775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79613" y="61414722"/>
            <a:ext cx="1624519"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850656" y="55695850"/>
            <a:ext cx="2057724"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641228" y="58555286"/>
            <a:ext cx="2057724"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1800" y="58555286"/>
            <a:ext cx="2057724"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641228" y="55695850"/>
            <a:ext cx="2057724" cy="2736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nais2D5WcM238gS8?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4"/>
  <sheetViews>
    <sheetView tabSelected="1" view="pageBreakPreview" topLeftCell="A64" zoomScaleNormal="100" zoomScaleSheetLayoutView="100" workbookViewId="0">
      <selection activeCell="A110" sqref="A110:J110"/>
    </sheetView>
  </sheetViews>
  <sheetFormatPr defaultRowHeight="14.5" x14ac:dyDescent="0.35"/>
  <cols>
    <col min="1" max="1" width="9.453125" customWidth="1"/>
    <col min="2" max="2" width="12.453125" customWidth="1"/>
    <col min="3" max="3" width="12.54296875" customWidth="1"/>
    <col min="4" max="4" width="7.453125" customWidth="1"/>
    <col min="5" max="5" width="8.08984375" customWidth="1"/>
    <col min="6" max="6" width="10.90625" customWidth="1"/>
    <col min="7" max="7" width="9.453125" customWidth="1"/>
    <col min="8" max="8" width="8.08984375" customWidth="1"/>
    <col min="9" max="9" width="9.08984375" customWidth="1"/>
    <col min="10" max="10" width="17.453125" customWidth="1"/>
    <col min="11" max="11" width="3.54296875" customWidth="1"/>
    <col min="13" max="13" width="10.54296875" bestFit="1" customWidth="1"/>
  </cols>
  <sheetData>
    <row r="1" spans="1:10" ht="44.15" customHeight="1" x14ac:dyDescent="0.35">
      <c r="A1" s="161" t="s">
        <v>255</v>
      </c>
      <c r="B1" s="162"/>
      <c r="C1" s="162"/>
      <c r="D1" s="162"/>
      <c r="E1" s="162"/>
      <c r="F1" s="162"/>
      <c r="G1" s="162"/>
      <c r="H1" s="162"/>
      <c r="I1" s="162"/>
      <c r="J1" s="163"/>
    </row>
    <row r="2" spans="1:10" x14ac:dyDescent="0.35">
      <c r="A2" s="156" t="s">
        <v>46</v>
      </c>
      <c r="B2" s="157"/>
      <c r="C2" s="157"/>
      <c r="D2" s="157"/>
      <c r="E2" s="157"/>
      <c r="F2" s="157"/>
      <c r="G2" s="157"/>
      <c r="H2" s="157"/>
      <c r="I2" s="157"/>
      <c r="J2" s="158"/>
    </row>
    <row r="3" spans="1:10" x14ac:dyDescent="0.35">
      <c r="A3" s="139" t="s">
        <v>0</v>
      </c>
      <c r="B3" s="128"/>
      <c r="C3" s="128"/>
      <c r="D3" s="128"/>
      <c r="E3" s="129"/>
      <c r="F3" s="177" t="str">
        <f ca="1">TEXT(TODAY(),"DD/MM/YYYY")</f>
        <v>06/07/2025</v>
      </c>
      <c r="G3" s="178"/>
      <c r="H3" s="178"/>
      <c r="I3" s="178"/>
      <c r="J3" s="179"/>
    </row>
    <row r="4" spans="1:10" x14ac:dyDescent="0.35">
      <c r="A4" s="139" t="s">
        <v>1</v>
      </c>
      <c r="B4" s="128"/>
      <c r="C4" s="128"/>
      <c r="D4" s="128"/>
      <c r="E4" s="129"/>
      <c r="F4" s="57" t="s">
        <v>163</v>
      </c>
      <c r="G4" s="133"/>
      <c r="H4" s="133"/>
      <c r="I4" s="133"/>
      <c r="J4" s="58"/>
    </row>
    <row r="5" spans="1:10" x14ac:dyDescent="0.35">
      <c r="A5" s="139" t="s">
        <v>2</v>
      </c>
      <c r="B5" s="128"/>
      <c r="C5" s="128"/>
      <c r="D5" s="128"/>
      <c r="E5" s="129"/>
      <c r="F5" s="177">
        <v>45843</v>
      </c>
      <c r="G5" s="178"/>
      <c r="H5" s="178"/>
      <c r="I5" s="178"/>
      <c r="J5" s="179"/>
    </row>
    <row r="6" spans="1:10" ht="16.5" customHeight="1" x14ac:dyDescent="0.35">
      <c r="A6" s="139" t="s">
        <v>3</v>
      </c>
      <c r="B6" s="128"/>
      <c r="C6" s="128"/>
      <c r="D6" s="128"/>
      <c r="E6" s="129"/>
      <c r="F6" s="75" t="s">
        <v>135</v>
      </c>
      <c r="G6" s="116"/>
      <c r="H6" s="116"/>
      <c r="I6" s="116"/>
      <c r="J6" s="76"/>
    </row>
    <row r="7" spans="1:10" ht="15" customHeight="1" x14ac:dyDescent="0.35">
      <c r="A7" s="139" t="s">
        <v>4</v>
      </c>
      <c r="B7" s="128"/>
      <c r="C7" s="128"/>
      <c r="D7" s="128"/>
      <c r="E7" s="129"/>
      <c r="F7" s="75" t="s">
        <v>135</v>
      </c>
      <c r="G7" s="116"/>
      <c r="H7" s="116"/>
      <c r="I7" s="116"/>
      <c r="J7" s="76"/>
    </row>
    <row r="8" spans="1:10" x14ac:dyDescent="0.35">
      <c r="A8" s="139" t="s">
        <v>5</v>
      </c>
      <c r="B8" s="128"/>
      <c r="C8" s="128"/>
      <c r="D8" s="128"/>
      <c r="E8" s="129"/>
      <c r="F8" s="72" t="s">
        <v>136</v>
      </c>
      <c r="G8" s="73"/>
      <c r="H8" s="73"/>
      <c r="I8" s="73"/>
      <c r="J8" s="74"/>
    </row>
    <row r="9" spans="1:10" x14ac:dyDescent="0.35">
      <c r="A9" s="57" t="s">
        <v>101</v>
      </c>
      <c r="B9" s="128"/>
      <c r="C9" s="128"/>
      <c r="D9" s="128"/>
      <c r="E9" s="129"/>
      <c r="F9" s="168" t="s">
        <v>137</v>
      </c>
      <c r="G9" s="169"/>
      <c r="H9" s="169"/>
      <c r="I9" s="169"/>
      <c r="J9" s="170"/>
    </row>
    <row r="10" spans="1:10" ht="15.75" customHeight="1" x14ac:dyDescent="0.35">
      <c r="A10" s="57" t="s">
        <v>102</v>
      </c>
      <c r="B10" s="133"/>
      <c r="C10" s="133"/>
      <c r="D10" s="133"/>
      <c r="E10" s="58"/>
      <c r="F10" s="75" t="s">
        <v>225</v>
      </c>
      <c r="G10" s="116"/>
      <c r="H10" s="116"/>
      <c r="I10" s="116"/>
      <c r="J10" s="76"/>
    </row>
    <row r="11" spans="1:10" ht="17.25" customHeight="1" x14ac:dyDescent="0.35">
      <c r="A11" s="139" t="s">
        <v>6</v>
      </c>
      <c r="B11" s="128"/>
      <c r="C11" s="128"/>
      <c r="D11" s="128"/>
      <c r="E11" s="129"/>
      <c r="F11" s="75" t="s">
        <v>149</v>
      </c>
      <c r="G11" s="116"/>
      <c r="H11" s="116"/>
      <c r="I11" s="116"/>
      <c r="J11" s="76"/>
    </row>
    <row r="12" spans="1:10" ht="17.25" customHeight="1" x14ac:dyDescent="0.35">
      <c r="A12" s="57" t="s">
        <v>223</v>
      </c>
      <c r="B12" s="128"/>
      <c r="C12" s="128"/>
      <c r="D12" s="128"/>
      <c r="E12" s="129"/>
      <c r="F12" s="75" t="s">
        <v>249</v>
      </c>
      <c r="G12" s="116"/>
      <c r="H12" s="116"/>
      <c r="I12" s="116"/>
      <c r="J12" s="76"/>
    </row>
    <row r="13" spans="1:10" x14ac:dyDescent="0.35">
      <c r="A13" s="75" t="s">
        <v>161</v>
      </c>
      <c r="B13" s="76"/>
      <c r="C13" s="75" t="s">
        <v>138</v>
      </c>
      <c r="D13" s="116"/>
      <c r="E13" s="116"/>
      <c r="F13" s="116"/>
      <c r="G13" s="116"/>
      <c r="H13" s="116"/>
      <c r="I13" s="116"/>
      <c r="J13" s="76"/>
    </row>
    <row r="14" spans="1:10" ht="15" customHeight="1" x14ac:dyDescent="0.35">
      <c r="A14" s="2" t="s">
        <v>103</v>
      </c>
      <c r="B14" s="18" t="s">
        <v>140</v>
      </c>
      <c r="C14" s="57" t="s">
        <v>158</v>
      </c>
      <c r="D14" s="58"/>
      <c r="E14" s="199" t="s">
        <v>139</v>
      </c>
      <c r="F14" s="200"/>
      <c r="G14" s="201"/>
      <c r="H14" s="5" t="s">
        <v>61</v>
      </c>
      <c r="I14" s="75" t="s">
        <v>143</v>
      </c>
      <c r="J14" s="76"/>
    </row>
    <row r="15" spans="1:10" x14ac:dyDescent="0.35">
      <c r="A15" s="3" t="s">
        <v>7</v>
      </c>
      <c r="B15" s="168" t="s">
        <v>162</v>
      </c>
      <c r="C15" s="169"/>
      <c r="D15" s="169"/>
      <c r="E15" s="170"/>
      <c r="F15" s="4" t="s">
        <v>62</v>
      </c>
      <c r="G15" s="57" t="s">
        <v>142</v>
      </c>
      <c r="H15" s="133"/>
      <c r="I15" s="133"/>
      <c r="J15" s="58"/>
    </row>
    <row r="16" spans="1:10" x14ac:dyDescent="0.35">
      <c r="A16" s="3" t="s">
        <v>8</v>
      </c>
      <c r="B16" s="57" t="s">
        <v>141</v>
      </c>
      <c r="C16" s="133"/>
      <c r="D16" s="133"/>
      <c r="E16" s="58"/>
      <c r="F16" s="4" t="s">
        <v>63</v>
      </c>
      <c r="G16" s="57">
        <v>421501</v>
      </c>
      <c r="H16" s="133"/>
      <c r="I16" s="133"/>
      <c r="J16" s="58"/>
    </row>
    <row r="17" spans="1:10" ht="32.25" customHeight="1" x14ac:dyDescent="0.35">
      <c r="A17" s="167" t="s">
        <v>64</v>
      </c>
      <c r="B17" s="167"/>
      <c r="C17" s="205" t="s">
        <v>147</v>
      </c>
      <c r="D17" s="205"/>
      <c r="E17" s="205"/>
      <c r="F17" s="109" t="s">
        <v>53</v>
      </c>
      <c r="G17" s="109"/>
      <c r="H17" s="116" t="s">
        <v>148</v>
      </c>
      <c r="I17" s="116"/>
      <c r="J17" s="76"/>
    </row>
    <row r="18" spans="1:10" ht="15" customHeight="1" x14ac:dyDescent="0.35">
      <c r="A18" s="189" t="s">
        <v>122</v>
      </c>
      <c r="B18" s="192"/>
      <c r="C18" s="192"/>
      <c r="D18" s="192"/>
      <c r="E18" s="193"/>
      <c r="F18" s="182" t="s">
        <v>59</v>
      </c>
      <c r="G18" s="183"/>
      <c r="H18" s="183"/>
      <c r="I18" s="183"/>
      <c r="J18" s="184"/>
    </row>
    <row r="19" spans="1:10" ht="15.75" customHeight="1" x14ac:dyDescent="0.35">
      <c r="A19" s="206"/>
      <c r="B19" s="207"/>
      <c r="C19" s="207"/>
      <c r="D19" s="207"/>
      <c r="E19" s="208"/>
      <c r="F19" s="185"/>
      <c r="G19" s="186"/>
      <c r="H19" s="186"/>
      <c r="I19" s="186"/>
      <c r="J19" s="187"/>
    </row>
    <row r="20" spans="1:10" ht="15" customHeight="1" x14ac:dyDescent="0.35">
      <c r="A20" s="189" t="s">
        <v>104</v>
      </c>
      <c r="B20" s="190"/>
      <c r="C20" s="190"/>
      <c r="D20" s="190"/>
      <c r="E20" s="191"/>
      <c r="F20" s="189" t="s">
        <v>48</v>
      </c>
      <c r="G20" s="192"/>
      <c r="H20" s="192"/>
      <c r="I20" s="192"/>
      <c r="J20" s="193"/>
    </row>
    <row r="21" spans="1:10" x14ac:dyDescent="0.35">
      <c r="A21" s="139" t="s">
        <v>9</v>
      </c>
      <c r="B21" s="128"/>
      <c r="C21" s="128"/>
      <c r="D21" s="128"/>
      <c r="E21" s="129"/>
      <c r="F21" s="194" t="s">
        <v>131</v>
      </c>
      <c r="G21" s="195"/>
      <c r="H21" s="195"/>
      <c r="I21" s="195"/>
      <c r="J21" s="196"/>
    </row>
    <row r="22" spans="1:10" x14ac:dyDescent="0.35">
      <c r="A22" s="139" t="s">
        <v>10</v>
      </c>
      <c r="B22" s="128"/>
      <c r="C22" s="128"/>
      <c r="D22" s="128"/>
      <c r="E22" s="129"/>
      <c r="F22" s="188" t="s">
        <v>54</v>
      </c>
      <c r="G22" s="197"/>
      <c r="H22" s="197"/>
      <c r="I22" s="197"/>
      <c r="J22" s="198"/>
    </row>
    <row r="23" spans="1:10" x14ac:dyDescent="0.35">
      <c r="A23" s="139" t="s">
        <v>11</v>
      </c>
      <c r="B23" s="128"/>
      <c r="C23" s="128"/>
      <c r="D23" s="128"/>
      <c r="E23" s="129"/>
      <c r="F23" s="194" t="s">
        <v>132</v>
      </c>
      <c r="G23" s="195"/>
      <c r="H23" s="195"/>
      <c r="I23" s="195"/>
      <c r="J23" s="196"/>
    </row>
    <row r="24" spans="1:10" x14ac:dyDescent="0.35">
      <c r="A24" s="139" t="s">
        <v>28</v>
      </c>
      <c r="B24" s="128"/>
      <c r="C24" s="128"/>
      <c r="D24" s="128"/>
      <c r="E24" s="129"/>
      <c r="F24" s="188" t="s">
        <v>65</v>
      </c>
      <c r="G24" s="152"/>
      <c r="H24" s="152"/>
      <c r="I24" s="152"/>
      <c r="J24" s="153"/>
    </row>
    <row r="25" spans="1:10" x14ac:dyDescent="0.35">
      <c r="A25" s="181" t="s">
        <v>12</v>
      </c>
      <c r="B25" s="180"/>
      <c r="C25" s="181" t="s">
        <v>13</v>
      </c>
      <c r="D25" s="180"/>
      <c r="E25" s="136" t="s">
        <v>14</v>
      </c>
      <c r="F25" s="180"/>
      <c r="G25" s="136" t="s">
        <v>52</v>
      </c>
      <c r="H25" s="61"/>
      <c r="I25" s="181" t="s">
        <v>15</v>
      </c>
      <c r="J25" s="180"/>
    </row>
    <row r="26" spans="1:10" x14ac:dyDescent="0.35">
      <c r="A26" s="136" t="s">
        <v>16</v>
      </c>
      <c r="B26" s="61"/>
      <c r="C26" s="136" t="s">
        <v>51</v>
      </c>
      <c r="D26" s="61"/>
      <c r="E26" s="136" t="s">
        <v>51</v>
      </c>
      <c r="F26" s="61"/>
      <c r="G26" s="136" t="s">
        <v>51</v>
      </c>
      <c r="H26" s="61"/>
      <c r="I26" s="136" t="s">
        <v>51</v>
      </c>
      <c r="J26" s="61"/>
    </row>
    <row r="27" spans="1:10" ht="16.5" customHeight="1" x14ac:dyDescent="0.35">
      <c r="A27" s="181" t="s">
        <v>17</v>
      </c>
      <c r="B27" s="180"/>
      <c r="C27" s="136" t="s">
        <v>146</v>
      </c>
      <c r="D27" s="61"/>
      <c r="E27" s="136" t="s">
        <v>145</v>
      </c>
      <c r="F27" s="61"/>
      <c r="G27" s="136" t="s">
        <v>144</v>
      </c>
      <c r="H27" s="61"/>
      <c r="I27" s="136" t="s">
        <v>146</v>
      </c>
      <c r="J27" s="61"/>
    </row>
    <row r="28" spans="1:10" x14ac:dyDescent="0.35">
      <c r="A28" s="57" t="s">
        <v>58</v>
      </c>
      <c r="B28" s="133"/>
      <c r="C28" s="133"/>
      <c r="D28" s="133"/>
      <c r="E28" s="133"/>
      <c r="F28" s="133"/>
      <c r="G28" s="133"/>
      <c r="H28" s="133"/>
      <c r="I28" s="133"/>
      <c r="J28" s="58"/>
    </row>
    <row r="29" spans="1:10" x14ac:dyDescent="0.35">
      <c r="A29" s="57" t="s">
        <v>120</v>
      </c>
      <c r="B29" s="133"/>
      <c r="C29" s="133"/>
      <c r="D29" s="133"/>
      <c r="E29" s="133"/>
      <c r="F29" s="133"/>
      <c r="G29" s="133"/>
      <c r="H29" s="133"/>
      <c r="I29" s="133"/>
      <c r="J29" s="58"/>
    </row>
    <row r="30" spans="1:10" x14ac:dyDescent="0.35">
      <c r="A30" s="57" t="s">
        <v>41</v>
      </c>
      <c r="B30" s="58"/>
      <c r="C30" s="136" t="s">
        <v>42</v>
      </c>
      <c r="D30" s="61"/>
      <c r="E30" s="164">
        <v>19.214979</v>
      </c>
      <c r="F30" s="165"/>
      <c r="G30" s="164" t="s">
        <v>43</v>
      </c>
      <c r="H30" s="165"/>
      <c r="I30" s="164">
        <v>73.198878399999998</v>
      </c>
      <c r="J30" s="165"/>
    </row>
    <row r="31" spans="1:10" x14ac:dyDescent="0.35">
      <c r="A31" s="57" t="s">
        <v>251</v>
      </c>
      <c r="B31" s="58"/>
      <c r="C31" s="59" t="s">
        <v>252</v>
      </c>
      <c r="D31" s="60"/>
      <c r="E31" s="60"/>
      <c r="F31" s="60"/>
      <c r="G31" s="60"/>
      <c r="H31" s="60"/>
      <c r="I31" s="60"/>
      <c r="J31" s="61"/>
    </row>
    <row r="32" spans="1:10" x14ac:dyDescent="0.35">
      <c r="A32" s="72" t="s">
        <v>18</v>
      </c>
      <c r="B32" s="73"/>
      <c r="C32" s="73"/>
      <c r="D32" s="73"/>
      <c r="E32" s="73"/>
      <c r="F32" s="73"/>
      <c r="G32" s="73"/>
      <c r="H32" s="73"/>
      <c r="I32" s="73"/>
      <c r="J32" s="74"/>
    </row>
    <row r="33" spans="1:10" ht="15" customHeight="1" x14ac:dyDescent="0.35">
      <c r="A33" s="189" t="s">
        <v>159</v>
      </c>
      <c r="B33" s="192"/>
      <c r="C33" s="192"/>
      <c r="D33" s="192"/>
      <c r="E33" s="192"/>
      <c r="F33" s="192"/>
      <c r="G33" s="192"/>
      <c r="H33" s="192"/>
      <c r="I33" s="192"/>
      <c r="J33" s="193"/>
    </row>
    <row r="34" spans="1:10" x14ac:dyDescent="0.35">
      <c r="A34" s="206"/>
      <c r="B34" s="207"/>
      <c r="C34" s="207"/>
      <c r="D34" s="207"/>
      <c r="E34" s="207"/>
      <c r="F34" s="207"/>
      <c r="G34" s="207"/>
      <c r="H34" s="207"/>
      <c r="I34" s="207"/>
      <c r="J34" s="208"/>
    </row>
    <row r="35" spans="1:10" ht="16.5" customHeight="1" x14ac:dyDescent="0.35">
      <c r="A35" s="57" t="s">
        <v>66</v>
      </c>
      <c r="B35" s="128"/>
      <c r="C35" s="128"/>
      <c r="D35" s="128"/>
      <c r="E35" s="129"/>
      <c r="F35" s="137" t="s">
        <v>150</v>
      </c>
      <c r="G35" s="154"/>
      <c r="H35" s="154"/>
      <c r="I35" s="154"/>
      <c r="J35" s="138"/>
    </row>
    <row r="36" spans="1:10" x14ac:dyDescent="0.35">
      <c r="A36" s="57" t="s">
        <v>19</v>
      </c>
      <c r="B36" s="128"/>
      <c r="C36" s="128"/>
      <c r="D36" s="128"/>
      <c r="E36" s="129"/>
      <c r="F36" s="168">
        <v>1.1000000000000001</v>
      </c>
      <c r="G36" s="169"/>
      <c r="H36" s="169"/>
      <c r="I36" s="169"/>
      <c r="J36" s="170"/>
    </row>
    <row r="37" spans="1:10" x14ac:dyDescent="0.35">
      <c r="A37" s="139" t="s">
        <v>20</v>
      </c>
      <c r="B37" s="128"/>
      <c r="C37" s="128"/>
      <c r="D37" s="128"/>
      <c r="E37" s="129"/>
      <c r="F37" s="57">
        <v>0.54</v>
      </c>
      <c r="G37" s="133"/>
      <c r="H37" s="133"/>
      <c r="I37" s="133"/>
      <c r="J37" s="58"/>
    </row>
    <row r="38" spans="1:10" x14ac:dyDescent="0.35">
      <c r="A38" s="139" t="s">
        <v>21</v>
      </c>
      <c r="B38" s="128"/>
      <c r="C38" s="128"/>
      <c r="D38" s="128"/>
      <c r="E38" s="129"/>
      <c r="F38" s="57">
        <f>F36+F37</f>
        <v>1.6400000000000001</v>
      </c>
      <c r="G38" s="133"/>
      <c r="H38" s="133"/>
      <c r="I38" s="133"/>
      <c r="J38" s="58"/>
    </row>
    <row r="39" spans="1:10" x14ac:dyDescent="0.35">
      <c r="A39" s="57" t="s">
        <v>67</v>
      </c>
      <c r="B39" s="128"/>
      <c r="C39" s="128"/>
      <c r="D39" s="128"/>
      <c r="E39" s="129"/>
      <c r="F39" s="171">
        <v>8769.75</v>
      </c>
      <c r="G39" s="172"/>
      <c r="H39" s="172"/>
      <c r="I39" s="172"/>
      <c r="J39" s="173"/>
    </row>
    <row r="40" spans="1:10" x14ac:dyDescent="0.35">
      <c r="A40" s="139" t="s">
        <v>22</v>
      </c>
      <c r="B40" s="128"/>
      <c r="C40" s="128"/>
      <c r="D40" s="128"/>
      <c r="E40" s="129"/>
      <c r="F40" s="168" t="s">
        <v>224</v>
      </c>
      <c r="G40" s="169"/>
      <c r="H40" s="169"/>
      <c r="I40" s="169"/>
      <c r="J40" s="170"/>
    </row>
    <row r="41" spans="1:10" x14ac:dyDescent="0.35">
      <c r="A41" s="72" t="s">
        <v>68</v>
      </c>
      <c r="B41" s="73"/>
      <c r="C41" s="73"/>
      <c r="D41" s="73"/>
      <c r="E41" s="73"/>
      <c r="F41" s="73"/>
      <c r="G41" s="73"/>
      <c r="H41" s="73"/>
      <c r="I41" s="73"/>
      <c r="J41" s="74"/>
    </row>
    <row r="42" spans="1:10" x14ac:dyDescent="0.35">
      <c r="A42" s="72" t="s">
        <v>226</v>
      </c>
      <c r="B42" s="73"/>
      <c r="C42" s="73"/>
      <c r="D42" s="73"/>
      <c r="E42" s="73"/>
      <c r="F42" s="73"/>
      <c r="G42" s="73"/>
      <c r="H42" s="73"/>
      <c r="I42" s="73"/>
      <c r="J42" s="74"/>
    </row>
    <row r="43" spans="1:10" x14ac:dyDescent="0.35">
      <c r="A43" s="75" t="s">
        <v>233</v>
      </c>
      <c r="B43" s="76"/>
      <c r="C43" s="77" t="s">
        <v>235</v>
      </c>
      <c r="D43" s="78"/>
      <c r="E43" s="78"/>
      <c r="F43" s="79"/>
      <c r="G43" s="6" t="s">
        <v>60</v>
      </c>
      <c r="H43" s="80">
        <v>44270</v>
      </c>
      <c r="I43" s="81"/>
      <c r="J43" s="82"/>
    </row>
    <row r="44" spans="1:10" ht="45" customHeight="1" x14ac:dyDescent="0.35">
      <c r="A44" s="75" t="s">
        <v>237</v>
      </c>
      <c r="B44" s="76"/>
      <c r="C44" s="83" t="s">
        <v>236</v>
      </c>
      <c r="D44" s="78"/>
      <c r="E44" s="78"/>
      <c r="F44" s="79"/>
      <c r="G44" s="6" t="s">
        <v>60</v>
      </c>
      <c r="H44" s="86" t="s">
        <v>239</v>
      </c>
      <c r="I44" s="81"/>
      <c r="J44" s="82"/>
    </row>
    <row r="45" spans="1:10" x14ac:dyDescent="0.35">
      <c r="A45" s="72" t="s">
        <v>231</v>
      </c>
      <c r="B45" s="73"/>
      <c r="C45" s="73"/>
      <c r="D45" s="73"/>
      <c r="E45" s="73"/>
      <c r="F45" s="73"/>
      <c r="G45" s="73"/>
      <c r="H45" s="73"/>
      <c r="I45" s="73"/>
      <c r="J45" s="74"/>
    </row>
    <row r="46" spans="1:10" ht="16.5" customHeight="1" x14ac:dyDescent="0.35">
      <c r="A46" s="75" t="s">
        <v>238</v>
      </c>
      <c r="B46" s="76"/>
      <c r="C46" s="83" t="s">
        <v>235</v>
      </c>
      <c r="D46" s="78"/>
      <c r="E46" s="78"/>
      <c r="F46" s="79"/>
      <c r="G46" s="6" t="s">
        <v>60</v>
      </c>
      <c r="H46" s="80">
        <v>44270</v>
      </c>
      <c r="I46" s="81"/>
      <c r="J46" s="82"/>
    </row>
    <row r="47" spans="1:10" ht="45.75" customHeight="1" x14ac:dyDescent="0.35">
      <c r="A47" s="75" t="s">
        <v>240</v>
      </c>
      <c r="B47" s="76"/>
      <c r="C47" s="83" t="s">
        <v>241</v>
      </c>
      <c r="D47" s="84"/>
      <c r="E47" s="84"/>
      <c r="F47" s="85"/>
      <c r="G47" s="6" t="s">
        <v>60</v>
      </c>
      <c r="H47" s="86" t="s">
        <v>242</v>
      </c>
      <c r="I47" s="81"/>
      <c r="J47" s="82"/>
    </row>
    <row r="48" spans="1:10" x14ac:dyDescent="0.35">
      <c r="A48" s="75" t="s">
        <v>99</v>
      </c>
      <c r="B48" s="76"/>
      <c r="C48" s="83" t="s">
        <v>51</v>
      </c>
      <c r="D48" s="78"/>
      <c r="E48" s="78"/>
      <c r="F48" s="79" t="s">
        <v>100</v>
      </c>
      <c r="G48" s="6" t="s">
        <v>60</v>
      </c>
      <c r="H48" s="80" t="s">
        <v>51</v>
      </c>
      <c r="I48" s="81" t="s">
        <v>55</v>
      </c>
      <c r="J48" s="82"/>
    </row>
    <row r="49" spans="1:13" x14ac:dyDescent="0.35">
      <c r="A49" s="233" t="s">
        <v>232</v>
      </c>
      <c r="B49" s="233"/>
      <c r="C49" s="233"/>
      <c r="D49" s="233"/>
      <c r="E49" s="233"/>
      <c r="F49" s="233"/>
      <c r="G49" s="233"/>
      <c r="H49" s="233"/>
      <c r="I49" s="233"/>
      <c r="J49" s="233"/>
    </row>
    <row r="50" spans="1:13" x14ac:dyDescent="0.35">
      <c r="A50" s="109" t="s">
        <v>233</v>
      </c>
      <c r="B50" s="109"/>
      <c r="C50" s="205" t="s">
        <v>235</v>
      </c>
      <c r="D50" s="205"/>
      <c r="E50" s="205"/>
      <c r="F50" s="205"/>
      <c r="G50" s="6" t="s">
        <v>60</v>
      </c>
      <c r="H50" s="234">
        <v>44270</v>
      </c>
      <c r="I50" s="234"/>
      <c r="J50" s="234"/>
    </row>
    <row r="51" spans="1:13" ht="16.5" customHeight="1" x14ac:dyDescent="0.35">
      <c r="A51" s="109" t="s">
        <v>243</v>
      </c>
      <c r="B51" s="109"/>
      <c r="C51" s="205" t="s">
        <v>151</v>
      </c>
      <c r="D51" s="205"/>
      <c r="E51" s="205"/>
      <c r="F51" s="205"/>
      <c r="G51" s="6" t="s">
        <v>60</v>
      </c>
      <c r="H51" s="234">
        <v>43244</v>
      </c>
      <c r="I51" s="234"/>
      <c r="J51" s="234"/>
    </row>
    <row r="52" spans="1:13" x14ac:dyDescent="0.35">
      <c r="A52" s="233" t="s">
        <v>225</v>
      </c>
      <c r="B52" s="233"/>
      <c r="C52" s="233"/>
      <c r="D52" s="233"/>
      <c r="E52" s="233"/>
      <c r="F52" s="233"/>
      <c r="G52" s="233"/>
      <c r="H52" s="233"/>
      <c r="I52" s="233"/>
      <c r="J52" s="233"/>
    </row>
    <row r="53" spans="1:13" ht="63.75" customHeight="1" x14ac:dyDescent="0.35">
      <c r="A53" s="109" t="s">
        <v>234</v>
      </c>
      <c r="B53" s="109"/>
      <c r="C53" s="235" t="s">
        <v>244</v>
      </c>
      <c r="D53" s="235"/>
      <c r="E53" s="235"/>
      <c r="F53" s="235"/>
      <c r="G53" s="6" t="s">
        <v>60</v>
      </c>
      <c r="H53" s="234">
        <v>44270</v>
      </c>
      <c r="I53" s="234"/>
      <c r="J53" s="234"/>
    </row>
    <row r="54" spans="1:13" ht="45.75" customHeight="1" x14ac:dyDescent="0.35">
      <c r="A54" s="68" t="s">
        <v>99</v>
      </c>
      <c r="B54" s="69"/>
      <c r="C54" s="62" t="s">
        <v>254</v>
      </c>
      <c r="D54" s="63"/>
      <c r="E54" s="63"/>
      <c r="F54" s="64" t="s">
        <v>100</v>
      </c>
      <c r="G54" s="55" t="s">
        <v>60</v>
      </c>
      <c r="H54" s="65">
        <v>44986</v>
      </c>
      <c r="I54" s="66" t="s">
        <v>55</v>
      </c>
      <c r="J54" s="67"/>
    </row>
    <row r="55" spans="1:13" ht="45.75" customHeight="1" x14ac:dyDescent="0.35">
      <c r="A55" s="236"/>
      <c r="B55" s="237"/>
      <c r="C55" s="62" t="s">
        <v>253</v>
      </c>
      <c r="D55" s="63"/>
      <c r="E55" s="63"/>
      <c r="F55" s="64" t="s">
        <v>100</v>
      </c>
      <c r="G55" s="55" t="s">
        <v>60</v>
      </c>
      <c r="H55" s="65">
        <v>44547</v>
      </c>
      <c r="I55" s="66" t="s">
        <v>55</v>
      </c>
      <c r="J55" s="67"/>
    </row>
    <row r="56" spans="1:13" ht="45.75" customHeight="1" x14ac:dyDescent="0.35">
      <c r="A56" s="70"/>
      <c r="B56" s="71"/>
      <c r="C56" s="62" t="s">
        <v>259</v>
      </c>
      <c r="D56" s="63"/>
      <c r="E56" s="63"/>
      <c r="F56" s="64" t="s">
        <v>100</v>
      </c>
      <c r="G56" s="55" t="s">
        <v>60</v>
      </c>
      <c r="H56" s="65">
        <v>45659</v>
      </c>
      <c r="I56" s="66"/>
      <c r="J56" s="67"/>
    </row>
    <row r="57" spans="1:13" x14ac:dyDescent="0.35">
      <c r="A57" s="167" t="s">
        <v>73</v>
      </c>
      <c r="B57" s="167"/>
      <c r="C57" s="167"/>
      <c r="D57" s="166">
        <v>43244</v>
      </c>
      <c r="E57" s="167"/>
      <c r="F57" s="57" t="s">
        <v>69</v>
      </c>
      <c r="G57" s="209"/>
      <c r="H57" s="177" t="s">
        <v>256</v>
      </c>
      <c r="I57" s="133"/>
      <c r="J57" s="58"/>
    </row>
    <row r="58" spans="1:13" x14ac:dyDescent="0.35">
      <c r="A58" s="202" t="s">
        <v>23</v>
      </c>
      <c r="B58" s="203"/>
      <c r="C58" s="203"/>
      <c r="D58" s="203"/>
      <c r="E58" s="203"/>
      <c r="F58" s="203"/>
      <c r="G58" s="203"/>
      <c r="H58" s="203"/>
      <c r="I58" s="203"/>
      <c r="J58" s="204"/>
    </row>
    <row r="59" spans="1:13" ht="29.25" customHeight="1" x14ac:dyDescent="0.35">
      <c r="A59" s="75" t="s">
        <v>160</v>
      </c>
      <c r="B59" s="116"/>
      <c r="C59" s="76"/>
      <c r="D59" s="219">
        <f>F39</f>
        <v>8769.75</v>
      </c>
      <c r="E59" s="220"/>
      <c r="F59" s="137" t="s">
        <v>130</v>
      </c>
      <c r="G59" s="138"/>
      <c r="H59" s="137" t="s">
        <v>230</v>
      </c>
      <c r="I59" s="154"/>
      <c r="J59" s="138"/>
    </row>
    <row r="60" spans="1:13" ht="60.75" customHeight="1" x14ac:dyDescent="0.35">
      <c r="A60" s="114" t="s">
        <v>70</v>
      </c>
      <c r="B60" s="115"/>
      <c r="C60" s="109" t="s">
        <v>248</v>
      </c>
      <c r="D60" s="109"/>
      <c r="E60" s="109"/>
      <c r="F60" s="109"/>
      <c r="G60" s="109" t="s">
        <v>56</v>
      </c>
      <c r="H60" s="109"/>
      <c r="I60" s="109"/>
      <c r="J60" s="109"/>
    </row>
    <row r="61" spans="1:13" ht="60.75" customHeight="1" x14ac:dyDescent="0.35">
      <c r="A61" s="114" t="s">
        <v>70</v>
      </c>
      <c r="B61" s="115"/>
      <c r="C61" s="75" t="s">
        <v>247</v>
      </c>
      <c r="D61" s="116"/>
      <c r="E61" s="116"/>
      <c r="F61" s="116"/>
      <c r="G61" s="116"/>
      <c r="H61" s="116"/>
      <c r="I61" s="116"/>
      <c r="J61" s="76"/>
    </row>
    <row r="62" spans="1:13" x14ac:dyDescent="0.35">
      <c r="A62" s="57" t="s">
        <v>49</v>
      </c>
      <c r="B62" s="133"/>
      <c r="C62" s="133"/>
      <c r="D62" s="133"/>
      <c r="E62" s="58"/>
      <c r="F62" s="75" t="s">
        <v>257</v>
      </c>
      <c r="G62" s="116"/>
      <c r="H62" s="116"/>
      <c r="I62" s="116"/>
      <c r="J62" s="76"/>
    </row>
    <row r="63" spans="1:13" ht="15" thickBot="1" x14ac:dyDescent="0.4">
      <c r="A63" s="57" t="s">
        <v>258</v>
      </c>
      <c r="B63" s="133"/>
      <c r="C63" s="133"/>
      <c r="D63" s="133"/>
      <c r="E63" s="133"/>
      <c r="F63" s="133"/>
      <c r="G63" s="133"/>
      <c r="H63" s="133"/>
      <c r="I63" s="133"/>
      <c r="J63" s="58"/>
    </row>
    <row r="64" spans="1:13" ht="15" customHeight="1" x14ac:dyDescent="0.35">
      <c r="A64" s="110" t="s">
        <v>246</v>
      </c>
      <c r="B64" s="111"/>
      <c r="C64" s="111"/>
      <c r="D64" s="111"/>
      <c r="E64" s="111"/>
      <c r="F64" s="111"/>
      <c r="G64" s="111"/>
      <c r="H64" s="111"/>
      <c r="I64" s="111"/>
      <c r="J64" s="112"/>
      <c r="K64" s="36" t="str">
        <f>(IF(C69=0,"Work not yet Started.",IF(D69=50%,"Excavation work in process",IF(D69=100%,"Excavation work completed, ","0")))&amp;(IF(C70=0%,"",IF(D70=25%,"Footing work is process",IF(D70=50%,"Footing work Completed",IF(D70=75%,"Plinth work is process",IF(D70=100%,"Plinth work completed","0"))))))&amp;(IF(C71&gt;0,", RCC upto "&amp;C71&amp;" Slab completed",""))&amp;(IF(C72&gt;0,", Brickwork upto "&amp;C72&amp;" Floor completed"," "))&amp;(IF(C73&gt;0,", Internal Plaster upto "&amp;C73&amp;" Floor completed"," "))&amp;(IF(C74&gt;0,", External Plaster upto "&amp;C74&amp;" Floor completed"," "))&amp;(IF(C75&gt;0,", Flooring upto "&amp;C75&amp;" Floor completed"," "))&amp;(IF(C76&gt;0,", Painting upto "&amp;C76&amp;" Floor completed"," "))&amp;(IF(C77&gt;0,", Finishing upto "&amp;C77&amp;" Floor completed"," ")))</f>
        <v>Excavation work completed, Plinth work completed, RCC upto 14 Slab completed, Brickwork upto 12 Floor completed, Internal Plaster upto 12 Floor completed, External Plaster upto 12 Floor completed, Flooring upto 12 Floor completed, Painting upto 12 Floor completed, Finishing upto 12 Floor completed</v>
      </c>
      <c r="L64" s="36"/>
      <c r="M64" s="37"/>
    </row>
    <row r="65" spans="1:13" ht="15" customHeight="1" x14ac:dyDescent="0.35">
      <c r="A65" s="107" t="s">
        <v>134</v>
      </c>
      <c r="B65" s="108"/>
      <c r="C65" s="48">
        <v>2</v>
      </c>
      <c r="D65" s="108" t="s">
        <v>166</v>
      </c>
      <c r="E65" s="108"/>
      <c r="F65" s="108">
        <v>0</v>
      </c>
      <c r="G65" s="108"/>
      <c r="H65" s="48" t="s">
        <v>201</v>
      </c>
      <c r="I65" s="108">
        <v>12</v>
      </c>
      <c r="J65" s="113"/>
      <c r="K65" s="38" t="s">
        <v>202</v>
      </c>
      <c r="L65" s="38"/>
      <c r="M65" s="39"/>
    </row>
    <row r="66" spans="1:13" ht="15.5" x14ac:dyDescent="0.35">
      <c r="A66" s="117" t="s">
        <v>203</v>
      </c>
      <c r="B66" s="118"/>
      <c r="C66" s="119" t="str">
        <f>K68</f>
        <v>All work Completed. OC Received.</v>
      </c>
      <c r="D66" s="120"/>
      <c r="E66" s="120"/>
      <c r="F66" s="120"/>
      <c r="G66" s="120"/>
      <c r="H66" s="120"/>
      <c r="I66" s="120"/>
      <c r="J66" s="121"/>
      <c r="K66" s="38" t="s">
        <v>204</v>
      </c>
      <c r="L66" s="38"/>
      <c r="M66" s="39"/>
    </row>
    <row r="67" spans="1:13" ht="31.5" customHeight="1" thickBot="1" x14ac:dyDescent="0.4">
      <c r="A67" s="126" t="s">
        <v>207</v>
      </c>
      <c r="B67" s="126"/>
      <c r="C67" s="127">
        <v>1</v>
      </c>
      <c r="D67" s="126"/>
      <c r="E67" s="126" t="s">
        <v>208</v>
      </c>
      <c r="F67" s="126"/>
      <c r="G67" s="126"/>
      <c r="H67" s="127">
        <v>1</v>
      </c>
      <c r="I67" s="126"/>
      <c r="J67" s="126"/>
      <c r="K67" s="46"/>
      <c r="L67" s="46"/>
      <c r="M67" s="47"/>
    </row>
    <row r="68" spans="1:13" ht="15.5" hidden="1" x14ac:dyDescent="0.35">
      <c r="A68" s="99" t="s">
        <v>33</v>
      </c>
      <c r="B68" s="100"/>
      <c r="C68" s="40" t="s">
        <v>205</v>
      </c>
      <c r="D68" s="100" t="s">
        <v>206</v>
      </c>
      <c r="E68" s="100"/>
      <c r="F68" s="100" t="s">
        <v>207</v>
      </c>
      <c r="G68" s="100"/>
      <c r="H68" s="100" t="s">
        <v>208</v>
      </c>
      <c r="I68" s="100"/>
      <c r="J68" s="122"/>
      <c r="K68" s="38" t="s">
        <v>209</v>
      </c>
      <c r="L68" s="41"/>
      <c r="M68" s="42"/>
    </row>
    <row r="69" spans="1:13" ht="15.5" hidden="1" x14ac:dyDescent="0.35">
      <c r="A69" s="99" t="s">
        <v>210</v>
      </c>
      <c r="B69" s="100"/>
      <c r="C69" s="49">
        <v>12</v>
      </c>
      <c r="D69" s="101">
        <f>((100/I65)*C69)/100</f>
        <v>1</v>
      </c>
      <c r="E69" s="101"/>
      <c r="F69" s="101" t="str">
        <f>(IF(C66=K66,"100%",IF(C66=K68,"100%",(((C70/I65*10)+(40/(C65+F65+I65)*C71)+(7.5/(I65)*C72)+(7.5/(I65)*C73)+(10/I65*C74)+(10/I65*C75)+(5/I65*C76)+(5/I65*C77)+(5/I65*C78))/100))))</f>
        <v>100%</v>
      </c>
      <c r="G69" s="101"/>
      <c r="H69" s="101">
        <f>((((C69/I65)*20)+((C70/I65)*25)+(30/(I65+F65+C65)*C71)+(5/I65*C72)+(5/I65*C73)+(5/I65*C74)+(5/I65*C75)+(0/I65*C76)+(0/I65*C77)+(5/I65*C78))/100)</f>
        <v>1</v>
      </c>
      <c r="I69" s="101"/>
      <c r="J69" s="103"/>
      <c r="K69" s="38"/>
      <c r="L69" s="41"/>
      <c r="M69" s="42"/>
    </row>
    <row r="70" spans="1:13" ht="15.5" hidden="1" x14ac:dyDescent="0.35">
      <c r="A70" s="99" t="s">
        <v>34</v>
      </c>
      <c r="B70" s="100"/>
      <c r="C70" s="49">
        <v>12</v>
      </c>
      <c r="D70" s="101">
        <f>((100/I65)*C70)/100</f>
        <v>1</v>
      </c>
      <c r="E70" s="101"/>
      <c r="F70" s="101"/>
      <c r="G70" s="101"/>
      <c r="H70" s="101"/>
      <c r="I70" s="101"/>
      <c r="J70" s="103"/>
      <c r="K70" s="41"/>
      <c r="L70" s="41"/>
      <c r="M70" s="42"/>
    </row>
    <row r="71" spans="1:13" ht="15.5" hidden="1" x14ac:dyDescent="0.35">
      <c r="A71" s="99" t="s">
        <v>35</v>
      </c>
      <c r="B71" s="100"/>
      <c r="C71" s="52">
        <v>14</v>
      </c>
      <c r="D71" s="101">
        <f>((100/(C65+F65+I65))*C71)/100</f>
        <v>1</v>
      </c>
      <c r="E71" s="101"/>
      <c r="F71" s="101"/>
      <c r="G71" s="101"/>
      <c r="H71" s="101"/>
      <c r="I71" s="101"/>
      <c r="J71" s="103"/>
      <c r="K71" s="43" t="s">
        <v>185</v>
      </c>
      <c r="L71" s="44"/>
      <c r="M71" s="45">
        <f>I65*50%</f>
        <v>6</v>
      </c>
    </row>
    <row r="72" spans="1:13" ht="15.5" hidden="1" x14ac:dyDescent="0.35">
      <c r="A72" s="99" t="s">
        <v>211</v>
      </c>
      <c r="B72" s="100" t="s">
        <v>212</v>
      </c>
      <c r="C72" s="49">
        <v>12</v>
      </c>
      <c r="D72" s="101">
        <f>((100/I65)*C72)/100</f>
        <v>1</v>
      </c>
      <c r="E72" s="101"/>
      <c r="F72" s="101"/>
      <c r="G72" s="101"/>
      <c r="H72" s="101"/>
      <c r="I72" s="101"/>
      <c r="J72" s="103"/>
      <c r="K72" s="43" t="s">
        <v>188</v>
      </c>
      <c r="L72" s="44"/>
      <c r="M72" s="45">
        <f>I65</f>
        <v>12</v>
      </c>
    </row>
    <row r="73" spans="1:13" ht="15" hidden="1" customHeight="1" x14ac:dyDescent="0.35">
      <c r="A73" s="99" t="s">
        <v>213</v>
      </c>
      <c r="B73" s="100" t="s">
        <v>212</v>
      </c>
      <c r="C73" s="49">
        <v>12</v>
      </c>
      <c r="D73" s="101">
        <f>((100/I65)*C73)/100</f>
        <v>1</v>
      </c>
      <c r="E73" s="101"/>
      <c r="F73" s="101"/>
      <c r="G73" s="101"/>
      <c r="H73" s="101"/>
      <c r="I73" s="101"/>
      <c r="J73" s="103"/>
      <c r="K73" s="43"/>
      <c r="L73" s="44"/>
      <c r="M73" s="45"/>
    </row>
    <row r="74" spans="1:13" ht="15.5" hidden="1" x14ac:dyDescent="0.35">
      <c r="A74" s="107" t="s">
        <v>214</v>
      </c>
      <c r="B74" s="108" t="s">
        <v>215</v>
      </c>
      <c r="C74" s="49">
        <v>12</v>
      </c>
      <c r="D74" s="101">
        <f>((100/(I65))*C74)/100</f>
        <v>1</v>
      </c>
      <c r="E74" s="101"/>
      <c r="F74" s="101"/>
      <c r="G74" s="101"/>
      <c r="H74" s="101"/>
      <c r="I74" s="101"/>
      <c r="J74" s="103"/>
      <c r="K74" s="43" t="s">
        <v>189</v>
      </c>
      <c r="L74" s="44"/>
      <c r="M74" s="45">
        <f>I65*25%</f>
        <v>3</v>
      </c>
    </row>
    <row r="75" spans="1:13" ht="15.5" hidden="1" x14ac:dyDescent="0.35">
      <c r="A75" s="99" t="s">
        <v>216</v>
      </c>
      <c r="B75" s="100" t="s">
        <v>216</v>
      </c>
      <c r="C75" s="49">
        <v>12</v>
      </c>
      <c r="D75" s="101">
        <f>((100/I65)*C75)/100</f>
        <v>1</v>
      </c>
      <c r="E75" s="101"/>
      <c r="F75" s="101"/>
      <c r="G75" s="101"/>
      <c r="H75" s="101"/>
      <c r="I75" s="101"/>
      <c r="J75" s="103"/>
      <c r="K75" s="43" t="s">
        <v>190</v>
      </c>
      <c r="L75" s="44"/>
      <c r="M75" s="45">
        <f>I65*50%</f>
        <v>6</v>
      </c>
    </row>
    <row r="76" spans="1:13" ht="15.5" hidden="1" x14ac:dyDescent="0.35">
      <c r="A76" s="99" t="s">
        <v>217</v>
      </c>
      <c r="B76" s="100"/>
      <c r="C76" s="49">
        <v>12</v>
      </c>
      <c r="D76" s="101">
        <f>((100/I65)*C76)/100</f>
        <v>1</v>
      </c>
      <c r="E76" s="101"/>
      <c r="F76" s="101"/>
      <c r="G76" s="101"/>
      <c r="H76" s="101"/>
      <c r="I76" s="101"/>
      <c r="J76" s="103"/>
      <c r="K76" s="43" t="s">
        <v>191</v>
      </c>
      <c r="L76" s="44"/>
      <c r="M76" s="45">
        <f>I65*75%</f>
        <v>9</v>
      </c>
    </row>
    <row r="77" spans="1:13" ht="15" hidden="1" customHeight="1" x14ac:dyDescent="0.35">
      <c r="A77" s="99" t="s">
        <v>218</v>
      </c>
      <c r="B77" s="100" t="s">
        <v>218</v>
      </c>
      <c r="C77" s="49">
        <v>12</v>
      </c>
      <c r="D77" s="101">
        <f>((100/(I65))*C77)/100</f>
        <v>1</v>
      </c>
      <c r="E77" s="101"/>
      <c r="F77" s="101"/>
      <c r="G77" s="101"/>
      <c r="H77" s="101"/>
      <c r="I77" s="101"/>
      <c r="J77" s="103"/>
      <c r="K77" s="43" t="s">
        <v>192</v>
      </c>
      <c r="L77" s="44"/>
      <c r="M77" s="45">
        <f>I65</f>
        <v>12</v>
      </c>
    </row>
    <row r="78" spans="1:13" ht="16" hidden="1" thickBot="1" x14ac:dyDescent="0.4">
      <c r="A78" s="105" t="s">
        <v>219</v>
      </c>
      <c r="B78" s="106"/>
      <c r="C78" s="51">
        <v>12</v>
      </c>
      <c r="D78" s="102">
        <f>((100/(I65))*C78)/100</f>
        <v>1</v>
      </c>
      <c r="E78" s="102"/>
      <c r="F78" s="102"/>
      <c r="G78" s="102"/>
      <c r="H78" s="102"/>
      <c r="I78" s="102"/>
      <c r="J78" s="104"/>
      <c r="K78" s="46"/>
      <c r="L78" s="46"/>
      <c r="M78" s="47"/>
    </row>
    <row r="79" spans="1:13" ht="15" customHeight="1" x14ac:dyDescent="0.35">
      <c r="A79" s="110" t="s">
        <v>245</v>
      </c>
      <c r="B79" s="111"/>
      <c r="C79" s="111"/>
      <c r="D79" s="111"/>
      <c r="E79" s="111"/>
      <c r="F79" s="111"/>
      <c r="G79" s="111"/>
      <c r="H79" s="111"/>
      <c r="I79" s="111"/>
      <c r="J79" s="112"/>
      <c r="K79" s="36" t="str">
        <f>(IF(C84=0,"Work not yet Started.",IF(D84=50%,"Excavation work in process",IF(D84=100%,"Excavation work completed, ","0")))&amp;(IF(C85=0%,"",IF(D85=25%,"Footing work is process",IF(D85=50%,"Footing work Completed",IF(D85=75%,"Plinth work is process",IF(D85=100%,"Plinth work completed","0"))))))&amp;(IF(C86&gt;0,", RCC upto "&amp;C86&amp;" Slab completed",""))&amp;(IF(C87&gt;0,", Brickwork upto "&amp;C87&amp;" Floor completed"," "))&amp;(IF(C88&gt;0,", Internal Plaster upto "&amp;C88&amp;" Floor completed"," "))&amp;(IF(C89&gt;0,", External Plaster upto "&amp;C89&amp;" Floor completed"," "))&amp;(IF(C90&gt;0,", Flooring upto "&amp;C90&amp;" Floor completed"," "))&amp;(IF(C91&gt;0,", Painting upto "&amp;C91&amp;" Floor completed"," "))&amp;(IF(C92&gt;0,", Finishing upto "&amp;C92&amp;" Floor completed"," ")))</f>
        <v>Excavation work completed, Plinth work completed, RCC upto 10 Slab completed, Brickwork upto 8 Floor completed, Internal Plaster upto 8 Floor completed, External Plaster upto 8 Floor completed, Flooring upto 8 Floor completed, Painting upto 8 Floor completed, Finishing upto 8 Floor completed</v>
      </c>
      <c r="L79" s="36"/>
      <c r="M79" s="37"/>
    </row>
    <row r="80" spans="1:13" ht="15" customHeight="1" x14ac:dyDescent="0.35">
      <c r="A80" s="107" t="s">
        <v>134</v>
      </c>
      <c r="B80" s="108"/>
      <c r="C80" s="48">
        <v>2</v>
      </c>
      <c r="D80" s="108" t="s">
        <v>166</v>
      </c>
      <c r="E80" s="108"/>
      <c r="F80" s="108">
        <v>0</v>
      </c>
      <c r="G80" s="108"/>
      <c r="H80" s="48" t="s">
        <v>201</v>
      </c>
      <c r="I80" s="108">
        <v>8</v>
      </c>
      <c r="J80" s="113"/>
      <c r="K80" s="38" t="s">
        <v>202</v>
      </c>
      <c r="L80" s="38"/>
      <c r="M80" s="39"/>
    </row>
    <row r="81" spans="1:13" ht="15.5" x14ac:dyDescent="0.35">
      <c r="A81" s="117" t="s">
        <v>203</v>
      </c>
      <c r="B81" s="118"/>
      <c r="C81" s="119" t="str">
        <f>K83</f>
        <v>All work Completed. OC Received.</v>
      </c>
      <c r="D81" s="120"/>
      <c r="E81" s="120"/>
      <c r="F81" s="120"/>
      <c r="G81" s="120"/>
      <c r="H81" s="120"/>
      <c r="I81" s="120"/>
      <c r="J81" s="121"/>
      <c r="K81" s="38" t="s">
        <v>204</v>
      </c>
      <c r="L81" s="38"/>
      <c r="M81" s="39"/>
    </row>
    <row r="82" spans="1:13" ht="31.5" customHeight="1" thickBot="1" x14ac:dyDescent="0.4">
      <c r="A82" s="126" t="s">
        <v>207</v>
      </c>
      <c r="B82" s="126"/>
      <c r="C82" s="127">
        <v>1</v>
      </c>
      <c r="D82" s="126"/>
      <c r="E82" s="126" t="s">
        <v>208</v>
      </c>
      <c r="F82" s="126"/>
      <c r="G82" s="126"/>
      <c r="H82" s="127">
        <v>1</v>
      </c>
      <c r="I82" s="126"/>
      <c r="J82" s="126"/>
      <c r="K82" s="46"/>
      <c r="L82" s="46"/>
      <c r="M82" s="47"/>
    </row>
    <row r="83" spans="1:13" ht="15.5" hidden="1" x14ac:dyDescent="0.35">
      <c r="A83" s="123" t="s">
        <v>33</v>
      </c>
      <c r="B83" s="124"/>
      <c r="C83" s="56" t="s">
        <v>205</v>
      </c>
      <c r="D83" s="124" t="s">
        <v>206</v>
      </c>
      <c r="E83" s="124"/>
      <c r="F83" s="124" t="s">
        <v>207</v>
      </c>
      <c r="G83" s="124"/>
      <c r="H83" s="124" t="s">
        <v>208</v>
      </c>
      <c r="I83" s="124"/>
      <c r="J83" s="125"/>
      <c r="K83" s="38" t="s">
        <v>209</v>
      </c>
      <c r="L83" s="41"/>
      <c r="M83" s="42"/>
    </row>
    <row r="84" spans="1:13" ht="15.5" hidden="1" x14ac:dyDescent="0.35">
      <c r="A84" s="99" t="s">
        <v>210</v>
      </c>
      <c r="B84" s="100"/>
      <c r="C84" s="49">
        <f>M87</f>
        <v>8</v>
      </c>
      <c r="D84" s="101">
        <f>((100/I80)*C84)/100</f>
        <v>1</v>
      </c>
      <c r="E84" s="101"/>
      <c r="F84" s="101" t="str">
        <f>(IF(C81=K81,"100%",IF(C81=K83,"100%",(((C85/I80*10)+(40/(C80+F80+I80)*C86)+(7.5/(I80)*C87)+(7.5/(I80)*C88)+(10/I80*C89)+(10/I80*C90)+(5/I80*C91)+(5/I80*C92)+(5/I80*C93))/100))))</f>
        <v>100%</v>
      </c>
      <c r="G84" s="101"/>
      <c r="H84" s="101">
        <f>((((C84/I80)*20)+((C85/I80)*25)+(30/(I80+F80+C80)*C86)+(5/I80*C87)+(5/I80*C88)+(5/I80*C89)+(5/I80*C90)+(0/I80*C91)+(0/I80*C92)+(5/I80*C93))/100)</f>
        <v>1</v>
      </c>
      <c r="I84" s="101"/>
      <c r="J84" s="103"/>
      <c r="K84" s="38"/>
      <c r="L84" s="41"/>
      <c r="M84" s="42"/>
    </row>
    <row r="85" spans="1:13" ht="15.5" hidden="1" x14ac:dyDescent="0.35">
      <c r="A85" s="99" t="s">
        <v>34</v>
      </c>
      <c r="B85" s="100"/>
      <c r="C85" s="49">
        <f>M92</f>
        <v>8</v>
      </c>
      <c r="D85" s="101">
        <f>((100/I80)*C85)/100</f>
        <v>1</v>
      </c>
      <c r="E85" s="101"/>
      <c r="F85" s="101"/>
      <c r="G85" s="101"/>
      <c r="H85" s="101"/>
      <c r="I85" s="101"/>
      <c r="J85" s="103"/>
      <c r="K85" s="41"/>
      <c r="L85" s="41"/>
      <c r="M85" s="42"/>
    </row>
    <row r="86" spans="1:13" ht="15.5" hidden="1" x14ac:dyDescent="0.35">
      <c r="A86" s="99" t="s">
        <v>220</v>
      </c>
      <c r="B86" s="100"/>
      <c r="C86" s="50">
        <v>10</v>
      </c>
      <c r="D86" s="101">
        <f>((100/(C80+F80+I80))*C86)/100</f>
        <v>1</v>
      </c>
      <c r="E86" s="101"/>
      <c r="F86" s="101"/>
      <c r="G86" s="101"/>
      <c r="H86" s="101"/>
      <c r="I86" s="101"/>
      <c r="J86" s="103"/>
      <c r="K86" s="43" t="s">
        <v>185</v>
      </c>
      <c r="L86" s="44"/>
      <c r="M86" s="45">
        <f>I80*50%</f>
        <v>4</v>
      </c>
    </row>
    <row r="87" spans="1:13" ht="15.5" hidden="1" x14ac:dyDescent="0.35">
      <c r="A87" s="99" t="s">
        <v>211</v>
      </c>
      <c r="B87" s="100" t="s">
        <v>212</v>
      </c>
      <c r="C87" s="49">
        <v>8</v>
      </c>
      <c r="D87" s="101">
        <f>((100/I80)*C87)/100</f>
        <v>1</v>
      </c>
      <c r="E87" s="101"/>
      <c r="F87" s="101"/>
      <c r="G87" s="101"/>
      <c r="H87" s="101"/>
      <c r="I87" s="101"/>
      <c r="J87" s="103"/>
      <c r="K87" s="43" t="s">
        <v>188</v>
      </c>
      <c r="L87" s="44"/>
      <c r="M87" s="45">
        <f>I80</f>
        <v>8</v>
      </c>
    </row>
    <row r="88" spans="1:13" ht="15" hidden="1" customHeight="1" x14ac:dyDescent="0.35">
      <c r="A88" s="99" t="s">
        <v>213</v>
      </c>
      <c r="B88" s="100" t="s">
        <v>212</v>
      </c>
      <c r="C88" s="49">
        <v>8</v>
      </c>
      <c r="D88" s="101">
        <f>((100/I80)*C88)/100</f>
        <v>1</v>
      </c>
      <c r="E88" s="101"/>
      <c r="F88" s="101"/>
      <c r="G88" s="101"/>
      <c r="H88" s="101"/>
      <c r="I88" s="101"/>
      <c r="J88" s="103"/>
      <c r="K88" s="43"/>
      <c r="L88" s="44"/>
      <c r="M88" s="45"/>
    </row>
    <row r="89" spans="1:13" ht="15.5" hidden="1" x14ac:dyDescent="0.35">
      <c r="A89" s="107" t="s">
        <v>214</v>
      </c>
      <c r="B89" s="108" t="s">
        <v>215</v>
      </c>
      <c r="C89" s="49">
        <v>8</v>
      </c>
      <c r="D89" s="101">
        <f>((100/(I80))*C89)/100</f>
        <v>1</v>
      </c>
      <c r="E89" s="101"/>
      <c r="F89" s="101"/>
      <c r="G89" s="101"/>
      <c r="H89" s="101"/>
      <c r="I89" s="101"/>
      <c r="J89" s="103"/>
      <c r="K89" s="43" t="s">
        <v>189</v>
      </c>
      <c r="L89" s="44"/>
      <c r="M89" s="45">
        <f>I80*25%</f>
        <v>2</v>
      </c>
    </row>
    <row r="90" spans="1:13" ht="15.5" hidden="1" x14ac:dyDescent="0.35">
      <c r="A90" s="99" t="s">
        <v>216</v>
      </c>
      <c r="B90" s="100" t="s">
        <v>216</v>
      </c>
      <c r="C90" s="49">
        <v>8</v>
      </c>
      <c r="D90" s="101">
        <f>((100/I80)*C90)/100</f>
        <v>1</v>
      </c>
      <c r="E90" s="101"/>
      <c r="F90" s="101"/>
      <c r="G90" s="101"/>
      <c r="H90" s="101"/>
      <c r="I90" s="101"/>
      <c r="J90" s="103"/>
      <c r="K90" s="43" t="s">
        <v>190</v>
      </c>
      <c r="L90" s="44"/>
      <c r="M90" s="45">
        <f>I80*50%</f>
        <v>4</v>
      </c>
    </row>
    <row r="91" spans="1:13" ht="15.5" hidden="1" x14ac:dyDescent="0.35">
      <c r="A91" s="99" t="s">
        <v>217</v>
      </c>
      <c r="B91" s="100"/>
      <c r="C91" s="49">
        <v>8</v>
      </c>
      <c r="D91" s="101">
        <f>((100/I80)*C91)/100</f>
        <v>1</v>
      </c>
      <c r="E91" s="101"/>
      <c r="F91" s="101"/>
      <c r="G91" s="101"/>
      <c r="H91" s="101"/>
      <c r="I91" s="101"/>
      <c r="J91" s="103"/>
      <c r="K91" s="43" t="s">
        <v>191</v>
      </c>
      <c r="L91" s="44"/>
      <c r="M91" s="45">
        <f>I80*75%</f>
        <v>6</v>
      </c>
    </row>
    <row r="92" spans="1:13" ht="15" hidden="1" customHeight="1" x14ac:dyDescent="0.35">
      <c r="A92" s="99" t="s">
        <v>218</v>
      </c>
      <c r="B92" s="100" t="s">
        <v>218</v>
      </c>
      <c r="C92" s="49">
        <v>8</v>
      </c>
      <c r="D92" s="101">
        <f>((100/(I80))*C92)/100</f>
        <v>1</v>
      </c>
      <c r="E92" s="101"/>
      <c r="F92" s="101"/>
      <c r="G92" s="101"/>
      <c r="H92" s="101"/>
      <c r="I92" s="101"/>
      <c r="J92" s="103"/>
      <c r="K92" s="43" t="s">
        <v>192</v>
      </c>
      <c r="L92" s="44"/>
      <c r="M92" s="45">
        <f>I80</f>
        <v>8</v>
      </c>
    </row>
    <row r="93" spans="1:13" ht="16" hidden="1" thickBot="1" x14ac:dyDescent="0.4">
      <c r="A93" s="105" t="s">
        <v>219</v>
      </c>
      <c r="B93" s="106"/>
      <c r="C93" s="51">
        <v>8</v>
      </c>
      <c r="D93" s="102">
        <f>((100/(I80))*C93)/100</f>
        <v>1</v>
      </c>
      <c r="E93" s="102"/>
      <c r="F93" s="102"/>
      <c r="G93" s="102"/>
      <c r="H93" s="102"/>
      <c r="I93" s="102"/>
      <c r="J93" s="104"/>
      <c r="K93" s="46"/>
      <c r="L93" s="46"/>
      <c r="M93" s="47"/>
    </row>
    <row r="94" spans="1:13" ht="15" customHeight="1" x14ac:dyDescent="0.35">
      <c r="A94" s="110" t="s">
        <v>221</v>
      </c>
      <c r="B94" s="111"/>
      <c r="C94" s="111"/>
      <c r="D94" s="111"/>
      <c r="E94" s="111"/>
      <c r="F94" s="111"/>
      <c r="G94" s="111"/>
      <c r="H94" s="111"/>
      <c r="I94" s="111"/>
      <c r="J94" s="112"/>
      <c r="K94" s="36" t="str">
        <f>(IF(C99=0,"Work not yet Started.",IF(D99=50%,"Excavation work in process",IF(D99=100%,"Excavation work completed, ","0")))&amp;(IF(C100=0%,"",IF(D100=25%,"Footing work is process",IF(D100=50%,"Footing work Completed",IF(D100=75%,"Plinth work is process",IF(D100=100%,"Plinth work completed","0"))))))&amp;(IF(C101&gt;0,", RCC upto "&amp;C101&amp;" Slab completed",""))&amp;(IF(C102&gt;0,", Brickwork upto "&amp;C102&amp;" Floor completed"," "))&amp;(IF(C103&gt;0,", Internal Plaster upto "&amp;C103&amp;" Floor completed"," "))&amp;(IF(C104&gt;0,", External Plaster upto "&amp;C104&amp;" Floor completed"," "))&amp;(IF(C105&gt;0,", Flooring upto "&amp;C105&amp;" Floor completed"," "))&amp;(IF(C106&gt;0,", Painting upto "&amp;C106&amp;" Floor completed"," "))&amp;(IF(C107&gt;0,", Finishing upto "&amp;C107&amp;" Floor completed"," ")))</f>
        <v>Excavation work completed, Plinth work completed, RCC upto 8 Slab completed, Brickwork upto 7 Floor completed, Internal Plaster upto 7 Floor completed, External Plaster upto 7 Floor completed, Flooring upto 7 Floor completed, Painting upto 7 Floor completed, Finishing upto 7 Floor completed</v>
      </c>
      <c r="L94" s="36"/>
      <c r="M94" s="37"/>
    </row>
    <row r="95" spans="1:13" ht="15" customHeight="1" x14ac:dyDescent="0.35">
      <c r="A95" s="107" t="s">
        <v>134</v>
      </c>
      <c r="B95" s="108"/>
      <c r="C95" s="48">
        <v>1</v>
      </c>
      <c r="D95" s="108" t="s">
        <v>166</v>
      </c>
      <c r="E95" s="108"/>
      <c r="F95" s="108">
        <v>0</v>
      </c>
      <c r="G95" s="108"/>
      <c r="H95" s="48" t="s">
        <v>201</v>
      </c>
      <c r="I95" s="108">
        <v>7</v>
      </c>
      <c r="J95" s="113"/>
      <c r="K95" s="38" t="s">
        <v>202</v>
      </c>
      <c r="L95" s="38"/>
      <c r="M95" s="39"/>
    </row>
    <row r="96" spans="1:13" ht="15.5" x14ac:dyDescent="0.35">
      <c r="A96" s="117" t="s">
        <v>203</v>
      </c>
      <c r="B96" s="118"/>
      <c r="C96" s="119" t="str">
        <f>K98</f>
        <v>All work Completed. OC Received.</v>
      </c>
      <c r="D96" s="120"/>
      <c r="E96" s="120"/>
      <c r="F96" s="120"/>
      <c r="G96" s="120"/>
      <c r="H96" s="120"/>
      <c r="I96" s="120"/>
      <c r="J96" s="121"/>
      <c r="K96" s="38" t="s">
        <v>204</v>
      </c>
      <c r="L96" s="38"/>
      <c r="M96" s="39"/>
    </row>
    <row r="97" spans="1:13" ht="31.5" customHeight="1" thickBot="1" x14ac:dyDescent="0.4">
      <c r="A97" s="126" t="s">
        <v>207</v>
      </c>
      <c r="B97" s="126"/>
      <c r="C97" s="127">
        <v>1</v>
      </c>
      <c r="D97" s="126"/>
      <c r="E97" s="126" t="s">
        <v>208</v>
      </c>
      <c r="F97" s="126"/>
      <c r="G97" s="126"/>
      <c r="H97" s="127">
        <v>1</v>
      </c>
      <c r="I97" s="126"/>
      <c r="J97" s="126"/>
      <c r="K97" s="46"/>
      <c r="L97" s="46"/>
      <c r="M97" s="47"/>
    </row>
    <row r="98" spans="1:13" ht="15.5" hidden="1" x14ac:dyDescent="0.35">
      <c r="A98" s="99" t="s">
        <v>33</v>
      </c>
      <c r="B98" s="100"/>
      <c r="C98" s="40" t="s">
        <v>205</v>
      </c>
      <c r="D98" s="100" t="s">
        <v>206</v>
      </c>
      <c r="E98" s="100"/>
      <c r="F98" s="100" t="s">
        <v>207</v>
      </c>
      <c r="G98" s="100"/>
      <c r="H98" s="100" t="s">
        <v>208</v>
      </c>
      <c r="I98" s="100"/>
      <c r="J98" s="122"/>
      <c r="K98" s="38" t="s">
        <v>209</v>
      </c>
      <c r="L98" s="41"/>
      <c r="M98" s="42"/>
    </row>
    <row r="99" spans="1:13" ht="15.5" hidden="1" x14ac:dyDescent="0.35">
      <c r="A99" s="99" t="s">
        <v>210</v>
      </c>
      <c r="B99" s="100"/>
      <c r="C99" s="49">
        <f>M102</f>
        <v>7</v>
      </c>
      <c r="D99" s="101">
        <f>((100/I95)*C99)/100</f>
        <v>1</v>
      </c>
      <c r="E99" s="101"/>
      <c r="F99" s="101" t="str">
        <f>(IF(C96=K96,"100%",IF(C96=K98,"100%",(((C100/I95*10)+(40/(C95+F95+I95)*C101)+(7.5/(I95)*C102)+(7.5/(I95)*C103)+(10/I95*C104)+(10/I95*C105)+(5/I95*C106)+(5/I95*C107)+(5/I95*C108))/100))))</f>
        <v>100%</v>
      </c>
      <c r="G99" s="101"/>
      <c r="H99" s="101">
        <f>((((C99/I95)*20)+((C100/I95)*25)+(30/(I95+F95+C95)*C101)+(5/I95*C102)+(5/I95*C103)+(5/I95*C104)+(5/I95*C105)+(0/I95*C106)+(0/I95*C107)+(5/I95*C108))/100)</f>
        <v>1</v>
      </c>
      <c r="I99" s="101"/>
      <c r="J99" s="103"/>
      <c r="K99" s="38"/>
      <c r="L99" s="41"/>
      <c r="M99" s="42"/>
    </row>
    <row r="100" spans="1:13" ht="15.5" hidden="1" x14ac:dyDescent="0.35">
      <c r="A100" s="99" t="s">
        <v>34</v>
      </c>
      <c r="B100" s="100"/>
      <c r="C100" s="49">
        <f>M107</f>
        <v>7</v>
      </c>
      <c r="D100" s="101">
        <f>((100/I95)*C100)/100</f>
        <v>1</v>
      </c>
      <c r="E100" s="101"/>
      <c r="F100" s="101"/>
      <c r="G100" s="101"/>
      <c r="H100" s="101"/>
      <c r="I100" s="101"/>
      <c r="J100" s="103"/>
      <c r="K100" s="41"/>
      <c r="L100" s="41"/>
      <c r="M100" s="42"/>
    </row>
    <row r="101" spans="1:13" ht="15.5" hidden="1" x14ac:dyDescent="0.35">
      <c r="A101" s="99" t="s">
        <v>220</v>
      </c>
      <c r="B101" s="100"/>
      <c r="C101" s="50">
        <v>8</v>
      </c>
      <c r="D101" s="101">
        <f>((100/(C95+F95+I95))*C101)/100</f>
        <v>1</v>
      </c>
      <c r="E101" s="101"/>
      <c r="F101" s="101"/>
      <c r="G101" s="101"/>
      <c r="H101" s="101"/>
      <c r="I101" s="101"/>
      <c r="J101" s="103"/>
      <c r="K101" s="43" t="s">
        <v>185</v>
      </c>
      <c r="L101" s="44"/>
      <c r="M101" s="45">
        <f>I95*50%</f>
        <v>3.5</v>
      </c>
    </row>
    <row r="102" spans="1:13" ht="15.5" hidden="1" x14ac:dyDescent="0.35">
      <c r="A102" s="99" t="s">
        <v>211</v>
      </c>
      <c r="B102" s="100" t="s">
        <v>212</v>
      </c>
      <c r="C102" s="49">
        <v>7</v>
      </c>
      <c r="D102" s="101">
        <f>((100/I95)*C102)/100</f>
        <v>1</v>
      </c>
      <c r="E102" s="101"/>
      <c r="F102" s="101"/>
      <c r="G102" s="101"/>
      <c r="H102" s="101"/>
      <c r="I102" s="101"/>
      <c r="J102" s="103"/>
      <c r="K102" s="43" t="s">
        <v>188</v>
      </c>
      <c r="L102" s="44"/>
      <c r="M102" s="45">
        <f>I95</f>
        <v>7</v>
      </c>
    </row>
    <row r="103" spans="1:13" ht="15" hidden="1" customHeight="1" x14ac:dyDescent="0.35">
      <c r="A103" s="99" t="s">
        <v>213</v>
      </c>
      <c r="B103" s="100" t="s">
        <v>212</v>
      </c>
      <c r="C103" s="49">
        <v>7</v>
      </c>
      <c r="D103" s="101">
        <f>((100/I95)*C103)/100</f>
        <v>1</v>
      </c>
      <c r="E103" s="101"/>
      <c r="F103" s="101"/>
      <c r="G103" s="101"/>
      <c r="H103" s="101"/>
      <c r="I103" s="101"/>
      <c r="J103" s="103"/>
      <c r="K103" s="43"/>
      <c r="L103" s="44"/>
      <c r="M103" s="45"/>
    </row>
    <row r="104" spans="1:13" ht="15.5" hidden="1" x14ac:dyDescent="0.35">
      <c r="A104" s="107" t="s">
        <v>214</v>
      </c>
      <c r="B104" s="108" t="s">
        <v>215</v>
      </c>
      <c r="C104" s="49">
        <v>7</v>
      </c>
      <c r="D104" s="101">
        <f>((100/(I95))*C104)/100</f>
        <v>1</v>
      </c>
      <c r="E104" s="101"/>
      <c r="F104" s="101"/>
      <c r="G104" s="101"/>
      <c r="H104" s="101"/>
      <c r="I104" s="101"/>
      <c r="J104" s="103"/>
      <c r="K104" s="43" t="s">
        <v>189</v>
      </c>
      <c r="L104" s="44"/>
      <c r="M104" s="45">
        <f>I95*25%</f>
        <v>1.75</v>
      </c>
    </row>
    <row r="105" spans="1:13" ht="15.5" hidden="1" x14ac:dyDescent="0.35">
      <c r="A105" s="99" t="s">
        <v>216</v>
      </c>
      <c r="B105" s="100" t="s">
        <v>216</v>
      </c>
      <c r="C105" s="49">
        <v>7</v>
      </c>
      <c r="D105" s="101">
        <f>((100/I95)*C105)/100</f>
        <v>1</v>
      </c>
      <c r="E105" s="101"/>
      <c r="F105" s="101"/>
      <c r="G105" s="101"/>
      <c r="H105" s="101"/>
      <c r="I105" s="101"/>
      <c r="J105" s="103"/>
      <c r="K105" s="43" t="s">
        <v>190</v>
      </c>
      <c r="L105" s="44"/>
      <c r="M105" s="45">
        <f>I95*50%</f>
        <v>3.5</v>
      </c>
    </row>
    <row r="106" spans="1:13" ht="15.5" hidden="1" x14ac:dyDescent="0.35">
      <c r="A106" s="99" t="s">
        <v>217</v>
      </c>
      <c r="B106" s="100"/>
      <c r="C106" s="49">
        <v>7</v>
      </c>
      <c r="D106" s="101">
        <f>((100/I95)*C106)/100</f>
        <v>1</v>
      </c>
      <c r="E106" s="101"/>
      <c r="F106" s="101"/>
      <c r="G106" s="101"/>
      <c r="H106" s="101"/>
      <c r="I106" s="101"/>
      <c r="J106" s="103"/>
      <c r="K106" s="43" t="s">
        <v>191</v>
      </c>
      <c r="L106" s="44"/>
      <c r="M106" s="45">
        <f>I95*75%</f>
        <v>5.25</v>
      </c>
    </row>
    <row r="107" spans="1:13" ht="15" hidden="1" customHeight="1" x14ac:dyDescent="0.35">
      <c r="A107" s="99" t="s">
        <v>218</v>
      </c>
      <c r="B107" s="100" t="s">
        <v>218</v>
      </c>
      <c r="C107" s="49">
        <v>7</v>
      </c>
      <c r="D107" s="101">
        <f>((100/(I95))*C107)/100</f>
        <v>1</v>
      </c>
      <c r="E107" s="101"/>
      <c r="F107" s="101"/>
      <c r="G107" s="101"/>
      <c r="H107" s="101"/>
      <c r="I107" s="101"/>
      <c r="J107" s="103"/>
      <c r="K107" s="43" t="s">
        <v>192</v>
      </c>
      <c r="L107" s="44"/>
      <c r="M107" s="45">
        <f>I95</f>
        <v>7</v>
      </c>
    </row>
    <row r="108" spans="1:13" ht="16" hidden="1" thickBot="1" x14ac:dyDescent="0.4">
      <c r="A108" s="105" t="s">
        <v>219</v>
      </c>
      <c r="B108" s="106"/>
      <c r="C108" s="51">
        <v>7</v>
      </c>
      <c r="D108" s="102">
        <f>((100/(I95))*C108)/100</f>
        <v>1</v>
      </c>
      <c r="E108" s="102"/>
      <c r="F108" s="102"/>
      <c r="G108" s="102"/>
      <c r="H108" s="102"/>
      <c r="I108" s="102"/>
      <c r="J108" s="104"/>
      <c r="K108" s="46"/>
      <c r="L108" s="46"/>
      <c r="M108" s="47"/>
    </row>
    <row r="109" spans="1:13" x14ac:dyDescent="0.35">
      <c r="A109" s="57" t="s">
        <v>261</v>
      </c>
      <c r="B109" s="133"/>
      <c r="C109" s="133"/>
      <c r="D109" s="133"/>
      <c r="E109" s="133"/>
      <c r="F109" s="133"/>
      <c r="G109" s="133"/>
      <c r="H109" s="133"/>
      <c r="I109" s="133"/>
      <c r="J109" s="58"/>
    </row>
    <row r="110" spans="1:13" x14ac:dyDescent="0.35">
      <c r="A110" s="57" t="s">
        <v>50</v>
      </c>
      <c r="B110" s="133"/>
      <c r="C110" s="133"/>
      <c r="D110" s="133"/>
      <c r="E110" s="133"/>
      <c r="F110" s="133"/>
      <c r="G110" s="133"/>
      <c r="H110" s="133"/>
      <c r="I110" s="133"/>
      <c r="J110" s="58"/>
    </row>
    <row r="111" spans="1:13" ht="15" customHeight="1" x14ac:dyDescent="0.35">
      <c r="A111" s="213" t="s">
        <v>72</v>
      </c>
      <c r="B111" s="214"/>
      <c r="C111" s="214"/>
      <c r="D111" s="214"/>
      <c r="E111" s="214"/>
      <c r="F111" s="214"/>
      <c r="G111" s="214"/>
      <c r="H111" s="214"/>
      <c r="I111" s="214"/>
      <c r="J111" s="215"/>
    </row>
    <row r="112" spans="1:13" ht="12.75" customHeight="1" x14ac:dyDescent="0.35">
      <c r="A112" s="216"/>
      <c r="B112" s="217"/>
      <c r="C112" s="217"/>
      <c r="D112" s="217"/>
      <c r="E112" s="217"/>
      <c r="F112" s="217"/>
      <c r="G112" s="217"/>
      <c r="H112" s="217"/>
      <c r="I112" s="217"/>
      <c r="J112" s="218"/>
    </row>
    <row r="113" spans="1:10" x14ac:dyDescent="0.35">
      <c r="A113" s="221" t="s">
        <v>24</v>
      </c>
      <c r="B113" s="134"/>
      <c r="C113" s="134"/>
      <c r="D113" s="134"/>
      <c r="E113" s="134"/>
      <c r="F113" s="134"/>
      <c r="G113" s="134"/>
      <c r="H113" s="134"/>
      <c r="I113" s="134"/>
      <c r="J113" s="135"/>
    </row>
    <row r="114" spans="1:10" x14ac:dyDescent="0.35">
      <c r="A114" s="57" t="s">
        <v>128</v>
      </c>
      <c r="B114" s="128"/>
      <c r="C114" s="128"/>
      <c r="D114" s="128"/>
      <c r="E114" s="128"/>
      <c r="F114" s="129"/>
      <c r="G114" s="222">
        <v>4400</v>
      </c>
      <c r="H114" s="223"/>
      <c r="I114" s="223"/>
      <c r="J114" s="224"/>
    </row>
    <row r="115" spans="1:10" x14ac:dyDescent="0.35">
      <c r="A115" s="57" t="s">
        <v>164</v>
      </c>
      <c r="B115" s="128"/>
      <c r="C115" s="128"/>
      <c r="D115" s="128"/>
      <c r="E115" s="128"/>
      <c r="F115" s="129"/>
      <c r="G115" s="222">
        <v>6000</v>
      </c>
      <c r="H115" s="223"/>
      <c r="I115" s="223"/>
      <c r="J115" s="224"/>
    </row>
    <row r="116" spans="1:10" hidden="1" x14ac:dyDescent="0.35">
      <c r="A116" s="57" t="s">
        <v>71</v>
      </c>
      <c r="B116" s="128"/>
      <c r="C116" s="128"/>
      <c r="D116" s="128"/>
      <c r="E116" s="128"/>
      <c r="F116" s="129"/>
      <c r="G116" s="83" t="s">
        <v>194</v>
      </c>
      <c r="H116" s="84"/>
      <c r="I116" s="84"/>
      <c r="J116" s="85"/>
    </row>
    <row r="117" spans="1:10" x14ac:dyDescent="0.35">
      <c r="A117" s="57" t="s">
        <v>195</v>
      </c>
      <c r="B117" s="133"/>
      <c r="C117" s="133"/>
      <c r="D117" s="133"/>
      <c r="E117" s="133"/>
      <c r="F117" s="58"/>
      <c r="G117" s="83" t="s">
        <v>196</v>
      </c>
      <c r="H117" s="84"/>
      <c r="I117" s="84"/>
      <c r="J117" s="85"/>
    </row>
    <row r="118" spans="1:10" ht="15" hidden="1" customHeight="1" x14ac:dyDescent="0.35">
      <c r="A118" s="75" t="s">
        <v>121</v>
      </c>
      <c r="B118" s="116"/>
      <c r="C118" s="116"/>
      <c r="D118" s="116"/>
      <c r="E118" s="116"/>
      <c r="F118" s="76"/>
      <c r="G118" s="83" t="s">
        <v>51</v>
      </c>
      <c r="H118" s="84"/>
      <c r="I118" s="84"/>
      <c r="J118" s="85"/>
    </row>
    <row r="119" spans="1:10" hidden="1" x14ac:dyDescent="0.35">
      <c r="A119" s="57" t="s">
        <v>74</v>
      </c>
      <c r="B119" s="133"/>
      <c r="C119" s="133"/>
      <c r="D119" s="133"/>
      <c r="E119" s="133"/>
      <c r="F119" s="58"/>
      <c r="G119" s="83" t="s">
        <v>51</v>
      </c>
      <c r="H119" s="84"/>
      <c r="I119" s="84"/>
      <c r="J119" s="85"/>
    </row>
    <row r="120" spans="1:10" hidden="1" x14ac:dyDescent="0.35">
      <c r="A120" s="57" t="s">
        <v>96</v>
      </c>
      <c r="B120" s="128"/>
      <c r="C120" s="128"/>
      <c r="D120" s="128"/>
      <c r="E120" s="128"/>
      <c r="F120" s="129"/>
      <c r="G120" s="83" t="s">
        <v>51</v>
      </c>
      <c r="H120" s="84"/>
      <c r="I120" s="84"/>
      <c r="J120" s="85"/>
    </row>
    <row r="121" spans="1:10" x14ac:dyDescent="0.35">
      <c r="A121" s="57" t="s">
        <v>129</v>
      </c>
      <c r="B121" s="133"/>
      <c r="C121" s="133"/>
      <c r="D121" s="133"/>
      <c r="E121" s="133"/>
      <c r="F121" s="58"/>
      <c r="G121" s="83" t="s">
        <v>222</v>
      </c>
      <c r="H121" s="84"/>
      <c r="I121" s="84"/>
      <c r="J121" s="85"/>
    </row>
    <row r="122" spans="1:10" s="1" customFormat="1" x14ac:dyDescent="0.35">
      <c r="A122" s="72" t="s">
        <v>105</v>
      </c>
      <c r="B122" s="134"/>
      <c r="C122" s="134"/>
      <c r="D122" s="134"/>
      <c r="E122" s="134"/>
      <c r="F122" s="135"/>
      <c r="G122" s="77">
        <f>G114*0.8</f>
        <v>3520</v>
      </c>
      <c r="H122" s="78"/>
      <c r="I122" s="78"/>
      <c r="J122" s="79"/>
    </row>
    <row r="123" spans="1:10" s="1" customFormat="1" ht="17.5" x14ac:dyDescent="0.35">
      <c r="A123" s="174" t="s">
        <v>106</v>
      </c>
      <c r="B123" s="175"/>
      <c r="C123" s="175"/>
      <c r="D123" s="175"/>
      <c r="E123" s="175"/>
      <c r="F123" s="175"/>
      <c r="G123" s="175"/>
      <c r="H123" s="175"/>
      <c r="I123" s="175"/>
      <c r="J123" s="176"/>
    </row>
    <row r="124" spans="1:10" x14ac:dyDescent="0.35">
      <c r="A124" s="156" t="s">
        <v>47</v>
      </c>
      <c r="B124" s="157"/>
      <c r="C124" s="157"/>
      <c r="D124" s="157"/>
      <c r="E124" s="157"/>
      <c r="F124" s="157"/>
      <c r="G124" s="157"/>
      <c r="H124" s="157"/>
      <c r="I124" s="157"/>
      <c r="J124" s="158"/>
    </row>
    <row r="125" spans="1:10" ht="40.5" customHeight="1" x14ac:dyDescent="0.35">
      <c r="A125" s="149" t="s">
        <v>125</v>
      </c>
      <c r="B125" s="150"/>
      <c r="C125" s="7" t="s">
        <v>29</v>
      </c>
      <c r="D125" s="225" t="s">
        <v>75</v>
      </c>
      <c r="E125" s="226"/>
      <c r="F125" s="14" t="s">
        <v>30</v>
      </c>
      <c r="G125" s="7" t="s">
        <v>124</v>
      </c>
      <c r="H125" s="7" t="s">
        <v>31</v>
      </c>
      <c r="I125" s="149" t="s">
        <v>107</v>
      </c>
      <c r="J125" s="150"/>
    </row>
    <row r="126" spans="1:10" ht="15" x14ac:dyDescent="0.35">
      <c r="A126" s="130" t="s">
        <v>226</v>
      </c>
      <c r="B126" s="131"/>
      <c r="C126" s="131"/>
      <c r="D126" s="131"/>
      <c r="E126" s="131"/>
      <c r="F126" s="131"/>
      <c r="G126" s="131"/>
      <c r="H126" s="131"/>
      <c r="I126" s="131"/>
      <c r="J126" s="132"/>
    </row>
    <row r="127" spans="1:10" ht="15" x14ac:dyDescent="0.35">
      <c r="A127" s="92" t="s">
        <v>153</v>
      </c>
      <c r="B127" s="93"/>
      <c r="C127" s="93"/>
      <c r="D127" s="93"/>
      <c r="E127" s="93"/>
      <c r="F127" s="93"/>
      <c r="G127" s="93"/>
      <c r="H127" s="93"/>
      <c r="I127" s="93"/>
      <c r="J127" s="94"/>
    </row>
    <row r="128" spans="1:10" ht="15.5" x14ac:dyDescent="0.35">
      <c r="A128" s="87">
        <v>1</v>
      </c>
      <c r="B128" s="88"/>
      <c r="C128" s="13" t="s">
        <v>152</v>
      </c>
      <c r="D128" s="90">
        <f>(2.9*6.02)*(10.764)</f>
        <v>187.91791199999997</v>
      </c>
      <c r="E128" s="91"/>
      <c r="F128" s="13">
        <v>0</v>
      </c>
      <c r="G128" s="13">
        <f>D128*1.5</f>
        <v>281.87686799999994</v>
      </c>
      <c r="H128" s="13" t="s">
        <v>51</v>
      </c>
      <c r="I128" s="97" t="str">
        <f>A127</f>
        <v>Ground Floor For Commercial &amp; Residential</v>
      </c>
      <c r="J128" s="98"/>
    </row>
    <row r="129" spans="1:13" ht="15.5" x14ac:dyDescent="0.35">
      <c r="A129" s="87">
        <v>2</v>
      </c>
      <c r="B129" s="88"/>
      <c r="C129" s="13" t="s">
        <v>152</v>
      </c>
      <c r="D129" s="90">
        <f>(4.06*6.02)*(10.764)</f>
        <v>263.08507679999991</v>
      </c>
      <c r="E129" s="91">
        <f t="shared" ref="E129:E140" si="0">0*(10.764)</f>
        <v>0</v>
      </c>
      <c r="F129" s="13">
        <v>0</v>
      </c>
      <c r="G129" s="13">
        <f t="shared" ref="G129:G135" si="1">D129*1.5</f>
        <v>394.62761519999987</v>
      </c>
      <c r="H129" s="13" t="s">
        <v>51</v>
      </c>
      <c r="I129" s="95"/>
      <c r="J129" s="96"/>
    </row>
    <row r="130" spans="1:13" ht="15.5" x14ac:dyDescent="0.35">
      <c r="A130" s="87">
        <v>3</v>
      </c>
      <c r="B130" s="88"/>
      <c r="C130" s="13" t="s">
        <v>152</v>
      </c>
      <c r="D130" s="90">
        <f>(4.06*6.02)*(10.764)</f>
        <v>263.08507679999991</v>
      </c>
      <c r="E130" s="91">
        <f t="shared" si="0"/>
        <v>0</v>
      </c>
      <c r="F130" s="13">
        <v>0</v>
      </c>
      <c r="G130" s="13">
        <f t="shared" si="1"/>
        <v>394.62761519999987</v>
      </c>
      <c r="H130" s="13" t="s">
        <v>51</v>
      </c>
      <c r="I130" s="95"/>
      <c r="J130" s="96"/>
    </row>
    <row r="131" spans="1:13" ht="15.5" x14ac:dyDescent="0.35">
      <c r="A131" s="87">
        <v>4</v>
      </c>
      <c r="B131" s="88"/>
      <c r="C131" s="13" t="s">
        <v>152</v>
      </c>
      <c r="D131" s="90">
        <f>(2.9*6.02)*(10.764)</f>
        <v>187.91791199999997</v>
      </c>
      <c r="E131" s="91">
        <f t="shared" si="0"/>
        <v>0</v>
      </c>
      <c r="F131" s="13">
        <v>0</v>
      </c>
      <c r="G131" s="13">
        <f t="shared" si="1"/>
        <v>281.87686799999994</v>
      </c>
      <c r="H131" s="13" t="s">
        <v>51</v>
      </c>
      <c r="I131" s="95"/>
      <c r="J131" s="96"/>
    </row>
    <row r="132" spans="1:13" ht="15.5" x14ac:dyDescent="0.35">
      <c r="A132" s="87">
        <v>5</v>
      </c>
      <c r="B132" s="88"/>
      <c r="C132" s="13" t="s">
        <v>152</v>
      </c>
      <c r="D132" s="90">
        <f>(2.9*6.02)*(10.764)</f>
        <v>187.91791199999997</v>
      </c>
      <c r="E132" s="91">
        <f t="shared" si="0"/>
        <v>0</v>
      </c>
      <c r="F132" s="13">
        <v>0</v>
      </c>
      <c r="G132" s="13">
        <f t="shared" si="1"/>
        <v>281.87686799999994</v>
      </c>
      <c r="H132" s="13" t="s">
        <v>51</v>
      </c>
      <c r="I132" s="95"/>
      <c r="J132" s="96"/>
      <c r="L132" s="54">
        <f>10.764</f>
        <v>10.763999999999999</v>
      </c>
    </row>
    <row r="133" spans="1:13" ht="15.5" x14ac:dyDescent="0.35">
      <c r="A133" s="87">
        <v>6</v>
      </c>
      <c r="B133" s="88"/>
      <c r="C133" s="13" t="s">
        <v>152</v>
      </c>
      <c r="D133" s="90">
        <f>(4.06*6.02)*(10.764)</f>
        <v>263.08507679999991</v>
      </c>
      <c r="E133" s="91">
        <f t="shared" si="0"/>
        <v>0</v>
      </c>
      <c r="F133" s="13">
        <v>0</v>
      </c>
      <c r="G133" s="13">
        <f t="shared" si="1"/>
        <v>394.62761519999987</v>
      </c>
      <c r="H133" s="13" t="s">
        <v>51</v>
      </c>
      <c r="I133" s="95"/>
      <c r="J133" s="96"/>
    </row>
    <row r="134" spans="1:13" ht="15.5" x14ac:dyDescent="0.35">
      <c r="A134" s="87">
        <v>7</v>
      </c>
      <c r="B134" s="88"/>
      <c r="C134" s="13" t="s">
        <v>152</v>
      </c>
      <c r="D134" s="90">
        <f>(4.06*6.02)*(10.764)</f>
        <v>263.08507679999991</v>
      </c>
      <c r="E134" s="91">
        <f t="shared" si="0"/>
        <v>0</v>
      </c>
      <c r="F134" s="13">
        <v>0</v>
      </c>
      <c r="G134" s="13">
        <f t="shared" si="1"/>
        <v>394.62761519999987</v>
      </c>
      <c r="H134" s="13" t="s">
        <v>51</v>
      </c>
      <c r="I134" s="95"/>
      <c r="J134" s="96"/>
    </row>
    <row r="135" spans="1:13" ht="15.5" x14ac:dyDescent="0.35">
      <c r="A135" s="87">
        <v>8</v>
      </c>
      <c r="B135" s="88"/>
      <c r="C135" s="13" t="s">
        <v>152</v>
      </c>
      <c r="D135" s="90">
        <f>(2.9*6.02)*(10.764)</f>
        <v>187.91791199999997</v>
      </c>
      <c r="E135" s="91">
        <f t="shared" si="0"/>
        <v>0</v>
      </c>
      <c r="F135" s="13">
        <v>0</v>
      </c>
      <c r="G135" s="13">
        <f t="shared" si="1"/>
        <v>281.87686799999994</v>
      </c>
      <c r="H135" s="13" t="s">
        <v>51</v>
      </c>
      <c r="I135" s="95"/>
      <c r="J135" s="96"/>
    </row>
    <row r="136" spans="1:13" ht="15.5" x14ac:dyDescent="0.35">
      <c r="A136" s="87">
        <v>1</v>
      </c>
      <c r="B136" s="88"/>
      <c r="C136" s="13" t="s">
        <v>127</v>
      </c>
      <c r="D136" s="90">
        <f>((2.74*4.27+2.29*1.5+2.98*2.27+1.91*1.22+1.22*1.9+1.22*2.37+1.22*1+1.3*2.9+1*2.54+1*1.8))*(10.764)</f>
        <v>417.30951599999997</v>
      </c>
      <c r="E136" s="91">
        <f t="shared" si="0"/>
        <v>0</v>
      </c>
      <c r="F136" s="13">
        <v>0</v>
      </c>
      <c r="G136" s="13">
        <f t="shared" ref="G136:G145" si="2">D136*1.45</f>
        <v>605.09879819999992</v>
      </c>
      <c r="H136" s="13" t="s">
        <v>51</v>
      </c>
      <c r="I136" s="95"/>
      <c r="J136" s="96"/>
      <c r="M136">
        <f>G136/D136</f>
        <v>1.45</v>
      </c>
    </row>
    <row r="137" spans="1:13" ht="15.5" x14ac:dyDescent="0.35">
      <c r="A137" s="87">
        <v>2</v>
      </c>
      <c r="B137" s="88"/>
      <c r="C137" s="13" t="s">
        <v>127</v>
      </c>
      <c r="D137" s="90">
        <f>((2.74*4.27+2.29*1.5+2.98*2.27+1.91*1.22+1.22*1.9+1.22*2.37+1.22*1+1.3*2.9+1*2.54+1*1.8))*(10.764)</f>
        <v>417.30951599999997</v>
      </c>
      <c r="E137" s="91">
        <f t="shared" si="0"/>
        <v>0</v>
      </c>
      <c r="F137" s="13">
        <v>0</v>
      </c>
      <c r="G137" s="13">
        <f t="shared" si="2"/>
        <v>605.09879819999992</v>
      </c>
      <c r="H137" s="13" t="s">
        <v>51</v>
      </c>
      <c r="I137" s="95"/>
      <c r="J137" s="96"/>
      <c r="M137" s="53">
        <f>SUM(D136:E145)+SUM(D147:E160)*4+SUM(D162:E167,D168:E175)*3+SUM(D177:E190)+SUM(D192:E204)*4+SUM(D207:E212,D213:E216)+SUM(D218:E227)*4+SUM(D229:E238)*3+SUM(D240:E249)+SUM(D252:E257,D258:E262)*4+SUM(D264:E274)*4</f>
        <v>158192.63044160002</v>
      </c>
    </row>
    <row r="138" spans="1:13" ht="15.5" x14ac:dyDescent="0.35">
      <c r="A138" s="87">
        <v>3</v>
      </c>
      <c r="B138" s="88"/>
      <c r="C138" s="13" t="s">
        <v>127</v>
      </c>
      <c r="D138" s="90">
        <f>((2.74*4.27+2.29*1.5+2.98*2.27+1.91*1.22+1.22*1.9+1.22*2.37+1.22*1+1.3*2.9+1*2.54+1*1.8))*(10.764)</f>
        <v>417.30951599999997</v>
      </c>
      <c r="E138" s="91">
        <f t="shared" si="0"/>
        <v>0</v>
      </c>
      <c r="F138" s="13">
        <v>0</v>
      </c>
      <c r="G138" s="13">
        <f t="shared" si="2"/>
        <v>605.09879819999992</v>
      </c>
      <c r="H138" s="13" t="s">
        <v>51</v>
      </c>
      <c r="I138" s="95"/>
      <c r="J138" s="96"/>
      <c r="M138">
        <f>COUNT(D136:E145)+COUNT(D147:E160)*4+COUNT(D162:E167,D168:E175)*3+COUNT(D177:E190)+COUNT(D192:E204)*4+COUNT(D207:E212,D213:E216)+COUNT(D218:E227)*4+COUNT(D229:E238)*3+COUNT(D240:E249)+COUNT(D252:E257,D258:E262)*4+COUNT(D264:E274)*4</f>
        <v>525</v>
      </c>
    </row>
    <row r="139" spans="1:13" ht="15.5" x14ac:dyDescent="0.35">
      <c r="A139" s="87">
        <v>4</v>
      </c>
      <c r="B139" s="88"/>
      <c r="C139" s="13" t="s">
        <v>127</v>
      </c>
      <c r="D139" s="90">
        <f>((2.74*4.27+2.29*1.5+2.98*2.27+1.91*1.22+1.22*1.9+1.22*2.37+1.22*1+1.3*2.9+1*2.54+1*1.8))*(10.764)</f>
        <v>417.30951599999997</v>
      </c>
      <c r="E139" s="91">
        <f t="shared" si="0"/>
        <v>0</v>
      </c>
      <c r="F139" s="13">
        <v>0</v>
      </c>
      <c r="G139" s="13">
        <f t="shared" si="2"/>
        <v>605.09879819999992</v>
      </c>
      <c r="H139" s="13" t="s">
        <v>51</v>
      </c>
      <c r="I139" s="95"/>
      <c r="J139" s="96"/>
    </row>
    <row r="140" spans="1:13" ht="15.5" x14ac:dyDescent="0.35">
      <c r="A140" s="87">
        <v>5</v>
      </c>
      <c r="B140" s="88"/>
      <c r="C140" s="13" t="s">
        <v>127</v>
      </c>
      <c r="D140" s="90">
        <f>((2.74*4.27+2.29*1.5+2.98*2.27+1.91*1.22+1.22*1.9+1.22*2.37+1.22*1+1.3*2.9+1*2.54+1*1.8))*(10.764)</f>
        <v>417.30951599999997</v>
      </c>
      <c r="E140" s="91">
        <f t="shared" si="0"/>
        <v>0</v>
      </c>
      <c r="F140" s="13">
        <v>0</v>
      </c>
      <c r="G140" s="13">
        <f t="shared" si="2"/>
        <v>605.09879819999992</v>
      </c>
      <c r="H140" s="13" t="s">
        <v>51</v>
      </c>
      <c r="I140" s="95"/>
      <c r="J140" s="96"/>
    </row>
    <row r="141" spans="1:13" ht="15.5" x14ac:dyDescent="0.35">
      <c r="A141" s="87">
        <v>6</v>
      </c>
      <c r="B141" s="88"/>
      <c r="C141" s="13" t="s">
        <v>133</v>
      </c>
      <c r="D141" s="90">
        <f>((2.74*4.27+2.29*1.5+2.9*2.45+1.9*2.9+1.9*1.22+1.22*1.9+1*2.54+1.05*3.05+1.45*3.05+0.6*(1.5+2.45)+1.22*2.37))*(10.764)</f>
        <v>514.65052079999998</v>
      </c>
      <c r="E141" s="91"/>
      <c r="F141" s="13">
        <v>0</v>
      </c>
      <c r="G141" s="13">
        <f t="shared" si="2"/>
        <v>746.24325515999999</v>
      </c>
      <c r="H141" s="13" t="s">
        <v>51</v>
      </c>
      <c r="I141" s="95"/>
      <c r="J141" s="96"/>
    </row>
    <row r="142" spans="1:13" ht="15.5" x14ac:dyDescent="0.35">
      <c r="A142" s="87">
        <v>11</v>
      </c>
      <c r="B142" s="88"/>
      <c r="C142" s="13" t="s">
        <v>127</v>
      </c>
      <c r="D142" s="90">
        <f>((2.74*4.27+2.29*1.5+2.98*2.27+1.91*1.22+1.22*1.9+1.22*2.37+1.22*1+1.3*2.9+1*2.54+1*1.8))*(10.764)</f>
        <v>417.30951599999997</v>
      </c>
      <c r="E142" s="91">
        <f>0*(10.764)</f>
        <v>0</v>
      </c>
      <c r="F142" s="13">
        <v>0</v>
      </c>
      <c r="G142" s="13">
        <f t="shared" si="2"/>
        <v>605.09879819999992</v>
      </c>
      <c r="H142" s="13" t="s">
        <v>51</v>
      </c>
      <c r="I142" s="95"/>
      <c r="J142" s="96"/>
    </row>
    <row r="143" spans="1:13" ht="15.5" x14ac:dyDescent="0.35">
      <c r="A143" s="87">
        <v>12</v>
      </c>
      <c r="B143" s="88"/>
      <c r="C143" s="13" t="s">
        <v>127</v>
      </c>
      <c r="D143" s="90">
        <f>((2.74*4.27+2.29*1.5+2.98*2.27+1.91*1.22+1.22*1.9+1.22*2.37+1.22*1+1.3*2.9+1*2.54+1*1.8))*(10.764)</f>
        <v>417.30951599999997</v>
      </c>
      <c r="E143" s="91">
        <f>0*(10.764)</f>
        <v>0</v>
      </c>
      <c r="F143" s="13">
        <v>0</v>
      </c>
      <c r="G143" s="13">
        <f t="shared" si="2"/>
        <v>605.09879819999992</v>
      </c>
      <c r="H143" s="13" t="s">
        <v>51</v>
      </c>
      <c r="I143" s="95"/>
      <c r="J143" s="96"/>
    </row>
    <row r="144" spans="1:13" ht="15.5" x14ac:dyDescent="0.35">
      <c r="A144" s="87">
        <v>13</v>
      </c>
      <c r="B144" s="88"/>
      <c r="C144" s="13" t="s">
        <v>127</v>
      </c>
      <c r="D144" s="90">
        <f>((2.74*4.27+2.29*1.5+2.98*2.27+1.91*1.22+1.22*1.9+1.22*2.37+1.22*1+1.3*2.9+1*2.54+1*1.8))*(10.764)</f>
        <v>417.30951599999997</v>
      </c>
      <c r="E144" s="91">
        <f>0*(10.764)</f>
        <v>0</v>
      </c>
      <c r="F144" s="13">
        <v>0</v>
      </c>
      <c r="G144" s="13">
        <f t="shared" si="2"/>
        <v>605.09879819999992</v>
      </c>
      <c r="H144" s="13" t="s">
        <v>51</v>
      </c>
      <c r="I144" s="95"/>
      <c r="J144" s="96"/>
    </row>
    <row r="145" spans="1:12" ht="15.5" x14ac:dyDescent="0.35">
      <c r="A145" s="87">
        <v>14</v>
      </c>
      <c r="B145" s="88"/>
      <c r="C145" s="13" t="s">
        <v>127</v>
      </c>
      <c r="D145" s="90">
        <f>((2.74*4.27+2.29*1.5+2.98*2.27+1.91*1.22+1.22*1.9+1.22*2.37+1.22*1+1.3*2.9+1*2.54+1*1.8))*(10.764)</f>
        <v>417.30951599999997</v>
      </c>
      <c r="E145" s="91">
        <f>0*(10.764)</f>
        <v>0</v>
      </c>
      <c r="F145" s="13">
        <v>0</v>
      </c>
      <c r="G145" s="13">
        <f t="shared" si="2"/>
        <v>605.09879819999992</v>
      </c>
      <c r="H145" s="13" t="s">
        <v>51</v>
      </c>
      <c r="I145" s="159"/>
      <c r="J145" s="160"/>
    </row>
    <row r="146" spans="1:12" ht="15" x14ac:dyDescent="0.35">
      <c r="A146" s="92" t="s">
        <v>155</v>
      </c>
      <c r="B146" s="93"/>
      <c r="C146" s="93"/>
      <c r="D146" s="93"/>
      <c r="E146" s="93"/>
      <c r="F146" s="93"/>
      <c r="G146" s="93"/>
      <c r="H146" s="93"/>
      <c r="I146" s="93"/>
      <c r="J146" s="94"/>
    </row>
    <row r="147" spans="1:12" ht="15.5" x14ac:dyDescent="0.35">
      <c r="A147" s="87">
        <v>1</v>
      </c>
      <c r="B147" s="88"/>
      <c r="C147" s="13" t="s">
        <v>127</v>
      </c>
      <c r="D147" s="90">
        <f>((2.74*4.27+2.29*1.5+2.98*2.27+1.91*1.22+1.22*1.9+1.22*2.37+1.22*1+1.3*2.9+1*2.54+1*1.8))*(10.764)</f>
        <v>417.30951599999997</v>
      </c>
      <c r="E147" s="91">
        <f t="shared" ref="E147:E160" si="3">0*(10.764)</f>
        <v>0</v>
      </c>
      <c r="F147" s="13">
        <v>0</v>
      </c>
      <c r="G147" s="13">
        <f>D147*1.5</f>
        <v>625.96427399999993</v>
      </c>
      <c r="H147" s="13" t="s">
        <v>51</v>
      </c>
      <c r="I147" s="97" t="str">
        <f>A146</f>
        <v>1st, 3rd, 5th &amp; 7th Floors</v>
      </c>
      <c r="J147" s="98"/>
    </row>
    <row r="148" spans="1:12" ht="15.5" x14ac:dyDescent="0.35">
      <c r="A148" s="87">
        <v>2</v>
      </c>
      <c r="B148" s="88"/>
      <c r="C148" s="13" t="s">
        <v>127</v>
      </c>
      <c r="D148" s="90">
        <f>((2.74*4.27+2.29*1.5+2.98*2.27+1.91*1.22+1.22*1.9+1.22*2.37+1.22*1+1.3*2.9+1*2.54+1*1.8))*(10.764)</f>
        <v>417.30951599999997</v>
      </c>
      <c r="E148" s="91">
        <f t="shared" si="3"/>
        <v>0</v>
      </c>
      <c r="F148" s="13">
        <v>0</v>
      </c>
      <c r="G148" s="13">
        <f t="shared" ref="G148:G154" si="4">D148*1.5</f>
        <v>625.96427399999993</v>
      </c>
      <c r="H148" s="13" t="s">
        <v>51</v>
      </c>
      <c r="I148" s="95"/>
      <c r="J148" s="96"/>
    </row>
    <row r="149" spans="1:12" ht="15.5" x14ac:dyDescent="0.35">
      <c r="A149" s="87">
        <v>3</v>
      </c>
      <c r="B149" s="88"/>
      <c r="C149" s="13" t="s">
        <v>127</v>
      </c>
      <c r="D149" s="90">
        <f>((2.74*4.27+2.29*1.5+2.98*2.27+1.91*1.22+1.22*1.9+1.22*2.37+1.22*1+1.3*2.9+1*2.54+1*1.8))*(10.764)</f>
        <v>417.30951599999997</v>
      </c>
      <c r="E149" s="91">
        <f t="shared" si="3"/>
        <v>0</v>
      </c>
      <c r="F149" s="13">
        <v>0</v>
      </c>
      <c r="G149" s="13">
        <f t="shared" si="4"/>
        <v>625.96427399999993</v>
      </c>
      <c r="H149" s="13" t="s">
        <v>51</v>
      </c>
      <c r="I149" s="95"/>
      <c r="J149" s="96"/>
    </row>
    <row r="150" spans="1:12" ht="15.5" x14ac:dyDescent="0.35">
      <c r="A150" s="87">
        <v>4</v>
      </c>
      <c r="B150" s="88"/>
      <c r="C150" s="13" t="s">
        <v>127</v>
      </c>
      <c r="D150" s="90">
        <f>((2.74*4.27+2.29*1.5+2.98*2.27+1.91*1.22+1.22*1.9+1.22*2.37+1.22*1+1.3*2.9+1*2.54+1*1.8))*(10.764)</f>
        <v>417.30951599999997</v>
      </c>
      <c r="E150" s="91">
        <f t="shared" si="3"/>
        <v>0</v>
      </c>
      <c r="F150" s="13">
        <v>0</v>
      </c>
      <c r="G150" s="13">
        <f t="shared" si="4"/>
        <v>625.96427399999993</v>
      </c>
      <c r="H150" s="13" t="s">
        <v>51</v>
      </c>
      <c r="I150" s="95"/>
      <c r="J150" s="96"/>
    </row>
    <row r="151" spans="1:12" ht="15.5" x14ac:dyDescent="0.35">
      <c r="A151" s="87">
        <v>5</v>
      </c>
      <c r="B151" s="88"/>
      <c r="C151" s="13" t="s">
        <v>127</v>
      </c>
      <c r="D151" s="90">
        <f>((2.74*4.27+2.29*1.5+2.98*2.27+1.91*1.22+1.22*1.9+1.22*2.37+1.22*1+1.3*2.9+1*2.54+1*1.8))*(10.764)</f>
        <v>417.30951599999997</v>
      </c>
      <c r="E151" s="91">
        <f t="shared" si="3"/>
        <v>0</v>
      </c>
      <c r="F151" s="13">
        <v>0</v>
      </c>
      <c r="G151" s="13">
        <f t="shared" si="4"/>
        <v>625.96427399999993</v>
      </c>
      <c r="H151" s="13" t="s">
        <v>51</v>
      </c>
      <c r="I151" s="95"/>
      <c r="J151" s="96"/>
      <c r="L151" s="54">
        <f>10.764</f>
        <v>10.763999999999999</v>
      </c>
    </row>
    <row r="152" spans="1:12" ht="15.5" x14ac:dyDescent="0.35">
      <c r="A152" s="87">
        <v>6</v>
      </c>
      <c r="B152" s="88"/>
      <c r="C152" s="13" t="s">
        <v>133</v>
      </c>
      <c r="D152" s="90">
        <f>((2.74*4.27+2.29*1.5+2.9*2.45+1.9*2.9+1.9*1.22+1.22*1.9+1*2.54+1.05*3.05+1.45*3.05+0.6*(1.5+2.45)+1.22*2.37))*(10.764)</f>
        <v>514.65052079999998</v>
      </c>
      <c r="E152" s="91">
        <f t="shared" si="3"/>
        <v>0</v>
      </c>
      <c r="F152" s="13">
        <v>0</v>
      </c>
      <c r="G152" s="13">
        <f t="shared" si="4"/>
        <v>771.97578120000003</v>
      </c>
      <c r="H152" s="13" t="s">
        <v>51</v>
      </c>
      <c r="I152" s="95"/>
      <c r="J152" s="96"/>
    </row>
    <row r="153" spans="1:12" ht="15.5" x14ac:dyDescent="0.35">
      <c r="A153" s="87">
        <v>7</v>
      </c>
      <c r="B153" s="88"/>
      <c r="C153" s="13" t="s">
        <v>133</v>
      </c>
      <c r="D153" s="90">
        <f>((2.74*4.27+2.29*1.5+2.9*2.45+1.9*2.9+1.9*1.22+1.22*1.9+1*2.54+1.05*3.05+1.45*3.05+0.6*(1.5+2.45)+1.22*2.37))*(10.764)</f>
        <v>514.65052079999998</v>
      </c>
      <c r="E153" s="91">
        <f t="shared" si="3"/>
        <v>0</v>
      </c>
      <c r="F153" s="13">
        <v>0</v>
      </c>
      <c r="G153" s="13">
        <f t="shared" si="4"/>
        <v>771.97578120000003</v>
      </c>
      <c r="H153" s="13" t="s">
        <v>51</v>
      </c>
      <c r="I153" s="95"/>
      <c r="J153" s="96"/>
    </row>
    <row r="154" spans="1:12" ht="15.5" x14ac:dyDescent="0.35">
      <c r="A154" s="87">
        <v>8</v>
      </c>
      <c r="B154" s="88"/>
      <c r="C154" s="13" t="s">
        <v>127</v>
      </c>
      <c r="D154" s="90">
        <f>((2.74*4.27+2.29*1.5+2.98*2.27+1.91*1.22+1.22*1.9+1.22*2.37+1.22*1+1.3*2.9+1*2.54+1*1.8))*(10.764)</f>
        <v>417.30951599999997</v>
      </c>
      <c r="E154" s="91">
        <f t="shared" si="3"/>
        <v>0</v>
      </c>
      <c r="F154" s="13">
        <v>0</v>
      </c>
      <c r="G154" s="13">
        <f t="shared" si="4"/>
        <v>625.96427399999993</v>
      </c>
      <c r="H154" s="13" t="s">
        <v>51</v>
      </c>
      <c r="I154" s="95"/>
      <c r="J154" s="96"/>
    </row>
    <row r="155" spans="1:12" ht="15.5" x14ac:dyDescent="0.35">
      <c r="A155" s="87">
        <v>9</v>
      </c>
      <c r="B155" s="88"/>
      <c r="C155" s="13" t="s">
        <v>127</v>
      </c>
      <c r="D155" s="90">
        <f>((2.74*4.27+2.29*1.5+2.98*2.27+1.91*1.22+1.22*1.9+1.22*2.37+1.22*1+1.3*2.9+1*2.54+1*1.8))*(10.764)</f>
        <v>417.30951599999997</v>
      </c>
      <c r="E155" s="91">
        <f t="shared" si="3"/>
        <v>0</v>
      </c>
      <c r="F155" s="13">
        <v>0</v>
      </c>
      <c r="G155" s="13">
        <f t="shared" ref="G155:G160" si="5">D155*1.45</f>
        <v>605.09879819999992</v>
      </c>
      <c r="H155" s="13" t="s">
        <v>51</v>
      </c>
      <c r="I155" s="95"/>
      <c r="J155" s="96"/>
    </row>
    <row r="156" spans="1:12" ht="15.5" x14ac:dyDescent="0.35">
      <c r="A156" s="87">
        <v>10</v>
      </c>
      <c r="B156" s="88"/>
      <c r="C156" s="13" t="s">
        <v>133</v>
      </c>
      <c r="D156" s="90">
        <f>((2.74*4.27+2.29*1.5+2.9*2.45+1.9*2.9+1.9*1.22+1.22*1.9+1*2.54+1.05*3.05+1.45*3.05+0.6*(1.5+2.45)+1.22*2.37))*(10.764)</f>
        <v>514.65052079999998</v>
      </c>
      <c r="E156" s="91">
        <f t="shared" si="3"/>
        <v>0</v>
      </c>
      <c r="F156" s="13">
        <v>0</v>
      </c>
      <c r="G156" s="13">
        <f t="shared" si="5"/>
        <v>746.24325515999999</v>
      </c>
      <c r="H156" s="13" t="s">
        <v>51</v>
      </c>
      <c r="I156" s="95"/>
      <c r="J156" s="96"/>
    </row>
    <row r="157" spans="1:12" ht="15.5" x14ac:dyDescent="0.35">
      <c r="A157" s="87">
        <v>11</v>
      </c>
      <c r="B157" s="88"/>
      <c r="C157" s="13" t="s">
        <v>127</v>
      </c>
      <c r="D157" s="90">
        <f>((2.74*4.27+2.29*1.5+2.98*2.27+1.91*1.22+1.22*1.9+1.22*2.37+1.22*1+1.3*2.9+1*2.54+1*1.8))*(10.764)</f>
        <v>417.30951599999997</v>
      </c>
      <c r="E157" s="91">
        <f t="shared" si="3"/>
        <v>0</v>
      </c>
      <c r="F157" s="13">
        <v>0</v>
      </c>
      <c r="G157" s="13">
        <f t="shared" si="5"/>
        <v>605.09879819999992</v>
      </c>
      <c r="H157" s="13" t="s">
        <v>51</v>
      </c>
      <c r="I157" s="95"/>
      <c r="J157" s="96"/>
    </row>
    <row r="158" spans="1:12" ht="15.5" x14ac:dyDescent="0.35">
      <c r="A158" s="87">
        <v>12</v>
      </c>
      <c r="B158" s="88"/>
      <c r="C158" s="13" t="s">
        <v>127</v>
      </c>
      <c r="D158" s="90">
        <f>((2.74*4.27+2.29*1.5+2.98*2.27+1.91*1.22+1.22*1.9+1.22*2.37+1.22*1+1.3*2.9+1*2.54+1*1.8))*(10.764)</f>
        <v>417.30951599999997</v>
      </c>
      <c r="E158" s="91">
        <f t="shared" si="3"/>
        <v>0</v>
      </c>
      <c r="F158" s="13">
        <v>0</v>
      </c>
      <c r="G158" s="13">
        <f t="shared" si="5"/>
        <v>605.09879819999992</v>
      </c>
      <c r="H158" s="13" t="s">
        <v>51</v>
      </c>
      <c r="I158" s="95"/>
      <c r="J158" s="96"/>
    </row>
    <row r="159" spans="1:12" ht="15.5" x14ac:dyDescent="0.35">
      <c r="A159" s="87">
        <v>13</v>
      </c>
      <c r="B159" s="88"/>
      <c r="C159" s="13" t="s">
        <v>127</v>
      </c>
      <c r="D159" s="90">
        <f>((2.74*4.27+2.29*1.5+2.98*2.27+1.91*1.22+1.22*1.9+1.22*2.37+1.22*1+1.3*2.9+1*2.54+1*1.8))*(10.764)</f>
        <v>417.30951599999997</v>
      </c>
      <c r="E159" s="91">
        <f t="shared" si="3"/>
        <v>0</v>
      </c>
      <c r="F159" s="13">
        <v>0</v>
      </c>
      <c r="G159" s="13">
        <f t="shared" si="5"/>
        <v>605.09879819999992</v>
      </c>
      <c r="H159" s="13" t="s">
        <v>51</v>
      </c>
      <c r="I159" s="95"/>
      <c r="J159" s="96"/>
    </row>
    <row r="160" spans="1:12" ht="15.5" x14ac:dyDescent="0.35">
      <c r="A160" s="87">
        <v>14</v>
      </c>
      <c r="B160" s="88"/>
      <c r="C160" s="13" t="s">
        <v>127</v>
      </c>
      <c r="D160" s="90">
        <f>((2.74*4.27+2.29*1.5+2.98*2.27+1.91*1.22+1.22*1.9+1.22*2.37+1.22*1+1.3*2.9+1*2.54+1*1.8))*(10.764)</f>
        <v>417.30951599999997</v>
      </c>
      <c r="E160" s="91">
        <f t="shared" si="3"/>
        <v>0</v>
      </c>
      <c r="F160" s="13">
        <v>0</v>
      </c>
      <c r="G160" s="13">
        <f t="shared" si="5"/>
        <v>605.09879819999992</v>
      </c>
      <c r="H160" s="13" t="s">
        <v>51</v>
      </c>
      <c r="I160" s="95"/>
      <c r="J160" s="96"/>
    </row>
    <row r="161" spans="1:12" ht="15" x14ac:dyDescent="0.35">
      <c r="A161" s="92" t="s">
        <v>156</v>
      </c>
      <c r="B161" s="93"/>
      <c r="C161" s="93"/>
      <c r="D161" s="93"/>
      <c r="E161" s="93"/>
      <c r="F161" s="93"/>
      <c r="G161" s="93"/>
      <c r="H161" s="93"/>
      <c r="I161" s="93"/>
      <c r="J161" s="94"/>
    </row>
    <row r="162" spans="1:12" ht="15.5" x14ac:dyDescent="0.35">
      <c r="A162" s="87">
        <v>1</v>
      </c>
      <c r="B162" s="88"/>
      <c r="C162" s="13" t="s">
        <v>127</v>
      </c>
      <c r="D162" s="90">
        <f>((2.74*4.27+2.29*1.5+2.98*2.27+1.91*1.22+1.22*1.9+1.22*2.37+1.22*1+1.3*2.9+1*2.54+1*1.8))*(10.764)</f>
        <v>417.30951599999997</v>
      </c>
      <c r="E162" s="91">
        <f>0*(10.764)</f>
        <v>0</v>
      </c>
      <c r="F162" s="13">
        <v>0</v>
      </c>
      <c r="G162" s="13">
        <f>D162*1.5</f>
        <v>625.96427399999993</v>
      </c>
      <c r="H162" s="13" t="s">
        <v>51</v>
      </c>
      <c r="I162" s="97" t="str">
        <f>A161</f>
        <v>2nd, 4th &amp; 6th Floors</v>
      </c>
      <c r="J162" s="98"/>
    </row>
    <row r="163" spans="1:12" ht="15.5" x14ac:dyDescent="0.35">
      <c r="A163" s="87">
        <v>2</v>
      </c>
      <c r="B163" s="88"/>
      <c r="C163" s="13" t="s">
        <v>127</v>
      </c>
      <c r="D163" s="90">
        <f>((2.74*4.27+2.29*1.5+2.98*2.27+1.91*1.22+1.22*1.9+1.22*2.37+1.22*1+1.3*2.9+1*2.54+1*1.8))*(10.764)</f>
        <v>417.30951599999997</v>
      </c>
      <c r="E163" s="91">
        <f>0*(10.764)</f>
        <v>0</v>
      </c>
      <c r="F163" s="13">
        <v>0</v>
      </c>
      <c r="G163" s="13">
        <f t="shared" ref="G163:G169" si="6">D163*1.5</f>
        <v>625.96427399999993</v>
      </c>
      <c r="H163" s="13" t="s">
        <v>51</v>
      </c>
      <c r="I163" s="95"/>
      <c r="J163" s="96"/>
    </row>
    <row r="164" spans="1:12" ht="15.5" x14ac:dyDescent="0.35">
      <c r="A164" s="87">
        <v>3</v>
      </c>
      <c r="B164" s="88"/>
      <c r="C164" s="13" t="s">
        <v>127</v>
      </c>
      <c r="D164" s="90">
        <f t="shared" ref="D164:D166" si="7">((2.74*4.27+2.29*1.5+2.98*2.27+1.91*1.22+1.22*1.9+1.22*2.37+1.22*1+1.3*2.9+1*2.54+1*1.8))*(10.764)</f>
        <v>417.30951599999997</v>
      </c>
      <c r="E164" s="91">
        <f t="shared" ref="E164:E166" si="8">0*(10.764)</f>
        <v>0</v>
      </c>
      <c r="F164" s="13">
        <v>0</v>
      </c>
      <c r="G164" s="13">
        <f t="shared" si="6"/>
        <v>625.96427399999993</v>
      </c>
      <c r="H164" s="13" t="s">
        <v>51</v>
      </c>
      <c r="I164" s="95"/>
      <c r="J164" s="96"/>
    </row>
    <row r="165" spans="1:12" ht="15.5" x14ac:dyDescent="0.35">
      <c r="A165" s="87">
        <v>4</v>
      </c>
      <c r="B165" s="88"/>
      <c r="C165" s="13" t="s">
        <v>127</v>
      </c>
      <c r="D165" s="90">
        <f t="shared" si="7"/>
        <v>417.30951599999997</v>
      </c>
      <c r="E165" s="91">
        <f t="shared" si="8"/>
        <v>0</v>
      </c>
      <c r="F165" s="13">
        <v>0</v>
      </c>
      <c r="G165" s="13">
        <f t="shared" si="6"/>
        <v>625.96427399999993</v>
      </c>
      <c r="H165" s="13" t="s">
        <v>51</v>
      </c>
      <c r="I165" s="95"/>
      <c r="J165" s="96"/>
    </row>
    <row r="166" spans="1:12" ht="15.5" x14ac:dyDescent="0.35">
      <c r="A166" s="87">
        <v>5</v>
      </c>
      <c r="B166" s="88"/>
      <c r="C166" s="13" t="s">
        <v>127</v>
      </c>
      <c r="D166" s="90">
        <f t="shared" si="7"/>
        <v>417.30951599999997</v>
      </c>
      <c r="E166" s="91">
        <f t="shared" si="8"/>
        <v>0</v>
      </c>
      <c r="F166" s="13">
        <v>0</v>
      </c>
      <c r="G166" s="13">
        <f t="shared" si="6"/>
        <v>625.96427399999993</v>
      </c>
      <c r="H166" s="13" t="s">
        <v>51</v>
      </c>
      <c r="I166" s="95"/>
      <c r="J166" s="96"/>
      <c r="L166" s="54">
        <f>10.764</f>
        <v>10.763999999999999</v>
      </c>
    </row>
    <row r="167" spans="1:12" ht="15.5" x14ac:dyDescent="0.35">
      <c r="A167" s="87">
        <v>6</v>
      </c>
      <c r="B167" s="88"/>
      <c r="C167" s="13" t="s">
        <v>133</v>
      </c>
      <c r="D167" s="90">
        <f>((2.74*4.27+2.29*1.5+2.9*2.45+1.9*2.9+1.9*1.22+1.22*1.9+1*2.54+1.05*3.05+1.45*3.05+0.6*(1.5+2.45)+1.22*2.37))*(10.764)</f>
        <v>514.65052079999998</v>
      </c>
      <c r="E167" s="91">
        <f>0*(10.764)</f>
        <v>0</v>
      </c>
      <c r="F167" s="13">
        <v>0</v>
      </c>
      <c r="G167" s="13">
        <f t="shared" si="6"/>
        <v>771.97578120000003</v>
      </c>
      <c r="H167" s="13" t="s">
        <v>51</v>
      </c>
      <c r="I167" s="95"/>
      <c r="J167" s="96"/>
    </row>
    <row r="168" spans="1:12" ht="15.5" x14ac:dyDescent="0.35">
      <c r="A168" s="87">
        <v>7</v>
      </c>
      <c r="B168" s="88"/>
      <c r="C168" s="13" t="s">
        <v>133</v>
      </c>
      <c r="D168" s="90">
        <f>((2.74*4.27+2.29*1.5+2.9*2.45+1.9*2.9+1.9*1.22+1.22*1.9+1*2.54+1.05*3.05+1.45*3.05+0.6*(1.5+2.45)+1.22*2.37))*(10.764)</f>
        <v>514.65052079999998</v>
      </c>
      <c r="E168" s="91">
        <f>0*(10.764)</f>
        <v>0</v>
      </c>
      <c r="F168" s="13">
        <v>0</v>
      </c>
      <c r="G168" s="13">
        <f t="shared" si="6"/>
        <v>771.97578120000003</v>
      </c>
      <c r="H168" s="13" t="s">
        <v>51</v>
      </c>
      <c r="I168" s="95"/>
      <c r="J168" s="96"/>
    </row>
    <row r="169" spans="1:12" ht="15.5" x14ac:dyDescent="0.35">
      <c r="A169" s="87">
        <v>8</v>
      </c>
      <c r="B169" s="88"/>
      <c r="C169" s="13" t="s">
        <v>127</v>
      </c>
      <c r="D169" s="90">
        <f t="shared" ref="D169:D170" si="9">((2.74*4.27+2.29*1.5+2.98*2.27+1.91*1.22+1.22*1.9+1.22*2.37+1.22*1+1.3*2.9+1*2.54+1*1.8))*(10.764)</f>
        <v>417.30951599999997</v>
      </c>
      <c r="E169" s="91">
        <f t="shared" ref="E169:E170" si="10">0*(10.764)</f>
        <v>0</v>
      </c>
      <c r="F169" s="13">
        <v>0</v>
      </c>
      <c r="G169" s="13">
        <f t="shared" si="6"/>
        <v>625.96427399999993</v>
      </c>
      <c r="H169" s="13" t="s">
        <v>51</v>
      </c>
      <c r="I169" s="95"/>
      <c r="J169" s="96"/>
    </row>
    <row r="170" spans="1:12" ht="15.5" x14ac:dyDescent="0.35">
      <c r="A170" s="87">
        <v>9</v>
      </c>
      <c r="B170" s="88"/>
      <c r="C170" s="13" t="s">
        <v>127</v>
      </c>
      <c r="D170" s="90">
        <f t="shared" si="9"/>
        <v>417.30951599999997</v>
      </c>
      <c r="E170" s="91">
        <f t="shared" si="10"/>
        <v>0</v>
      </c>
      <c r="F170" s="13">
        <v>0</v>
      </c>
      <c r="G170" s="13">
        <f t="shared" ref="G170:G175" si="11">D170*1.45</f>
        <v>605.09879819999992</v>
      </c>
      <c r="H170" s="13" t="s">
        <v>51</v>
      </c>
      <c r="I170" s="95"/>
      <c r="J170" s="96"/>
    </row>
    <row r="171" spans="1:12" ht="15.5" x14ac:dyDescent="0.35">
      <c r="A171" s="87">
        <v>10</v>
      </c>
      <c r="B171" s="88"/>
      <c r="C171" s="13" t="s">
        <v>133</v>
      </c>
      <c r="D171" s="90">
        <f>((2.74*4.27+2.29*1.5+2.9*2.45+1.9*2.9+1.9*1.22+1.22*1.9+1*2.54+1.05*3.05+1.45*3.05+0.6*(1.5+2.45)+1.22*2.37))*(10.764)</f>
        <v>514.65052079999998</v>
      </c>
      <c r="E171" s="91">
        <f>0*(10.764)</f>
        <v>0</v>
      </c>
      <c r="F171" s="13">
        <v>0</v>
      </c>
      <c r="G171" s="13">
        <f t="shared" si="11"/>
        <v>746.24325515999999</v>
      </c>
      <c r="H171" s="13" t="s">
        <v>51</v>
      </c>
      <c r="I171" s="95"/>
      <c r="J171" s="96"/>
    </row>
    <row r="172" spans="1:12" ht="15.5" x14ac:dyDescent="0.35">
      <c r="A172" s="87">
        <v>11</v>
      </c>
      <c r="B172" s="88"/>
      <c r="C172" s="13" t="s">
        <v>127</v>
      </c>
      <c r="D172" s="90">
        <f t="shared" ref="D172:D175" si="12">((2.74*4.27+2.29*1.5+2.98*2.27+1.91*1.22+1.22*1.9+1.22*2.37+1.22*1+1.3*2.9+1*2.54+1*1.8))*(10.764)</f>
        <v>417.30951599999997</v>
      </c>
      <c r="E172" s="91">
        <f t="shared" ref="E172:E175" si="13">0*(10.764)</f>
        <v>0</v>
      </c>
      <c r="F172" s="13">
        <v>0</v>
      </c>
      <c r="G172" s="13">
        <f t="shared" si="11"/>
        <v>605.09879819999992</v>
      </c>
      <c r="H172" s="13" t="s">
        <v>51</v>
      </c>
      <c r="I172" s="95"/>
      <c r="J172" s="96"/>
    </row>
    <row r="173" spans="1:12" ht="15.5" x14ac:dyDescent="0.35">
      <c r="A173" s="87">
        <v>12</v>
      </c>
      <c r="B173" s="88"/>
      <c r="C173" s="13" t="s">
        <v>127</v>
      </c>
      <c r="D173" s="90">
        <f t="shared" si="12"/>
        <v>417.30951599999997</v>
      </c>
      <c r="E173" s="91">
        <f t="shared" si="13"/>
        <v>0</v>
      </c>
      <c r="F173" s="13">
        <v>0</v>
      </c>
      <c r="G173" s="13">
        <f t="shared" si="11"/>
        <v>605.09879819999992</v>
      </c>
      <c r="H173" s="13" t="s">
        <v>51</v>
      </c>
      <c r="I173" s="95"/>
      <c r="J173" s="96"/>
    </row>
    <row r="174" spans="1:12" ht="15.5" x14ac:dyDescent="0.35">
      <c r="A174" s="87">
        <v>13</v>
      </c>
      <c r="B174" s="88"/>
      <c r="C174" s="13" t="s">
        <v>127</v>
      </c>
      <c r="D174" s="90">
        <f t="shared" si="12"/>
        <v>417.30951599999997</v>
      </c>
      <c r="E174" s="91">
        <f t="shared" si="13"/>
        <v>0</v>
      </c>
      <c r="F174" s="13">
        <v>0</v>
      </c>
      <c r="G174" s="13">
        <f t="shared" si="11"/>
        <v>605.09879819999992</v>
      </c>
      <c r="H174" s="13" t="s">
        <v>51</v>
      </c>
      <c r="I174" s="95"/>
      <c r="J174" s="96"/>
    </row>
    <row r="175" spans="1:12" ht="15.5" x14ac:dyDescent="0.35">
      <c r="A175" s="87">
        <v>14</v>
      </c>
      <c r="B175" s="88"/>
      <c r="C175" s="13" t="s">
        <v>127</v>
      </c>
      <c r="D175" s="90">
        <f t="shared" si="12"/>
        <v>417.30951599999997</v>
      </c>
      <c r="E175" s="91">
        <f t="shared" si="13"/>
        <v>0</v>
      </c>
      <c r="F175" s="13">
        <v>0</v>
      </c>
      <c r="G175" s="13">
        <f t="shared" si="11"/>
        <v>605.09879819999992</v>
      </c>
      <c r="H175" s="13" t="s">
        <v>51</v>
      </c>
      <c r="I175" s="95"/>
      <c r="J175" s="96"/>
    </row>
    <row r="176" spans="1:12" ht="15" x14ac:dyDescent="0.35">
      <c r="A176" s="92" t="s">
        <v>227</v>
      </c>
      <c r="B176" s="93"/>
      <c r="C176" s="93"/>
      <c r="D176" s="93"/>
      <c r="E176" s="93"/>
      <c r="F176" s="93"/>
      <c r="G176" s="93"/>
      <c r="H176" s="93"/>
      <c r="I176" s="93"/>
      <c r="J176" s="94"/>
    </row>
    <row r="177" spans="1:14" ht="15.5" x14ac:dyDescent="0.35">
      <c r="A177" s="87">
        <v>1</v>
      </c>
      <c r="B177" s="88"/>
      <c r="C177" s="13" t="s">
        <v>127</v>
      </c>
      <c r="D177" s="90">
        <f>((2.74*4.27+2.29*1.5+2.98*2.27+1.91*1.22+1.22*1.9+1.22*2.37+1.22*1+1.3*2.9+1*2.54+1*1.8))*(10.764)</f>
        <v>417.30951599999997</v>
      </c>
      <c r="E177" s="91">
        <f t="shared" ref="E177:E190" si="14">0*(10.764)</f>
        <v>0</v>
      </c>
      <c r="F177" s="13">
        <v>0</v>
      </c>
      <c r="G177" s="13">
        <f>D177*1.5</f>
        <v>625.96427399999993</v>
      </c>
      <c r="H177" s="13" t="s">
        <v>51</v>
      </c>
      <c r="I177" s="97" t="str">
        <f>A176</f>
        <v>8th Floor (Part Refuge Area)</v>
      </c>
      <c r="J177" s="98"/>
    </row>
    <row r="178" spans="1:14" ht="15.5" x14ac:dyDescent="0.35">
      <c r="A178" s="87">
        <v>2</v>
      </c>
      <c r="B178" s="88"/>
      <c r="C178" s="13" t="s">
        <v>127</v>
      </c>
      <c r="D178" s="90">
        <f>((2.74*4.27+2.29*1.5+2.98*2.27+1.91*1.22+1.22*1.9+1.22*2.37+1.22*1+1.3*2.9+1*2.54+1*1.8))*(10.764)</f>
        <v>417.30951599999997</v>
      </c>
      <c r="E178" s="91">
        <f t="shared" si="14"/>
        <v>0</v>
      </c>
      <c r="F178" s="13">
        <v>0</v>
      </c>
      <c r="G178" s="13">
        <f t="shared" ref="G178:G184" si="15">D178*1.5</f>
        <v>625.96427399999993</v>
      </c>
      <c r="H178" s="13" t="s">
        <v>51</v>
      </c>
      <c r="I178" s="95"/>
      <c r="J178" s="96"/>
    </row>
    <row r="179" spans="1:14" ht="15.5" x14ac:dyDescent="0.35">
      <c r="A179" s="87">
        <v>3</v>
      </c>
      <c r="B179" s="88"/>
      <c r="C179" s="13" t="s">
        <v>127</v>
      </c>
      <c r="D179" s="90">
        <f>((2.74*4.27+2.29*1.5+2.98*2.27+1.91*1.22+1.22*1.9+1.22*2.37+1.22*1+1.3*2.9+1*2.54+1*1.8))*(10.764)</f>
        <v>417.30951599999997</v>
      </c>
      <c r="E179" s="91">
        <f t="shared" si="14"/>
        <v>0</v>
      </c>
      <c r="F179" s="13">
        <v>0</v>
      </c>
      <c r="G179" s="13">
        <f t="shared" si="15"/>
        <v>625.96427399999993</v>
      </c>
      <c r="H179" s="13" t="s">
        <v>51</v>
      </c>
      <c r="I179" s="95"/>
      <c r="J179" s="96"/>
    </row>
    <row r="180" spans="1:14" ht="15.5" x14ac:dyDescent="0.35">
      <c r="A180" s="87">
        <v>4</v>
      </c>
      <c r="B180" s="88"/>
      <c r="C180" s="13" t="s">
        <v>127</v>
      </c>
      <c r="D180" s="90">
        <f>((2.74*4.27+2.29*1.5+2.98*2.27+1.91*1.22+1.22*1.9+1.22*2.37+1.22*1+1.3*2.9+1*2.54+1*1.8))*(10.764)</f>
        <v>417.30951599999997</v>
      </c>
      <c r="E180" s="91">
        <f t="shared" si="14"/>
        <v>0</v>
      </c>
      <c r="F180" s="13">
        <v>0</v>
      </c>
      <c r="G180" s="13">
        <f t="shared" si="15"/>
        <v>625.96427399999993</v>
      </c>
      <c r="H180" s="13" t="s">
        <v>51</v>
      </c>
      <c r="I180" s="95"/>
      <c r="J180" s="96"/>
    </row>
    <row r="181" spans="1:14" ht="15.5" x14ac:dyDescent="0.35">
      <c r="A181" s="87">
        <v>5</v>
      </c>
      <c r="B181" s="88"/>
      <c r="C181" s="13" t="s">
        <v>127</v>
      </c>
      <c r="D181" s="90">
        <f>((2.74*4.27+2.29*1.5+2.98*2.27+1.91*1.22+1.22*1.9+1.22*2.37+1.22*1+1.3*2.9+1*2.54+1*1.8))*(10.764)</f>
        <v>417.30951599999997</v>
      </c>
      <c r="E181" s="91">
        <f t="shared" si="14"/>
        <v>0</v>
      </c>
      <c r="F181" s="13">
        <v>0</v>
      </c>
      <c r="G181" s="13">
        <f t="shared" si="15"/>
        <v>625.96427399999993</v>
      </c>
      <c r="H181" s="13" t="s">
        <v>51</v>
      </c>
      <c r="I181" s="95"/>
      <c r="J181" s="96"/>
      <c r="L181" s="54">
        <f>10.764</f>
        <v>10.763999999999999</v>
      </c>
    </row>
    <row r="182" spans="1:14" ht="15.5" x14ac:dyDescent="0.35">
      <c r="A182" s="87">
        <v>6</v>
      </c>
      <c r="B182" s="88"/>
      <c r="C182" s="13" t="s">
        <v>133</v>
      </c>
      <c r="D182" s="90">
        <f>((2.74*4.27+2.29*1.5+2.9*2.45+1.9*2.9+1.9*1.22+1.22*1.9+1*2.54+1.05*3.05+1.45*3.05+0.6*(1.5+2.45)+1.22*2.37))*(10.764)</f>
        <v>514.65052079999998</v>
      </c>
      <c r="E182" s="91">
        <f t="shared" si="14"/>
        <v>0</v>
      </c>
      <c r="F182" s="13">
        <v>0</v>
      </c>
      <c r="G182" s="13">
        <f t="shared" si="15"/>
        <v>771.97578120000003</v>
      </c>
      <c r="H182" s="13" t="s">
        <v>51</v>
      </c>
      <c r="I182" s="95"/>
      <c r="J182" s="96"/>
    </row>
    <row r="183" spans="1:14" ht="15.5" x14ac:dyDescent="0.35">
      <c r="A183" s="87">
        <v>7</v>
      </c>
      <c r="B183" s="88"/>
      <c r="C183" s="13" t="s">
        <v>133</v>
      </c>
      <c r="D183" s="90">
        <f>((2.74*4.27+2.29*1.5+2.9*2.45+1.9*2.9+1.9*1.22+1.22*1.9+1*2.54+1.05*3.05+1.45*3.05+0.6*(1.5+2.45)+1.22*2.37))*(10.764)</f>
        <v>514.65052079999998</v>
      </c>
      <c r="E183" s="91">
        <f t="shared" si="14"/>
        <v>0</v>
      </c>
      <c r="F183" s="13">
        <v>0</v>
      </c>
      <c r="G183" s="13">
        <f t="shared" si="15"/>
        <v>771.97578120000003</v>
      </c>
      <c r="H183" s="13" t="s">
        <v>51</v>
      </c>
      <c r="I183" s="95"/>
      <c r="J183" s="96"/>
    </row>
    <row r="184" spans="1:14" ht="15.5" x14ac:dyDescent="0.35">
      <c r="A184" s="87">
        <v>8</v>
      </c>
      <c r="B184" s="88"/>
      <c r="C184" s="13" t="s">
        <v>127</v>
      </c>
      <c r="D184" s="90">
        <f>((2.74*4.27+2.29*1.5+2.98*2.27+1.91*1.22+1.22*1.9+1.22*2.37+1.22*1+1.3*2.9+1*2.54+1*1.8))*(10.764)</f>
        <v>417.30951599999997</v>
      </c>
      <c r="E184" s="91">
        <f t="shared" si="14"/>
        <v>0</v>
      </c>
      <c r="F184" s="13">
        <v>0</v>
      </c>
      <c r="G184" s="13">
        <f t="shared" si="15"/>
        <v>625.96427399999993</v>
      </c>
      <c r="H184" s="13" t="s">
        <v>51</v>
      </c>
      <c r="I184" s="95"/>
      <c r="J184" s="96"/>
    </row>
    <row r="185" spans="1:14" ht="15.5" x14ac:dyDescent="0.35">
      <c r="A185" s="87">
        <v>9</v>
      </c>
      <c r="B185" s="88"/>
      <c r="C185" s="13" t="s">
        <v>127</v>
      </c>
      <c r="D185" s="90">
        <f>((2.74*4.27+2.29*1.5+2.98*2.27+1.91*1.22+1.22*1.9+1.22*2.37+1.22*1+1.3*2.9+1*2.54+1*1.8))*(10.764)</f>
        <v>417.30951599999997</v>
      </c>
      <c r="E185" s="91">
        <f t="shared" si="14"/>
        <v>0</v>
      </c>
      <c r="F185" s="13">
        <v>0</v>
      </c>
      <c r="G185" s="13">
        <f t="shared" ref="G185:G190" si="16">D185*1.45</f>
        <v>605.09879819999992</v>
      </c>
      <c r="H185" s="13" t="s">
        <v>51</v>
      </c>
      <c r="I185" s="95"/>
      <c r="J185" s="96"/>
      <c r="M185">
        <f>2.74*4.27+2.29*2.6+2.9*2.57+1.91*1.22+1.22*1.9+1.22*2.37+1*1+1.19*2.9+1*1.8</f>
        <v>38.897399999999998</v>
      </c>
      <c r="N185">
        <f>M185*10.764</f>
        <v>418.69161359999993</v>
      </c>
    </row>
    <row r="186" spans="1:14" ht="15.5" x14ac:dyDescent="0.35">
      <c r="A186" s="87">
        <v>10</v>
      </c>
      <c r="B186" s="88"/>
      <c r="C186" s="13" t="s">
        <v>133</v>
      </c>
      <c r="D186" s="90">
        <f>((2.74*4.27+2.29*1.5+2.9*2.45+1.9*2.9+1.9*1.22+1.22*1.9+1*2.54+1.05*3.05+1.45*3.05+0.6*(1.5+2.45)+1.22*2.37))*(10.764)</f>
        <v>514.65052079999998</v>
      </c>
      <c r="E186" s="91">
        <f t="shared" si="14"/>
        <v>0</v>
      </c>
      <c r="F186" s="13">
        <v>0</v>
      </c>
      <c r="G186" s="13">
        <f t="shared" si="16"/>
        <v>746.24325515999999</v>
      </c>
      <c r="H186" s="13" t="s">
        <v>51</v>
      </c>
      <c r="I186" s="95"/>
      <c r="J186" s="96"/>
      <c r="M186">
        <f>2.74*4.27+1.22*2.37+2.9*2.38+2.29*2.5+1.22*1.9+1.2*1.9+1*1.67+1.19*2.9+1*1.22</f>
        <v>38.157200000000003</v>
      </c>
      <c r="N186">
        <f>M186*10.764</f>
        <v>410.72410080000003</v>
      </c>
    </row>
    <row r="187" spans="1:14" ht="15.5" x14ac:dyDescent="0.35">
      <c r="A187" s="87">
        <v>11</v>
      </c>
      <c r="B187" s="88"/>
      <c r="C187" s="13" t="s">
        <v>127</v>
      </c>
      <c r="D187" s="90">
        <f>((2.74*4.27+2.29*1.5+2.98*2.27+1.91*1.22+1.22*1.9+1.22*2.37+1.22*1+1.3*2.9+1*2.54+1*1.8))*(10.764)</f>
        <v>417.30951599999997</v>
      </c>
      <c r="E187" s="91">
        <f t="shared" si="14"/>
        <v>0</v>
      </c>
      <c r="F187" s="13">
        <v>0</v>
      </c>
      <c r="G187" s="13">
        <f t="shared" si="16"/>
        <v>605.09879819999992</v>
      </c>
      <c r="H187" s="13" t="s">
        <v>51</v>
      </c>
      <c r="I187" s="95"/>
      <c r="J187" s="96"/>
    </row>
    <row r="188" spans="1:14" ht="15.5" x14ac:dyDescent="0.35">
      <c r="A188" s="87">
        <v>12</v>
      </c>
      <c r="B188" s="88"/>
      <c r="C188" s="13" t="s">
        <v>127</v>
      </c>
      <c r="D188" s="90">
        <f>((2.74*4.27+2.29*1.5+2.98*2.27+1.91*1.22+1.22*1.9+1.22*2.37+1.22*1+1.3*2.9+1*2.54+1*1.8))*(10.764)</f>
        <v>417.30951599999997</v>
      </c>
      <c r="E188" s="91">
        <f t="shared" si="14"/>
        <v>0</v>
      </c>
      <c r="F188" s="13">
        <v>0</v>
      </c>
      <c r="G188" s="13">
        <f t="shared" si="16"/>
        <v>605.09879819999992</v>
      </c>
      <c r="H188" s="13" t="s">
        <v>51</v>
      </c>
      <c r="I188" s="95"/>
      <c r="J188" s="96"/>
    </row>
    <row r="189" spans="1:14" ht="15.5" x14ac:dyDescent="0.35">
      <c r="A189" s="87">
        <v>13</v>
      </c>
      <c r="B189" s="88"/>
      <c r="C189" s="13" t="s">
        <v>127</v>
      </c>
      <c r="D189" s="90">
        <f>((2.74*4.27+2.29*1.5+2.98*2.27+1.91*1.22+1.22*1.9+1.22*2.37+1.22*1+1.3*2.9+1*2.54+1*1.8))*(10.764)</f>
        <v>417.30951599999997</v>
      </c>
      <c r="E189" s="91">
        <f t="shared" si="14"/>
        <v>0</v>
      </c>
      <c r="F189" s="13">
        <v>0</v>
      </c>
      <c r="G189" s="13">
        <f t="shared" si="16"/>
        <v>605.09879819999992</v>
      </c>
      <c r="H189" s="13" t="s">
        <v>51</v>
      </c>
      <c r="I189" s="95"/>
      <c r="J189" s="96"/>
    </row>
    <row r="190" spans="1:14" ht="15.5" x14ac:dyDescent="0.35">
      <c r="A190" s="87">
        <v>14</v>
      </c>
      <c r="B190" s="88"/>
      <c r="C190" s="13" t="s">
        <v>127</v>
      </c>
      <c r="D190" s="90">
        <f>((2.74*4.27+2.29*1.5+2.98*2.27+1.91*1.22+1.22*1.9+1.22*2.37+1.22*1+1.3*2.9+1*2.54+1*1.8))*(10.764)</f>
        <v>417.30951599999997</v>
      </c>
      <c r="E190" s="91">
        <f t="shared" si="14"/>
        <v>0</v>
      </c>
      <c r="F190" s="13">
        <v>0</v>
      </c>
      <c r="G190" s="13">
        <f t="shared" si="16"/>
        <v>605.09879819999992</v>
      </c>
      <c r="H190" s="13" t="s">
        <v>51</v>
      </c>
      <c r="I190" s="95"/>
      <c r="J190" s="96"/>
    </row>
    <row r="191" spans="1:14" ht="15" x14ac:dyDescent="0.35">
      <c r="A191" s="92" t="s">
        <v>228</v>
      </c>
      <c r="B191" s="93"/>
      <c r="C191" s="93"/>
      <c r="D191" s="93"/>
      <c r="E191" s="93"/>
      <c r="F191" s="93"/>
      <c r="G191" s="93"/>
      <c r="H191" s="93"/>
      <c r="I191" s="93"/>
      <c r="J191" s="94"/>
    </row>
    <row r="192" spans="1:14" ht="15.5" x14ac:dyDescent="0.35">
      <c r="A192" s="87">
        <v>2</v>
      </c>
      <c r="B192" s="88"/>
      <c r="C192" s="13" t="s">
        <v>127</v>
      </c>
      <c r="D192" s="90">
        <f>((2.74*4.27+2.29*1.5+2.98*2.27+1.91*1.22+1.22*1.9+1.22*2.37+1.22*1+1.3*2.9+1*2.54+1*1.8))*(10.764)</f>
        <v>417.30951599999997</v>
      </c>
      <c r="E192" s="91">
        <f t="shared" ref="E192:E204" si="17">0*(10.764)</f>
        <v>0</v>
      </c>
      <c r="F192" s="13">
        <v>0</v>
      </c>
      <c r="G192" s="13">
        <f t="shared" ref="G192:G198" si="18">D192*1.5</f>
        <v>625.96427399999993</v>
      </c>
      <c r="H192" s="13" t="s">
        <v>51</v>
      </c>
      <c r="I192" s="95" t="str">
        <f>A191</f>
        <v>9th, 10th, 11th &amp; 12th Floor</v>
      </c>
      <c r="J192" s="96"/>
    </row>
    <row r="193" spans="1:18" ht="15.5" x14ac:dyDescent="0.35">
      <c r="A193" s="87">
        <v>3</v>
      </c>
      <c r="B193" s="88"/>
      <c r="C193" s="13" t="s">
        <v>127</v>
      </c>
      <c r="D193" s="90">
        <f>((2.74*4.27+2.29*1.5+2.98*2.27+1.91*1.22+1.22*1.9+1.22*2.37+1.22*1+1.3*2.9+1*2.54+1*1.8))*(10.764)</f>
        <v>417.30951599999997</v>
      </c>
      <c r="E193" s="91">
        <f t="shared" si="17"/>
        <v>0</v>
      </c>
      <c r="F193" s="13">
        <v>0</v>
      </c>
      <c r="G193" s="13">
        <f t="shared" si="18"/>
        <v>625.96427399999993</v>
      </c>
      <c r="H193" s="13" t="s">
        <v>51</v>
      </c>
      <c r="I193" s="95"/>
      <c r="J193" s="96"/>
    </row>
    <row r="194" spans="1:18" ht="15.5" x14ac:dyDescent="0.35">
      <c r="A194" s="87">
        <v>4</v>
      </c>
      <c r="B194" s="88"/>
      <c r="C194" s="13" t="s">
        <v>127</v>
      </c>
      <c r="D194" s="90">
        <f>((2.74*4.27+2.29*1.5+2.98*2.27+1.91*1.22+1.22*1.9+1.22*2.37+1.22*1+1.3*2.9+1*2.54+1*1.8))*(10.764)</f>
        <v>417.30951599999997</v>
      </c>
      <c r="E194" s="91">
        <f t="shared" si="17"/>
        <v>0</v>
      </c>
      <c r="F194" s="13">
        <v>0</v>
      </c>
      <c r="G194" s="13">
        <f t="shared" si="18"/>
        <v>625.96427399999993</v>
      </c>
      <c r="H194" s="13" t="s">
        <v>51</v>
      </c>
      <c r="I194" s="95"/>
      <c r="J194" s="96"/>
    </row>
    <row r="195" spans="1:18" ht="15.5" x14ac:dyDescent="0.35">
      <c r="A195" s="87">
        <v>5</v>
      </c>
      <c r="B195" s="88"/>
      <c r="C195" s="13" t="s">
        <v>127</v>
      </c>
      <c r="D195" s="90">
        <f>((2.74*4.27+2.29*1.5+2.98*2.27+1.91*1.22+1.22*1.9+1.22*2.37+1.22*1+1.3*2.9+1*2.54+1*1.8))*(10.764)</f>
        <v>417.30951599999997</v>
      </c>
      <c r="E195" s="91">
        <f t="shared" si="17"/>
        <v>0</v>
      </c>
      <c r="F195" s="13">
        <v>0</v>
      </c>
      <c r="G195" s="13">
        <f t="shared" si="18"/>
        <v>625.96427399999993</v>
      </c>
      <c r="H195" s="13" t="s">
        <v>51</v>
      </c>
      <c r="I195" s="95"/>
      <c r="J195" s="96"/>
      <c r="L195" s="54">
        <f>10.764</f>
        <v>10.763999999999999</v>
      </c>
    </row>
    <row r="196" spans="1:18" ht="15.5" x14ac:dyDescent="0.35">
      <c r="A196" s="87">
        <v>6</v>
      </c>
      <c r="B196" s="88"/>
      <c r="C196" s="13" t="s">
        <v>133</v>
      </c>
      <c r="D196" s="90">
        <f>((2.74*4.27+2.29*1.5+2.9*2.45+1.9*2.9+1.9*1.22+1.22*1.9+1*2.54+1.05*3.05+1.45*3.05+0.6*(1.5+2.45)+1.22*2.37))*(10.764)</f>
        <v>514.65052079999998</v>
      </c>
      <c r="E196" s="91">
        <f t="shared" si="17"/>
        <v>0</v>
      </c>
      <c r="F196" s="13">
        <v>0</v>
      </c>
      <c r="G196" s="13">
        <f t="shared" si="18"/>
        <v>771.97578120000003</v>
      </c>
      <c r="H196" s="13" t="s">
        <v>51</v>
      </c>
      <c r="I196" s="95"/>
      <c r="J196" s="96"/>
    </row>
    <row r="197" spans="1:18" ht="15.5" x14ac:dyDescent="0.35">
      <c r="A197" s="87">
        <v>7</v>
      </c>
      <c r="B197" s="88"/>
      <c r="C197" s="13" t="s">
        <v>133</v>
      </c>
      <c r="D197" s="90">
        <f>((2.74*4.27+2.29*1.5+2.9*2.45+1.9*2.9+1.9*1.22+1.22*1.9+1*2.54+1.05*3.05+1.45*3.05+0.6*(1.5+2.45)+1.22*2.37))*(10.764)</f>
        <v>514.65052079999998</v>
      </c>
      <c r="E197" s="91">
        <f t="shared" si="17"/>
        <v>0</v>
      </c>
      <c r="F197" s="13">
        <v>0</v>
      </c>
      <c r="G197" s="13">
        <f t="shared" si="18"/>
        <v>771.97578120000003</v>
      </c>
      <c r="H197" s="13" t="s">
        <v>51</v>
      </c>
      <c r="I197" s="95"/>
      <c r="J197" s="96"/>
    </row>
    <row r="198" spans="1:18" ht="15.5" x14ac:dyDescent="0.35">
      <c r="A198" s="87">
        <v>8</v>
      </c>
      <c r="B198" s="88"/>
      <c r="C198" s="13" t="s">
        <v>127</v>
      </c>
      <c r="D198" s="90">
        <f>((2.74*4.27+2.29*1.5+2.98*2.27+1.91*1.22+1.22*1.9+1.22*2.37+1.22*1+1.3*2.9+1*2.54+1*1.8))*(10.764)</f>
        <v>417.30951599999997</v>
      </c>
      <c r="E198" s="91">
        <f t="shared" si="17"/>
        <v>0</v>
      </c>
      <c r="F198" s="13">
        <v>0</v>
      </c>
      <c r="G198" s="13">
        <f t="shared" si="18"/>
        <v>625.96427399999993</v>
      </c>
      <c r="H198" s="13" t="s">
        <v>51</v>
      </c>
      <c r="I198" s="95"/>
      <c r="J198" s="96"/>
      <c r="R198">
        <f>13*14</f>
        <v>182</v>
      </c>
    </row>
    <row r="199" spans="1:18" ht="15.5" x14ac:dyDescent="0.35">
      <c r="A199" s="87">
        <v>9</v>
      </c>
      <c r="B199" s="88"/>
      <c r="C199" s="13" t="s">
        <v>127</v>
      </c>
      <c r="D199" s="90">
        <f>((2.74*4.27+2.29*1.5+2.98*2.27+1.91*1.22+1.22*1.9+1.22*2.37+1.22*1+1.3*2.9+1*2.54+1*1.8))*(10.764)</f>
        <v>417.30951599999997</v>
      </c>
      <c r="E199" s="91">
        <f t="shared" si="17"/>
        <v>0</v>
      </c>
      <c r="F199" s="13">
        <v>0</v>
      </c>
      <c r="G199" s="13">
        <f t="shared" ref="G199:G204" si="19">D199*1.45</f>
        <v>605.09879819999992</v>
      </c>
      <c r="H199" s="13" t="s">
        <v>51</v>
      </c>
      <c r="I199" s="95"/>
      <c r="J199" s="96"/>
      <c r="M199">
        <f>2.74*4.27+2.29*2.6+2.9*2.57+1.91*1.22+1.22*1.9+1.22*2.37+1*1+1.19*2.9+1*1.8</f>
        <v>38.897399999999998</v>
      </c>
      <c r="N199">
        <f>M199*10.764</f>
        <v>418.69161359999993</v>
      </c>
      <c r="R199">
        <f>10*9</f>
        <v>90</v>
      </c>
    </row>
    <row r="200" spans="1:18" ht="15.5" x14ac:dyDescent="0.35">
      <c r="A200" s="87">
        <v>10</v>
      </c>
      <c r="B200" s="88"/>
      <c r="C200" s="13" t="s">
        <v>133</v>
      </c>
      <c r="D200" s="90">
        <f>((2.74*4.27+2.29*1.5+2.9*2.45+1.9*2.9+1.9*1.22+1.22*1.9+1*2.54+1.05*3.05+1.45*3.05+0.6*(1.5+2.45)+1.22*2.37))*(10.764)</f>
        <v>514.65052079999998</v>
      </c>
      <c r="E200" s="91">
        <f t="shared" si="17"/>
        <v>0</v>
      </c>
      <c r="F200" s="13">
        <v>0</v>
      </c>
      <c r="G200" s="13">
        <f t="shared" si="19"/>
        <v>746.24325515999999</v>
      </c>
      <c r="H200" s="13" t="s">
        <v>51</v>
      </c>
      <c r="I200" s="95"/>
      <c r="J200" s="96"/>
      <c r="M200">
        <f>2.74*4.27+1.22*2.37+2.9*2.38+2.29*2.5+1.22*1.9+1.2*1.9+1*1.67+1.19*2.9+1*1.22</f>
        <v>38.157200000000003</v>
      </c>
      <c r="N200">
        <f>M200*10.764</f>
        <v>410.72410080000003</v>
      </c>
      <c r="R200">
        <f>8*11</f>
        <v>88</v>
      </c>
    </row>
    <row r="201" spans="1:18" ht="15.5" x14ac:dyDescent="0.35">
      <c r="A201" s="87">
        <v>11</v>
      </c>
      <c r="B201" s="88"/>
      <c r="C201" s="13" t="s">
        <v>127</v>
      </c>
      <c r="D201" s="90">
        <f>((2.74*4.27+2.29*1.5+2.98*2.27+1.91*1.22+1.22*1.9+1.22*2.37+1.22*1+1.3*2.9+1*2.54+1*1.8))*(10.764)</f>
        <v>417.30951599999997</v>
      </c>
      <c r="E201" s="91">
        <f t="shared" si="17"/>
        <v>0</v>
      </c>
      <c r="F201" s="13">
        <v>0</v>
      </c>
      <c r="G201" s="13">
        <f t="shared" si="19"/>
        <v>605.09879819999992</v>
      </c>
      <c r="H201" s="13" t="s">
        <v>51</v>
      </c>
      <c r="I201" s="95"/>
      <c r="J201" s="96"/>
      <c r="R201">
        <f>SUM(R198:R200)</f>
        <v>360</v>
      </c>
    </row>
    <row r="202" spans="1:18" ht="15.5" x14ac:dyDescent="0.35">
      <c r="A202" s="87">
        <v>12</v>
      </c>
      <c r="B202" s="88"/>
      <c r="C202" s="13" t="s">
        <v>127</v>
      </c>
      <c r="D202" s="90">
        <f>((2.74*4.27+2.29*1.5+2.98*2.27+1.91*1.22+1.22*1.9+1.22*2.37+1.22*1+1.3*2.9+1*2.54+1*1.8))*(10.764)</f>
        <v>417.30951599999997</v>
      </c>
      <c r="E202" s="91">
        <f t="shared" si="17"/>
        <v>0</v>
      </c>
      <c r="F202" s="13">
        <v>0</v>
      </c>
      <c r="G202" s="13">
        <f t="shared" si="19"/>
        <v>605.09879819999992</v>
      </c>
      <c r="H202" s="13" t="s">
        <v>51</v>
      </c>
      <c r="I202" s="95"/>
      <c r="J202" s="96"/>
    </row>
    <row r="203" spans="1:18" ht="15.5" x14ac:dyDescent="0.35">
      <c r="A203" s="87">
        <v>13</v>
      </c>
      <c r="B203" s="88"/>
      <c r="C203" s="13" t="s">
        <v>127</v>
      </c>
      <c r="D203" s="90">
        <f>((2.74*4.27+2.29*1.5+2.98*2.27+1.91*1.22+1.22*1.9+1.22*2.37+1.22*1+1.3*2.9+1*2.54+1*1.8))*(10.764)</f>
        <v>417.30951599999997</v>
      </c>
      <c r="E203" s="91">
        <f t="shared" si="17"/>
        <v>0</v>
      </c>
      <c r="F203" s="13">
        <v>0</v>
      </c>
      <c r="G203" s="13">
        <f t="shared" si="19"/>
        <v>605.09879819999992</v>
      </c>
      <c r="H203" s="13" t="s">
        <v>51</v>
      </c>
      <c r="I203" s="95"/>
      <c r="J203" s="96"/>
    </row>
    <row r="204" spans="1:18" ht="15.5" x14ac:dyDescent="0.35">
      <c r="A204" s="87">
        <v>14</v>
      </c>
      <c r="B204" s="88"/>
      <c r="C204" s="13" t="s">
        <v>127</v>
      </c>
      <c r="D204" s="90">
        <f>((2.74*4.27+2.29*1.5+2.98*2.27+1.91*1.22+1.22*1.9+1.22*2.37+1.22*1+1.3*2.9+1*2.54+1*1.8))*(10.764)</f>
        <v>417.30951599999997</v>
      </c>
      <c r="E204" s="91">
        <f t="shared" si="17"/>
        <v>0</v>
      </c>
      <c r="F204" s="13">
        <v>0</v>
      </c>
      <c r="G204" s="13">
        <f t="shared" si="19"/>
        <v>605.09879819999992</v>
      </c>
      <c r="H204" s="13" t="s">
        <v>51</v>
      </c>
      <c r="I204" s="95"/>
      <c r="J204" s="96"/>
    </row>
    <row r="205" spans="1:18" ht="15" x14ac:dyDescent="0.35">
      <c r="A205" s="210" t="s">
        <v>231</v>
      </c>
      <c r="B205" s="211"/>
      <c r="C205" s="211"/>
      <c r="D205" s="211"/>
      <c r="E205" s="211"/>
      <c r="F205" s="211"/>
      <c r="G205" s="211"/>
      <c r="H205" s="211"/>
      <c r="I205" s="211"/>
      <c r="J205" s="212"/>
    </row>
    <row r="206" spans="1:18" ht="15" x14ac:dyDescent="0.35">
      <c r="A206" s="92" t="s">
        <v>250</v>
      </c>
      <c r="B206" s="93"/>
      <c r="C206" s="93"/>
      <c r="D206" s="93"/>
      <c r="E206" s="93"/>
      <c r="F206" s="93"/>
      <c r="G206" s="93"/>
      <c r="H206" s="93"/>
      <c r="I206" s="93"/>
      <c r="J206" s="94"/>
    </row>
    <row r="207" spans="1:18" ht="15.5" x14ac:dyDescent="0.35">
      <c r="A207" s="87">
        <v>1</v>
      </c>
      <c r="B207" s="88"/>
      <c r="C207" s="13" t="s">
        <v>127</v>
      </c>
      <c r="D207" s="87">
        <f>347+40.58+27.34</f>
        <v>414.91999999999996</v>
      </c>
      <c r="E207" s="88"/>
      <c r="F207" s="13">
        <v>0</v>
      </c>
      <c r="G207" s="13">
        <f t="shared" ref="G207:G216" si="20">D207*1.45</f>
        <v>601.6339999999999</v>
      </c>
      <c r="H207" s="13" t="s">
        <v>51</v>
      </c>
      <c r="I207" s="97" t="str">
        <f>A206</f>
        <v>Ground Floor For  Residential</v>
      </c>
      <c r="J207" s="98"/>
    </row>
    <row r="208" spans="1:18" ht="15.5" x14ac:dyDescent="0.35">
      <c r="A208" s="87">
        <v>2</v>
      </c>
      <c r="B208" s="88"/>
      <c r="C208" s="13" t="s">
        <v>127</v>
      </c>
      <c r="D208" s="87">
        <f>347+40.58+27.34</f>
        <v>414.91999999999996</v>
      </c>
      <c r="E208" s="88"/>
      <c r="F208" s="13">
        <v>0</v>
      </c>
      <c r="G208" s="13">
        <f t="shared" si="20"/>
        <v>601.6339999999999</v>
      </c>
      <c r="H208" s="13" t="s">
        <v>51</v>
      </c>
      <c r="I208" s="95"/>
      <c r="J208" s="96"/>
    </row>
    <row r="209" spans="1:10" ht="15.5" x14ac:dyDescent="0.35">
      <c r="A209" s="87">
        <v>3</v>
      </c>
      <c r="B209" s="88"/>
      <c r="C209" s="13" t="s">
        <v>133</v>
      </c>
      <c r="D209" s="87">
        <f>402+27.57+34.47+47.6</f>
        <v>511.64</v>
      </c>
      <c r="E209" s="88"/>
      <c r="F209" s="13">
        <v>0</v>
      </c>
      <c r="G209" s="13">
        <f t="shared" si="20"/>
        <v>741.87799999999993</v>
      </c>
      <c r="H209" s="13" t="s">
        <v>51</v>
      </c>
      <c r="I209" s="95"/>
      <c r="J209" s="96"/>
    </row>
    <row r="210" spans="1:10" ht="15.5" x14ac:dyDescent="0.35">
      <c r="A210" s="87">
        <v>4</v>
      </c>
      <c r="B210" s="88"/>
      <c r="C210" s="13" t="s">
        <v>154</v>
      </c>
      <c r="D210" s="87">
        <f>569+27.57+34.47+47.6</f>
        <v>678.6400000000001</v>
      </c>
      <c r="E210" s="88"/>
      <c r="F210" s="13">
        <v>0</v>
      </c>
      <c r="G210" s="13">
        <f t="shared" si="20"/>
        <v>984.02800000000013</v>
      </c>
      <c r="H210" s="13" t="s">
        <v>51</v>
      </c>
      <c r="I210" s="95"/>
      <c r="J210" s="96"/>
    </row>
    <row r="211" spans="1:10" ht="15.5" x14ac:dyDescent="0.35">
      <c r="A211" s="87">
        <v>5</v>
      </c>
      <c r="B211" s="88"/>
      <c r="C211" s="13" t="s">
        <v>127</v>
      </c>
      <c r="D211" s="87">
        <f>347+40.58+27.34</f>
        <v>414.91999999999996</v>
      </c>
      <c r="E211" s="88"/>
      <c r="F211" s="13">
        <v>0</v>
      </c>
      <c r="G211" s="13">
        <f t="shared" si="20"/>
        <v>601.6339999999999</v>
      </c>
      <c r="H211" s="13" t="s">
        <v>51</v>
      </c>
      <c r="I211" s="95"/>
      <c r="J211" s="96"/>
    </row>
    <row r="212" spans="1:10" ht="15.5" x14ac:dyDescent="0.35">
      <c r="A212" s="87">
        <v>6</v>
      </c>
      <c r="B212" s="88"/>
      <c r="C212" s="13" t="s">
        <v>127</v>
      </c>
      <c r="D212" s="87">
        <f>347+40.58+27.34</f>
        <v>414.91999999999996</v>
      </c>
      <c r="E212" s="88"/>
      <c r="F212" s="13">
        <v>0</v>
      </c>
      <c r="G212" s="13">
        <f t="shared" si="20"/>
        <v>601.6339999999999</v>
      </c>
      <c r="H212" s="13" t="s">
        <v>51</v>
      </c>
      <c r="I212" s="95"/>
      <c r="J212" s="96"/>
    </row>
    <row r="213" spans="1:10" ht="15.5" x14ac:dyDescent="0.35">
      <c r="A213" s="87">
        <v>7</v>
      </c>
      <c r="B213" s="88"/>
      <c r="C213" s="13" t="s">
        <v>127</v>
      </c>
      <c r="D213" s="87">
        <f>338+40.58+27.34</f>
        <v>405.91999999999996</v>
      </c>
      <c r="E213" s="88"/>
      <c r="F213" s="13">
        <v>0</v>
      </c>
      <c r="G213" s="13">
        <f t="shared" si="20"/>
        <v>588.58399999999995</v>
      </c>
      <c r="H213" s="13" t="s">
        <v>51</v>
      </c>
      <c r="I213" s="95"/>
      <c r="J213" s="96"/>
    </row>
    <row r="214" spans="1:10" ht="15.5" x14ac:dyDescent="0.35">
      <c r="A214" s="87">
        <v>8</v>
      </c>
      <c r="B214" s="88"/>
      <c r="C214" s="13" t="s">
        <v>133</v>
      </c>
      <c r="D214" s="87">
        <f>402+27.57+34.47+47.6</f>
        <v>511.64</v>
      </c>
      <c r="E214" s="88"/>
      <c r="F214" s="13">
        <v>0</v>
      </c>
      <c r="G214" s="13">
        <f t="shared" si="20"/>
        <v>741.87799999999993</v>
      </c>
      <c r="H214" s="13" t="s">
        <v>51</v>
      </c>
      <c r="I214" s="95"/>
      <c r="J214" s="96"/>
    </row>
    <row r="215" spans="1:10" ht="15.5" x14ac:dyDescent="0.35">
      <c r="A215" s="87">
        <v>9</v>
      </c>
      <c r="B215" s="88"/>
      <c r="C215" s="13" t="s">
        <v>127</v>
      </c>
      <c r="D215" s="87">
        <f>347+40.58+27.34</f>
        <v>414.91999999999996</v>
      </c>
      <c r="E215" s="88"/>
      <c r="F215" s="13">
        <v>0</v>
      </c>
      <c r="G215" s="13">
        <f t="shared" si="20"/>
        <v>601.6339999999999</v>
      </c>
      <c r="H215" s="13" t="s">
        <v>51</v>
      </c>
      <c r="I215" s="95"/>
      <c r="J215" s="96"/>
    </row>
    <row r="216" spans="1:10" ht="15.5" x14ac:dyDescent="0.35">
      <c r="A216" s="87">
        <v>10</v>
      </c>
      <c r="B216" s="88"/>
      <c r="C216" s="13" t="s">
        <v>133</v>
      </c>
      <c r="D216" s="87">
        <f>461+40.58+27.34</f>
        <v>528.91999999999996</v>
      </c>
      <c r="E216" s="88"/>
      <c r="F216" s="13">
        <v>0</v>
      </c>
      <c r="G216" s="13">
        <f t="shared" si="20"/>
        <v>766.93399999999997</v>
      </c>
      <c r="H216" s="13" t="s">
        <v>51</v>
      </c>
      <c r="I216" s="159"/>
      <c r="J216" s="160"/>
    </row>
    <row r="217" spans="1:10" ht="15" x14ac:dyDescent="0.35">
      <c r="A217" s="92" t="s">
        <v>155</v>
      </c>
      <c r="B217" s="93"/>
      <c r="C217" s="93"/>
      <c r="D217" s="93"/>
      <c r="E217" s="93"/>
      <c r="F217" s="93"/>
      <c r="G217" s="93"/>
      <c r="H217" s="93"/>
      <c r="I217" s="93"/>
      <c r="J217" s="94"/>
    </row>
    <row r="218" spans="1:10" ht="15.5" x14ac:dyDescent="0.35">
      <c r="A218" s="87">
        <v>1</v>
      </c>
      <c r="B218" s="88"/>
      <c r="C218" s="13" t="s">
        <v>127</v>
      </c>
      <c r="D218" s="87">
        <f>347+40.58+27.34</f>
        <v>414.91999999999996</v>
      </c>
      <c r="E218" s="88"/>
      <c r="F218" s="13">
        <f>2.65*1.62*10.764</f>
        <v>46.209851999999998</v>
      </c>
      <c r="G218" s="13">
        <f>D218*1.45+F218</f>
        <v>647.84385199999986</v>
      </c>
      <c r="H218" s="13" t="s">
        <v>51</v>
      </c>
      <c r="I218" s="97" t="str">
        <f>A217</f>
        <v>1st, 3rd, 5th &amp; 7th Floors</v>
      </c>
      <c r="J218" s="98"/>
    </row>
    <row r="219" spans="1:10" ht="15.5" x14ac:dyDescent="0.35">
      <c r="A219" s="87">
        <v>2</v>
      </c>
      <c r="B219" s="88"/>
      <c r="C219" s="13" t="s">
        <v>127</v>
      </c>
      <c r="D219" s="87">
        <f>347+40.58+27.34</f>
        <v>414.91999999999996</v>
      </c>
      <c r="E219" s="88"/>
      <c r="F219" s="13">
        <f>F218</f>
        <v>46.209851999999998</v>
      </c>
      <c r="G219" s="13">
        <f t="shared" ref="G219:G227" si="21">D219*1.45+F219</f>
        <v>647.84385199999986</v>
      </c>
      <c r="H219" s="13" t="s">
        <v>51</v>
      </c>
      <c r="I219" s="95"/>
      <c r="J219" s="96"/>
    </row>
    <row r="220" spans="1:10" ht="15.5" x14ac:dyDescent="0.35">
      <c r="A220" s="87">
        <v>3</v>
      </c>
      <c r="B220" s="88"/>
      <c r="C220" s="13" t="s">
        <v>133</v>
      </c>
      <c r="D220" s="87">
        <f>402+27.57+34.47+47.6</f>
        <v>511.64</v>
      </c>
      <c r="E220" s="88"/>
      <c r="F220" s="13">
        <f>1.62*2.7*10.764</f>
        <v>47.081736000000006</v>
      </c>
      <c r="G220" s="13">
        <f t="shared" si="21"/>
        <v>788.95973599999991</v>
      </c>
      <c r="H220" s="13" t="s">
        <v>51</v>
      </c>
      <c r="I220" s="95"/>
      <c r="J220" s="96"/>
    </row>
    <row r="221" spans="1:10" ht="15.5" x14ac:dyDescent="0.35">
      <c r="A221" s="87">
        <v>4</v>
      </c>
      <c r="B221" s="88"/>
      <c r="C221" s="13" t="s">
        <v>154</v>
      </c>
      <c r="D221" s="87">
        <f>571+27.57+34.47+47.6</f>
        <v>680.6400000000001</v>
      </c>
      <c r="E221" s="88"/>
      <c r="F221" s="13">
        <f>(2.7*2.38*10.764)+(2.15*1.6*10.764)</f>
        <v>106.19762399999999</v>
      </c>
      <c r="G221" s="13">
        <f>D221*1.45+(F221/2)</f>
        <v>1040.0268120000001</v>
      </c>
      <c r="H221" s="13" t="s">
        <v>51</v>
      </c>
      <c r="I221" s="95"/>
      <c r="J221" s="96"/>
    </row>
    <row r="222" spans="1:10" ht="15.5" x14ac:dyDescent="0.35">
      <c r="A222" s="87">
        <v>5</v>
      </c>
      <c r="B222" s="88"/>
      <c r="C222" s="13" t="s">
        <v>127</v>
      </c>
      <c r="D222" s="87">
        <f>347+40.58+27.34</f>
        <v>414.91999999999996</v>
      </c>
      <c r="E222" s="88"/>
      <c r="F222" s="13">
        <f>F218</f>
        <v>46.209851999999998</v>
      </c>
      <c r="G222" s="13">
        <f t="shared" si="21"/>
        <v>647.84385199999986</v>
      </c>
      <c r="H222" s="13" t="s">
        <v>51</v>
      </c>
      <c r="I222" s="95"/>
      <c r="J222" s="96"/>
    </row>
    <row r="223" spans="1:10" ht="15.5" x14ac:dyDescent="0.35">
      <c r="A223" s="87">
        <v>6</v>
      </c>
      <c r="B223" s="88"/>
      <c r="C223" s="13" t="s">
        <v>127</v>
      </c>
      <c r="D223" s="87">
        <f>347+40.58+27.34</f>
        <v>414.91999999999996</v>
      </c>
      <c r="E223" s="88"/>
      <c r="F223" s="13">
        <f>F218</f>
        <v>46.209851999999998</v>
      </c>
      <c r="G223" s="13">
        <f t="shared" si="21"/>
        <v>647.84385199999986</v>
      </c>
      <c r="H223" s="13" t="s">
        <v>51</v>
      </c>
      <c r="I223" s="95"/>
      <c r="J223" s="96"/>
    </row>
    <row r="224" spans="1:10" ht="15.5" x14ac:dyDescent="0.35">
      <c r="A224" s="87">
        <v>7</v>
      </c>
      <c r="B224" s="88"/>
      <c r="C224" s="13" t="s">
        <v>127</v>
      </c>
      <c r="D224" s="87">
        <f>338+40.58+27.34</f>
        <v>405.91999999999996</v>
      </c>
      <c r="E224" s="88"/>
      <c r="F224" s="13">
        <f>1.62*1.45*10.764</f>
        <v>25.284635999999999</v>
      </c>
      <c r="G224" s="13">
        <f t="shared" si="21"/>
        <v>613.86863599999992</v>
      </c>
      <c r="H224" s="13" t="s">
        <v>51</v>
      </c>
      <c r="I224" s="95"/>
      <c r="J224" s="96"/>
    </row>
    <row r="225" spans="1:14" ht="15.5" x14ac:dyDescent="0.35">
      <c r="A225" s="87">
        <v>8</v>
      </c>
      <c r="B225" s="88"/>
      <c r="C225" s="13" t="s">
        <v>133</v>
      </c>
      <c r="D225" s="87">
        <f>402+27.57+34.47+47.6</f>
        <v>511.64</v>
      </c>
      <c r="E225" s="88"/>
      <c r="F225" s="13">
        <f>1.62*2.7*10.764</f>
        <v>47.081736000000006</v>
      </c>
      <c r="G225" s="13">
        <f t="shared" si="21"/>
        <v>788.95973599999991</v>
      </c>
      <c r="H225" s="13" t="s">
        <v>51</v>
      </c>
      <c r="I225" s="95"/>
      <c r="J225" s="96"/>
    </row>
    <row r="226" spans="1:14" ht="15.5" x14ac:dyDescent="0.35">
      <c r="A226" s="87">
        <v>9</v>
      </c>
      <c r="B226" s="88"/>
      <c r="C226" s="13" t="s">
        <v>127</v>
      </c>
      <c r="D226" s="87">
        <f>347+40.58+27.34</f>
        <v>414.91999999999996</v>
      </c>
      <c r="E226" s="88"/>
      <c r="F226" s="13">
        <f>1.62*2.7*10.764</f>
        <v>47.081736000000006</v>
      </c>
      <c r="G226" s="13">
        <f t="shared" si="21"/>
        <v>648.71573599999988</v>
      </c>
      <c r="H226" s="13" t="s">
        <v>51</v>
      </c>
      <c r="I226" s="95"/>
      <c r="J226" s="96"/>
    </row>
    <row r="227" spans="1:14" ht="15.5" x14ac:dyDescent="0.35">
      <c r="A227" s="87">
        <v>10</v>
      </c>
      <c r="B227" s="88"/>
      <c r="C227" s="13" t="s">
        <v>133</v>
      </c>
      <c r="D227" s="87">
        <f>461+40.58+27.34</f>
        <v>528.91999999999996</v>
      </c>
      <c r="E227" s="88"/>
      <c r="F227" s="13">
        <f>F219</f>
        <v>46.209851999999998</v>
      </c>
      <c r="G227" s="13">
        <f t="shared" si="21"/>
        <v>813.14385199999992</v>
      </c>
      <c r="H227" s="13" t="s">
        <v>51</v>
      </c>
      <c r="I227" s="159"/>
      <c r="J227" s="160"/>
    </row>
    <row r="228" spans="1:14" ht="15" x14ac:dyDescent="0.35">
      <c r="A228" s="92" t="s">
        <v>156</v>
      </c>
      <c r="B228" s="93"/>
      <c r="C228" s="93"/>
      <c r="D228" s="93"/>
      <c r="E228" s="93"/>
      <c r="F228" s="93"/>
      <c r="G228" s="93"/>
      <c r="H228" s="93"/>
      <c r="I228" s="93"/>
      <c r="J228" s="94"/>
    </row>
    <row r="229" spans="1:14" ht="15.5" x14ac:dyDescent="0.35">
      <c r="A229" s="87">
        <v>1</v>
      </c>
      <c r="B229" s="88"/>
      <c r="C229" s="13" t="s">
        <v>127</v>
      </c>
      <c r="D229" s="87">
        <f>347+40.58+27.34</f>
        <v>414.91999999999996</v>
      </c>
      <c r="E229" s="88"/>
      <c r="F229" s="13">
        <v>0</v>
      </c>
      <c r="G229" s="13">
        <f t="shared" ref="G229:G238" si="22">D229*1.45</f>
        <v>601.6339999999999</v>
      </c>
      <c r="H229" s="13" t="s">
        <v>51</v>
      </c>
      <c r="I229" s="97" t="str">
        <f>A228</f>
        <v>2nd, 4th &amp; 6th Floors</v>
      </c>
      <c r="J229" s="98"/>
    </row>
    <row r="230" spans="1:14" ht="15.5" x14ac:dyDescent="0.35">
      <c r="A230" s="87">
        <v>2</v>
      </c>
      <c r="B230" s="88"/>
      <c r="C230" s="13" t="s">
        <v>127</v>
      </c>
      <c r="D230" s="87">
        <f>347+40.58+27.34</f>
        <v>414.91999999999996</v>
      </c>
      <c r="E230" s="88"/>
      <c r="F230" s="13">
        <v>0</v>
      </c>
      <c r="G230" s="13">
        <f t="shared" si="22"/>
        <v>601.6339999999999</v>
      </c>
      <c r="H230" s="13" t="s">
        <v>51</v>
      </c>
      <c r="I230" s="95"/>
      <c r="J230" s="96"/>
    </row>
    <row r="231" spans="1:14" ht="15.5" x14ac:dyDescent="0.35">
      <c r="A231" s="87">
        <v>3</v>
      </c>
      <c r="B231" s="88"/>
      <c r="C231" s="13" t="s">
        <v>133</v>
      </c>
      <c r="D231" s="87">
        <f>402+27.57+34.47+47.6</f>
        <v>511.64</v>
      </c>
      <c r="E231" s="88"/>
      <c r="F231" s="13">
        <v>0</v>
      </c>
      <c r="G231" s="13">
        <f t="shared" si="22"/>
        <v>741.87799999999993</v>
      </c>
      <c r="H231" s="13" t="s">
        <v>51</v>
      </c>
      <c r="I231" s="95"/>
      <c r="J231" s="96"/>
    </row>
    <row r="232" spans="1:14" ht="15.5" x14ac:dyDescent="0.35">
      <c r="A232" s="87">
        <v>4</v>
      </c>
      <c r="B232" s="88"/>
      <c r="C232" s="13" t="s">
        <v>154</v>
      </c>
      <c r="D232" s="87">
        <f>569+27.57+34.47+47.6</f>
        <v>678.6400000000001</v>
      </c>
      <c r="E232" s="88"/>
      <c r="F232" s="13">
        <v>0</v>
      </c>
      <c r="G232" s="13">
        <f t="shared" si="22"/>
        <v>984.02800000000013</v>
      </c>
      <c r="H232" s="13" t="s">
        <v>51</v>
      </c>
      <c r="I232" s="95"/>
      <c r="J232" s="96"/>
    </row>
    <row r="233" spans="1:14" ht="15.5" x14ac:dyDescent="0.35">
      <c r="A233" s="87">
        <v>5</v>
      </c>
      <c r="B233" s="88"/>
      <c r="C233" s="13" t="s">
        <v>127</v>
      </c>
      <c r="D233" s="87">
        <f>347+40.58+27.34</f>
        <v>414.91999999999996</v>
      </c>
      <c r="E233" s="88"/>
      <c r="F233" s="13">
        <v>0</v>
      </c>
      <c r="G233" s="13">
        <f t="shared" si="22"/>
        <v>601.6339999999999</v>
      </c>
      <c r="H233" s="13" t="s">
        <v>51</v>
      </c>
      <c r="I233" s="95"/>
      <c r="J233" s="96"/>
    </row>
    <row r="234" spans="1:14" ht="15.5" x14ac:dyDescent="0.35">
      <c r="A234" s="87">
        <v>6</v>
      </c>
      <c r="B234" s="88"/>
      <c r="C234" s="13" t="s">
        <v>127</v>
      </c>
      <c r="D234" s="87">
        <f>347+40.58+27.34</f>
        <v>414.91999999999996</v>
      </c>
      <c r="E234" s="88"/>
      <c r="F234" s="13">
        <v>0</v>
      </c>
      <c r="G234" s="13">
        <f t="shared" si="22"/>
        <v>601.6339999999999</v>
      </c>
      <c r="H234" s="13" t="s">
        <v>51</v>
      </c>
      <c r="I234" s="95"/>
      <c r="J234" s="96"/>
    </row>
    <row r="235" spans="1:14" ht="15.5" x14ac:dyDescent="0.35">
      <c r="A235" s="87">
        <v>7</v>
      </c>
      <c r="B235" s="88"/>
      <c r="C235" s="13" t="s">
        <v>127</v>
      </c>
      <c r="D235" s="87">
        <f>338+40.58+27.34</f>
        <v>405.91999999999996</v>
      </c>
      <c r="E235" s="88"/>
      <c r="F235" s="13">
        <v>0</v>
      </c>
      <c r="G235" s="13">
        <f t="shared" si="22"/>
        <v>588.58399999999995</v>
      </c>
      <c r="H235" s="13" t="s">
        <v>51</v>
      </c>
      <c r="I235" s="95"/>
      <c r="J235" s="96"/>
    </row>
    <row r="236" spans="1:14" ht="15.5" x14ac:dyDescent="0.35">
      <c r="A236" s="87">
        <v>8</v>
      </c>
      <c r="B236" s="88"/>
      <c r="C236" s="13" t="s">
        <v>133</v>
      </c>
      <c r="D236" s="87">
        <f>402+27.57+34.47+47.6</f>
        <v>511.64</v>
      </c>
      <c r="E236" s="88"/>
      <c r="F236" s="13">
        <v>0</v>
      </c>
      <c r="G236" s="13">
        <f t="shared" si="22"/>
        <v>741.87799999999993</v>
      </c>
      <c r="H236" s="13" t="s">
        <v>51</v>
      </c>
      <c r="I236" s="95"/>
      <c r="J236" s="96"/>
    </row>
    <row r="237" spans="1:14" ht="15.5" x14ac:dyDescent="0.35">
      <c r="A237" s="87">
        <v>9</v>
      </c>
      <c r="B237" s="88"/>
      <c r="C237" s="13" t="s">
        <v>127</v>
      </c>
      <c r="D237" s="87">
        <f>347+40.58+27.34</f>
        <v>414.91999999999996</v>
      </c>
      <c r="E237" s="88"/>
      <c r="F237" s="13">
        <v>0</v>
      </c>
      <c r="G237" s="13">
        <f t="shared" si="22"/>
        <v>601.6339999999999</v>
      </c>
      <c r="H237" s="13" t="s">
        <v>51</v>
      </c>
      <c r="I237" s="95"/>
      <c r="J237" s="96"/>
    </row>
    <row r="238" spans="1:14" ht="15.5" x14ac:dyDescent="0.35">
      <c r="A238" s="87">
        <v>10</v>
      </c>
      <c r="B238" s="88"/>
      <c r="C238" s="13" t="s">
        <v>133</v>
      </c>
      <c r="D238" s="87">
        <f>461+40.58+27.34</f>
        <v>528.91999999999996</v>
      </c>
      <c r="E238" s="88"/>
      <c r="F238" s="13">
        <v>0</v>
      </c>
      <c r="G238" s="13">
        <f t="shared" si="22"/>
        <v>766.93399999999997</v>
      </c>
      <c r="H238" s="13" t="s">
        <v>51</v>
      </c>
      <c r="I238" s="159"/>
      <c r="J238" s="160"/>
    </row>
    <row r="239" spans="1:14" ht="15" x14ac:dyDescent="0.35">
      <c r="A239" s="92" t="s">
        <v>227</v>
      </c>
      <c r="B239" s="93"/>
      <c r="C239" s="93"/>
      <c r="D239" s="93"/>
      <c r="E239" s="93"/>
      <c r="F239" s="93"/>
      <c r="G239" s="93"/>
      <c r="H239" s="93"/>
      <c r="I239" s="93"/>
      <c r="J239" s="94"/>
    </row>
    <row r="240" spans="1:14" ht="15.5" x14ac:dyDescent="0.35">
      <c r="A240" s="87">
        <v>1</v>
      </c>
      <c r="B240" s="88"/>
      <c r="C240" s="13" t="s">
        <v>127</v>
      </c>
      <c r="D240" s="87">
        <f>(34.12+1*(1.45+2.29+2.9))*10.764</f>
        <v>438.74063999999993</v>
      </c>
      <c r="E240" s="88"/>
      <c r="F240" s="13">
        <v>0</v>
      </c>
      <c r="G240" s="13">
        <f t="shared" ref="G240:G249" si="23">D240*1.45</f>
        <v>636.17392799999993</v>
      </c>
      <c r="H240" s="13" t="s">
        <v>51</v>
      </c>
      <c r="I240" s="97" t="str">
        <f>A239</f>
        <v>8th Floor (Part Refuge Area)</v>
      </c>
      <c r="J240" s="98"/>
      <c r="M240" s="87">
        <f>(2.74*4.27+2.29*2.04+2.9*2.55+1*1.9+1.91*1+1*2.37+1*1+1*1.8)</f>
        <v>32.746400000000001</v>
      </c>
      <c r="N240" s="88"/>
    </row>
    <row r="241" spans="1:14" ht="15.5" x14ac:dyDescent="0.35">
      <c r="A241" s="87">
        <v>2</v>
      </c>
      <c r="B241" s="88"/>
      <c r="C241" s="13" t="s">
        <v>127</v>
      </c>
      <c r="D241" s="87">
        <f>(34.12+1*(1.45+2.29+2.9))*10.764</f>
        <v>438.74063999999993</v>
      </c>
      <c r="E241" s="88"/>
      <c r="F241" s="13">
        <v>0</v>
      </c>
      <c r="G241" s="13">
        <f t="shared" si="23"/>
        <v>636.17392799999993</v>
      </c>
      <c r="H241" s="13" t="s">
        <v>51</v>
      </c>
      <c r="I241" s="95"/>
      <c r="J241" s="96"/>
    </row>
    <row r="242" spans="1:14" ht="15.5" x14ac:dyDescent="0.35">
      <c r="A242" s="87">
        <v>3</v>
      </c>
      <c r="B242" s="88"/>
      <c r="C242" s="13" t="s">
        <v>133</v>
      </c>
      <c r="D242" s="89">
        <f>(44.34+1*1.67+1*3.05)*(10.764)</f>
        <v>528.08183999999994</v>
      </c>
      <c r="E242" s="89"/>
      <c r="F242" s="13">
        <v>0</v>
      </c>
      <c r="G242" s="13">
        <f t="shared" si="23"/>
        <v>765.71866799999987</v>
      </c>
      <c r="H242" s="13" t="s">
        <v>51</v>
      </c>
      <c r="I242" s="95"/>
      <c r="J242" s="96"/>
    </row>
    <row r="243" spans="1:14" ht="15.5" x14ac:dyDescent="0.35">
      <c r="A243" s="87">
        <v>4</v>
      </c>
      <c r="B243" s="88"/>
      <c r="C243" s="13" t="s">
        <v>154</v>
      </c>
      <c r="D243" s="89">
        <f>(60.01+1*(2.9+2.9))*(10.764)</f>
        <v>708.37883999999997</v>
      </c>
      <c r="E243" s="89"/>
      <c r="F243" s="13">
        <v>0</v>
      </c>
      <c r="G243" s="13">
        <f t="shared" si="23"/>
        <v>1027.149318</v>
      </c>
      <c r="H243" s="13" t="s">
        <v>51</v>
      </c>
      <c r="I243" s="95"/>
      <c r="J243" s="96"/>
    </row>
    <row r="244" spans="1:14" ht="15.5" x14ac:dyDescent="0.35">
      <c r="A244" s="87">
        <v>5</v>
      </c>
      <c r="B244" s="88"/>
      <c r="C244" s="13" t="s">
        <v>127</v>
      </c>
      <c r="D244" s="89">
        <f>(35.21+1*(1.45+2.9))*(10.764)</f>
        <v>425.82384000000002</v>
      </c>
      <c r="E244" s="89"/>
      <c r="F244" s="13">
        <v>0</v>
      </c>
      <c r="G244" s="13">
        <f t="shared" si="23"/>
        <v>617.444568</v>
      </c>
      <c r="H244" s="13" t="s">
        <v>51</v>
      </c>
      <c r="I244" s="95"/>
      <c r="J244" s="96"/>
      <c r="M244" s="89">
        <f>10.764</f>
        <v>10.763999999999999</v>
      </c>
      <c r="N244" s="89"/>
    </row>
    <row r="245" spans="1:14" ht="15.5" x14ac:dyDescent="0.35">
      <c r="A245" s="87">
        <v>6</v>
      </c>
      <c r="B245" s="88"/>
      <c r="C245" s="13" t="s">
        <v>127</v>
      </c>
      <c r="D245" s="89">
        <f>(35.21+1*(2.9+1.45))*(10.764)</f>
        <v>425.82384000000002</v>
      </c>
      <c r="E245" s="89"/>
      <c r="F245" s="13">
        <v>0</v>
      </c>
      <c r="G245" s="13">
        <f t="shared" si="23"/>
        <v>617.444568</v>
      </c>
      <c r="H245" s="13" t="s">
        <v>51</v>
      </c>
      <c r="I245" s="95"/>
      <c r="J245" s="96"/>
    </row>
    <row r="246" spans="1:14" ht="15.5" x14ac:dyDescent="0.35">
      <c r="A246" s="87">
        <v>7</v>
      </c>
      <c r="B246" s="88"/>
      <c r="C246" s="13" t="s">
        <v>127</v>
      </c>
      <c r="D246" s="89">
        <f>(35.29+1*(1.45+2.9))*(10.764)</f>
        <v>426.68495999999999</v>
      </c>
      <c r="E246" s="89"/>
      <c r="F246" s="13">
        <v>0</v>
      </c>
      <c r="G246" s="13">
        <f t="shared" si="23"/>
        <v>618.69319199999995</v>
      </c>
      <c r="H246" s="13" t="s">
        <v>51</v>
      </c>
      <c r="I246" s="95"/>
      <c r="J246" s="96"/>
    </row>
    <row r="247" spans="1:14" ht="15.5" x14ac:dyDescent="0.35">
      <c r="A247" s="87">
        <v>8</v>
      </c>
      <c r="B247" s="88"/>
      <c r="C247" s="13" t="s">
        <v>133</v>
      </c>
      <c r="D247" s="89">
        <f>(44.57+1*(1.45+2.9))*(10.764)</f>
        <v>526.57488000000001</v>
      </c>
      <c r="E247" s="89"/>
      <c r="F247" s="13">
        <v>0</v>
      </c>
      <c r="G247" s="13">
        <f t="shared" si="23"/>
        <v>763.53357600000004</v>
      </c>
      <c r="H247" s="13" t="s">
        <v>51</v>
      </c>
      <c r="I247" s="95"/>
      <c r="J247" s="96"/>
    </row>
    <row r="248" spans="1:14" ht="15.5" x14ac:dyDescent="0.35">
      <c r="A248" s="87">
        <v>9</v>
      </c>
      <c r="B248" s="88"/>
      <c r="C248" s="13" t="s">
        <v>127</v>
      </c>
      <c r="D248" s="89">
        <f>(35.15+1*(1.45+2.9))*(10.764)</f>
        <v>425.178</v>
      </c>
      <c r="E248" s="89"/>
      <c r="F248" s="13">
        <v>0</v>
      </c>
      <c r="G248" s="13">
        <f t="shared" si="23"/>
        <v>616.50810000000001</v>
      </c>
      <c r="H248" s="13" t="s">
        <v>51</v>
      </c>
      <c r="I248" s="95"/>
      <c r="J248" s="96"/>
    </row>
    <row r="249" spans="1:14" ht="15.5" x14ac:dyDescent="0.35">
      <c r="A249" s="87">
        <v>10</v>
      </c>
      <c r="B249" s="88"/>
      <c r="C249" s="13" t="s">
        <v>229</v>
      </c>
      <c r="D249" s="89">
        <f>(35.15+1*(1.45+2.9))*(10.764)</f>
        <v>425.178</v>
      </c>
      <c r="E249" s="89"/>
      <c r="F249" s="13">
        <v>0</v>
      </c>
      <c r="G249" s="13">
        <f t="shared" si="23"/>
        <v>616.50810000000001</v>
      </c>
      <c r="H249" s="13" t="s">
        <v>51</v>
      </c>
      <c r="I249" s="159"/>
      <c r="J249" s="160"/>
    </row>
    <row r="250" spans="1:14" ht="15" x14ac:dyDescent="0.35">
      <c r="A250" s="130" t="s">
        <v>232</v>
      </c>
      <c r="B250" s="131"/>
      <c r="C250" s="131"/>
      <c r="D250" s="131"/>
      <c r="E250" s="131"/>
      <c r="F250" s="131"/>
      <c r="G250" s="131"/>
      <c r="H250" s="131"/>
      <c r="I250" s="131"/>
      <c r="J250" s="132"/>
    </row>
    <row r="251" spans="1:14" ht="15" x14ac:dyDescent="0.35">
      <c r="A251" s="92" t="s">
        <v>157</v>
      </c>
      <c r="B251" s="93"/>
      <c r="C251" s="93"/>
      <c r="D251" s="93"/>
      <c r="E251" s="93"/>
      <c r="F251" s="93"/>
      <c r="G251" s="93"/>
      <c r="H251" s="93"/>
      <c r="I251" s="93"/>
      <c r="J251" s="94"/>
    </row>
    <row r="252" spans="1:14" ht="15.5" x14ac:dyDescent="0.35">
      <c r="A252" s="87">
        <v>1</v>
      </c>
      <c r="B252" s="88"/>
      <c r="C252" s="13" t="s">
        <v>127</v>
      </c>
      <c r="D252" s="87">
        <f>347+40.58+27.34</f>
        <v>414.91999999999996</v>
      </c>
      <c r="E252" s="88"/>
      <c r="F252" s="13">
        <v>0</v>
      </c>
      <c r="G252" s="13">
        <f t="shared" ref="G252:G262" si="24">D252*1.45</f>
        <v>601.6339999999999</v>
      </c>
      <c r="H252" s="13" t="s">
        <v>51</v>
      </c>
      <c r="I252" s="97" t="str">
        <f>A251</f>
        <v>Ground, 2nd, 4th &amp; 6th Floors</v>
      </c>
      <c r="J252" s="98"/>
    </row>
    <row r="253" spans="1:14" ht="15.5" x14ac:dyDescent="0.35">
      <c r="A253" s="87">
        <v>2</v>
      </c>
      <c r="B253" s="88"/>
      <c r="C253" s="13" t="s">
        <v>133</v>
      </c>
      <c r="D253" s="87">
        <f>388+32.776+36.97+47.6</f>
        <v>505.346</v>
      </c>
      <c r="E253" s="88"/>
      <c r="F253" s="13">
        <v>0</v>
      </c>
      <c r="G253" s="13">
        <f t="shared" si="24"/>
        <v>732.75170000000003</v>
      </c>
      <c r="H253" s="13" t="s">
        <v>51</v>
      </c>
      <c r="I253" s="95"/>
      <c r="J253" s="96"/>
    </row>
    <row r="254" spans="1:14" ht="15.5" x14ac:dyDescent="0.35">
      <c r="A254" s="87">
        <v>3</v>
      </c>
      <c r="B254" s="88"/>
      <c r="C254" s="13" t="s">
        <v>133</v>
      </c>
      <c r="D254" s="87">
        <f>388+32.776+36.97+47.6</f>
        <v>505.346</v>
      </c>
      <c r="E254" s="88"/>
      <c r="F254" s="13">
        <v>0</v>
      </c>
      <c r="G254" s="13">
        <f t="shared" si="24"/>
        <v>732.75170000000003</v>
      </c>
      <c r="H254" s="13" t="s">
        <v>51</v>
      </c>
      <c r="I254" s="95"/>
      <c r="J254" s="96"/>
    </row>
    <row r="255" spans="1:14" ht="15.5" x14ac:dyDescent="0.35">
      <c r="A255" s="87">
        <v>4</v>
      </c>
      <c r="B255" s="88"/>
      <c r="C255" s="13" t="s">
        <v>127</v>
      </c>
      <c r="D255" s="87">
        <f>347+40.58+27.34</f>
        <v>414.91999999999996</v>
      </c>
      <c r="E255" s="88"/>
      <c r="F255" s="13">
        <v>0</v>
      </c>
      <c r="G255" s="13">
        <f t="shared" si="24"/>
        <v>601.6339999999999</v>
      </c>
      <c r="H255" s="13" t="s">
        <v>51</v>
      </c>
      <c r="I255" s="95"/>
      <c r="J255" s="96"/>
    </row>
    <row r="256" spans="1:14" ht="15.5" x14ac:dyDescent="0.35">
      <c r="A256" s="87">
        <v>5</v>
      </c>
      <c r="B256" s="88"/>
      <c r="C256" s="13" t="s">
        <v>127</v>
      </c>
      <c r="D256" s="87">
        <f>356+44.64+27.34</f>
        <v>427.97999999999996</v>
      </c>
      <c r="E256" s="88"/>
      <c r="F256" s="13">
        <v>0</v>
      </c>
      <c r="G256" s="13">
        <f t="shared" si="24"/>
        <v>620.57099999999991</v>
      </c>
      <c r="H256" s="13" t="s">
        <v>51</v>
      </c>
      <c r="I256" s="95"/>
      <c r="J256" s="96"/>
    </row>
    <row r="257" spans="1:10" ht="15.5" x14ac:dyDescent="0.35">
      <c r="A257" s="87">
        <v>6</v>
      </c>
      <c r="B257" s="88"/>
      <c r="C257" s="13" t="s">
        <v>127</v>
      </c>
      <c r="D257" s="87">
        <f>347+40.58+27.34</f>
        <v>414.91999999999996</v>
      </c>
      <c r="E257" s="88"/>
      <c r="F257" s="13">
        <v>0</v>
      </c>
      <c r="G257" s="13">
        <f t="shared" si="24"/>
        <v>601.6339999999999</v>
      </c>
      <c r="H257" s="13" t="s">
        <v>51</v>
      </c>
      <c r="I257" s="95"/>
      <c r="J257" s="96"/>
    </row>
    <row r="258" spans="1:10" ht="15.5" x14ac:dyDescent="0.35">
      <c r="A258" s="87">
        <v>7</v>
      </c>
      <c r="B258" s="88"/>
      <c r="C258" s="13" t="s">
        <v>127</v>
      </c>
      <c r="D258" s="87">
        <f>347+40.58+27.34</f>
        <v>414.91999999999996</v>
      </c>
      <c r="E258" s="88"/>
      <c r="F258" s="13">
        <v>0</v>
      </c>
      <c r="G258" s="13">
        <f t="shared" si="24"/>
        <v>601.6339999999999</v>
      </c>
      <c r="H258" s="13" t="s">
        <v>51</v>
      </c>
      <c r="I258" s="95"/>
      <c r="J258" s="96"/>
    </row>
    <row r="259" spans="1:10" ht="15.5" x14ac:dyDescent="0.35">
      <c r="A259" s="87">
        <v>8</v>
      </c>
      <c r="B259" s="88"/>
      <c r="C259" s="13" t="s">
        <v>133</v>
      </c>
      <c r="D259" s="87">
        <f>D254</f>
        <v>505.346</v>
      </c>
      <c r="E259" s="88"/>
      <c r="F259" s="13">
        <v>0</v>
      </c>
      <c r="G259" s="13">
        <f t="shared" si="24"/>
        <v>732.75170000000003</v>
      </c>
      <c r="H259" s="13" t="s">
        <v>51</v>
      </c>
      <c r="I259" s="95"/>
      <c r="J259" s="96"/>
    </row>
    <row r="260" spans="1:10" ht="15.5" x14ac:dyDescent="0.35">
      <c r="A260" s="87">
        <v>9</v>
      </c>
      <c r="B260" s="88"/>
      <c r="C260" s="13" t="s">
        <v>133</v>
      </c>
      <c r="D260" s="87">
        <f>D259</f>
        <v>505.346</v>
      </c>
      <c r="E260" s="88"/>
      <c r="F260" s="13">
        <v>0</v>
      </c>
      <c r="G260" s="13">
        <f t="shared" si="24"/>
        <v>732.75170000000003</v>
      </c>
      <c r="H260" s="13" t="s">
        <v>51</v>
      </c>
      <c r="I260" s="95"/>
      <c r="J260" s="96"/>
    </row>
    <row r="261" spans="1:10" ht="15.5" x14ac:dyDescent="0.35">
      <c r="A261" s="87">
        <v>10</v>
      </c>
      <c r="B261" s="88"/>
      <c r="C261" s="13" t="s">
        <v>127</v>
      </c>
      <c r="D261" s="87">
        <f>347+40.58+27.34</f>
        <v>414.91999999999996</v>
      </c>
      <c r="E261" s="88"/>
      <c r="F261" s="13">
        <v>0</v>
      </c>
      <c r="G261" s="13">
        <f t="shared" si="24"/>
        <v>601.6339999999999</v>
      </c>
      <c r="H261" s="13" t="s">
        <v>51</v>
      </c>
      <c r="I261" s="95"/>
      <c r="J261" s="96"/>
    </row>
    <row r="262" spans="1:10" ht="15.5" x14ac:dyDescent="0.35">
      <c r="A262" s="87">
        <v>11</v>
      </c>
      <c r="B262" s="88"/>
      <c r="C262" s="13" t="s">
        <v>127</v>
      </c>
      <c r="D262" s="87">
        <f>347+40.58+27.34</f>
        <v>414.91999999999996</v>
      </c>
      <c r="E262" s="88"/>
      <c r="F262" s="13">
        <v>0</v>
      </c>
      <c r="G262" s="13">
        <f t="shared" si="24"/>
        <v>601.6339999999999</v>
      </c>
      <c r="H262" s="13" t="s">
        <v>51</v>
      </c>
      <c r="I262" s="159"/>
      <c r="J262" s="160"/>
    </row>
    <row r="263" spans="1:10" ht="15" x14ac:dyDescent="0.35">
      <c r="A263" s="92" t="s">
        <v>155</v>
      </c>
      <c r="B263" s="93"/>
      <c r="C263" s="93"/>
      <c r="D263" s="93"/>
      <c r="E263" s="93"/>
      <c r="F263" s="93"/>
      <c r="G263" s="93"/>
      <c r="H263" s="93"/>
      <c r="I263" s="93"/>
      <c r="J263" s="94"/>
    </row>
    <row r="264" spans="1:10" ht="15.5" x14ac:dyDescent="0.35">
      <c r="A264" s="87">
        <v>1</v>
      </c>
      <c r="B264" s="88"/>
      <c r="C264" s="13" t="s">
        <v>127</v>
      </c>
      <c r="D264" s="87">
        <f>347+40.58+27.34</f>
        <v>414.91999999999996</v>
      </c>
      <c r="E264" s="88"/>
      <c r="F264" s="13">
        <v>46</v>
      </c>
      <c r="G264" s="13">
        <f>D264*1.45+F264</f>
        <v>647.6339999999999</v>
      </c>
      <c r="H264" s="13" t="s">
        <v>51</v>
      </c>
      <c r="I264" s="97" t="str">
        <f>A263</f>
        <v>1st, 3rd, 5th &amp; 7th Floors</v>
      </c>
      <c r="J264" s="98"/>
    </row>
    <row r="265" spans="1:10" ht="15.5" x14ac:dyDescent="0.35">
      <c r="A265" s="87">
        <v>2</v>
      </c>
      <c r="B265" s="88"/>
      <c r="C265" s="13" t="s">
        <v>133</v>
      </c>
      <c r="D265" s="87">
        <f>388+32.776+36.97+47.6</f>
        <v>505.346</v>
      </c>
      <c r="E265" s="88"/>
      <c r="F265" s="13">
        <v>50</v>
      </c>
      <c r="G265" s="13">
        <f t="shared" ref="G265:G274" si="25">D265*1.45+F265</f>
        <v>782.75170000000003</v>
      </c>
      <c r="H265" s="13" t="s">
        <v>51</v>
      </c>
      <c r="I265" s="95"/>
      <c r="J265" s="96"/>
    </row>
    <row r="266" spans="1:10" ht="15.5" x14ac:dyDescent="0.35">
      <c r="A266" s="87">
        <v>3</v>
      </c>
      <c r="B266" s="88"/>
      <c r="C266" s="13" t="s">
        <v>133</v>
      </c>
      <c r="D266" s="87">
        <f>388+32.776+36.97+47.6</f>
        <v>505.346</v>
      </c>
      <c r="E266" s="88"/>
      <c r="F266" s="13">
        <v>50</v>
      </c>
      <c r="G266" s="13">
        <f t="shared" si="25"/>
        <v>782.75170000000003</v>
      </c>
      <c r="H266" s="13" t="s">
        <v>51</v>
      </c>
      <c r="I266" s="95"/>
      <c r="J266" s="96"/>
    </row>
    <row r="267" spans="1:10" ht="15.5" x14ac:dyDescent="0.35">
      <c r="A267" s="87">
        <v>4</v>
      </c>
      <c r="B267" s="88"/>
      <c r="C267" s="13" t="s">
        <v>127</v>
      </c>
      <c r="D267" s="87">
        <f>347+40.58+27.34</f>
        <v>414.91999999999996</v>
      </c>
      <c r="E267" s="88"/>
      <c r="F267" s="13">
        <v>46</v>
      </c>
      <c r="G267" s="13">
        <f t="shared" si="25"/>
        <v>647.6339999999999</v>
      </c>
      <c r="H267" s="13" t="s">
        <v>51</v>
      </c>
      <c r="I267" s="95"/>
      <c r="J267" s="96"/>
    </row>
    <row r="268" spans="1:10" ht="15.5" x14ac:dyDescent="0.35">
      <c r="A268" s="87">
        <v>5</v>
      </c>
      <c r="B268" s="88"/>
      <c r="C268" s="13" t="s">
        <v>127</v>
      </c>
      <c r="D268" s="87">
        <f>356+44.64+27.34</f>
        <v>427.97999999999996</v>
      </c>
      <c r="E268" s="88"/>
      <c r="F268" s="13">
        <v>46</v>
      </c>
      <c r="G268" s="13">
        <f t="shared" si="25"/>
        <v>666.57099999999991</v>
      </c>
      <c r="H268" s="13" t="s">
        <v>51</v>
      </c>
      <c r="I268" s="95"/>
      <c r="J268" s="96"/>
    </row>
    <row r="269" spans="1:10" ht="15.5" x14ac:dyDescent="0.35">
      <c r="A269" s="87">
        <v>6</v>
      </c>
      <c r="B269" s="88"/>
      <c r="C269" s="13" t="s">
        <v>127</v>
      </c>
      <c r="D269" s="87">
        <f>347+40.58+27.34</f>
        <v>414.91999999999996</v>
      </c>
      <c r="E269" s="88"/>
      <c r="F269" s="13">
        <v>46</v>
      </c>
      <c r="G269" s="13">
        <f t="shared" si="25"/>
        <v>647.6339999999999</v>
      </c>
      <c r="H269" s="13" t="s">
        <v>51</v>
      </c>
      <c r="I269" s="95"/>
      <c r="J269" s="96"/>
    </row>
    <row r="270" spans="1:10" ht="15.5" x14ac:dyDescent="0.35">
      <c r="A270" s="87">
        <v>7</v>
      </c>
      <c r="B270" s="88"/>
      <c r="C270" s="13" t="s">
        <v>127</v>
      </c>
      <c r="D270" s="87">
        <f>347+40.58+27.34</f>
        <v>414.91999999999996</v>
      </c>
      <c r="E270" s="88"/>
      <c r="F270" s="13">
        <v>46</v>
      </c>
      <c r="G270" s="13">
        <f t="shared" si="25"/>
        <v>647.6339999999999</v>
      </c>
      <c r="H270" s="13" t="s">
        <v>51</v>
      </c>
      <c r="I270" s="95"/>
      <c r="J270" s="96"/>
    </row>
    <row r="271" spans="1:10" ht="15.5" x14ac:dyDescent="0.35">
      <c r="A271" s="87">
        <v>8</v>
      </c>
      <c r="B271" s="88"/>
      <c r="C271" s="13" t="s">
        <v>133</v>
      </c>
      <c r="D271" s="87">
        <f>D266</f>
        <v>505.346</v>
      </c>
      <c r="E271" s="88"/>
      <c r="F271" s="13">
        <v>50</v>
      </c>
      <c r="G271" s="13">
        <f t="shared" si="25"/>
        <v>782.75170000000003</v>
      </c>
      <c r="H271" s="13" t="s">
        <v>51</v>
      </c>
      <c r="I271" s="95"/>
      <c r="J271" s="96"/>
    </row>
    <row r="272" spans="1:10" ht="15.5" x14ac:dyDescent="0.35">
      <c r="A272" s="87">
        <v>9</v>
      </c>
      <c r="B272" s="88"/>
      <c r="C272" s="13" t="s">
        <v>133</v>
      </c>
      <c r="D272" s="87">
        <f>D271</f>
        <v>505.346</v>
      </c>
      <c r="E272" s="88"/>
      <c r="F272" s="13">
        <v>50</v>
      </c>
      <c r="G272" s="13">
        <f t="shared" si="25"/>
        <v>782.75170000000003</v>
      </c>
      <c r="H272" s="13" t="s">
        <v>51</v>
      </c>
      <c r="I272" s="95"/>
      <c r="J272" s="96"/>
    </row>
    <row r="273" spans="1:10" ht="15.5" x14ac:dyDescent="0.35">
      <c r="A273" s="87">
        <v>10</v>
      </c>
      <c r="B273" s="88"/>
      <c r="C273" s="13" t="s">
        <v>127</v>
      </c>
      <c r="D273" s="87">
        <f>347+40.58+27.34</f>
        <v>414.91999999999996</v>
      </c>
      <c r="E273" s="88"/>
      <c r="F273" s="13">
        <v>46</v>
      </c>
      <c r="G273" s="13">
        <f t="shared" si="25"/>
        <v>647.6339999999999</v>
      </c>
      <c r="H273" s="13" t="s">
        <v>51</v>
      </c>
      <c r="I273" s="95"/>
      <c r="J273" s="96"/>
    </row>
    <row r="274" spans="1:10" ht="15.5" x14ac:dyDescent="0.35">
      <c r="A274" s="87">
        <v>11</v>
      </c>
      <c r="B274" s="88"/>
      <c r="C274" s="13" t="s">
        <v>127</v>
      </c>
      <c r="D274" s="87">
        <f>347+40.58+27.34</f>
        <v>414.91999999999996</v>
      </c>
      <c r="E274" s="88"/>
      <c r="F274" s="13">
        <v>46</v>
      </c>
      <c r="G274" s="13">
        <f t="shared" si="25"/>
        <v>647.6339999999999</v>
      </c>
      <c r="H274" s="13" t="s">
        <v>51</v>
      </c>
      <c r="I274" s="159"/>
      <c r="J274" s="160"/>
    </row>
    <row r="275" spans="1:10" ht="129.65" customHeight="1" x14ac:dyDescent="0.35">
      <c r="A275" s="155" t="s">
        <v>260</v>
      </c>
      <c r="B275" s="155"/>
      <c r="C275" s="155"/>
      <c r="D275" s="155"/>
      <c r="E275" s="155"/>
      <c r="F275" s="155"/>
      <c r="G275" s="155"/>
      <c r="H275" s="155"/>
      <c r="I275" s="155"/>
      <c r="J275" s="155"/>
    </row>
    <row r="276" spans="1:10" x14ac:dyDescent="0.35">
      <c r="A276" s="151" t="s">
        <v>25</v>
      </c>
      <c r="B276" s="152"/>
      <c r="C276" s="152"/>
      <c r="D276" s="152"/>
      <c r="E276" s="152"/>
      <c r="F276" s="152"/>
      <c r="G276" s="152"/>
      <c r="H276" s="152"/>
      <c r="I276" s="152"/>
      <c r="J276" s="153"/>
    </row>
    <row r="277" spans="1:10" x14ac:dyDescent="0.35">
      <c r="A277" s="139" t="s">
        <v>32</v>
      </c>
      <c r="B277" s="128"/>
      <c r="C277" s="128"/>
      <c r="D277" s="128"/>
      <c r="E277" s="128"/>
      <c r="F277" s="128"/>
      <c r="G277" s="128"/>
      <c r="H277" s="128"/>
      <c r="I277" s="128"/>
      <c r="J277" s="129"/>
    </row>
    <row r="278" spans="1:10" x14ac:dyDescent="0.35">
      <c r="A278" s="151" t="s">
        <v>27</v>
      </c>
      <c r="B278" s="152"/>
      <c r="C278" s="152"/>
      <c r="D278" s="152"/>
      <c r="E278" s="152"/>
      <c r="F278" s="152"/>
      <c r="G278" s="152"/>
      <c r="H278" s="152"/>
      <c r="I278" s="152"/>
      <c r="J278" s="153"/>
    </row>
    <row r="279" spans="1:10" x14ac:dyDescent="0.35">
      <c r="A279" s="57" t="s">
        <v>37</v>
      </c>
      <c r="B279" s="133"/>
      <c r="C279" s="133"/>
      <c r="D279" s="133"/>
      <c r="E279" s="133"/>
      <c r="F279" s="133"/>
      <c r="G279" s="133"/>
      <c r="H279" s="133"/>
      <c r="I279" s="133"/>
      <c r="J279" s="58"/>
    </row>
    <row r="280" spans="1:10" ht="16.5" customHeight="1" x14ac:dyDescent="0.35">
      <c r="A280" s="137" t="s">
        <v>57</v>
      </c>
      <c r="B280" s="154"/>
      <c r="C280" s="154"/>
      <c r="D280" s="154"/>
      <c r="E280" s="154"/>
      <c r="F280" s="154"/>
      <c r="G280" s="154"/>
      <c r="H280" s="154"/>
      <c r="I280" s="154"/>
      <c r="J280" s="138"/>
    </row>
    <row r="281" spans="1:10" x14ac:dyDescent="0.35">
      <c r="A281" s="57" t="s">
        <v>38</v>
      </c>
      <c r="B281" s="133"/>
      <c r="C281" s="133"/>
      <c r="D281" s="133"/>
      <c r="E281" s="133"/>
      <c r="F281" s="133"/>
      <c r="G281" s="133"/>
      <c r="H281" s="133"/>
      <c r="I281" s="133"/>
      <c r="J281" s="58"/>
    </row>
    <row r="282" spans="1:10" x14ac:dyDescent="0.35">
      <c r="A282" s="57" t="s">
        <v>39</v>
      </c>
      <c r="B282" s="133"/>
      <c r="C282" s="133"/>
      <c r="D282" s="133"/>
      <c r="E282" s="133"/>
      <c r="F282" s="133"/>
      <c r="G282" s="133"/>
      <c r="H282" s="133"/>
      <c r="I282" s="133"/>
      <c r="J282" s="58"/>
    </row>
    <row r="283" spans="1:10" ht="30.75" customHeight="1" x14ac:dyDescent="0.35">
      <c r="A283" s="75" t="s">
        <v>40</v>
      </c>
      <c r="B283" s="116"/>
      <c r="C283" s="116"/>
      <c r="D283" s="116"/>
      <c r="E283" s="116"/>
      <c r="F283" s="116"/>
      <c r="G283" s="116"/>
      <c r="H283" s="116"/>
      <c r="I283" s="116"/>
      <c r="J283" s="76"/>
    </row>
    <row r="284" spans="1:10" ht="15" customHeight="1" x14ac:dyDescent="0.35">
      <c r="A284" s="140" t="s">
        <v>26</v>
      </c>
      <c r="B284" s="141"/>
      <c r="C284" s="141"/>
      <c r="D284" s="141"/>
      <c r="E284" s="141"/>
      <c r="F284" s="141"/>
      <c r="G284" s="141"/>
      <c r="H284" s="141"/>
      <c r="I284" s="141"/>
      <c r="J284" s="142"/>
    </row>
    <row r="285" spans="1:10" x14ac:dyDescent="0.35">
      <c r="A285" s="143"/>
      <c r="B285" s="144"/>
      <c r="C285" s="144"/>
      <c r="D285" s="144"/>
      <c r="E285" s="144"/>
      <c r="F285" s="144"/>
      <c r="G285" s="144"/>
      <c r="H285" s="144"/>
      <c r="I285" s="144"/>
      <c r="J285" s="145"/>
    </row>
    <row r="286" spans="1:10" x14ac:dyDescent="0.35">
      <c r="A286" s="143"/>
      <c r="B286" s="144"/>
      <c r="C286" s="144"/>
      <c r="D286" s="144"/>
      <c r="E286" s="144"/>
      <c r="F286" s="144"/>
      <c r="G286" s="144"/>
      <c r="H286" s="144"/>
      <c r="I286" s="144"/>
      <c r="J286" s="145"/>
    </row>
    <row r="287" spans="1:10" x14ac:dyDescent="0.35">
      <c r="A287" s="146"/>
      <c r="B287" s="147"/>
      <c r="C287" s="147"/>
      <c r="D287" s="147"/>
      <c r="E287" s="147"/>
      <c r="F287" s="147"/>
      <c r="G287" s="147"/>
      <c r="H287" s="147"/>
      <c r="I287" s="147"/>
      <c r="J287" s="148"/>
    </row>
    <row r="288" spans="1:10" x14ac:dyDescent="0.35">
      <c r="A288" s="15" t="s">
        <v>197</v>
      </c>
      <c r="B288" s="16"/>
      <c r="C288" s="16"/>
      <c r="D288" s="16"/>
      <c r="E288" s="17" t="str">
        <f>F8</f>
        <v>Patels Prestige</v>
      </c>
      <c r="G288" s="16"/>
      <c r="H288" s="16"/>
      <c r="I288" s="16"/>
      <c r="J288" s="16"/>
    </row>
    <row r="334" spans="1:1" x14ac:dyDescent="0.35">
      <c r="A334" s="17" t="s">
        <v>123</v>
      </c>
    </row>
  </sheetData>
  <mergeCells count="583">
    <mergeCell ref="C56:F56"/>
    <mergeCell ref="H56:J56"/>
    <mergeCell ref="A54:B56"/>
    <mergeCell ref="A67:B67"/>
    <mergeCell ref="C67:D67"/>
    <mergeCell ref="E67:G67"/>
    <mergeCell ref="H67:J67"/>
    <mergeCell ref="A97:B97"/>
    <mergeCell ref="C97:D97"/>
    <mergeCell ref="E97:G97"/>
    <mergeCell ref="H97:J97"/>
    <mergeCell ref="I264:J274"/>
    <mergeCell ref="I252:J262"/>
    <mergeCell ref="A46:B46"/>
    <mergeCell ref="C46:F46"/>
    <mergeCell ref="H46:J46"/>
    <mergeCell ref="A264:B264"/>
    <mergeCell ref="D264:E264"/>
    <mergeCell ref="A265:B265"/>
    <mergeCell ref="D265:E265"/>
    <mergeCell ref="A266:B266"/>
    <mergeCell ref="D266:E266"/>
    <mergeCell ref="A267:B267"/>
    <mergeCell ref="A273:B273"/>
    <mergeCell ref="D273:E273"/>
    <mergeCell ref="D267:E267"/>
    <mergeCell ref="A274:B274"/>
    <mergeCell ref="D274:E274"/>
    <mergeCell ref="D268:E268"/>
    <mergeCell ref="A269:B269"/>
    <mergeCell ref="D269:E269"/>
    <mergeCell ref="A250:J250"/>
    <mergeCell ref="A258:B258"/>
    <mergeCell ref="A237:B237"/>
    <mergeCell ref="D237:E237"/>
    <mergeCell ref="I229:J238"/>
    <mergeCell ref="A251:J251"/>
    <mergeCell ref="A252:B252"/>
    <mergeCell ref="D252:E252"/>
    <mergeCell ref="A240:B240"/>
    <mergeCell ref="D240:E240"/>
    <mergeCell ref="I240:J249"/>
    <mergeCell ref="A238:B238"/>
    <mergeCell ref="D238:E238"/>
    <mergeCell ref="D258:E258"/>
    <mergeCell ref="D246:E246"/>
    <mergeCell ref="A247:B247"/>
    <mergeCell ref="D247:E247"/>
    <mergeCell ref="A248:B248"/>
    <mergeCell ref="D248:E248"/>
    <mergeCell ref="A249:B249"/>
    <mergeCell ref="D249:E249"/>
    <mergeCell ref="A270:B270"/>
    <mergeCell ref="D270:E270"/>
    <mergeCell ref="A271:B271"/>
    <mergeCell ref="D271:E271"/>
    <mergeCell ref="A268:B268"/>
    <mergeCell ref="A272:B272"/>
    <mergeCell ref="D272:E272"/>
    <mergeCell ref="A261:B261"/>
    <mergeCell ref="D261:E261"/>
    <mergeCell ref="A262:B262"/>
    <mergeCell ref="D262:E262"/>
    <mergeCell ref="A263:J263"/>
    <mergeCell ref="A259:B259"/>
    <mergeCell ref="D259:E259"/>
    <mergeCell ref="A260:B260"/>
    <mergeCell ref="D260:E260"/>
    <mergeCell ref="A255:B255"/>
    <mergeCell ref="D255:E255"/>
    <mergeCell ref="A256:B256"/>
    <mergeCell ref="D256:E256"/>
    <mergeCell ref="A257:B257"/>
    <mergeCell ref="D257:E257"/>
    <mergeCell ref="I218:J227"/>
    <mergeCell ref="D229:E229"/>
    <mergeCell ref="A253:B253"/>
    <mergeCell ref="D253:E253"/>
    <mergeCell ref="A254:B254"/>
    <mergeCell ref="A236:B236"/>
    <mergeCell ref="D236:E236"/>
    <mergeCell ref="A227:B227"/>
    <mergeCell ref="D227:E227"/>
    <mergeCell ref="A245:B245"/>
    <mergeCell ref="D245:E245"/>
    <mergeCell ref="A246:B246"/>
    <mergeCell ref="D219:E219"/>
    <mergeCell ref="A220:B220"/>
    <mergeCell ref="A234:B234"/>
    <mergeCell ref="D234:E234"/>
    <mergeCell ref="A235:B235"/>
    <mergeCell ref="D235:E235"/>
    <mergeCell ref="A231:B231"/>
    <mergeCell ref="D231:E231"/>
    <mergeCell ref="A233:B233"/>
    <mergeCell ref="D233:E233"/>
    <mergeCell ref="D220:E220"/>
    <mergeCell ref="A221:B221"/>
    <mergeCell ref="D221:E221"/>
    <mergeCell ref="A222:B222"/>
    <mergeCell ref="D222:E222"/>
    <mergeCell ref="A223:B223"/>
    <mergeCell ref="D223:E223"/>
    <mergeCell ref="A229:B229"/>
    <mergeCell ref="A224:B224"/>
    <mergeCell ref="D224:E224"/>
    <mergeCell ref="A225:B225"/>
    <mergeCell ref="D225:E225"/>
    <mergeCell ref="A226:B226"/>
    <mergeCell ref="D226:E226"/>
    <mergeCell ref="A115:F115"/>
    <mergeCell ref="G115:J115"/>
    <mergeCell ref="D130:E130"/>
    <mergeCell ref="A131:B131"/>
    <mergeCell ref="D135:E135"/>
    <mergeCell ref="A141:B141"/>
    <mergeCell ref="D141:E141"/>
    <mergeCell ref="A142:B142"/>
    <mergeCell ref="D142:E142"/>
    <mergeCell ref="A136:B136"/>
    <mergeCell ref="D136:E136"/>
    <mergeCell ref="A137:B137"/>
    <mergeCell ref="D137:E137"/>
    <mergeCell ref="A138:B138"/>
    <mergeCell ref="D138:E138"/>
    <mergeCell ref="D139:E139"/>
    <mergeCell ref="A140:B140"/>
    <mergeCell ref="D140:E140"/>
    <mergeCell ref="G118:J118"/>
    <mergeCell ref="G117:J117"/>
    <mergeCell ref="A118:F118"/>
    <mergeCell ref="D132:E132"/>
    <mergeCell ref="G122:J122"/>
    <mergeCell ref="D125:E125"/>
    <mergeCell ref="E30:F30"/>
    <mergeCell ref="A35:E35"/>
    <mergeCell ref="A205:J205"/>
    <mergeCell ref="A139:B139"/>
    <mergeCell ref="A132:B132"/>
    <mergeCell ref="A127:J127"/>
    <mergeCell ref="A128:B128"/>
    <mergeCell ref="D128:E128"/>
    <mergeCell ref="A129:B129"/>
    <mergeCell ref="I128:J145"/>
    <mergeCell ref="A109:J109"/>
    <mergeCell ref="A110:J110"/>
    <mergeCell ref="A111:J112"/>
    <mergeCell ref="A116:F116"/>
    <mergeCell ref="H59:J59"/>
    <mergeCell ref="A60:B60"/>
    <mergeCell ref="D59:E59"/>
    <mergeCell ref="A57:C57"/>
    <mergeCell ref="F35:J35"/>
    <mergeCell ref="A113:J113"/>
    <mergeCell ref="G114:J114"/>
    <mergeCell ref="A47:B47"/>
    <mergeCell ref="G116:J116"/>
    <mergeCell ref="D129:E129"/>
    <mergeCell ref="G27:H27"/>
    <mergeCell ref="F37:J37"/>
    <mergeCell ref="H57:J57"/>
    <mergeCell ref="A58:J58"/>
    <mergeCell ref="C17:E17"/>
    <mergeCell ref="G30:H30"/>
    <mergeCell ref="A40:E40"/>
    <mergeCell ref="A32:J32"/>
    <mergeCell ref="A27:B27"/>
    <mergeCell ref="C27:D27"/>
    <mergeCell ref="I26:J26"/>
    <mergeCell ref="C26:D26"/>
    <mergeCell ref="E26:F26"/>
    <mergeCell ref="G26:H26"/>
    <mergeCell ref="F36:J36"/>
    <mergeCell ref="A38:E38"/>
    <mergeCell ref="A33:J34"/>
    <mergeCell ref="A29:J29"/>
    <mergeCell ref="A18:E19"/>
    <mergeCell ref="A26:B26"/>
    <mergeCell ref="F21:J21"/>
    <mergeCell ref="A23:E23"/>
    <mergeCell ref="A24:E24"/>
    <mergeCell ref="F57:G57"/>
    <mergeCell ref="F7:J7"/>
    <mergeCell ref="G16:J16"/>
    <mergeCell ref="A11:E11"/>
    <mergeCell ref="A6:E6"/>
    <mergeCell ref="F6:J6"/>
    <mergeCell ref="A5:E5"/>
    <mergeCell ref="F5:J5"/>
    <mergeCell ref="H17:J17"/>
    <mergeCell ref="F9:J9"/>
    <mergeCell ref="A9:E9"/>
    <mergeCell ref="G15:J15"/>
    <mergeCell ref="F17:G17"/>
    <mergeCell ref="A13:B13"/>
    <mergeCell ref="C14:D14"/>
    <mergeCell ref="E14:G14"/>
    <mergeCell ref="A12:E12"/>
    <mergeCell ref="F12:J12"/>
    <mergeCell ref="A2:J2"/>
    <mergeCell ref="A3:E3"/>
    <mergeCell ref="F3:J3"/>
    <mergeCell ref="A4:E4"/>
    <mergeCell ref="F4:J4"/>
    <mergeCell ref="B16:E16"/>
    <mergeCell ref="A7:E7"/>
    <mergeCell ref="E25:F25"/>
    <mergeCell ref="I25:J25"/>
    <mergeCell ref="F18:J19"/>
    <mergeCell ref="F8:J8"/>
    <mergeCell ref="F11:J11"/>
    <mergeCell ref="B15:E15"/>
    <mergeCell ref="A8:E8"/>
    <mergeCell ref="F24:J24"/>
    <mergeCell ref="A20:E20"/>
    <mergeCell ref="F20:J20"/>
    <mergeCell ref="F23:J23"/>
    <mergeCell ref="A22:E22"/>
    <mergeCell ref="F22:J22"/>
    <mergeCell ref="A17:B17"/>
    <mergeCell ref="A25:B25"/>
    <mergeCell ref="C25:D25"/>
    <mergeCell ref="G25:H25"/>
    <mergeCell ref="A130:B130"/>
    <mergeCell ref="D254:E254"/>
    <mergeCell ref="A117:F117"/>
    <mergeCell ref="A119:F119"/>
    <mergeCell ref="A133:B133"/>
    <mergeCell ref="D133:E133"/>
    <mergeCell ref="A134:B134"/>
    <mergeCell ref="D134:E134"/>
    <mergeCell ref="A135:B135"/>
    <mergeCell ref="A123:J123"/>
    <mergeCell ref="D208:E208"/>
    <mergeCell ref="A209:B209"/>
    <mergeCell ref="D209:E209"/>
    <mergeCell ref="A210:B210"/>
    <mergeCell ref="A143:B143"/>
    <mergeCell ref="D143:E143"/>
    <mergeCell ref="A144:B144"/>
    <mergeCell ref="D144:E144"/>
    <mergeCell ref="A145:B145"/>
    <mergeCell ref="D145:E145"/>
    <mergeCell ref="A206:J206"/>
    <mergeCell ref="A214:B214"/>
    <mergeCell ref="D214:E214"/>
    <mergeCell ref="A146:J146"/>
    <mergeCell ref="A1:J1"/>
    <mergeCell ref="A62:E62"/>
    <mergeCell ref="F62:J62"/>
    <mergeCell ref="I30:J30"/>
    <mergeCell ref="A64:J64"/>
    <mergeCell ref="A21:E21"/>
    <mergeCell ref="A41:J41"/>
    <mergeCell ref="D57:E57"/>
    <mergeCell ref="C44:F44"/>
    <mergeCell ref="C47:F47"/>
    <mergeCell ref="C13:J13"/>
    <mergeCell ref="A43:B43"/>
    <mergeCell ref="F40:J40"/>
    <mergeCell ref="F39:J39"/>
    <mergeCell ref="I27:J27"/>
    <mergeCell ref="A28:J28"/>
    <mergeCell ref="A10:E10"/>
    <mergeCell ref="F10:J10"/>
    <mergeCell ref="I14:J14"/>
    <mergeCell ref="F38:J38"/>
    <mergeCell ref="A39:E39"/>
    <mergeCell ref="C43:F43"/>
    <mergeCell ref="A30:B30"/>
    <mergeCell ref="C30:D30"/>
    <mergeCell ref="A284:J287"/>
    <mergeCell ref="A283:J283"/>
    <mergeCell ref="A228:J228"/>
    <mergeCell ref="A125:B125"/>
    <mergeCell ref="A120:F120"/>
    <mergeCell ref="G120:J120"/>
    <mergeCell ref="A281:J281"/>
    <mergeCell ref="A282:J282"/>
    <mergeCell ref="G121:J121"/>
    <mergeCell ref="A278:J278"/>
    <mergeCell ref="I125:J125"/>
    <mergeCell ref="A277:J277"/>
    <mergeCell ref="A230:B230"/>
    <mergeCell ref="D230:E230"/>
    <mergeCell ref="A280:J280"/>
    <mergeCell ref="A275:J275"/>
    <mergeCell ref="A279:J279"/>
    <mergeCell ref="A276:J276"/>
    <mergeCell ref="A124:J124"/>
    <mergeCell ref="D131:E131"/>
    <mergeCell ref="A207:B207"/>
    <mergeCell ref="D207:E207"/>
    <mergeCell ref="I207:J216"/>
    <mergeCell ref="A208:B208"/>
    <mergeCell ref="E27:F27"/>
    <mergeCell ref="A59:C59"/>
    <mergeCell ref="A36:E36"/>
    <mergeCell ref="H43:J43"/>
    <mergeCell ref="D92:E92"/>
    <mergeCell ref="A93:B93"/>
    <mergeCell ref="D93:E93"/>
    <mergeCell ref="F59:G59"/>
    <mergeCell ref="A63:J63"/>
    <mergeCell ref="A37:E37"/>
    <mergeCell ref="H44:J44"/>
    <mergeCell ref="A48:B48"/>
    <mergeCell ref="C48:F48"/>
    <mergeCell ref="H48:J48"/>
    <mergeCell ref="A92:B92"/>
    <mergeCell ref="A44:B44"/>
    <mergeCell ref="A90:B90"/>
    <mergeCell ref="D90:E90"/>
    <mergeCell ref="A91:B91"/>
    <mergeCell ref="D91:E91"/>
    <mergeCell ref="F68:G68"/>
    <mergeCell ref="D71:E71"/>
    <mergeCell ref="D75:E75"/>
    <mergeCell ref="A84:B84"/>
    <mergeCell ref="A114:F114"/>
    <mergeCell ref="A126:J126"/>
    <mergeCell ref="A121:F121"/>
    <mergeCell ref="G119:J119"/>
    <mergeCell ref="A122:F122"/>
    <mergeCell ref="A94:J94"/>
    <mergeCell ref="D87:E87"/>
    <mergeCell ref="A88:B88"/>
    <mergeCell ref="D88:E88"/>
    <mergeCell ref="A89:B89"/>
    <mergeCell ref="D89:E89"/>
    <mergeCell ref="I95:J95"/>
    <mergeCell ref="A96:B96"/>
    <mergeCell ref="C96:J96"/>
    <mergeCell ref="A98:B98"/>
    <mergeCell ref="D98:E98"/>
    <mergeCell ref="F98:G98"/>
    <mergeCell ref="H98:J98"/>
    <mergeCell ref="A95:B95"/>
    <mergeCell ref="D95:E95"/>
    <mergeCell ref="F95:G95"/>
    <mergeCell ref="A100:B100"/>
    <mergeCell ref="D100:E100"/>
    <mergeCell ref="A101:B101"/>
    <mergeCell ref="D84:E84"/>
    <mergeCell ref="F84:G93"/>
    <mergeCell ref="H84:J93"/>
    <mergeCell ref="A85:B85"/>
    <mergeCell ref="D85:E85"/>
    <mergeCell ref="A86:B86"/>
    <mergeCell ref="D86:E86"/>
    <mergeCell ref="A87:B87"/>
    <mergeCell ref="A81:B81"/>
    <mergeCell ref="C81:J81"/>
    <mergeCell ref="A83:B83"/>
    <mergeCell ref="D83:E83"/>
    <mergeCell ref="F83:G83"/>
    <mergeCell ref="H83:J83"/>
    <mergeCell ref="A82:B82"/>
    <mergeCell ref="H82:J82"/>
    <mergeCell ref="C82:D82"/>
    <mergeCell ref="E82:G82"/>
    <mergeCell ref="D72:E72"/>
    <mergeCell ref="A73:B73"/>
    <mergeCell ref="D73:E73"/>
    <mergeCell ref="A74:B74"/>
    <mergeCell ref="D74:E74"/>
    <mergeCell ref="A65:B65"/>
    <mergeCell ref="D65:E65"/>
    <mergeCell ref="F65:G65"/>
    <mergeCell ref="I65:J65"/>
    <mergeCell ref="A66:B66"/>
    <mergeCell ref="C66:J66"/>
    <mergeCell ref="A68:B68"/>
    <mergeCell ref="D68:E68"/>
    <mergeCell ref="H68:J68"/>
    <mergeCell ref="G60:J60"/>
    <mergeCell ref="C60:F60"/>
    <mergeCell ref="A79:J79"/>
    <mergeCell ref="A80:B80"/>
    <mergeCell ref="D80:E80"/>
    <mergeCell ref="F80:G80"/>
    <mergeCell ref="I80:J80"/>
    <mergeCell ref="A75:B75"/>
    <mergeCell ref="A76:B76"/>
    <mergeCell ref="D76:E76"/>
    <mergeCell ref="A61:B61"/>
    <mergeCell ref="C61:J61"/>
    <mergeCell ref="A69:B69"/>
    <mergeCell ref="D69:E69"/>
    <mergeCell ref="F69:G78"/>
    <mergeCell ref="H69:J78"/>
    <mergeCell ref="A70:B70"/>
    <mergeCell ref="D70:E70"/>
    <mergeCell ref="A71:B71"/>
    <mergeCell ref="A77:B77"/>
    <mergeCell ref="D77:E77"/>
    <mergeCell ref="A78:B78"/>
    <mergeCell ref="D78:E78"/>
    <mergeCell ref="A72:B72"/>
    <mergeCell ref="A156:B156"/>
    <mergeCell ref="D156:E156"/>
    <mergeCell ref="A157:B157"/>
    <mergeCell ref="D157:E157"/>
    <mergeCell ref="A158:B158"/>
    <mergeCell ref="A99:B99"/>
    <mergeCell ref="D99:E99"/>
    <mergeCell ref="F99:G108"/>
    <mergeCell ref="H99:J108"/>
    <mergeCell ref="D101:E101"/>
    <mergeCell ref="A102:B102"/>
    <mergeCell ref="D102:E102"/>
    <mergeCell ref="A108:B108"/>
    <mergeCell ref="D108:E108"/>
    <mergeCell ref="A103:B103"/>
    <mergeCell ref="D103:E103"/>
    <mergeCell ref="A104:B104"/>
    <mergeCell ref="D104:E104"/>
    <mergeCell ref="A105:B105"/>
    <mergeCell ref="D105:E105"/>
    <mergeCell ref="A106:B106"/>
    <mergeCell ref="D106:E106"/>
    <mergeCell ref="A107:B107"/>
    <mergeCell ref="D107:E107"/>
    <mergeCell ref="D158:E158"/>
    <mergeCell ref="A159:B159"/>
    <mergeCell ref="D159:E159"/>
    <mergeCell ref="A160:B160"/>
    <mergeCell ref="D160:E160"/>
    <mergeCell ref="A147:B147"/>
    <mergeCell ref="D147:E147"/>
    <mergeCell ref="I147:J160"/>
    <mergeCell ref="A148:B148"/>
    <mergeCell ref="D148:E148"/>
    <mergeCell ref="A149:B149"/>
    <mergeCell ref="D149:E149"/>
    <mergeCell ref="A150:B150"/>
    <mergeCell ref="D150:E150"/>
    <mergeCell ref="A151:B151"/>
    <mergeCell ref="D151:E151"/>
    <mergeCell ref="A152:B152"/>
    <mergeCell ref="D152:E152"/>
    <mergeCell ref="A153:B153"/>
    <mergeCell ref="D153:E153"/>
    <mergeCell ref="A154:B154"/>
    <mergeCell ref="D154:E154"/>
    <mergeCell ref="A155:B155"/>
    <mergeCell ref="D155:E155"/>
    <mergeCell ref="A163:B163"/>
    <mergeCell ref="D163:E163"/>
    <mergeCell ref="A164:B164"/>
    <mergeCell ref="D164:E164"/>
    <mergeCell ref="A161:J161"/>
    <mergeCell ref="A162:B162"/>
    <mergeCell ref="D162:E162"/>
    <mergeCell ref="I162:J175"/>
    <mergeCell ref="A165:B165"/>
    <mergeCell ref="D165:E165"/>
    <mergeCell ref="A166:B166"/>
    <mergeCell ref="D166:E166"/>
    <mergeCell ref="A167:B167"/>
    <mergeCell ref="D167:E167"/>
    <mergeCell ref="A168:B168"/>
    <mergeCell ref="D168:E168"/>
    <mergeCell ref="A169:B169"/>
    <mergeCell ref="D169:E169"/>
    <mergeCell ref="A170:B170"/>
    <mergeCell ref="D170:E170"/>
    <mergeCell ref="A171:B171"/>
    <mergeCell ref="D171:E171"/>
    <mergeCell ref="A172:B172"/>
    <mergeCell ref="D172:E172"/>
    <mergeCell ref="A173:B173"/>
    <mergeCell ref="D173:E173"/>
    <mergeCell ref="A174:B174"/>
    <mergeCell ref="D174:E174"/>
    <mergeCell ref="A175:B175"/>
    <mergeCell ref="D175:E175"/>
    <mergeCell ref="A176:J176"/>
    <mergeCell ref="A177:B177"/>
    <mergeCell ref="D177:E177"/>
    <mergeCell ref="I177:J190"/>
    <mergeCell ref="A178:B178"/>
    <mergeCell ref="D178:E178"/>
    <mergeCell ref="A179:B179"/>
    <mergeCell ref="D179:E179"/>
    <mergeCell ref="A180:B180"/>
    <mergeCell ref="D180:E180"/>
    <mergeCell ref="A181:B181"/>
    <mergeCell ref="D181:E181"/>
    <mergeCell ref="A182:B182"/>
    <mergeCell ref="D182:E182"/>
    <mergeCell ref="A183:B183"/>
    <mergeCell ref="D183:E183"/>
    <mergeCell ref="A184:B184"/>
    <mergeCell ref="D184:E184"/>
    <mergeCell ref="A185:B185"/>
    <mergeCell ref="D185:E185"/>
    <mergeCell ref="A186:B186"/>
    <mergeCell ref="D186:E186"/>
    <mergeCell ref="A187:B187"/>
    <mergeCell ref="D187:E187"/>
    <mergeCell ref="A188:B188"/>
    <mergeCell ref="D188:E188"/>
    <mergeCell ref="A189:B189"/>
    <mergeCell ref="D189:E189"/>
    <mergeCell ref="A190:B190"/>
    <mergeCell ref="D190:E190"/>
    <mergeCell ref="A191:J191"/>
    <mergeCell ref="I192:J204"/>
    <mergeCell ref="A192:B192"/>
    <mergeCell ref="D192:E192"/>
    <mergeCell ref="A193:B193"/>
    <mergeCell ref="D193:E193"/>
    <mergeCell ref="A194:B194"/>
    <mergeCell ref="D194:E194"/>
    <mergeCell ref="A195:B195"/>
    <mergeCell ref="D195:E195"/>
    <mergeCell ref="A196:B196"/>
    <mergeCell ref="D196:E196"/>
    <mergeCell ref="A197:B197"/>
    <mergeCell ref="D197:E197"/>
    <mergeCell ref="A198:B198"/>
    <mergeCell ref="D198:E198"/>
    <mergeCell ref="A199:B199"/>
    <mergeCell ref="D199:E199"/>
    <mergeCell ref="A200:B200"/>
    <mergeCell ref="D200:E200"/>
    <mergeCell ref="A201:B201"/>
    <mergeCell ref="D201:E201"/>
    <mergeCell ref="A202:B202"/>
    <mergeCell ref="D202:E202"/>
    <mergeCell ref="A203:B203"/>
    <mergeCell ref="D203:E203"/>
    <mergeCell ref="A204:B204"/>
    <mergeCell ref="D204:E204"/>
    <mergeCell ref="A239:J239"/>
    <mergeCell ref="A215:B215"/>
    <mergeCell ref="D215:E215"/>
    <mergeCell ref="A216:B216"/>
    <mergeCell ref="D216:E216"/>
    <mergeCell ref="D210:E210"/>
    <mergeCell ref="A211:B211"/>
    <mergeCell ref="D211:E211"/>
    <mergeCell ref="A212:B212"/>
    <mergeCell ref="D212:E212"/>
    <mergeCell ref="A213:B213"/>
    <mergeCell ref="D213:E213"/>
    <mergeCell ref="A217:J217"/>
    <mergeCell ref="A218:B218"/>
    <mergeCell ref="D218:E218"/>
    <mergeCell ref="A219:B219"/>
    <mergeCell ref="A232:B232"/>
    <mergeCell ref="D232:E232"/>
    <mergeCell ref="M240:N240"/>
    <mergeCell ref="M244:N244"/>
    <mergeCell ref="A241:B241"/>
    <mergeCell ref="D241:E241"/>
    <mergeCell ref="A242:B242"/>
    <mergeCell ref="D242:E242"/>
    <mergeCell ref="A243:B243"/>
    <mergeCell ref="D243:E243"/>
    <mergeCell ref="A244:B244"/>
    <mergeCell ref="D244:E244"/>
    <mergeCell ref="A31:B31"/>
    <mergeCell ref="C31:J31"/>
    <mergeCell ref="C55:F55"/>
    <mergeCell ref="H55:J55"/>
    <mergeCell ref="C54:F54"/>
    <mergeCell ref="H54:J54"/>
    <mergeCell ref="A42:J42"/>
    <mergeCell ref="A49:J49"/>
    <mergeCell ref="A50:B50"/>
    <mergeCell ref="C50:F50"/>
    <mergeCell ref="H50:J50"/>
    <mergeCell ref="A51:B51"/>
    <mergeCell ref="C51:F51"/>
    <mergeCell ref="H51:J51"/>
    <mergeCell ref="A53:B53"/>
    <mergeCell ref="C53:F53"/>
    <mergeCell ref="H53:J53"/>
    <mergeCell ref="H47:J47"/>
    <mergeCell ref="A45:J45"/>
    <mergeCell ref="A52:J52"/>
  </mergeCells>
  <phoneticPr fontId="0" type="noConversion"/>
  <hyperlinks>
    <hyperlink ref="C31" r:id="rId1"/>
  </hyperlinks>
  <printOptions horizontalCentered="1"/>
  <pageMargins left="0.62992125984251968" right="0.62992125984251968" top="0.78740157480314965" bottom="0.78740157480314965" header="0.19685039370078741" footer="0.19685039370078741"/>
  <pageSetup paperSize="9" scale="85" fitToHeight="0" orientation="portrait" r:id="rId2"/>
  <headerFooter>
    <oddHeader>&amp;C&amp;G</oddHeader>
    <oddFooter>&amp;L&amp;"Times New Roman,Bold"Ref No: &amp;F&amp;C&amp;G&amp;R&amp;P</oddFooter>
  </headerFooter>
  <rowBreaks count="2" manualBreakCount="2">
    <brk id="287" max="16383" man="1"/>
    <brk id="3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
  <sheetViews>
    <sheetView workbookViewId="0">
      <selection activeCell="F10" sqref="F10"/>
    </sheetView>
  </sheetViews>
  <sheetFormatPr defaultRowHeight="14.5" x14ac:dyDescent="0.35"/>
  <cols>
    <col min="1" max="1" width="14.08984375" customWidth="1"/>
  </cols>
  <sheetData>
    <row r="2" spans="1:3" x14ac:dyDescent="0.35">
      <c r="A2" t="s">
        <v>198</v>
      </c>
      <c r="B2" t="s">
        <v>199</v>
      </c>
      <c r="C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8"/>
  <sheetViews>
    <sheetView topLeftCell="A4" workbookViewId="0">
      <selection activeCell="D7" sqref="D7"/>
    </sheetView>
  </sheetViews>
  <sheetFormatPr defaultRowHeight="14.5" x14ac:dyDescent="0.35"/>
  <cols>
    <col min="4" max="5" width="7.453125" customWidth="1"/>
    <col min="6" max="6" width="7.90625" customWidth="1"/>
    <col min="7" max="7" width="4.453125" customWidth="1"/>
    <col min="8" max="9" width="6.453125" customWidth="1"/>
    <col min="10" max="10" width="7.90625" customWidth="1"/>
    <col min="11" max="11" width="7.453125" customWidth="1"/>
    <col min="12" max="12" width="7.54296875" customWidth="1"/>
    <col min="13" max="13" width="7" customWidth="1"/>
  </cols>
  <sheetData>
    <row r="2" spans="2:15" x14ac:dyDescent="0.35">
      <c r="C2" s="11" t="s">
        <v>94</v>
      </c>
      <c r="D2" s="227" t="s">
        <v>126</v>
      </c>
      <c r="E2" s="227"/>
    </row>
    <row r="3" spans="2:15" x14ac:dyDescent="0.35">
      <c r="E3" s="10"/>
      <c r="F3" s="10"/>
      <c r="G3" s="10"/>
      <c r="H3" s="10"/>
      <c r="I3" s="10"/>
      <c r="J3" s="10"/>
    </row>
    <row r="4" spans="2:15" x14ac:dyDescent="0.35">
      <c r="B4" s="11" t="s">
        <v>95</v>
      </c>
      <c r="C4" s="9" t="s">
        <v>76</v>
      </c>
      <c r="D4" s="228" t="s">
        <v>77</v>
      </c>
      <c r="E4" s="228"/>
      <c r="F4" s="228"/>
      <c r="G4" s="12"/>
      <c r="H4" s="228" t="s">
        <v>78</v>
      </c>
      <c r="I4" s="228"/>
      <c r="J4" s="228"/>
      <c r="K4" s="228" t="s">
        <v>79</v>
      </c>
      <c r="L4" s="228"/>
      <c r="M4" s="228"/>
    </row>
    <row r="5" spans="2:15" x14ac:dyDescent="0.35">
      <c r="B5" s="11">
        <v>7</v>
      </c>
      <c r="C5" s="9"/>
      <c r="D5" s="9" t="s">
        <v>80</v>
      </c>
      <c r="E5" s="9" t="s">
        <v>81</v>
      </c>
      <c r="F5" s="9" t="s">
        <v>82</v>
      </c>
      <c r="G5" s="9"/>
      <c r="H5" s="9" t="s">
        <v>80</v>
      </c>
      <c r="I5" s="9" t="s">
        <v>81</v>
      </c>
      <c r="J5" s="9" t="s">
        <v>82</v>
      </c>
      <c r="K5" s="9" t="s">
        <v>80</v>
      </c>
      <c r="L5" s="9" t="s">
        <v>81</v>
      </c>
      <c r="M5" s="9" t="s">
        <v>82</v>
      </c>
    </row>
    <row r="6" spans="2:15" x14ac:dyDescent="0.35">
      <c r="C6" s="8" t="s">
        <v>83</v>
      </c>
      <c r="D6" s="8">
        <v>2.74</v>
      </c>
      <c r="E6" s="8">
        <v>4.2699999999999996</v>
      </c>
      <c r="F6" s="19">
        <f>D6*E6</f>
        <v>11.6998</v>
      </c>
      <c r="G6" s="8" t="s">
        <v>97</v>
      </c>
      <c r="H6" s="8">
        <v>1.3</v>
      </c>
      <c r="I6" s="8">
        <v>2.9</v>
      </c>
      <c r="J6" s="19">
        <f>H6*I6</f>
        <v>3.77</v>
      </c>
      <c r="K6" s="8">
        <v>1.45</v>
      </c>
      <c r="L6" s="8">
        <v>1.62</v>
      </c>
      <c r="M6" s="8">
        <f>K6*L6</f>
        <v>2.3490000000000002</v>
      </c>
    </row>
    <row r="7" spans="2:15" x14ac:dyDescent="0.35">
      <c r="C7" s="8" t="s">
        <v>86</v>
      </c>
      <c r="D7" s="8">
        <v>2.29</v>
      </c>
      <c r="E7" s="8">
        <v>1.5</v>
      </c>
      <c r="F7" s="19">
        <f t="shared" ref="F7:F14" si="0">D7*E7</f>
        <v>3.4350000000000001</v>
      </c>
      <c r="G7" s="8" t="s">
        <v>97</v>
      </c>
      <c r="H7" s="8">
        <v>2.54</v>
      </c>
      <c r="I7" s="8">
        <v>1</v>
      </c>
      <c r="J7" s="8">
        <f t="shared" ref="J7:J14" si="1">H7*I7</f>
        <v>2.54</v>
      </c>
      <c r="K7" s="8"/>
      <c r="L7" s="8"/>
      <c r="M7" s="8">
        <f t="shared" ref="M7:M14" si="2">K7*L7</f>
        <v>0</v>
      </c>
    </row>
    <row r="8" spans="2:15" x14ac:dyDescent="0.35">
      <c r="C8" s="8" t="s">
        <v>84</v>
      </c>
      <c r="D8" s="8">
        <v>2.9</v>
      </c>
      <c r="E8" s="8">
        <v>2.27</v>
      </c>
      <c r="F8" s="19">
        <f t="shared" si="0"/>
        <v>6.5830000000000002</v>
      </c>
      <c r="G8" s="8" t="s">
        <v>97</v>
      </c>
      <c r="H8" s="8"/>
      <c r="I8" s="8"/>
      <c r="J8" s="8">
        <f t="shared" si="1"/>
        <v>0</v>
      </c>
      <c r="K8" s="8"/>
      <c r="L8" s="8"/>
      <c r="M8" s="8">
        <f t="shared" si="2"/>
        <v>0</v>
      </c>
    </row>
    <row r="9" spans="2:15" x14ac:dyDescent="0.35">
      <c r="C9" s="8" t="s">
        <v>85</v>
      </c>
      <c r="D9" s="8"/>
      <c r="E9" s="8"/>
      <c r="F9" s="19">
        <f t="shared" si="0"/>
        <v>0</v>
      </c>
      <c r="G9" s="8" t="s">
        <v>97</v>
      </c>
      <c r="H9" s="8"/>
      <c r="I9" s="8"/>
      <c r="J9" s="8">
        <f t="shared" si="1"/>
        <v>0</v>
      </c>
      <c r="K9" s="8"/>
      <c r="L9" s="8"/>
      <c r="M9" s="8">
        <f t="shared" si="2"/>
        <v>0</v>
      </c>
    </row>
    <row r="10" spans="2:15" x14ac:dyDescent="0.35">
      <c r="C10" s="8" t="s">
        <v>91</v>
      </c>
      <c r="D10" s="8">
        <v>1.91</v>
      </c>
      <c r="E10" s="8">
        <v>1.22</v>
      </c>
      <c r="F10" s="19">
        <f t="shared" si="0"/>
        <v>2.3302</v>
      </c>
      <c r="G10" s="8" t="s">
        <v>98</v>
      </c>
      <c r="H10" s="8"/>
      <c r="I10" s="8"/>
      <c r="J10" s="8">
        <f t="shared" si="1"/>
        <v>0</v>
      </c>
      <c r="K10" s="8"/>
      <c r="L10" s="8"/>
      <c r="M10" s="8">
        <f t="shared" si="2"/>
        <v>0</v>
      </c>
    </row>
    <row r="11" spans="2:15" x14ac:dyDescent="0.35">
      <c r="C11" s="8" t="s">
        <v>92</v>
      </c>
      <c r="D11" s="8">
        <v>1.22</v>
      </c>
      <c r="E11" s="8">
        <v>1.9</v>
      </c>
      <c r="F11" s="19">
        <f t="shared" si="0"/>
        <v>2.3180000000000001</v>
      </c>
      <c r="G11" s="8" t="s">
        <v>98</v>
      </c>
      <c r="H11" s="8"/>
      <c r="I11" s="8"/>
      <c r="J11" s="8">
        <f t="shared" si="1"/>
        <v>0</v>
      </c>
      <c r="K11" s="8"/>
      <c r="L11" s="8"/>
      <c r="M11" s="8">
        <f t="shared" si="2"/>
        <v>0</v>
      </c>
    </row>
    <row r="12" spans="2:15" x14ac:dyDescent="0.35">
      <c r="C12" s="8" t="s">
        <v>87</v>
      </c>
      <c r="D12" s="8">
        <v>1.22</v>
      </c>
      <c r="E12" s="8">
        <v>2.2999999999999998</v>
      </c>
      <c r="F12" s="19">
        <f t="shared" si="0"/>
        <v>2.8059999999999996</v>
      </c>
      <c r="G12" s="8"/>
      <c r="H12" s="8"/>
      <c r="I12" s="8"/>
      <c r="J12" s="8">
        <f t="shared" si="1"/>
        <v>0</v>
      </c>
      <c r="K12" s="8"/>
      <c r="L12" s="8"/>
      <c r="M12" s="8">
        <f t="shared" si="2"/>
        <v>0</v>
      </c>
    </row>
    <row r="13" spans="2:15" x14ac:dyDescent="0.35">
      <c r="C13" s="8" t="s">
        <v>88</v>
      </c>
      <c r="D13" s="8">
        <v>1.22</v>
      </c>
      <c r="E13" s="8">
        <v>0.9</v>
      </c>
      <c r="F13" s="19">
        <f t="shared" si="0"/>
        <v>1.0980000000000001</v>
      </c>
      <c r="G13" s="8"/>
      <c r="H13" s="8"/>
      <c r="I13" s="8"/>
      <c r="J13" s="8">
        <f t="shared" si="1"/>
        <v>0</v>
      </c>
      <c r="K13" s="8"/>
      <c r="L13" s="8"/>
      <c r="M13" s="8">
        <f t="shared" si="2"/>
        <v>0</v>
      </c>
    </row>
    <row r="14" spans="2:15" x14ac:dyDescent="0.35">
      <c r="C14" s="8" t="s">
        <v>89</v>
      </c>
      <c r="D14" s="8"/>
      <c r="E14" s="8"/>
      <c r="F14" s="19">
        <f t="shared" si="0"/>
        <v>0</v>
      </c>
      <c r="G14" s="8"/>
      <c r="H14" s="8"/>
      <c r="I14" s="8"/>
      <c r="J14" s="8">
        <f t="shared" si="1"/>
        <v>0</v>
      </c>
      <c r="K14" s="8"/>
      <c r="L14" s="8"/>
      <c r="M14" s="8">
        <f t="shared" si="2"/>
        <v>0</v>
      </c>
    </row>
    <row r="15" spans="2:15" x14ac:dyDescent="0.35">
      <c r="C15" s="8" t="s">
        <v>93</v>
      </c>
      <c r="D15" s="8"/>
      <c r="E15" s="19">
        <f>F15*10.764</f>
        <v>325.82628</v>
      </c>
      <c r="F15" s="19">
        <f>SUM(F6:F14)</f>
        <v>30.270000000000003</v>
      </c>
      <c r="G15" s="19"/>
      <c r="H15" s="19"/>
      <c r="I15" s="19">
        <f>J15*10.764</f>
        <v>67.920839999999998</v>
      </c>
      <c r="J15" s="19">
        <f>SUM(J6:J14)</f>
        <v>6.3100000000000005</v>
      </c>
      <c r="K15" s="19"/>
      <c r="L15" s="19">
        <f>M15*10.764</f>
        <v>25.284635999999999</v>
      </c>
      <c r="M15" s="19">
        <f>SUM(M6:M14)</f>
        <v>2.3490000000000002</v>
      </c>
      <c r="O15" s="20">
        <f>E15+I15</f>
        <v>393.74712</v>
      </c>
    </row>
    <row r="17" spans="2:15" x14ac:dyDescent="0.35">
      <c r="C17" s="11" t="s">
        <v>94</v>
      </c>
      <c r="D17" s="227"/>
      <c r="E17" s="227"/>
    </row>
    <row r="18" spans="2:15" x14ac:dyDescent="0.35">
      <c r="E18" s="10"/>
      <c r="F18" s="10"/>
      <c r="G18" s="10"/>
      <c r="H18" s="10"/>
      <c r="I18" s="10"/>
      <c r="J18" s="10"/>
    </row>
    <row r="19" spans="2:15" x14ac:dyDescent="0.35">
      <c r="B19" s="11" t="s">
        <v>95</v>
      </c>
      <c r="C19" s="9" t="s">
        <v>76</v>
      </c>
      <c r="D19" s="228" t="s">
        <v>77</v>
      </c>
      <c r="E19" s="228"/>
      <c r="F19" s="228"/>
      <c r="G19" s="12"/>
      <c r="H19" s="228" t="s">
        <v>78</v>
      </c>
      <c r="I19" s="228"/>
      <c r="J19" s="228"/>
      <c r="K19" s="228" t="s">
        <v>79</v>
      </c>
      <c r="L19" s="228"/>
      <c r="M19" s="228"/>
    </row>
    <row r="20" spans="2:15" x14ac:dyDescent="0.35">
      <c r="B20" s="11"/>
      <c r="C20" s="9"/>
      <c r="D20" s="9" t="s">
        <v>80</v>
      </c>
      <c r="E20" s="9" t="s">
        <v>81</v>
      </c>
      <c r="F20" s="9" t="s">
        <v>82</v>
      </c>
      <c r="G20" s="9"/>
      <c r="H20" s="9" t="s">
        <v>80</v>
      </c>
      <c r="I20" s="9" t="s">
        <v>81</v>
      </c>
      <c r="J20" s="9" t="s">
        <v>82</v>
      </c>
      <c r="K20" s="9" t="s">
        <v>80</v>
      </c>
      <c r="L20" s="9" t="s">
        <v>81</v>
      </c>
      <c r="M20" s="9" t="s">
        <v>82</v>
      </c>
    </row>
    <row r="21" spans="2:15" x14ac:dyDescent="0.35">
      <c r="C21" s="8" t="s">
        <v>83</v>
      </c>
      <c r="D21" s="8"/>
      <c r="E21" s="8"/>
      <c r="F21" s="19">
        <f>D21*E21</f>
        <v>0</v>
      </c>
      <c r="G21" s="8" t="s">
        <v>97</v>
      </c>
      <c r="H21" s="8"/>
      <c r="I21" s="8"/>
      <c r="J21" s="19">
        <f>H21*I21</f>
        <v>0</v>
      </c>
      <c r="K21" s="8"/>
      <c r="L21" s="8"/>
      <c r="M21" s="8">
        <f>K21*L21</f>
        <v>0</v>
      </c>
    </row>
    <row r="22" spans="2:15" x14ac:dyDescent="0.35">
      <c r="C22" s="8" t="s">
        <v>86</v>
      </c>
      <c r="D22" s="8"/>
      <c r="E22" s="8"/>
      <c r="F22" s="19">
        <f t="shared" ref="F22:F29" si="3">D22*E22</f>
        <v>0</v>
      </c>
      <c r="G22" s="8" t="s">
        <v>97</v>
      </c>
      <c r="H22" s="8"/>
      <c r="I22" s="8"/>
      <c r="J22" s="8">
        <f t="shared" ref="J22:J29" si="4">H22*I22</f>
        <v>0</v>
      </c>
      <c r="K22" s="8"/>
      <c r="L22" s="8"/>
      <c r="M22" s="8">
        <f t="shared" ref="M22:M29" si="5">K22*L22</f>
        <v>0</v>
      </c>
    </row>
    <row r="23" spans="2:15" x14ac:dyDescent="0.35">
      <c r="C23" s="8" t="s">
        <v>84</v>
      </c>
      <c r="D23" s="8"/>
      <c r="E23" s="8"/>
      <c r="F23" s="19">
        <f t="shared" si="3"/>
        <v>0</v>
      </c>
      <c r="G23" s="8" t="s">
        <v>97</v>
      </c>
      <c r="H23" s="8"/>
      <c r="I23" s="8"/>
      <c r="J23" s="8">
        <f t="shared" si="4"/>
        <v>0</v>
      </c>
      <c r="K23" s="8"/>
      <c r="L23" s="8"/>
      <c r="M23" s="8">
        <f t="shared" si="5"/>
        <v>0</v>
      </c>
    </row>
    <row r="24" spans="2:15" x14ac:dyDescent="0.35">
      <c r="C24" s="8" t="s">
        <v>85</v>
      </c>
      <c r="D24" s="8"/>
      <c r="E24" s="8"/>
      <c r="F24" s="19">
        <f t="shared" si="3"/>
        <v>0</v>
      </c>
      <c r="G24" s="8" t="s">
        <v>97</v>
      </c>
      <c r="H24" s="8"/>
      <c r="I24" s="8"/>
      <c r="J24" s="8">
        <f t="shared" si="4"/>
        <v>0</v>
      </c>
      <c r="K24" s="8"/>
      <c r="L24" s="8"/>
      <c r="M24" s="8">
        <f t="shared" si="5"/>
        <v>0</v>
      </c>
    </row>
    <row r="25" spans="2:15" x14ac:dyDescent="0.35">
      <c r="C25" s="8" t="s">
        <v>91</v>
      </c>
      <c r="D25" s="8"/>
      <c r="E25" s="8"/>
      <c r="F25" s="19">
        <f t="shared" si="3"/>
        <v>0</v>
      </c>
      <c r="G25" s="8" t="s">
        <v>98</v>
      </c>
      <c r="H25" s="8"/>
      <c r="I25" s="8"/>
      <c r="J25" s="8">
        <f t="shared" si="4"/>
        <v>0</v>
      </c>
      <c r="K25" s="8"/>
      <c r="L25" s="8"/>
      <c r="M25" s="8">
        <f t="shared" si="5"/>
        <v>0</v>
      </c>
    </row>
    <row r="26" spans="2:15" x14ac:dyDescent="0.35">
      <c r="C26" s="8" t="s">
        <v>92</v>
      </c>
      <c r="D26" s="8"/>
      <c r="E26" s="8"/>
      <c r="F26" s="19">
        <f t="shared" si="3"/>
        <v>0</v>
      </c>
      <c r="G26" s="8" t="s">
        <v>98</v>
      </c>
      <c r="H26" s="8"/>
      <c r="I26" s="8"/>
      <c r="J26" s="8">
        <f t="shared" si="4"/>
        <v>0</v>
      </c>
      <c r="K26" s="8"/>
      <c r="L26" s="8"/>
      <c r="M26" s="8">
        <f t="shared" si="5"/>
        <v>0</v>
      </c>
    </row>
    <row r="27" spans="2:15" x14ac:dyDescent="0.35">
      <c r="C27" s="8" t="s">
        <v>87</v>
      </c>
      <c r="D27" s="8"/>
      <c r="E27" s="8"/>
      <c r="F27" s="19">
        <f t="shared" si="3"/>
        <v>0</v>
      </c>
      <c r="G27" s="8"/>
      <c r="H27" s="8"/>
      <c r="I27" s="8"/>
      <c r="J27" s="8">
        <f t="shared" si="4"/>
        <v>0</v>
      </c>
      <c r="K27" s="8"/>
      <c r="L27" s="8"/>
      <c r="M27" s="8">
        <f t="shared" si="5"/>
        <v>0</v>
      </c>
    </row>
    <row r="28" spans="2:15" x14ac:dyDescent="0.35">
      <c r="C28" s="8" t="s">
        <v>88</v>
      </c>
      <c r="D28" s="8"/>
      <c r="E28" s="8"/>
      <c r="F28" s="19">
        <f t="shared" si="3"/>
        <v>0</v>
      </c>
      <c r="G28" s="8"/>
      <c r="H28" s="8"/>
      <c r="I28" s="8"/>
      <c r="J28" s="8">
        <f t="shared" si="4"/>
        <v>0</v>
      </c>
      <c r="K28" s="8"/>
      <c r="L28" s="8"/>
      <c r="M28" s="8">
        <f t="shared" si="5"/>
        <v>0</v>
      </c>
    </row>
    <row r="29" spans="2:15" x14ac:dyDescent="0.35">
      <c r="C29" s="8" t="s">
        <v>89</v>
      </c>
      <c r="D29" s="8"/>
      <c r="E29" s="8"/>
      <c r="F29" s="19">
        <f t="shared" si="3"/>
        <v>0</v>
      </c>
      <c r="G29" s="8"/>
      <c r="H29" s="8"/>
      <c r="I29" s="8"/>
      <c r="J29" s="8">
        <f t="shared" si="4"/>
        <v>0</v>
      </c>
      <c r="K29" s="8"/>
      <c r="L29" s="8"/>
      <c r="M29" s="8">
        <f t="shared" si="5"/>
        <v>0</v>
      </c>
    </row>
    <row r="30" spans="2:15" x14ac:dyDescent="0.35">
      <c r="C30" s="8" t="s">
        <v>90</v>
      </c>
      <c r="D30" s="8"/>
      <c r="E30" s="8"/>
      <c r="F30" s="19">
        <f>D30*E30</f>
        <v>0</v>
      </c>
      <c r="G30" s="8"/>
      <c r="H30" s="8"/>
      <c r="I30" s="8"/>
      <c r="J30" s="8">
        <f>H30*I30</f>
        <v>0</v>
      </c>
      <c r="K30" s="8"/>
      <c r="L30" s="8"/>
      <c r="M30" s="8">
        <f>K30*L30</f>
        <v>0</v>
      </c>
    </row>
    <row r="31" spans="2:15" x14ac:dyDescent="0.35">
      <c r="C31" s="8" t="s">
        <v>93</v>
      </c>
      <c r="D31" s="8"/>
      <c r="E31" s="19">
        <f>F31*10.764</f>
        <v>0</v>
      </c>
      <c r="F31" s="19">
        <f>SUM(F21:F30)</f>
        <v>0</v>
      </c>
      <c r="G31" s="19"/>
      <c r="H31" s="19"/>
      <c r="I31" s="19">
        <f>J31*10.764</f>
        <v>0</v>
      </c>
      <c r="J31" s="19">
        <f>SUM(J21:J30)</f>
        <v>0</v>
      </c>
      <c r="K31" s="19"/>
      <c r="L31" s="19">
        <f>M31*10.764</f>
        <v>0</v>
      </c>
      <c r="M31" s="19">
        <f>SUM(M21:M30)</f>
        <v>0</v>
      </c>
      <c r="O31" s="20">
        <f>E31+I31</f>
        <v>0</v>
      </c>
    </row>
    <row r="33" spans="2:15" x14ac:dyDescent="0.35">
      <c r="C33" s="11" t="s">
        <v>94</v>
      </c>
      <c r="D33" s="227"/>
      <c r="E33" s="227"/>
    </row>
    <row r="34" spans="2:15" x14ac:dyDescent="0.35">
      <c r="E34" s="10"/>
      <c r="F34" s="10"/>
      <c r="G34" s="10"/>
      <c r="H34" s="10"/>
      <c r="I34" s="10"/>
      <c r="J34" s="10"/>
    </row>
    <row r="35" spans="2:15" x14ac:dyDescent="0.35">
      <c r="B35" s="11" t="s">
        <v>95</v>
      </c>
      <c r="C35" s="9" t="s">
        <v>76</v>
      </c>
      <c r="D35" s="228" t="s">
        <v>77</v>
      </c>
      <c r="E35" s="228"/>
      <c r="F35" s="228"/>
      <c r="G35" s="12"/>
      <c r="H35" s="228" t="s">
        <v>78</v>
      </c>
      <c r="I35" s="228"/>
      <c r="J35" s="228"/>
      <c r="K35" s="228" t="s">
        <v>79</v>
      </c>
      <c r="L35" s="228"/>
      <c r="M35" s="228"/>
    </row>
    <row r="36" spans="2:15" x14ac:dyDescent="0.35">
      <c r="B36" s="11"/>
      <c r="C36" s="9"/>
      <c r="D36" s="9" t="s">
        <v>80</v>
      </c>
      <c r="E36" s="9" t="s">
        <v>81</v>
      </c>
      <c r="F36" s="9" t="s">
        <v>82</v>
      </c>
      <c r="G36" s="9"/>
      <c r="H36" s="9" t="s">
        <v>80</v>
      </c>
      <c r="I36" s="9" t="s">
        <v>81</v>
      </c>
      <c r="J36" s="9" t="s">
        <v>82</v>
      </c>
      <c r="K36" s="9" t="s">
        <v>80</v>
      </c>
      <c r="L36" s="9" t="s">
        <v>81</v>
      </c>
      <c r="M36" s="9" t="s">
        <v>82</v>
      </c>
    </row>
    <row r="37" spans="2:15" x14ac:dyDescent="0.35">
      <c r="C37" s="8" t="s">
        <v>83</v>
      </c>
      <c r="D37" s="8"/>
      <c r="E37" s="8"/>
      <c r="F37" s="19">
        <f>D37*E37</f>
        <v>0</v>
      </c>
      <c r="G37" s="8" t="s">
        <v>97</v>
      </c>
      <c r="H37" s="8"/>
      <c r="I37" s="8"/>
      <c r="J37" s="19">
        <f>H37*I37</f>
        <v>0</v>
      </c>
      <c r="K37" s="8"/>
      <c r="L37" s="8"/>
      <c r="M37" s="8">
        <f>K37*L37</f>
        <v>0</v>
      </c>
    </row>
    <row r="38" spans="2:15" x14ac:dyDescent="0.35">
      <c r="C38" s="8" t="s">
        <v>86</v>
      </c>
      <c r="D38" s="8"/>
      <c r="E38" s="8"/>
      <c r="F38" s="19">
        <f t="shared" ref="F38:F46" si="6">D38*E38</f>
        <v>0</v>
      </c>
      <c r="G38" s="8" t="s">
        <v>97</v>
      </c>
      <c r="H38" s="8"/>
      <c r="I38" s="8"/>
      <c r="J38" s="8">
        <f t="shared" ref="J38:J46" si="7">H38*I38</f>
        <v>0</v>
      </c>
      <c r="K38" s="8"/>
      <c r="L38" s="8"/>
      <c r="M38" s="8">
        <f t="shared" ref="M38:M46" si="8">K38*L38</f>
        <v>0</v>
      </c>
    </row>
    <row r="39" spans="2:15" x14ac:dyDescent="0.35">
      <c r="C39" s="8" t="s">
        <v>84</v>
      </c>
      <c r="D39" s="8"/>
      <c r="E39" s="8"/>
      <c r="F39" s="19">
        <f t="shared" si="6"/>
        <v>0</v>
      </c>
      <c r="G39" s="8" t="s">
        <v>97</v>
      </c>
      <c r="H39" s="8"/>
      <c r="I39" s="8"/>
      <c r="J39" s="8">
        <f t="shared" si="7"/>
        <v>0</v>
      </c>
      <c r="K39" s="8"/>
      <c r="L39" s="8"/>
      <c r="M39" s="8">
        <f t="shared" si="8"/>
        <v>0</v>
      </c>
    </row>
    <row r="40" spans="2:15" x14ac:dyDescent="0.35">
      <c r="C40" s="8" t="s">
        <v>85</v>
      </c>
      <c r="D40" s="8"/>
      <c r="E40" s="8"/>
      <c r="F40" s="19">
        <f t="shared" si="6"/>
        <v>0</v>
      </c>
      <c r="G40" s="8" t="s">
        <v>97</v>
      </c>
      <c r="H40" s="8"/>
      <c r="I40" s="8"/>
      <c r="J40" s="8">
        <f t="shared" si="7"/>
        <v>0</v>
      </c>
      <c r="K40" s="8"/>
      <c r="L40" s="8"/>
      <c r="M40" s="8">
        <f t="shared" si="8"/>
        <v>0</v>
      </c>
    </row>
    <row r="41" spans="2:15" x14ac:dyDescent="0.35">
      <c r="C41" s="8" t="s">
        <v>91</v>
      </c>
      <c r="D41" s="8"/>
      <c r="E41" s="8"/>
      <c r="F41" s="19">
        <f t="shared" si="6"/>
        <v>0</v>
      </c>
      <c r="G41" s="8" t="s">
        <v>98</v>
      </c>
      <c r="H41" s="8"/>
      <c r="I41" s="8"/>
      <c r="J41" s="8">
        <f t="shared" si="7"/>
        <v>0</v>
      </c>
      <c r="K41" s="8"/>
      <c r="L41" s="8"/>
      <c r="M41" s="8">
        <f t="shared" si="8"/>
        <v>0</v>
      </c>
    </row>
    <row r="42" spans="2:15" x14ac:dyDescent="0.35">
      <c r="C42" s="8" t="s">
        <v>92</v>
      </c>
      <c r="D42" s="8"/>
      <c r="E42" s="8"/>
      <c r="F42" s="19">
        <f t="shared" si="6"/>
        <v>0</v>
      </c>
      <c r="G42" s="8" t="s">
        <v>98</v>
      </c>
      <c r="H42" s="8"/>
      <c r="I42" s="8"/>
      <c r="J42" s="8">
        <f t="shared" si="7"/>
        <v>0</v>
      </c>
      <c r="K42" s="8"/>
      <c r="L42" s="8"/>
      <c r="M42" s="8">
        <f t="shared" si="8"/>
        <v>0</v>
      </c>
    </row>
    <row r="43" spans="2:15" x14ac:dyDescent="0.35">
      <c r="C43" s="8" t="s">
        <v>87</v>
      </c>
      <c r="D43" s="8"/>
      <c r="E43" s="8"/>
      <c r="F43" s="19">
        <f t="shared" si="6"/>
        <v>0</v>
      </c>
      <c r="G43" s="8"/>
      <c r="H43" s="8"/>
      <c r="I43" s="8"/>
      <c r="J43" s="8">
        <f t="shared" si="7"/>
        <v>0</v>
      </c>
      <c r="K43" s="8"/>
      <c r="L43" s="8"/>
      <c r="M43" s="8">
        <f t="shared" si="8"/>
        <v>0</v>
      </c>
    </row>
    <row r="44" spans="2:15" x14ac:dyDescent="0.35">
      <c r="C44" s="8" t="s">
        <v>88</v>
      </c>
      <c r="D44" s="8"/>
      <c r="E44" s="8"/>
      <c r="F44" s="19">
        <f t="shared" si="6"/>
        <v>0</v>
      </c>
      <c r="G44" s="8"/>
      <c r="H44" s="8"/>
      <c r="I44" s="8"/>
      <c r="J44" s="8">
        <f t="shared" si="7"/>
        <v>0</v>
      </c>
      <c r="K44" s="8"/>
      <c r="L44" s="8"/>
      <c r="M44" s="8">
        <f t="shared" si="8"/>
        <v>0</v>
      </c>
    </row>
    <row r="45" spans="2:15" x14ac:dyDescent="0.35">
      <c r="C45" s="8" t="s">
        <v>89</v>
      </c>
      <c r="D45" s="8"/>
      <c r="E45" s="8"/>
      <c r="F45" s="19">
        <f t="shared" si="6"/>
        <v>0</v>
      </c>
      <c r="G45" s="8"/>
      <c r="H45" s="8"/>
      <c r="I45" s="8"/>
      <c r="J45" s="8">
        <f t="shared" si="7"/>
        <v>0</v>
      </c>
      <c r="K45" s="8"/>
      <c r="L45" s="8"/>
      <c r="M45" s="8">
        <f t="shared" si="8"/>
        <v>0</v>
      </c>
    </row>
    <row r="46" spans="2:15" x14ac:dyDescent="0.35">
      <c r="C46" s="8" t="s">
        <v>90</v>
      </c>
      <c r="D46" s="8"/>
      <c r="E46" s="8"/>
      <c r="F46" s="19">
        <f t="shared" si="6"/>
        <v>0</v>
      </c>
      <c r="G46" s="8"/>
      <c r="H46" s="8"/>
      <c r="I46" s="8"/>
      <c r="J46" s="8">
        <f t="shared" si="7"/>
        <v>0</v>
      </c>
      <c r="K46" s="8"/>
      <c r="L46" s="8"/>
      <c r="M46" s="8">
        <f t="shared" si="8"/>
        <v>0</v>
      </c>
    </row>
    <row r="47" spans="2:15" x14ac:dyDescent="0.35">
      <c r="C47" s="8" t="s">
        <v>90</v>
      </c>
      <c r="D47" s="8"/>
      <c r="E47" s="8"/>
      <c r="F47" s="19">
        <f>D47*E47</f>
        <v>0</v>
      </c>
      <c r="G47" s="8"/>
      <c r="H47" s="8"/>
      <c r="I47" s="8"/>
      <c r="J47" s="8">
        <f>H47*I47</f>
        <v>0</v>
      </c>
      <c r="K47" s="8"/>
      <c r="L47" s="8"/>
      <c r="M47" s="8">
        <f>K47*L47</f>
        <v>0</v>
      </c>
    </row>
    <row r="48" spans="2:15" x14ac:dyDescent="0.35">
      <c r="C48" s="8" t="s">
        <v>93</v>
      </c>
      <c r="D48" s="8"/>
      <c r="E48" s="19">
        <f>F48*10.764</f>
        <v>0</v>
      </c>
      <c r="F48" s="19">
        <f>SUM(F37:F47)</f>
        <v>0</v>
      </c>
      <c r="G48" s="19"/>
      <c r="H48" s="19"/>
      <c r="I48" s="19">
        <f>J48*10.764</f>
        <v>0</v>
      </c>
      <c r="J48" s="19">
        <f>SUM(J37:J46)</f>
        <v>0</v>
      </c>
      <c r="K48" s="19"/>
      <c r="L48" s="19">
        <f>M48*10.764</f>
        <v>0</v>
      </c>
      <c r="M48" s="19">
        <f>SUM(M37:M46)</f>
        <v>0</v>
      </c>
      <c r="O48" s="20">
        <f>E48+I48</f>
        <v>0</v>
      </c>
    </row>
  </sheetData>
  <mergeCells count="12">
    <mergeCell ref="H19:J19"/>
    <mergeCell ref="K19:M19"/>
    <mergeCell ref="D33:E33"/>
    <mergeCell ref="D35:F35"/>
    <mergeCell ref="H35:J35"/>
    <mergeCell ref="K35:M35"/>
    <mergeCell ref="D19:F19"/>
    <mergeCell ref="D2:E2"/>
    <mergeCell ref="D4:F4"/>
    <mergeCell ref="H4:J4"/>
    <mergeCell ref="K4:M4"/>
    <mergeCell ref="D17:E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8" sqref="C8"/>
    </sheetView>
  </sheetViews>
  <sheetFormatPr defaultColWidth="9.08984375" defaultRowHeight="14" x14ac:dyDescent="0.3"/>
  <cols>
    <col min="1" max="1" width="20.54296875" style="22" customWidth="1"/>
    <col min="2" max="2" width="11.54296875" style="22" customWidth="1"/>
    <col min="3" max="4" width="9.08984375" style="22"/>
    <col min="5" max="5" width="10.08984375" style="22" customWidth="1"/>
    <col min="6" max="6" width="10.54296875" style="22" customWidth="1"/>
    <col min="7" max="7" width="9.08984375" style="22"/>
    <col min="8" max="8" width="10.453125" style="22" customWidth="1"/>
    <col min="9" max="9" width="15.453125" style="22" customWidth="1"/>
    <col min="10" max="16384" width="9.08984375" style="22"/>
  </cols>
  <sheetData>
    <row r="2" spans="1:10" x14ac:dyDescent="0.3">
      <c r="A2" s="21" t="s">
        <v>165</v>
      </c>
      <c r="B2" s="21" t="s">
        <v>166</v>
      </c>
      <c r="C2" s="21" t="s">
        <v>134</v>
      </c>
      <c r="D2" s="230" t="s">
        <v>167</v>
      </c>
      <c r="E2" s="230"/>
    </row>
    <row r="3" spans="1:10" x14ac:dyDescent="0.3">
      <c r="A3" s="23">
        <v>0</v>
      </c>
      <c r="B3" s="23">
        <v>0</v>
      </c>
      <c r="C3" s="23">
        <v>1</v>
      </c>
      <c r="D3" s="231">
        <v>7</v>
      </c>
      <c r="E3" s="231"/>
    </row>
    <row r="6" spans="1:10" x14ac:dyDescent="0.3">
      <c r="A6" s="22" t="s">
        <v>109</v>
      </c>
      <c r="B6" s="24">
        <v>10</v>
      </c>
      <c r="C6" s="25">
        <v>10</v>
      </c>
      <c r="D6" s="26">
        <f>((100/B6)*C6)/100</f>
        <v>1</v>
      </c>
    </row>
    <row r="7" spans="1:10" x14ac:dyDescent="0.3">
      <c r="A7" s="22" t="s">
        <v>110</v>
      </c>
      <c r="B7" s="24">
        <f>A3+B3+C3+D3</f>
        <v>8</v>
      </c>
      <c r="C7" s="25">
        <v>1</v>
      </c>
      <c r="D7" s="26">
        <f t="shared" ref="D7:D12" si="0">((100/B7)*C7)/100</f>
        <v>0.125</v>
      </c>
      <c r="F7" s="232" t="s">
        <v>168</v>
      </c>
      <c r="G7" s="232"/>
      <c r="H7" s="27" t="s">
        <v>169</v>
      </c>
      <c r="J7" s="28"/>
    </row>
    <row r="8" spans="1:10" x14ac:dyDescent="0.3">
      <c r="A8" s="22" t="s">
        <v>115</v>
      </c>
      <c r="B8" s="24">
        <f>C36</f>
        <v>7</v>
      </c>
      <c r="C8" s="25">
        <v>0</v>
      </c>
      <c r="D8" s="26">
        <f t="shared" si="0"/>
        <v>0</v>
      </c>
      <c r="F8" s="229" t="s">
        <v>170</v>
      </c>
      <c r="G8" s="229"/>
      <c r="H8" s="24" t="s">
        <v>171</v>
      </c>
    </row>
    <row r="9" spans="1:10" x14ac:dyDescent="0.3">
      <c r="A9" s="22" t="s">
        <v>117</v>
      </c>
      <c r="B9" s="24">
        <f>C36</f>
        <v>7</v>
      </c>
      <c r="C9" s="25">
        <v>0</v>
      </c>
      <c r="D9" s="26">
        <f t="shared" si="0"/>
        <v>0</v>
      </c>
      <c r="F9" s="229" t="s">
        <v>172</v>
      </c>
      <c r="G9" s="229"/>
      <c r="H9" s="24" t="s">
        <v>173</v>
      </c>
    </row>
    <row r="10" spans="1:10" x14ac:dyDescent="0.3">
      <c r="A10" s="22" t="s">
        <v>44</v>
      </c>
      <c r="B10" s="24">
        <f>C36</f>
        <v>7</v>
      </c>
      <c r="C10" s="25">
        <v>0</v>
      </c>
      <c r="D10" s="26">
        <f t="shared" si="0"/>
        <v>0</v>
      </c>
      <c r="F10" s="229" t="s">
        <v>174</v>
      </c>
      <c r="G10" s="229"/>
      <c r="H10" s="24" t="s">
        <v>175</v>
      </c>
    </row>
    <row r="11" spans="1:10" x14ac:dyDescent="0.3">
      <c r="A11" s="29" t="s">
        <v>113</v>
      </c>
      <c r="B11" s="24">
        <f>C36</f>
        <v>7</v>
      </c>
      <c r="C11" s="25">
        <v>0</v>
      </c>
      <c r="D11" s="26">
        <f t="shared" si="0"/>
        <v>0</v>
      </c>
      <c r="F11" s="229" t="s">
        <v>176</v>
      </c>
      <c r="G11" s="229"/>
      <c r="H11" s="24" t="s">
        <v>177</v>
      </c>
    </row>
    <row r="12" spans="1:10" x14ac:dyDescent="0.3">
      <c r="A12" s="22" t="s">
        <v>45</v>
      </c>
      <c r="B12" s="24">
        <f>C36</f>
        <v>7</v>
      </c>
      <c r="C12" s="25">
        <v>0</v>
      </c>
      <c r="D12" s="26">
        <f t="shared" si="0"/>
        <v>0</v>
      </c>
      <c r="F12" s="229" t="s">
        <v>178</v>
      </c>
      <c r="G12" s="229"/>
      <c r="H12" s="24" t="s">
        <v>179</v>
      </c>
    </row>
    <row r="13" spans="1:10" x14ac:dyDescent="0.3">
      <c r="F13" s="229" t="s">
        <v>180</v>
      </c>
      <c r="G13" s="229"/>
      <c r="H13" s="24" t="s">
        <v>181</v>
      </c>
    </row>
    <row r="14" spans="1:10" x14ac:dyDescent="0.3">
      <c r="A14" s="21" t="s">
        <v>119</v>
      </c>
      <c r="B14" s="30">
        <f>(B39+B40+B41+B42+B43+B44+B45)/100</f>
        <v>0.15</v>
      </c>
      <c r="C14" s="30">
        <f>(C39+C40+C41+C42+C43+C44+C45)/100</f>
        <v>0.33750000000000002</v>
      </c>
      <c r="F14" s="229" t="s">
        <v>182</v>
      </c>
      <c r="G14" s="229"/>
      <c r="H14" s="24" t="s">
        <v>173</v>
      </c>
    </row>
    <row r="15" spans="1:10" x14ac:dyDescent="0.3">
      <c r="F15" s="229" t="s">
        <v>183</v>
      </c>
      <c r="G15" s="229"/>
      <c r="H15" s="24" t="s">
        <v>184</v>
      </c>
    </row>
    <row r="16" spans="1:10" x14ac:dyDescent="0.3">
      <c r="A16" s="22" t="s">
        <v>185</v>
      </c>
      <c r="B16" s="31">
        <v>0.01</v>
      </c>
      <c r="C16" s="31">
        <v>0.02</v>
      </c>
      <c r="F16" s="229" t="s">
        <v>186</v>
      </c>
      <c r="G16" s="229"/>
      <c r="H16" s="24" t="s">
        <v>187</v>
      </c>
    </row>
    <row r="17" spans="1:8" x14ac:dyDescent="0.3">
      <c r="A17" s="22" t="s">
        <v>188</v>
      </c>
      <c r="B17" s="31">
        <v>0.01</v>
      </c>
      <c r="C17" s="31">
        <v>0.03</v>
      </c>
    </row>
    <row r="18" spans="1:8" x14ac:dyDescent="0.3">
      <c r="A18" s="22" t="s">
        <v>189</v>
      </c>
      <c r="B18" s="31">
        <v>0.03</v>
      </c>
      <c r="C18" s="31">
        <v>0.08</v>
      </c>
    </row>
    <row r="19" spans="1:8" x14ac:dyDescent="0.3">
      <c r="A19" s="22" t="s">
        <v>190</v>
      </c>
      <c r="B19" s="31">
        <v>0.05</v>
      </c>
      <c r="C19" s="31">
        <v>0.15</v>
      </c>
      <c r="H19" s="22">
        <f>47-3-9</f>
        <v>35</v>
      </c>
    </row>
    <row r="20" spans="1:8" x14ac:dyDescent="0.3">
      <c r="A20" s="22" t="s">
        <v>191</v>
      </c>
      <c r="B20" s="31">
        <v>7.0000000000000007E-2</v>
      </c>
      <c r="C20" s="31">
        <v>0.2</v>
      </c>
    </row>
    <row r="21" spans="1:8" x14ac:dyDescent="0.3">
      <c r="A21" s="22" t="s">
        <v>192</v>
      </c>
      <c r="B21" s="31">
        <v>0.1</v>
      </c>
      <c r="C21" s="31">
        <v>0.3</v>
      </c>
    </row>
    <row r="36" spans="1:13" x14ac:dyDescent="0.3">
      <c r="A36" s="22" t="s">
        <v>108</v>
      </c>
      <c r="B36" s="32" t="s">
        <v>193</v>
      </c>
      <c r="C36" s="32">
        <f>D3</f>
        <v>7</v>
      </c>
      <c r="D36" s="33"/>
    </row>
    <row r="38" spans="1:13" x14ac:dyDescent="0.3">
      <c r="A38" s="21"/>
      <c r="B38" s="21" t="s">
        <v>114</v>
      </c>
      <c r="C38" s="21" t="s">
        <v>118</v>
      </c>
      <c r="G38" s="21" t="s">
        <v>109</v>
      </c>
      <c r="H38" s="21" t="s">
        <v>111</v>
      </c>
      <c r="I38" s="21" t="s">
        <v>112</v>
      </c>
      <c r="J38" s="21" t="s">
        <v>36</v>
      </c>
      <c r="K38" s="21" t="s">
        <v>44</v>
      </c>
      <c r="L38" s="21" t="s">
        <v>113</v>
      </c>
      <c r="M38" s="21" t="s">
        <v>45</v>
      </c>
    </row>
    <row r="39" spans="1:13" x14ac:dyDescent="0.3">
      <c r="A39" s="21" t="s">
        <v>34</v>
      </c>
      <c r="B39" s="21">
        <f>G39</f>
        <v>10</v>
      </c>
      <c r="C39" s="21">
        <f>G40</f>
        <v>30</v>
      </c>
      <c r="E39" s="230" t="s">
        <v>114</v>
      </c>
      <c r="F39" s="230"/>
      <c r="G39" s="34">
        <f>C6</f>
        <v>10</v>
      </c>
      <c r="H39" s="34">
        <f>40/B7*C7</f>
        <v>5</v>
      </c>
      <c r="I39" s="34">
        <f>15/B8*C8</f>
        <v>0</v>
      </c>
      <c r="J39" s="34">
        <f>10/B9*C9</f>
        <v>0</v>
      </c>
      <c r="K39" s="34">
        <f>10/B10*C10</f>
        <v>0</v>
      </c>
      <c r="L39" s="34">
        <f>5/B11*C11</f>
        <v>0</v>
      </c>
      <c r="M39" s="34">
        <f>5/B12*C12</f>
        <v>0</v>
      </c>
    </row>
    <row r="40" spans="1:13" x14ac:dyDescent="0.3">
      <c r="A40" s="21" t="s">
        <v>35</v>
      </c>
      <c r="B40" s="21">
        <f>H39</f>
        <v>5</v>
      </c>
      <c r="C40" s="21">
        <f>H40</f>
        <v>3.75</v>
      </c>
      <c r="E40" s="230" t="s">
        <v>116</v>
      </c>
      <c r="F40" s="230"/>
      <c r="G40" s="21">
        <f>G39+20</f>
        <v>30</v>
      </c>
      <c r="H40" s="21">
        <f>30/B7*C7</f>
        <v>3.75</v>
      </c>
      <c r="I40" s="21">
        <f>15/B8*C8</f>
        <v>0</v>
      </c>
      <c r="J40" s="21">
        <f>10/B9*C9</f>
        <v>0</v>
      </c>
      <c r="K40" s="21">
        <f>5/B10*C10</f>
        <v>0</v>
      </c>
      <c r="L40" s="21">
        <f>5/B11*C11</f>
        <v>0</v>
      </c>
      <c r="M40" s="21">
        <f>5/B12*C12</f>
        <v>0</v>
      </c>
    </row>
    <row r="41" spans="1:13" x14ac:dyDescent="0.3">
      <c r="A41" s="21" t="s">
        <v>112</v>
      </c>
      <c r="B41" s="21">
        <f>I39</f>
        <v>0</v>
      </c>
      <c r="C41" s="21">
        <f>I40</f>
        <v>0</v>
      </c>
    </row>
    <row r="42" spans="1:13" x14ac:dyDescent="0.3">
      <c r="A42" s="21" t="s">
        <v>36</v>
      </c>
      <c r="B42" s="21">
        <f>J39</f>
        <v>0</v>
      </c>
      <c r="C42" s="21">
        <f>J40</f>
        <v>0</v>
      </c>
    </row>
    <row r="43" spans="1:13" x14ac:dyDescent="0.3">
      <c r="A43" s="21" t="s">
        <v>44</v>
      </c>
      <c r="B43" s="21">
        <f>K39</f>
        <v>0</v>
      </c>
      <c r="C43" s="21">
        <f>K40</f>
        <v>0</v>
      </c>
    </row>
    <row r="44" spans="1:13" x14ac:dyDescent="0.3">
      <c r="A44" s="35" t="s">
        <v>113</v>
      </c>
      <c r="B44" s="21">
        <f>L39</f>
        <v>0</v>
      </c>
      <c r="C44" s="21">
        <f>L40</f>
        <v>0</v>
      </c>
    </row>
    <row r="45" spans="1:13" x14ac:dyDescent="0.3">
      <c r="A45" s="21" t="s">
        <v>45</v>
      </c>
      <c r="B45" s="21">
        <f>M39</f>
        <v>0</v>
      </c>
      <c r="C45" s="21">
        <f>M40</f>
        <v>0</v>
      </c>
    </row>
  </sheetData>
  <mergeCells count="14">
    <mergeCell ref="D2:E2"/>
    <mergeCell ref="D3:E3"/>
    <mergeCell ref="F7:G7"/>
    <mergeCell ref="F8:G8"/>
    <mergeCell ref="F9:G9"/>
    <mergeCell ref="F10:G10"/>
    <mergeCell ref="E39:F39"/>
    <mergeCell ref="E40:F40"/>
    <mergeCell ref="F11:G11"/>
    <mergeCell ref="F12:G12"/>
    <mergeCell ref="F13:G13"/>
    <mergeCell ref="F14:G14"/>
    <mergeCell ref="F15:G15"/>
    <mergeCell ref="F16:G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activeCell="C10" sqref="C10"/>
    </sheetView>
  </sheetViews>
  <sheetFormatPr defaultColWidth="9.08984375" defaultRowHeight="14" x14ac:dyDescent="0.3"/>
  <cols>
    <col min="1" max="1" width="20.54296875" style="22" customWidth="1"/>
    <col min="2" max="2" width="11.54296875" style="22" customWidth="1"/>
    <col min="3" max="4" width="9.08984375" style="22"/>
    <col min="5" max="5" width="10.08984375" style="22" customWidth="1"/>
    <col min="6" max="6" width="10.54296875" style="22" customWidth="1"/>
    <col min="7" max="7" width="9.08984375" style="22"/>
    <col min="8" max="8" width="10.453125" style="22" customWidth="1"/>
    <col min="9" max="9" width="15.453125" style="22" customWidth="1"/>
    <col min="10" max="16384" width="9.08984375" style="22"/>
  </cols>
  <sheetData>
    <row r="2" spans="1:10" x14ac:dyDescent="0.3">
      <c r="A2" s="21" t="s">
        <v>165</v>
      </c>
      <c r="B2" s="21" t="s">
        <v>166</v>
      </c>
      <c r="C2" s="21" t="s">
        <v>134</v>
      </c>
      <c r="D2" s="230" t="s">
        <v>167</v>
      </c>
      <c r="E2" s="230"/>
    </row>
    <row r="3" spans="1:10" x14ac:dyDescent="0.3">
      <c r="A3" s="23">
        <v>0</v>
      </c>
      <c r="B3" s="23">
        <v>0</v>
      </c>
      <c r="C3" s="23">
        <v>1</v>
      </c>
      <c r="D3" s="231">
        <v>7</v>
      </c>
      <c r="E3" s="231"/>
    </row>
    <row r="6" spans="1:10" x14ac:dyDescent="0.3">
      <c r="A6" s="22" t="s">
        <v>109</v>
      </c>
      <c r="B6" s="24">
        <v>10</v>
      </c>
      <c r="C6" s="25">
        <v>10</v>
      </c>
      <c r="D6" s="26">
        <f>((100/B6)*C6)/100</f>
        <v>1</v>
      </c>
    </row>
    <row r="7" spans="1:10" x14ac:dyDescent="0.3">
      <c r="A7" s="22" t="s">
        <v>110</v>
      </c>
      <c r="B7" s="24">
        <f>A3+B3+C3+D3</f>
        <v>8</v>
      </c>
      <c r="C7" s="25">
        <v>8</v>
      </c>
      <c r="D7" s="26">
        <f t="shared" ref="D7:D12" si="0">((100/B7)*C7)/100</f>
        <v>1</v>
      </c>
      <c r="F7" s="232" t="s">
        <v>168</v>
      </c>
      <c r="G7" s="232"/>
      <c r="H7" s="27" t="s">
        <v>169</v>
      </c>
      <c r="J7" s="28"/>
    </row>
    <row r="8" spans="1:10" x14ac:dyDescent="0.3">
      <c r="A8" s="22" t="s">
        <v>115</v>
      </c>
      <c r="B8" s="24">
        <f>C36</f>
        <v>7</v>
      </c>
      <c r="C8" s="25">
        <v>7</v>
      </c>
      <c r="D8" s="26">
        <f t="shared" si="0"/>
        <v>1</v>
      </c>
      <c r="F8" s="229" t="s">
        <v>170</v>
      </c>
      <c r="G8" s="229"/>
      <c r="H8" s="24" t="s">
        <v>171</v>
      </c>
    </row>
    <row r="9" spans="1:10" x14ac:dyDescent="0.3">
      <c r="A9" s="22" t="s">
        <v>117</v>
      </c>
      <c r="B9" s="24">
        <f>C36</f>
        <v>7</v>
      </c>
      <c r="C9" s="25">
        <v>7</v>
      </c>
      <c r="D9" s="26">
        <f t="shared" si="0"/>
        <v>1</v>
      </c>
      <c r="F9" s="229" t="s">
        <v>172</v>
      </c>
      <c r="G9" s="229"/>
      <c r="H9" s="24" t="s">
        <v>173</v>
      </c>
    </row>
    <row r="10" spans="1:10" x14ac:dyDescent="0.3">
      <c r="A10" s="22" t="s">
        <v>44</v>
      </c>
      <c r="B10" s="24">
        <f>C36</f>
        <v>7</v>
      </c>
      <c r="C10" s="25">
        <v>0</v>
      </c>
      <c r="D10" s="26">
        <f t="shared" si="0"/>
        <v>0</v>
      </c>
      <c r="F10" s="229" t="s">
        <v>174</v>
      </c>
      <c r="G10" s="229"/>
      <c r="H10" s="24" t="s">
        <v>175</v>
      </c>
    </row>
    <row r="11" spans="1:10" x14ac:dyDescent="0.3">
      <c r="A11" s="29" t="s">
        <v>113</v>
      </c>
      <c r="B11" s="24">
        <f>C36</f>
        <v>7</v>
      </c>
      <c r="C11" s="25">
        <v>0</v>
      </c>
      <c r="D11" s="26">
        <f t="shared" si="0"/>
        <v>0</v>
      </c>
      <c r="F11" s="229" t="s">
        <v>176</v>
      </c>
      <c r="G11" s="229"/>
      <c r="H11" s="24" t="s">
        <v>177</v>
      </c>
    </row>
    <row r="12" spans="1:10" x14ac:dyDescent="0.3">
      <c r="A12" s="22" t="s">
        <v>45</v>
      </c>
      <c r="B12" s="24">
        <f>C36</f>
        <v>7</v>
      </c>
      <c r="C12" s="25">
        <v>0</v>
      </c>
      <c r="D12" s="26">
        <f t="shared" si="0"/>
        <v>0</v>
      </c>
      <c r="F12" s="229" t="s">
        <v>178</v>
      </c>
      <c r="G12" s="229"/>
      <c r="H12" s="24" t="s">
        <v>179</v>
      </c>
    </row>
    <row r="13" spans="1:10" x14ac:dyDescent="0.3">
      <c r="F13" s="229" t="s">
        <v>180</v>
      </c>
      <c r="G13" s="229"/>
      <c r="H13" s="24" t="s">
        <v>181</v>
      </c>
    </row>
    <row r="14" spans="1:10" x14ac:dyDescent="0.3">
      <c r="A14" s="21" t="s">
        <v>119</v>
      </c>
      <c r="B14" s="30">
        <f>(B39+B40+B41+B42+B43+B44+B45)/100</f>
        <v>0.75</v>
      </c>
      <c r="C14" s="30">
        <f>(C39+C40+C41+C42+C43+C44+C45)/100</f>
        <v>0.85</v>
      </c>
      <c r="F14" s="229" t="s">
        <v>182</v>
      </c>
      <c r="G14" s="229"/>
      <c r="H14" s="24" t="s">
        <v>173</v>
      </c>
    </row>
    <row r="15" spans="1:10" x14ac:dyDescent="0.3">
      <c r="F15" s="229" t="s">
        <v>183</v>
      </c>
      <c r="G15" s="229"/>
      <c r="H15" s="24" t="s">
        <v>184</v>
      </c>
    </row>
    <row r="16" spans="1:10" x14ac:dyDescent="0.3">
      <c r="A16" s="22" t="s">
        <v>185</v>
      </c>
      <c r="B16" s="31">
        <v>0.01</v>
      </c>
      <c r="C16" s="31">
        <v>0.02</v>
      </c>
      <c r="F16" s="229" t="s">
        <v>186</v>
      </c>
      <c r="G16" s="229"/>
      <c r="H16" s="24" t="s">
        <v>187</v>
      </c>
    </row>
    <row r="17" spans="1:8" x14ac:dyDescent="0.3">
      <c r="A17" s="22" t="s">
        <v>188</v>
      </c>
      <c r="B17" s="31">
        <v>0.01</v>
      </c>
      <c r="C17" s="31">
        <v>0.03</v>
      </c>
    </row>
    <row r="18" spans="1:8" x14ac:dyDescent="0.3">
      <c r="A18" s="22" t="s">
        <v>189</v>
      </c>
      <c r="B18" s="31">
        <v>0.03</v>
      </c>
      <c r="C18" s="31">
        <v>0.08</v>
      </c>
    </row>
    <row r="19" spans="1:8" x14ac:dyDescent="0.3">
      <c r="A19" s="22" t="s">
        <v>190</v>
      </c>
      <c r="B19" s="31">
        <v>0.05</v>
      </c>
      <c r="C19" s="31">
        <v>0.15</v>
      </c>
      <c r="H19" s="22">
        <f>47-3-9</f>
        <v>35</v>
      </c>
    </row>
    <row r="20" spans="1:8" x14ac:dyDescent="0.3">
      <c r="A20" s="22" t="s">
        <v>191</v>
      </c>
      <c r="B20" s="31">
        <v>7.0000000000000007E-2</v>
      </c>
      <c r="C20" s="31">
        <v>0.2</v>
      </c>
    </row>
    <row r="21" spans="1:8" x14ac:dyDescent="0.3">
      <c r="A21" s="22" t="s">
        <v>192</v>
      </c>
      <c r="B21" s="31">
        <v>0.1</v>
      </c>
      <c r="C21" s="31">
        <v>0.3</v>
      </c>
    </row>
    <row r="36" spans="1:13" x14ac:dyDescent="0.3">
      <c r="A36" s="22" t="s">
        <v>108</v>
      </c>
      <c r="B36" s="32" t="s">
        <v>193</v>
      </c>
      <c r="C36" s="32">
        <f>D3</f>
        <v>7</v>
      </c>
      <c r="D36" s="33"/>
    </row>
    <row r="38" spans="1:13" x14ac:dyDescent="0.3">
      <c r="A38" s="21"/>
      <c r="B38" s="21" t="s">
        <v>114</v>
      </c>
      <c r="C38" s="21" t="s">
        <v>118</v>
      </c>
      <c r="G38" s="21" t="s">
        <v>109</v>
      </c>
      <c r="H38" s="21" t="s">
        <v>111</v>
      </c>
      <c r="I38" s="21" t="s">
        <v>112</v>
      </c>
      <c r="J38" s="21" t="s">
        <v>36</v>
      </c>
      <c r="K38" s="21" t="s">
        <v>44</v>
      </c>
      <c r="L38" s="21" t="s">
        <v>113</v>
      </c>
      <c r="M38" s="21" t="s">
        <v>45</v>
      </c>
    </row>
    <row r="39" spans="1:13" x14ac:dyDescent="0.3">
      <c r="A39" s="21" t="s">
        <v>34</v>
      </c>
      <c r="B39" s="21">
        <f>G39</f>
        <v>10</v>
      </c>
      <c r="C39" s="21">
        <f>G40</f>
        <v>30</v>
      </c>
      <c r="E39" s="230" t="s">
        <v>114</v>
      </c>
      <c r="F39" s="230"/>
      <c r="G39" s="34">
        <f>C6</f>
        <v>10</v>
      </c>
      <c r="H39" s="34">
        <f>40/B7*C7</f>
        <v>40</v>
      </c>
      <c r="I39" s="34">
        <f>15/B8*C8</f>
        <v>15</v>
      </c>
      <c r="J39" s="34">
        <f>10/B9*C9</f>
        <v>10</v>
      </c>
      <c r="K39" s="34">
        <f>10/B10*C10</f>
        <v>0</v>
      </c>
      <c r="L39" s="34">
        <f>5/B11*C11</f>
        <v>0</v>
      </c>
      <c r="M39" s="34">
        <f>5/B12*C12</f>
        <v>0</v>
      </c>
    </row>
    <row r="40" spans="1:13" x14ac:dyDescent="0.3">
      <c r="A40" s="21" t="s">
        <v>35</v>
      </c>
      <c r="B40" s="21">
        <f>H39</f>
        <v>40</v>
      </c>
      <c r="C40" s="21">
        <f>H40</f>
        <v>30</v>
      </c>
      <c r="E40" s="230" t="s">
        <v>116</v>
      </c>
      <c r="F40" s="230"/>
      <c r="G40" s="21">
        <f>G39+20</f>
        <v>30</v>
      </c>
      <c r="H40" s="21">
        <f>30/B7*C7</f>
        <v>30</v>
      </c>
      <c r="I40" s="21">
        <f>15/B8*C8</f>
        <v>15</v>
      </c>
      <c r="J40" s="21">
        <f>10/B9*C9</f>
        <v>10</v>
      </c>
      <c r="K40" s="21">
        <f>5/B10*C10</f>
        <v>0</v>
      </c>
      <c r="L40" s="21">
        <f>5/B11*C11</f>
        <v>0</v>
      </c>
      <c r="M40" s="21">
        <f>5/B12*C12</f>
        <v>0</v>
      </c>
    </row>
    <row r="41" spans="1:13" x14ac:dyDescent="0.3">
      <c r="A41" s="21" t="s">
        <v>112</v>
      </c>
      <c r="B41" s="21">
        <f>I39</f>
        <v>15</v>
      </c>
      <c r="C41" s="21">
        <f>I40</f>
        <v>15</v>
      </c>
    </row>
    <row r="42" spans="1:13" x14ac:dyDescent="0.3">
      <c r="A42" s="21" t="s">
        <v>36</v>
      </c>
      <c r="B42" s="21">
        <f>J39</f>
        <v>10</v>
      </c>
      <c r="C42" s="21">
        <f>J40</f>
        <v>10</v>
      </c>
    </row>
    <row r="43" spans="1:13" x14ac:dyDescent="0.3">
      <c r="A43" s="21" t="s">
        <v>44</v>
      </c>
      <c r="B43" s="21">
        <f>K39</f>
        <v>0</v>
      </c>
      <c r="C43" s="21">
        <f>K40</f>
        <v>0</v>
      </c>
    </row>
    <row r="44" spans="1:13" x14ac:dyDescent="0.3">
      <c r="A44" s="35" t="s">
        <v>113</v>
      </c>
      <c r="B44" s="21">
        <f>L39</f>
        <v>0</v>
      </c>
      <c r="C44" s="21">
        <f>L40</f>
        <v>0</v>
      </c>
    </row>
    <row r="45" spans="1:13" x14ac:dyDescent="0.3">
      <c r="A45" s="21" t="s">
        <v>45</v>
      </c>
      <c r="B45" s="21">
        <f>M39</f>
        <v>0</v>
      </c>
      <c r="C45" s="21">
        <f>M40</f>
        <v>0</v>
      </c>
    </row>
  </sheetData>
  <mergeCells count="14">
    <mergeCell ref="D2:E2"/>
    <mergeCell ref="D3:E3"/>
    <mergeCell ref="F7:G7"/>
    <mergeCell ref="F8:G8"/>
    <mergeCell ref="F9:G9"/>
    <mergeCell ref="F10:G10"/>
    <mergeCell ref="E39:F39"/>
    <mergeCell ref="E40:F40"/>
    <mergeCell ref="F11:G11"/>
    <mergeCell ref="F12:G12"/>
    <mergeCell ref="F13:G13"/>
    <mergeCell ref="F14:G14"/>
    <mergeCell ref="F15:G15"/>
    <mergeCell ref="F16:G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Note</vt:lpstr>
      <vt:lpstr>Wing A</vt:lpstr>
      <vt:lpstr>B</vt:lpstr>
      <vt:lpstr>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2025-07-06T15:24:53Z</cp:lastPrinted>
  <dcterms:created xsi:type="dcterms:W3CDTF">2013-11-23T05:32:33Z</dcterms:created>
  <dcterms:modified xsi:type="dcterms:W3CDTF">2025-07-06T15:25:47Z</dcterms:modified>
</cp:coreProperties>
</file>