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Report!$A$1:$H$663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1" l="1"/>
  <c r="L71" i="1"/>
  <c r="J79" i="1"/>
  <c r="J78" i="1"/>
  <c r="J77" i="1"/>
  <c r="J76" i="1"/>
  <c r="C75" i="1"/>
  <c r="C77" i="1" s="1"/>
  <c r="H69" i="1"/>
  <c r="C76" i="1" l="1"/>
  <c r="D81" i="1"/>
  <c r="D77" i="1"/>
  <c r="J74" i="1"/>
  <c r="J75" i="1" s="1"/>
  <c r="J80" i="1" s="1"/>
  <c r="J81" i="1" s="1"/>
  <c r="C73" i="1" s="1"/>
  <c r="D75" i="1"/>
  <c r="D74" i="1"/>
  <c r="J68" i="1"/>
  <c r="J70" i="1" s="1"/>
  <c r="D80" i="1"/>
  <c r="J73" i="1"/>
  <c r="C72" i="1" s="1"/>
  <c r="J71" i="1"/>
  <c r="D76" i="1"/>
  <c r="D79" i="1"/>
  <c r="J72" i="1"/>
  <c r="D78" i="1"/>
  <c r="C103" i="1"/>
  <c r="C105" i="1" s="1"/>
  <c r="E72" i="1" l="1"/>
  <c r="D73" i="1"/>
  <c r="G72" i="1"/>
  <c r="D72" i="1"/>
  <c r="J69" i="1" s="1"/>
  <c r="C104" i="1"/>
  <c r="C89" i="1"/>
  <c r="C90" i="1" s="1"/>
  <c r="I69" i="1" l="1"/>
  <c r="C91" i="1"/>
  <c r="I70" i="1" l="1"/>
  <c r="I68" i="1" s="1"/>
  <c r="C70" i="1" s="1"/>
  <c r="D451" i="1"/>
  <c r="G491" i="1" l="1"/>
  <c r="G492" i="1" s="1"/>
  <c r="G493" i="1" s="1"/>
  <c r="G494" i="1" s="1"/>
  <c r="G495" i="1" s="1"/>
  <c r="G487" i="1"/>
  <c r="G489" i="1" s="1"/>
  <c r="D489" i="1"/>
  <c r="F489" i="1" s="1"/>
  <c r="D488" i="1"/>
  <c r="F488" i="1" s="1"/>
  <c r="D487" i="1"/>
  <c r="F487" i="1" s="1"/>
  <c r="D485" i="1"/>
  <c r="F485" i="1" s="1"/>
  <c r="G483" i="1"/>
  <c r="G484" i="1" s="1"/>
  <c r="D483" i="1"/>
  <c r="F483" i="1" s="1"/>
  <c r="D481" i="1"/>
  <c r="F481" i="1" s="1"/>
  <c r="D480" i="1"/>
  <c r="F480" i="1" s="1"/>
  <c r="G479" i="1"/>
  <c r="G480" i="1" s="1"/>
  <c r="D479" i="1"/>
  <c r="F479" i="1" s="1"/>
  <c r="E477" i="1"/>
  <c r="D477" i="1"/>
  <c r="E476" i="1"/>
  <c r="D476" i="1"/>
  <c r="G475" i="1"/>
  <c r="G476" i="1" s="1"/>
  <c r="E475" i="1"/>
  <c r="D475" i="1"/>
  <c r="D453" i="1"/>
  <c r="F453" i="1" s="1"/>
  <c r="D452" i="1"/>
  <c r="F452" i="1" s="1"/>
  <c r="F451" i="1"/>
  <c r="D450" i="1"/>
  <c r="F450" i="1" s="1"/>
  <c r="D449" i="1"/>
  <c r="F449" i="1" s="1"/>
  <c r="D448" i="1"/>
  <c r="F448" i="1" s="1"/>
  <c r="D447" i="1"/>
  <c r="F447" i="1" s="1"/>
  <c r="A447" i="1"/>
  <c r="A448" i="1" s="1"/>
  <c r="G446" i="1"/>
  <c r="G447" i="1" s="1"/>
  <c r="G448" i="1" s="1"/>
  <c r="G449" i="1" s="1"/>
  <c r="G450" i="1" s="1"/>
  <c r="G451" i="1" s="1"/>
  <c r="G452" i="1" s="1"/>
  <c r="G453" i="1" s="1"/>
  <c r="D446" i="1"/>
  <c r="F446" i="1" s="1"/>
  <c r="D436" i="1"/>
  <c r="F436" i="1" s="1"/>
  <c r="D435" i="1"/>
  <c r="F435" i="1" s="1"/>
  <c r="A435" i="1"/>
  <c r="A436" i="1" s="1"/>
  <c r="G434" i="1"/>
  <c r="G435" i="1" s="1"/>
  <c r="G436" i="1" s="1"/>
  <c r="D434" i="1"/>
  <c r="F434" i="1" s="1"/>
  <c r="F477" i="1" l="1"/>
  <c r="G488" i="1"/>
  <c r="F476" i="1"/>
  <c r="F475" i="1"/>
  <c r="G485" i="1"/>
  <c r="G477" i="1"/>
  <c r="G481" i="1"/>
  <c r="G428" i="1"/>
  <c r="D430" i="1"/>
  <c r="F430" i="1" s="1"/>
  <c r="D429" i="1"/>
  <c r="F429" i="1" s="1"/>
  <c r="A429" i="1"/>
  <c r="A430" i="1" s="1"/>
  <c r="D428" i="1"/>
  <c r="F428" i="1" s="1"/>
  <c r="D424" i="1"/>
  <c r="F424" i="1" s="1"/>
  <c r="D423" i="1"/>
  <c r="F423" i="1" s="1"/>
  <c r="A423" i="1"/>
  <c r="A424" i="1" s="1"/>
  <c r="G422" i="1"/>
  <c r="G423" i="1" s="1"/>
  <c r="G424" i="1" s="1"/>
  <c r="D422" i="1"/>
  <c r="F422" i="1" s="1"/>
  <c r="D418" i="1"/>
  <c r="F418" i="1" s="1"/>
  <c r="D417" i="1"/>
  <c r="F417" i="1" s="1"/>
  <c r="A417" i="1"/>
  <c r="A418" i="1" s="1"/>
  <c r="G416" i="1"/>
  <c r="G417" i="1" s="1"/>
  <c r="G418" i="1" s="1"/>
  <c r="D416" i="1"/>
  <c r="F416" i="1" s="1"/>
  <c r="D412" i="1"/>
  <c r="F412" i="1" s="1"/>
  <c r="I412" i="1" s="1"/>
  <c r="D411" i="1"/>
  <c r="F411" i="1" s="1"/>
  <c r="I411" i="1" s="1"/>
  <c r="A411" i="1"/>
  <c r="A412" i="1" s="1"/>
  <c r="G410" i="1"/>
  <c r="G411" i="1" s="1"/>
  <c r="G412" i="1" s="1"/>
  <c r="G413" i="1" s="1"/>
  <c r="G414" i="1" s="1"/>
  <c r="D410" i="1"/>
  <c r="F410" i="1" s="1"/>
  <c r="G404" i="1"/>
  <c r="G405" i="1" s="1"/>
  <c r="G406" i="1" s="1"/>
  <c r="D406" i="1"/>
  <c r="F406" i="1" s="1"/>
  <c r="D405" i="1"/>
  <c r="F405" i="1" s="1"/>
  <c r="I405" i="1" s="1"/>
  <c r="A405" i="1"/>
  <c r="A406" i="1" s="1"/>
  <c r="D404" i="1"/>
  <c r="G195" i="1"/>
  <c r="D242" i="1"/>
  <c r="F242" i="1" s="1"/>
  <c r="D241" i="1"/>
  <c r="F241" i="1" s="1"/>
  <c r="D240" i="1"/>
  <c r="F240" i="1" s="1"/>
  <c r="D239" i="1"/>
  <c r="F239" i="1" s="1"/>
  <c r="D238" i="1"/>
  <c r="F238" i="1" s="1"/>
  <c r="D237" i="1"/>
  <c r="F237" i="1" s="1"/>
  <c r="G236" i="1"/>
  <c r="G237" i="1" s="1"/>
  <c r="G239" i="1" s="1"/>
  <c r="D236" i="1"/>
  <c r="G184" i="1"/>
  <c r="D234" i="1"/>
  <c r="F234" i="1" s="1"/>
  <c r="D233" i="1"/>
  <c r="F233" i="1" s="1"/>
  <c r="D232" i="1"/>
  <c r="F232" i="1" s="1"/>
  <c r="D231" i="1"/>
  <c r="F231" i="1" s="1"/>
  <c r="D230" i="1"/>
  <c r="F230" i="1" s="1"/>
  <c r="I229" i="1"/>
  <c r="D229" i="1"/>
  <c r="F229" i="1" s="1"/>
  <c r="I228" i="1"/>
  <c r="G228" i="1"/>
  <c r="G229" i="1" s="1"/>
  <c r="G231" i="1" s="1"/>
  <c r="D228" i="1"/>
  <c r="F228" i="1" s="1"/>
  <c r="G173" i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I219" i="1"/>
  <c r="D219" i="1"/>
  <c r="F219" i="1" s="1"/>
  <c r="I218" i="1"/>
  <c r="G218" i="1"/>
  <c r="G220" i="1" s="1"/>
  <c r="D218" i="1"/>
  <c r="F218" i="1" s="1"/>
  <c r="D507" i="1"/>
  <c r="F507" i="1" s="1"/>
  <c r="D506" i="1"/>
  <c r="F506" i="1" s="1"/>
  <c r="D505" i="1"/>
  <c r="F505" i="1" s="1"/>
  <c r="A504" i="1"/>
  <c r="A505" i="1" s="1"/>
  <c r="G503" i="1"/>
  <c r="D503" i="1"/>
  <c r="F503" i="1" s="1"/>
  <c r="D399" i="1"/>
  <c r="F399" i="1" s="1"/>
  <c r="D398" i="1"/>
  <c r="F398" i="1" s="1"/>
  <c r="D397" i="1"/>
  <c r="F397" i="1" s="1"/>
  <c r="D396" i="1"/>
  <c r="F396" i="1" s="1"/>
  <c r="D395" i="1"/>
  <c r="F395" i="1" s="1"/>
  <c r="D394" i="1"/>
  <c r="F394" i="1" s="1"/>
  <c r="D393" i="1"/>
  <c r="F393" i="1" s="1"/>
  <c r="D392" i="1"/>
  <c r="F392" i="1" s="1"/>
  <c r="G390" i="1"/>
  <c r="D390" i="1"/>
  <c r="F390" i="1" s="1"/>
  <c r="I390" i="1" s="1"/>
  <c r="D366" i="1"/>
  <c r="F366" i="1" s="1"/>
  <c r="D365" i="1"/>
  <c r="F365" i="1" s="1"/>
  <c r="D364" i="1"/>
  <c r="F364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55" i="1"/>
  <c r="F355" i="1" s="1"/>
  <c r="D354" i="1"/>
  <c r="F354" i="1" s="1"/>
  <c r="D353" i="1"/>
  <c r="F353" i="1" s="1"/>
  <c r="G352" i="1"/>
  <c r="D352" i="1"/>
  <c r="F352" i="1" s="1"/>
  <c r="D471" i="1"/>
  <c r="F471" i="1" s="1"/>
  <c r="D470" i="1"/>
  <c r="F470" i="1" s="1"/>
  <c r="D469" i="1"/>
  <c r="F469" i="1" s="1"/>
  <c r="D468" i="1"/>
  <c r="F468" i="1" s="1"/>
  <c r="D467" i="1"/>
  <c r="F467" i="1" s="1"/>
  <c r="D465" i="1"/>
  <c r="F465" i="1" s="1"/>
  <c r="A465" i="1"/>
  <c r="A466" i="1" s="1"/>
  <c r="G464" i="1"/>
  <c r="D464" i="1"/>
  <c r="F464" i="1" s="1"/>
  <c r="D501" i="1"/>
  <c r="F501" i="1" s="1"/>
  <c r="D500" i="1"/>
  <c r="F500" i="1" s="1"/>
  <c r="D499" i="1"/>
  <c r="F499" i="1" s="1"/>
  <c r="D498" i="1"/>
  <c r="F498" i="1" s="1"/>
  <c r="A498" i="1"/>
  <c r="A499" i="1" s="1"/>
  <c r="G497" i="1"/>
  <c r="D497" i="1"/>
  <c r="F497" i="1" s="1"/>
  <c r="D462" i="1"/>
  <c r="F462" i="1" s="1"/>
  <c r="D461" i="1"/>
  <c r="F461" i="1" s="1"/>
  <c r="D460" i="1"/>
  <c r="F460" i="1" s="1"/>
  <c r="D459" i="1"/>
  <c r="F459" i="1" s="1"/>
  <c r="D458" i="1"/>
  <c r="F458" i="1" s="1"/>
  <c r="D457" i="1"/>
  <c r="F457" i="1" s="1"/>
  <c r="D456" i="1"/>
  <c r="F456" i="1" s="1"/>
  <c r="A456" i="1"/>
  <c r="A457" i="1" s="1"/>
  <c r="G455" i="1"/>
  <c r="D455" i="1"/>
  <c r="F455" i="1" s="1"/>
  <c r="D388" i="1"/>
  <c r="F388" i="1" s="1"/>
  <c r="I388" i="1" s="1"/>
  <c r="D387" i="1"/>
  <c r="F387" i="1" s="1"/>
  <c r="D386" i="1"/>
  <c r="F386" i="1" s="1"/>
  <c r="I386" i="1" s="1"/>
  <c r="D385" i="1"/>
  <c r="F385" i="1" s="1"/>
  <c r="I385" i="1" s="1"/>
  <c r="D384" i="1"/>
  <c r="F384" i="1" s="1"/>
  <c r="I384" i="1" s="1"/>
  <c r="D382" i="1"/>
  <c r="F382" i="1" s="1"/>
  <c r="D383" i="1"/>
  <c r="F383" i="1" s="1"/>
  <c r="I383" i="1" s="1"/>
  <c r="D381" i="1"/>
  <c r="F381" i="1" s="1"/>
  <c r="D380" i="1"/>
  <c r="F380" i="1" s="1"/>
  <c r="G379" i="1"/>
  <c r="D379" i="1"/>
  <c r="F379" i="1" s="1"/>
  <c r="I379" i="1" s="1"/>
  <c r="D350" i="1"/>
  <c r="F350" i="1" s="1"/>
  <c r="D349" i="1"/>
  <c r="F349" i="1" s="1"/>
  <c r="D348" i="1"/>
  <c r="F348" i="1" s="1"/>
  <c r="D347" i="1"/>
  <c r="F347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D340" i="1"/>
  <c r="F340" i="1" s="1"/>
  <c r="D339" i="1"/>
  <c r="F339" i="1" s="1"/>
  <c r="D338" i="1"/>
  <c r="F338" i="1" s="1"/>
  <c r="D337" i="1"/>
  <c r="F337" i="1" s="1"/>
  <c r="G336" i="1"/>
  <c r="D336" i="1"/>
  <c r="F336" i="1" s="1"/>
  <c r="D495" i="1"/>
  <c r="F495" i="1" s="1"/>
  <c r="D494" i="1"/>
  <c r="F494" i="1" s="1"/>
  <c r="D377" i="1"/>
  <c r="F377" i="1" s="1"/>
  <c r="D376" i="1"/>
  <c r="F376" i="1" s="1"/>
  <c r="G376" i="1"/>
  <c r="G377" i="1" s="1"/>
  <c r="D334" i="1"/>
  <c r="F334" i="1" s="1"/>
  <c r="D332" i="1"/>
  <c r="F332" i="1" s="1"/>
  <c r="D333" i="1"/>
  <c r="F333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D322" i="1"/>
  <c r="F322" i="1" s="1"/>
  <c r="D321" i="1"/>
  <c r="F321" i="1" s="1"/>
  <c r="G320" i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D320" i="1"/>
  <c r="F320" i="1" s="1"/>
  <c r="D493" i="1"/>
  <c r="F493" i="1" s="1"/>
  <c r="D492" i="1"/>
  <c r="F492" i="1" s="1"/>
  <c r="D491" i="1"/>
  <c r="F491" i="1" s="1"/>
  <c r="A492" i="1"/>
  <c r="A493" i="1" s="1"/>
  <c r="D444" i="1"/>
  <c r="F444" i="1" s="1"/>
  <c r="D443" i="1"/>
  <c r="F443" i="1" s="1"/>
  <c r="D442" i="1"/>
  <c r="F442" i="1" s="1"/>
  <c r="D441" i="1"/>
  <c r="F441" i="1" s="1"/>
  <c r="A441" i="1"/>
  <c r="A442" i="1" s="1"/>
  <c r="G440" i="1"/>
  <c r="G441" i="1" s="1"/>
  <c r="G442" i="1" s="1"/>
  <c r="G443" i="1" s="1"/>
  <c r="D440" i="1"/>
  <c r="F440" i="1" s="1"/>
  <c r="D374" i="1"/>
  <c r="D373" i="1"/>
  <c r="E374" i="1"/>
  <c r="E373" i="1"/>
  <c r="G373" i="1"/>
  <c r="G374" i="1" s="1"/>
  <c r="D318" i="1"/>
  <c r="F318" i="1" s="1"/>
  <c r="D317" i="1"/>
  <c r="F317" i="1" s="1"/>
  <c r="D316" i="1"/>
  <c r="F316" i="1" s="1"/>
  <c r="I316" i="1" s="1"/>
  <c r="D315" i="1"/>
  <c r="F315" i="1" s="1"/>
  <c r="D314" i="1"/>
  <c r="F314" i="1" s="1"/>
  <c r="D313" i="1"/>
  <c r="F313" i="1" s="1"/>
  <c r="D312" i="1"/>
  <c r="F312" i="1" s="1"/>
  <c r="D311" i="1"/>
  <c r="F311" i="1" s="1"/>
  <c r="G310" i="1"/>
  <c r="G311" i="1" s="1"/>
  <c r="G312" i="1" s="1"/>
  <c r="G313" i="1" s="1"/>
  <c r="G314" i="1" s="1"/>
  <c r="G315" i="1" s="1"/>
  <c r="G316" i="1" s="1"/>
  <c r="G317" i="1" s="1"/>
  <c r="G318" i="1" s="1"/>
  <c r="D310" i="1"/>
  <c r="F310" i="1" s="1"/>
  <c r="D438" i="1"/>
  <c r="F438" i="1" s="1"/>
  <c r="A438" i="1"/>
  <c r="G437" i="1"/>
  <c r="G438" i="1" s="1"/>
  <c r="D437" i="1"/>
  <c r="F437" i="1" s="1"/>
  <c r="D308" i="1"/>
  <c r="F308" i="1" s="1"/>
  <c r="D307" i="1"/>
  <c r="F307" i="1" s="1"/>
  <c r="D306" i="1"/>
  <c r="F306" i="1" s="1"/>
  <c r="D305" i="1"/>
  <c r="F305" i="1" s="1"/>
  <c r="D303" i="1"/>
  <c r="F303" i="1" s="1"/>
  <c r="D302" i="1"/>
  <c r="F302" i="1" s="1"/>
  <c r="D301" i="1"/>
  <c r="F301" i="1" s="1"/>
  <c r="G300" i="1"/>
  <c r="G301" i="1" s="1"/>
  <c r="G302" i="1" s="1"/>
  <c r="G303" i="1" s="1"/>
  <c r="G304" i="1" s="1"/>
  <c r="G305" i="1" s="1"/>
  <c r="G306" i="1" s="1"/>
  <c r="G307" i="1" s="1"/>
  <c r="G308" i="1" s="1"/>
  <c r="D300" i="1"/>
  <c r="F300" i="1" s="1"/>
  <c r="D432" i="1"/>
  <c r="F432" i="1" s="1"/>
  <c r="A432" i="1"/>
  <c r="D431" i="1"/>
  <c r="F431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G290" i="1"/>
  <c r="G291" i="1" s="1"/>
  <c r="G292" i="1" s="1"/>
  <c r="G293" i="1" s="1"/>
  <c r="G294" i="1" s="1"/>
  <c r="G295" i="1" s="1"/>
  <c r="G296" i="1" s="1"/>
  <c r="G297" i="1" s="1"/>
  <c r="G298" i="1" s="1"/>
  <c r="D290" i="1"/>
  <c r="F290" i="1" s="1"/>
  <c r="D426" i="1"/>
  <c r="F426" i="1" s="1"/>
  <c r="A426" i="1"/>
  <c r="G425" i="1"/>
  <c r="G426" i="1" s="1"/>
  <c r="D425" i="1"/>
  <c r="F425" i="1" s="1"/>
  <c r="D288" i="1"/>
  <c r="F288" i="1" s="1"/>
  <c r="D287" i="1"/>
  <c r="F287" i="1" s="1"/>
  <c r="I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G280" i="1"/>
  <c r="G281" i="1" s="1"/>
  <c r="G282" i="1" s="1"/>
  <c r="G283" i="1" s="1"/>
  <c r="G284" i="1" s="1"/>
  <c r="G285" i="1" s="1"/>
  <c r="G286" i="1" s="1"/>
  <c r="G287" i="1" s="1"/>
  <c r="G288" i="1" s="1"/>
  <c r="D280" i="1"/>
  <c r="F280" i="1" s="1"/>
  <c r="D420" i="1"/>
  <c r="F420" i="1" s="1"/>
  <c r="A420" i="1"/>
  <c r="G419" i="1"/>
  <c r="G420" i="1" s="1"/>
  <c r="D419" i="1"/>
  <c r="F419" i="1" s="1"/>
  <c r="I419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D278" i="1"/>
  <c r="F278" i="1" s="1"/>
  <c r="D277" i="1"/>
  <c r="F277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G270" i="1"/>
  <c r="G271" i="1" s="1"/>
  <c r="G272" i="1" s="1"/>
  <c r="G273" i="1" s="1"/>
  <c r="G274" i="1" s="1"/>
  <c r="G275" i="1" s="1"/>
  <c r="G276" i="1" s="1"/>
  <c r="G277" i="1" s="1"/>
  <c r="G278" i="1" s="1"/>
  <c r="D270" i="1"/>
  <c r="F270" i="1" s="1"/>
  <c r="D414" i="1"/>
  <c r="F414" i="1" s="1"/>
  <c r="A414" i="1"/>
  <c r="D413" i="1"/>
  <c r="F413" i="1" s="1"/>
  <c r="D193" i="1"/>
  <c r="D192" i="1"/>
  <c r="D191" i="1"/>
  <c r="D190" i="1"/>
  <c r="D189" i="1"/>
  <c r="D188" i="1"/>
  <c r="D187" i="1"/>
  <c r="D186" i="1"/>
  <c r="D185" i="1"/>
  <c r="D184" i="1"/>
  <c r="E146" i="1" l="1"/>
  <c r="C151" i="1"/>
  <c r="E151" i="1"/>
  <c r="C153" i="1"/>
  <c r="E145" i="1"/>
  <c r="E153" i="1"/>
  <c r="G153" i="1"/>
  <c r="F195" i="1"/>
  <c r="G145" i="1" s="1"/>
  <c r="C145" i="1"/>
  <c r="F236" i="1"/>
  <c r="G146" i="1" s="1"/>
  <c r="C146" i="1"/>
  <c r="F404" i="1"/>
  <c r="I404" i="1" s="1"/>
  <c r="G241" i="1"/>
  <c r="G240" i="1"/>
  <c r="G242" i="1" s="1"/>
  <c r="G238" i="1"/>
  <c r="G233" i="1"/>
  <c r="G232" i="1"/>
  <c r="G234" i="1" s="1"/>
  <c r="G230" i="1"/>
  <c r="G219" i="1"/>
  <c r="G221" i="1" s="1"/>
  <c r="G223" i="1" s="1"/>
  <c r="F374" i="1"/>
  <c r="G333" i="1"/>
  <c r="G334" i="1" s="1"/>
  <c r="G444" i="1"/>
  <c r="F373" i="1"/>
  <c r="G196" i="1"/>
  <c r="G197" i="1" s="1"/>
  <c r="G198" i="1" s="1"/>
  <c r="G199" i="1" s="1"/>
  <c r="G200" i="1" s="1"/>
  <c r="G201" i="1" s="1"/>
  <c r="G202" i="1" s="1"/>
  <c r="G203" i="1" s="1"/>
  <c r="G204" i="1" s="1"/>
  <c r="F188" i="1"/>
  <c r="F186" i="1"/>
  <c r="F193" i="1"/>
  <c r="F192" i="1"/>
  <c r="F191" i="1"/>
  <c r="F190" i="1"/>
  <c r="F189" i="1"/>
  <c r="F187" i="1"/>
  <c r="F185" i="1"/>
  <c r="F184" i="1"/>
  <c r="D258" i="1"/>
  <c r="F258" i="1" s="1"/>
  <c r="I258" i="1" s="1"/>
  <c r="D257" i="1"/>
  <c r="F257" i="1" s="1"/>
  <c r="D256" i="1"/>
  <c r="F256" i="1" s="1"/>
  <c r="D255" i="1"/>
  <c r="F255" i="1" s="1"/>
  <c r="I255" i="1" s="1"/>
  <c r="D254" i="1"/>
  <c r="F254" i="1" s="1"/>
  <c r="I254" i="1" s="1"/>
  <c r="D253" i="1"/>
  <c r="F253" i="1" s="1"/>
  <c r="I253" i="1" s="1"/>
  <c r="D252" i="1"/>
  <c r="F252" i="1" s="1"/>
  <c r="I252" i="1" s="1"/>
  <c r="D251" i="1"/>
  <c r="F251" i="1" s="1"/>
  <c r="I251" i="1" s="1"/>
  <c r="D250" i="1"/>
  <c r="D265" i="1"/>
  <c r="F265" i="1" s="1"/>
  <c r="D264" i="1"/>
  <c r="F264" i="1" s="1"/>
  <c r="D267" i="1"/>
  <c r="F267" i="1" s="1"/>
  <c r="D266" i="1"/>
  <c r="F266" i="1" s="1"/>
  <c r="D268" i="1"/>
  <c r="F268" i="1" s="1"/>
  <c r="D262" i="1"/>
  <c r="F262" i="1" s="1"/>
  <c r="I262" i="1" s="1"/>
  <c r="D263" i="1"/>
  <c r="F263" i="1" s="1"/>
  <c r="D261" i="1"/>
  <c r="F261" i="1" s="1"/>
  <c r="I261" i="1" s="1"/>
  <c r="D260" i="1"/>
  <c r="F260" i="1" s="1"/>
  <c r="G260" i="1"/>
  <c r="G261" i="1" s="1"/>
  <c r="G262" i="1" s="1"/>
  <c r="G263" i="1" s="1"/>
  <c r="G264" i="1" s="1"/>
  <c r="G265" i="1" s="1"/>
  <c r="G266" i="1" s="1"/>
  <c r="G267" i="1" s="1"/>
  <c r="G268" i="1" s="1"/>
  <c r="D408" i="1"/>
  <c r="F408" i="1" s="1"/>
  <c r="I408" i="1" s="1"/>
  <c r="D407" i="1"/>
  <c r="F407" i="1" s="1"/>
  <c r="I407" i="1" s="1"/>
  <c r="G407" i="1"/>
  <c r="G408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1" i="1"/>
  <c r="D170" i="1"/>
  <c r="D169" i="1"/>
  <c r="D168" i="1"/>
  <c r="D167" i="1"/>
  <c r="D166" i="1"/>
  <c r="D165" i="1"/>
  <c r="D164" i="1"/>
  <c r="D163" i="1"/>
  <c r="D162" i="1"/>
  <c r="D216" i="1"/>
  <c r="D215" i="1"/>
  <c r="D214" i="1"/>
  <c r="D213" i="1"/>
  <c r="F213" i="1" s="1"/>
  <c r="D212" i="1"/>
  <c r="D211" i="1"/>
  <c r="D210" i="1"/>
  <c r="D209" i="1"/>
  <c r="D208" i="1"/>
  <c r="A408" i="1"/>
  <c r="G250" i="1"/>
  <c r="G251" i="1" s="1"/>
  <c r="G252" i="1" s="1"/>
  <c r="G253" i="1" s="1"/>
  <c r="G254" i="1" s="1"/>
  <c r="G255" i="1" s="1"/>
  <c r="G256" i="1" s="1"/>
  <c r="G257" i="1" s="1"/>
  <c r="G258" i="1" s="1"/>
  <c r="G151" i="1" l="1"/>
  <c r="E147" i="1"/>
  <c r="C141" i="1"/>
  <c r="E141" i="1"/>
  <c r="C150" i="1"/>
  <c r="E150" i="1"/>
  <c r="C147" i="1"/>
  <c r="C152" i="1"/>
  <c r="C140" i="1"/>
  <c r="E140" i="1"/>
  <c r="E152" i="1"/>
  <c r="G147" i="1"/>
  <c r="G152" i="1"/>
  <c r="F250" i="1"/>
  <c r="G222" i="1"/>
  <c r="G224" i="1" s="1"/>
  <c r="G225" i="1" s="1"/>
  <c r="G226" i="1" s="1"/>
  <c r="G185" i="1"/>
  <c r="G186" i="1" s="1"/>
  <c r="G187" i="1" s="1"/>
  <c r="G188" i="1" s="1"/>
  <c r="G189" i="1" s="1"/>
  <c r="G190" i="1" s="1"/>
  <c r="G191" i="1" s="1"/>
  <c r="G192" i="1" s="1"/>
  <c r="G193" i="1" s="1"/>
  <c r="F168" i="1"/>
  <c r="F167" i="1"/>
  <c r="F165" i="1"/>
  <c r="F164" i="1"/>
  <c r="F163" i="1"/>
  <c r="F211" i="1"/>
  <c r="F171" i="1"/>
  <c r="F169" i="1"/>
  <c r="F166" i="1"/>
  <c r="F162" i="1"/>
  <c r="F216" i="1"/>
  <c r="F215" i="1"/>
  <c r="F214" i="1"/>
  <c r="F210" i="1"/>
  <c r="I209" i="1"/>
  <c r="I208" i="1"/>
  <c r="F170" i="1"/>
  <c r="C142" i="1" l="1"/>
  <c r="C154" i="1"/>
  <c r="E142" i="1"/>
  <c r="E154" i="1"/>
  <c r="G150" i="1"/>
  <c r="G154" i="1" s="1"/>
  <c r="I250" i="1"/>
  <c r="G140" i="1"/>
  <c r="G174" i="1"/>
  <c r="G175" i="1" s="1"/>
  <c r="G176" i="1" s="1"/>
  <c r="G177" i="1" s="1"/>
  <c r="G178" i="1" s="1"/>
  <c r="G179" i="1" s="1"/>
  <c r="G180" i="1" s="1"/>
  <c r="G181" i="1" s="1"/>
  <c r="G182" i="1" s="1"/>
  <c r="C15" i="1"/>
  <c r="J146" i="1" l="1"/>
  <c r="E30" i="1"/>
  <c r="F137" i="1" l="1"/>
  <c r="F209" i="1" l="1"/>
  <c r="F212" i="1"/>
  <c r="F208" i="1"/>
  <c r="G141" i="1" l="1"/>
  <c r="G142" i="1" s="1"/>
  <c r="B510" i="1"/>
  <c r="B511" i="1" l="1"/>
  <c r="F11" i="5" l="1"/>
  <c r="G11" i="5" s="1"/>
  <c r="G10" i="5"/>
  <c r="F10" i="5"/>
  <c r="F9" i="5"/>
  <c r="G9" i="5" s="1"/>
  <c r="F8" i="5"/>
  <c r="G8" i="5" s="1"/>
  <c r="F7" i="5"/>
  <c r="G7" i="5" s="1"/>
  <c r="F6" i="5"/>
  <c r="G6" i="5" s="1"/>
  <c r="F5" i="5"/>
  <c r="G5" i="5" s="1"/>
  <c r="G12" i="5" s="1"/>
  <c r="D532" i="1"/>
  <c r="G208" i="1"/>
  <c r="J121" i="1"/>
  <c r="J120" i="1"/>
  <c r="J119" i="1"/>
  <c r="J118" i="1"/>
  <c r="C110" i="1"/>
  <c r="J107" i="1"/>
  <c r="J106" i="1"/>
  <c r="J105" i="1"/>
  <c r="J104" i="1"/>
  <c r="J93" i="1"/>
  <c r="J92" i="1"/>
  <c r="J91" i="1"/>
  <c r="J90" i="1"/>
  <c r="D55" i="1"/>
  <c r="C50" i="1"/>
  <c r="E43" i="1"/>
  <c r="E44" i="1" s="1"/>
  <c r="E27" i="1"/>
  <c r="E25" i="1"/>
  <c r="E7" i="1"/>
  <c r="E3" i="1"/>
  <c r="H83" i="1"/>
  <c r="H111" i="1"/>
  <c r="H97" i="1"/>
  <c r="G209" i="1" l="1"/>
  <c r="G211" i="1" s="1"/>
  <c r="G210" i="1"/>
  <c r="D62" i="1"/>
  <c r="D107" i="1"/>
  <c r="D108" i="1"/>
  <c r="D109" i="1"/>
  <c r="D103" i="1"/>
  <c r="D104" i="1"/>
  <c r="D105" i="1"/>
  <c r="D106" i="1"/>
  <c r="J96" i="1"/>
  <c r="J98" i="1" s="1"/>
  <c r="D95" i="1"/>
  <c r="D93" i="1"/>
  <c r="D92" i="1"/>
  <c r="D91" i="1"/>
  <c r="D89" i="1"/>
  <c r="J82" i="1"/>
  <c r="D94" i="1"/>
  <c r="D90" i="1"/>
  <c r="J86" i="1"/>
  <c r="J87" i="1"/>
  <c r="C86" i="1" s="1"/>
  <c r="J85" i="1"/>
  <c r="J88" i="1"/>
  <c r="C116" i="1"/>
  <c r="J110" i="1" s="1"/>
  <c r="J112" i="1" s="1"/>
  <c r="J114" i="1"/>
  <c r="D123" i="1"/>
  <c r="D121" i="1"/>
  <c r="D119" i="1"/>
  <c r="D117" i="1"/>
  <c r="J115" i="1"/>
  <c r="C114" i="1" s="1"/>
  <c r="J113" i="1"/>
  <c r="J116" i="1"/>
  <c r="J117" i="1" s="1"/>
  <c r="J122" i="1" s="1"/>
  <c r="J123" i="1" s="1"/>
  <c r="C115" i="1" s="1"/>
  <c r="D122" i="1"/>
  <c r="D120" i="1"/>
  <c r="D118" i="1"/>
  <c r="J102" i="1"/>
  <c r="J103" i="1" s="1"/>
  <c r="J108" i="1" s="1"/>
  <c r="J109" i="1" s="1"/>
  <c r="C101" i="1" s="1"/>
  <c r="J100" i="1"/>
  <c r="J101" i="1"/>
  <c r="C100" i="1" s="1"/>
  <c r="J99" i="1"/>
  <c r="J89" i="1" l="1"/>
  <c r="G212" i="1"/>
  <c r="G214" i="1" s="1"/>
  <c r="G215" i="1" s="1"/>
  <c r="G216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213" i="1"/>
  <c r="D116" i="1"/>
  <c r="D114" i="1"/>
  <c r="D102" i="1"/>
  <c r="D88" i="1"/>
  <c r="J84" i="1"/>
  <c r="D86" i="1"/>
  <c r="E100" i="1"/>
  <c r="D101" i="1"/>
  <c r="G100" i="1"/>
  <c r="D100" i="1"/>
  <c r="J97" i="1" s="1"/>
  <c r="E114" i="1"/>
  <c r="D115" i="1"/>
  <c r="G114" i="1"/>
  <c r="J94" i="1" l="1"/>
  <c r="J95" i="1" s="1"/>
  <c r="C87" i="1" s="1"/>
  <c r="G86" i="1" s="1"/>
  <c r="D66" i="1" s="1"/>
  <c r="D67" i="1" s="1"/>
  <c r="I111" i="1"/>
  <c r="J111" i="1"/>
  <c r="I97" i="1"/>
  <c r="J83" i="1" l="1"/>
  <c r="D87" i="1"/>
  <c r="I83" i="1" s="1"/>
  <c r="I84" i="1" s="1"/>
  <c r="E86" i="1"/>
  <c r="F67" i="1"/>
  <c r="I112" i="1"/>
  <c r="I110" i="1" s="1"/>
  <c r="C112" i="1" s="1"/>
  <c r="I98" i="1"/>
  <c r="I96" i="1" s="1"/>
  <c r="C98" i="1" s="1"/>
  <c r="I82" i="1" l="1"/>
  <c r="C84" i="1" s="1"/>
</calcChain>
</file>

<file path=xl/sharedStrings.xml><?xml version="1.0" encoding="utf-8"?>
<sst xmlns="http://schemas.openxmlformats.org/spreadsheetml/2006/main" count="739" uniqueCount="265">
  <si>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</si>
  <si>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</si>
  <si>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</si>
  <si>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</si>
  <si>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</si>
  <si>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</si>
  <si>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</si>
  <si>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</si>
  <si>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</si>
  <si>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</si>
  <si>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</si>
  <si>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</si>
  <si>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</si>
  <si>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</si>
  <si>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</si>
  <si>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</si>
  <si>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</si>
  <si>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</si>
  <si>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</si>
  <si>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</si>
  <si>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</si>
  <si>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</si>
  <si>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</si>
  <si>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</si>
  <si>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</si>
  <si>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</si>
  <si>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</si>
  <si>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</si>
  <si>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</si>
  <si>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</si>
  <si>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</si>
  <si>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</si>
  <si>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</si>
  <si>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</si>
  <si>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</si>
  <si>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</si>
  <si>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</si>
  <si>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</si>
  <si>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</si>
  <si>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</si>
  <si>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</si>
  <si>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</si>
  <si>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</si>
  <si>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</si>
  <si>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</si>
  <si>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</si>
  <si>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</si>
  <si>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</si>
  <si>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</si>
  <si>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</si>
  <si>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</si>
  <si>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</si>
  <si>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</si>
  <si>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</si>
  <si>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</si>
  <si>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</si>
  <si>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</si>
  <si>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</si>
  <si>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</si>
  <si>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</si>
  <si>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</si>
  <si>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</si>
  <si>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</si>
  <si>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</si>
  <si>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</si>
  <si>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</si>
  <si>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</si>
  <si>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</si>
  <si>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</si>
  <si>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</si>
  <si>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</si>
  <si>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</si>
  <si>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</si>
  <si>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</si>
  <si>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</si>
  <si>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</si>
  <si>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</si>
  <si>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</si>
  <si>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</si>
  <si>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</si>
  <si>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</si>
  <si>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</si>
  <si>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</si>
  <si>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</si>
  <si>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</si>
  <si>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</si>
  <si>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</si>
  <si>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</si>
  <si>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</si>
  <si>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</si>
  <si>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</si>
  <si>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</si>
  <si>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</si>
  <si>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</si>
  <si>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</si>
  <si>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</si>
  <si>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</si>
  <si>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</si>
  <si>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</si>
  <si>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</si>
  <si>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</si>
  <si>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</si>
  <si>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</si>
  <si>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</si>
  <si>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</si>
  <si>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</si>
  <si>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</si>
  <si>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</si>
  <si>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</si>
  <si>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</si>
  <si>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</si>
  <si>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</si>
  <si>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</si>
  <si>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</si>
  <si>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</si>
  <si>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</si>
  <si>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</si>
  <si>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</si>
  <si>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</si>
  <si>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</si>
  <si>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</si>
  <si>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</si>
  <si>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</si>
  <si>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</si>
  <si>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</si>
  <si>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</si>
  <si>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</si>
  <si>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</si>
  <si>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</si>
  <si>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</si>
  <si>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</si>
  <si>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</si>
  <si>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</si>
  <si>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</si>
  <si>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</si>
  <si>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</si>
  <si>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</si>
  <si>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</si>
  <si>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</si>
  <si>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</si>
  <si>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</si>
  <si>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</si>
  <si>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</si>
  <si>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</si>
  <si>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</si>
  <si>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</si>
  <si>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</si>
  <si>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</si>
  <si>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</si>
  <si>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</si>
  <si>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</si>
  <si>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</si>
  <si>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</si>
  <si>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</si>
  <si>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</si>
  <si>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</si>
  <si>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</si>
  <si>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</si>
  <si>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</si>
  <si>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</si>
  <si>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</si>
  <si>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</si>
  <si>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</si>
  <si>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</si>
  <si>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</si>
  <si>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</si>
  <si>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</si>
  <si>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</si>
  <si>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</si>
  <si>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Axis Goregaon</t>
  </si>
  <si>
    <t>JP Infra Realty Private Limited</t>
  </si>
  <si>
    <t>Codename Dream Home</t>
  </si>
  <si>
    <t>Survey No</t>
  </si>
  <si>
    <t>26/5, 26/8(Pt), 26/9,110/1(Pt), 112/2(Pt), 113/1, 113/2, 114/1, 114/3, 114/4, 114/6, 116/1, 116/4, 116/5(Pt),116/7(Pt), 116/8, 116/9, 117/1, 117/3, 117/4, 117</t>
  </si>
  <si>
    <t>20/4B(Pt), 20/8(Pt), 21/2A+21/2B, 22/1B(Pt), 22/1C(Pt)….. &amp; Others</t>
  </si>
  <si>
    <t>Godbunder</t>
  </si>
  <si>
    <t>Thane</t>
  </si>
  <si>
    <t>Vinay Nagar</t>
  </si>
  <si>
    <t>Mira Bhayandar Road</t>
  </si>
  <si>
    <t>JP North - Euphoria</t>
  </si>
  <si>
    <t>4.2KM from Mira Road Railway Station</t>
  </si>
  <si>
    <t>https://goo.gl/maps/4tbtbsgiXKAAq4KYA</t>
  </si>
  <si>
    <t>MBMNP/NR/3855/2021-22</t>
  </si>
  <si>
    <t>Wing B1</t>
  </si>
  <si>
    <t>Ground Floor For Parking</t>
  </si>
  <si>
    <t>Wing B2</t>
  </si>
  <si>
    <t>Wing C1</t>
  </si>
  <si>
    <t>Wing C2</t>
  </si>
  <si>
    <t>Shop</t>
  </si>
  <si>
    <t>2BHK</t>
  </si>
  <si>
    <t>1BHK</t>
  </si>
  <si>
    <t>3rd &amp; 4th Floor</t>
  </si>
  <si>
    <t>Office</t>
  </si>
  <si>
    <t>5th Floor</t>
  </si>
  <si>
    <t>6th, 7th, 9th &amp; 10th Floor</t>
  </si>
  <si>
    <t>8th Floor Part Refuge Area</t>
  </si>
  <si>
    <t>Refuge Area</t>
  </si>
  <si>
    <t xml:space="preserve">8th Floor  </t>
  </si>
  <si>
    <t>3BHK</t>
  </si>
  <si>
    <t>14th to 17th, 19th to 22nd, 24th to 27th, 29th to 32nd, 34th to 37th, 39th &amp; 40th Floor</t>
  </si>
  <si>
    <t>13th, 18th, 23rd, 28th, 33th &amp; 38th Floor (Part Refuge Area)</t>
  </si>
  <si>
    <t>Ground Floor For Commercial &amp; Parking</t>
  </si>
  <si>
    <t>1st Floor For Mezzanine &amp; Parking</t>
  </si>
  <si>
    <t>1st Floor For Residential &amp; Parking</t>
  </si>
  <si>
    <t>2nd Floor &amp; Parking</t>
  </si>
  <si>
    <t>2nd Floor  For Residential &amp; Parking</t>
  </si>
  <si>
    <t>3rd &amp; 4th Floor For Residential &amp; Parking</t>
  </si>
  <si>
    <t>5th Floor For Residential &amp; Parking</t>
  </si>
  <si>
    <t>6th, 7th, 9th &amp; 10th Floor For Residential &amp; Parking</t>
  </si>
  <si>
    <t>11th Floor For Residential &amp; Amenities</t>
  </si>
  <si>
    <t>11th Floor For Residential, Society Office &amp; Amenities</t>
  </si>
  <si>
    <t>12th Floor For Residential</t>
  </si>
  <si>
    <t>8th Floor (Part Refuge Area)</t>
  </si>
  <si>
    <t xml:space="preserve">12th Floor For Residential </t>
  </si>
  <si>
    <t>5th Floor For Parking</t>
  </si>
  <si>
    <t>6th, 7th, 9th &amp; 10th Floor For Parking</t>
  </si>
  <si>
    <t>8th Floor For Parking</t>
  </si>
  <si>
    <t>Commercial Area Details : Office</t>
  </si>
  <si>
    <t>Commercial Area Details : Shop</t>
  </si>
  <si>
    <t>Approved Plans, CC.</t>
  </si>
  <si>
    <t>Mira Road</t>
  </si>
  <si>
    <t>Apna Ghar Phase - II</t>
  </si>
  <si>
    <t>JP North - Aviva</t>
  </si>
  <si>
    <t>JP North - Future Development</t>
  </si>
  <si>
    <t>Mira-Bhayandar Municipal Corporation</t>
  </si>
  <si>
    <t>We considered Gross carpet area = Net carpet + A.P Area.</t>
  </si>
  <si>
    <t>Layout Plan :</t>
  </si>
  <si>
    <t>Residential Area Details : Flats</t>
  </si>
  <si>
    <t>2nd Floor (1st Floor) For Commercial &amp; Parking</t>
  </si>
  <si>
    <t>3rd &amp; 4th (2nd &amp; 3rd) Floor For Commercial &amp; Parking</t>
  </si>
  <si>
    <r>
      <t xml:space="preserve">Flat No.
</t>
    </r>
    <r>
      <rPr>
        <b/>
        <sz val="11"/>
        <rFont val="Times New Roman"/>
        <family val="1"/>
      </rPr>
      <t>(Approved Plan)</t>
    </r>
  </si>
  <si>
    <t>Flats - 1245, Shops - 55, Offices - 34</t>
  </si>
  <si>
    <t xml:space="preserve">As per RERA : Tower B &amp; C = 31/12/2028
</t>
  </si>
  <si>
    <t>Ground to 4th Floor for Commercial &amp; Parking</t>
  </si>
  <si>
    <t>rate sheet</t>
  </si>
  <si>
    <t>visitor</t>
  </si>
  <si>
    <t>Building No. 8 - Tower B (B1 &amp; B2 Wings)
Building No. 8 - Tower C (C1 &amp; C2 Wings)</t>
  </si>
  <si>
    <t>4 Wings</t>
  </si>
  <si>
    <t>Building No. 8 - Tower B (B1 &amp; B2 Wings) = Gr + 1st to 40th Floor
Building No. 8 - Tower C (C1 &amp; C2 Wings) = Gr + 1st to 40th Floor</t>
  </si>
  <si>
    <t>Building No. 8 - Tower B (B1 &amp; B2 Wings) = Gr + 1st to 45th Floor</t>
  </si>
  <si>
    <t>Building No. 8 - Tower C (C1 &amp; C2 Wings) = Gr + 1st to 45th Floor</t>
  </si>
  <si>
    <t>Building No.8 - Tower B</t>
  </si>
  <si>
    <t>Building No.8 - Tower C</t>
  </si>
  <si>
    <t>Open Sky Garden, Kid Play Area</t>
  </si>
  <si>
    <t>Name of the Project (As Per RERA Name)</t>
  </si>
  <si>
    <t>RERA No &amp; Name</t>
  </si>
  <si>
    <t>The Palace Tower B (B1 &amp; B2 Wings) = P51700033430
The Palace Tower C (C1 &amp; C2 Wings)  = P51700033431</t>
  </si>
  <si>
    <t>The Palace Tower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</si>
  <si>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</si>
  <si>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Society Formation + Maintenance Charges</t>
  </si>
  <si>
    <t>Recommended Rates/Other Charges of the Property have been revised on 09/01/2024.</t>
  </si>
  <si>
    <t>OC added by rushikesh</t>
  </si>
  <si>
    <t>Latitude,Longitude</t>
  </si>
  <si>
    <t>19.2796414,72.886215</t>
  </si>
  <si>
    <t>MNP/NR/2793/2022-2023</t>
  </si>
  <si>
    <t>Building No. 8 - Wing B (B1 &amp; B2) &amp; Wing C (C1 &amp; C2) = Gr (Pt) + 1st to 3rd Floor Commercial (Pt) + Residential (Pt) + Parking (Pt) + 4th to 8th Floor Podium (Pt) +Residential (Pt) + 9th Floor Residential (Pt) + Amenities (Pt) + 10th &amp; 11th Floor Residential (Pt) + 12th to 40th Floor Residential (Total Built Up Area = 92006.50 Sqm)</t>
  </si>
  <si>
    <t>Codename Dream Home (The Palace Tower B &amp; C)</t>
  </si>
  <si>
    <t>We have updated revised CC from RERA site (On 13/08/2024).</t>
  </si>
  <si>
    <t>Mr. Dhananjay Trivedi 8655441207</t>
  </si>
  <si>
    <t>Mr. Deepak Patel 8657913801</t>
  </si>
  <si>
    <t>Ranjan Sharma</t>
  </si>
  <si>
    <t>Building No. 8 - Tower B (B2 Wing) = Gr + 1st to 45th Floor</t>
  </si>
  <si>
    <t>Building No. 8 - Tower B (B1 Wing) = Gr + 1st to 45th Floor</t>
  </si>
  <si>
    <t>Shruti</t>
  </si>
  <si>
    <t>Tower B  (Wing B1 &amp; B2)&amp; C (Wing C1 &amp; C2)  = Since internal visit were not permitted, we were unable to determine building progress from an external visit; so, we are maintaining the same progress as in the previous report.
Tower B2 = Construction work is in process at the time of visit (Slow Speed).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</si>
</sst>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8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5" fillId="0" borderId="1" xfId="1" applyFont="1" applyFill="1" applyBorder="1" applyAlignment="1" applyProtection="1">
      <alignment horizontal="center" vertical="top"/>
      <protection locked="0"/>
    </xf>
    <xf numFmtId="0" fontId="17" fillId="0" borderId="10" xfId="0" applyFont="1" applyFill="1" applyBorder="1" applyProtection="1">
      <protection hidden="1"/>
    </xf>
    <xf numFmtId="0" fontId="12" fillId="0" borderId="3" xfId="1" applyFont="1" applyFill="1" applyBorder="1" applyAlignment="1" applyProtection="1">
      <alignment horizontal="center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25" fillId="0" borderId="30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" fontId="7" fillId="0" borderId="1" xfId="1" applyNumberFormat="1" applyFont="1" applyFill="1" applyBorder="1" applyAlignment="1">
      <alignment horizontal="center" vertical="center"/>
    </xf>
    <xf numFmtId="1" fontId="12" fillId="0" borderId="0" xfId="1" applyNumberFormat="1" applyFont="1" applyFill="1" applyAlignment="1">
      <alignment horizontal="center" vertical="center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 applyProtection="1">
      <alignment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9" fontId="13" fillId="0" borderId="15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1" fontId="13" fillId="0" borderId="2" xfId="1" applyNumberFormat="1" applyFont="1" applyFill="1" applyBorder="1" applyAlignment="1" applyProtection="1">
      <alignment horizontal="center" vertical="top" wrapText="1"/>
      <protection locked="0"/>
    </xf>
    <xf numFmtId="0" fontId="24" fillId="0" borderId="29" xfId="0" applyFont="1" applyFill="1" applyBorder="1"/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7" fillId="0" borderId="0" xfId="0" applyNumberFormat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12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12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>
      <alignment horizontal="center" vertical="center"/>
    </xf>
    <xf numFmtId="1" fontId="8" fillId="0" borderId="7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13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6" xfId="1" applyNumberFormat="1" applyFont="1" applyFill="1" applyBorder="1" applyAlignment="1" applyProtection="1">
      <alignment horizontal="center" vertical="top" wrapText="1"/>
      <protection locked="0"/>
    </xf>
    <xf numFmtId="1" fontId="13" fillId="0" borderId="18" xfId="1" applyNumberFormat="1" applyFont="1" applyFill="1" applyBorder="1" applyAlignment="1" applyProtection="1">
      <alignment horizontal="center" vertical="top" wrapText="1"/>
      <protection locked="0"/>
    </xf>
    <xf numFmtId="1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13" fillId="0" borderId="2" xfId="1" applyNumberFormat="1" applyFont="1" applyFill="1" applyBorder="1" applyAlignment="1" applyProtection="1">
      <alignment horizontal="center" vertical="top" wrapText="1"/>
      <protection locked="0"/>
    </xf>
    <xf numFmtId="1" fontId="13" fillId="0" borderId="15" xfId="1" applyNumberFormat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3" fillId="0" borderId="7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7" fillId="0" borderId="3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10" fillId="0" borderId="7" xfId="1" applyFont="1" applyFill="1" applyBorder="1" applyAlignment="1" applyProtection="1">
      <alignment horizontal="left"/>
      <protection locked="0"/>
    </xf>
    <xf numFmtId="0" fontId="10" fillId="0" borderId="20" xfId="1" applyFont="1" applyFill="1" applyBorder="1" applyAlignment="1" applyProtection="1">
      <alignment horizontal="left"/>
      <protection locked="0"/>
    </xf>
    <xf numFmtId="0" fontId="10" fillId="0" borderId="8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14" fontId="12" fillId="0" borderId="7" xfId="1" applyNumberFormat="1" applyFont="1" applyFill="1" applyBorder="1" applyAlignment="1" applyProtection="1">
      <alignment horizontal="left" vertical="top" wrapText="1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13" fillId="0" borderId="7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8" fillId="0" borderId="7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1" fontId="27" fillId="0" borderId="2" xfId="1" applyNumberFormat="1" applyFont="1" applyFill="1" applyBorder="1" applyAlignment="1" applyProtection="1">
      <alignment horizontal="center" vertical="top" wrapText="1"/>
      <protection locked="0"/>
    </xf>
    <xf numFmtId="1" fontId="27" fillId="0" borderId="15" xfId="1" applyNumberFormat="1" applyFont="1" applyFill="1" applyBorder="1" applyAlignment="1" applyProtection="1">
      <alignment horizontal="center" vertical="top" wrapText="1"/>
      <protection locked="0"/>
    </xf>
    <xf numFmtId="1" fontId="13" fillId="0" borderId="17" xfId="1" applyNumberFormat="1" applyFont="1" applyFill="1" applyBorder="1" applyAlignment="1" applyProtection="1">
      <alignment horizontal="center" vertical="top" wrapText="1"/>
      <protection locked="0"/>
    </xf>
    <xf numFmtId="1" fontId="13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14" fontId="7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621</xdr:row>
      <xdr:rowOff>0</xdr:rowOff>
    </xdr:from>
    <xdr:to>
      <xdr:col>6</xdr:col>
      <xdr:colOff>761607</xdr:colOff>
      <xdr:row>637</xdr:row>
      <xdr:rowOff>39600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5350" y="120119775"/>
          <a:ext cx="5143107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76200</xdr:colOff>
      <xdr:row>638</xdr:row>
      <xdr:rowOff>8269</xdr:rowOff>
    </xdr:from>
    <xdr:to>
      <xdr:col>6</xdr:col>
      <xdr:colOff>761607</xdr:colOff>
      <xdr:row>654</xdr:row>
      <xdr:rowOff>47870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5350" y="123528469"/>
          <a:ext cx="5143107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213643</xdr:colOff>
      <xdr:row>576</xdr:row>
      <xdr:rowOff>35859</xdr:rowOff>
    </xdr:from>
    <xdr:to>
      <xdr:col>5</xdr:col>
      <xdr:colOff>595566</xdr:colOff>
      <xdr:row>594</xdr:row>
      <xdr:rowOff>177000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1261" y="114481535"/>
          <a:ext cx="2959276" cy="37718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682438</xdr:colOff>
      <xdr:row>595</xdr:row>
      <xdr:rowOff>57953</xdr:rowOff>
    </xdr:from>
    <xdr:to>
      <xdr:col>6</xdr:col>
      <xdr:colOff>168235</xdr:colOff>
      <xdr:row>618</xdr:row>
      <xdr:rowOff>141405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4438" y="118336041"/>
          <a:ext cx="3643179" cy="472268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893469</xdr:colOff>
      <xdr:row>603</xdr:row>
      <xdr:rowOff>119887</xdr:rowOff>
    </xdr:from>
    <xdr:to>
      <xdr:col>4</xdr:col>
      <xdr:colOff>212682</xdr:colOff>
      <xdr:row>608</xdr:row>
      <xdr:rowOff>34162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 rot="19805442">
          <a:off x="2569869" y="117220237"/>
          <a:ext cx="1243263" cy="9144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476524</xdr:colOff>
      <xdr:row>608</xdr:row>
      <xdr:rowOff>4149</xdr:rowOff>
    </xdr:from>
    <xdr:to>
      <xdr:col>4</xdr:col>
      <xdr:colOff>710137</xdr:colOff>
      <xdr:row>612</xdr:row>
      <xdr:rowOff>118449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 rot="19805442">
          <a:off x="3067324" y="118104624"/>
          <a:ext cx="1243263" cy="91440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185703</xdr:colOff>
      <xdr:row>600</xdr:row>
      <xdr:rowOff>8125</xdr:rowOff>
    </xdr:from>
    <xdr:to>
      <xdr:col>5</xdr:col>
      <xdr:colOff>233578</xdr:colOff>
      <xdr:row>601</xdr:row>
      <xdr:rowOff>182241</xdr:rowOff>
    </xdr:to>
    <xdr:sp macro="" textlink="">
      <xdr:nvSpPr>
        <xdr:cNvPr id="21" name="TextBox 1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 rot="19641924">
          <a:off x="1862103" y="116508400"/>
          <a:ext cx="2810125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Wing C (C1 &amp; C2)</a:t>
          </a:r>
          <a:endParaRPr lang="en-IN"/>
        </a:p>
      </xdr:txBody>
    </xdr:sp>
    <xdr:clientData/>
  </xdr:twoCellAnchor>
  <xdr:twoCellAnchor>
    <xdr:from>
      <xdr:col>3</xdr:col>
      <xdr:colOff>474042</xdr:colOff>
      <xdr:row>610</xdr:row>
      <xdr:rowOff>139057</xdr:rowOff>
    </xdr:from>
    <xdr:to>
      <xdr:col>6</xdr:col>
      <xdr:colOff>628481</xdr:colOff>
      <xdr:row>612</xdr:row>
      <xdr:rowOff>113148</xdr:rowOff>
    </xdr:to>
    <xdr:sp macro="" textlink="">
      <xdr:nvSpPr>
        <xdr:cNvPr id="22" name="TextBox 12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 rot="19641924">
          <a:off x="3064842" y="118639582"/>
          <a:ext cx="2840489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Wing B (B1 &amp; B2)</a:t>
          </a:r>
          <a:endParaRPr lang="en-IN"/>
        </a:p>
      </xdr:txBody>
    </xdr:sp>
    <xdr:clientData/>
  </xdr:twoCellAnchor>
  <xdr:twoCellAnchor>
    <xdr:from>
      <xdr:col>3</xdr:col>
      <xdr:colOff>792821</xdr:colOff>
      <xdr:row>588</xdr:row>
      <xdr:rowOff>44857</xdr:rowOff>
    </xdr:from>
    <xdr:to>
      <xdr:col>3</xdr:col>
      <xdr:colOff>941878</xdr:colOff>
      <xdr:row>589</xdr:row>
      <xdr:rowOff>75983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 rot="19805442">
          <a:off x="3383621" y="114144832"/>
          <a:ext cx="149057" cy="23115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324235</xdr:colOff>
      <xdr:row>585</xdr:row>
      <xdr:rowOff>140362</xdr:rowOff>
    </xdr:from>
    <xdr:to>
      <xdr:col>4</xdr:col>
      <xdr:colOff>723900</xdr:colOff>
      <xdr:row>587</xdr:row>
      <xdr:rowOff>147467</xdr:rowOff>
    </xdr:to>
    <xdr:sp macro="" textlink="">
      <xdr:nvSpPr>
        <xdr:cNvPr id="24" name="TextBox 11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2000635" y="113640262"/>
          <a:ext cx="2323715" cy="40715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Bldg</a:t>
          </a:r>
          <a:r>
            <a:rPr lang="en-US" sz="1200" baseline="0"/>
            <a:t> No. 8 (Wing B &amp; C)</a:t>
          </a:r>
          <a:endParaRPr lang="en-IN" sz="1200"/>
        </a:p>
      </xdr:txBody>
    </xdr:sp>
    <xdr:clientData/>
  </xdr:twoCellAnchor>
  <xdr:twoCellAnchor>
    <xdr:from>
      <xdr:col>3</xdr:col>
      <xdr:colOff>389395</xdr:colOff>
      <xdr:row>587</xdr:row>
      <xdr:rowOff>4592</xdr:rowOff>
    </xdr:from>
    <xdr:to>
      <xdr:col>3</xdr:col>
      <xdr:colOff>695325</xdr:colOff>
      <xdr:row>588</xdr:row>
      <xdr:rowOff>57150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CxnSpPr/>
      </xdr:nvCxnSpPr>
      <xdr:spPr>
        <a:xfrm>
          <a:off x="2980195" y="113904542"/>
          <a:ext cx="305930" cy="252583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822612</xdr:colOff>
      <xdr:row>537</xdr:row>
      <xdr:rowOff>147203</xdr:rowOff>
    </xdr:from>
    <xdr:ext cx="682559" cy="280205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7342907" y="103077817"/>
          <a:ext cx="682559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B1 &amp; B2</a:t>
          </a:r>
        </a:p>
      </xdr:txBody>
    </xdr:sp>
    <xdr:clientData/>
  </xdr:oneCellAnchor>
  <xdr:oneCellAnchor>
    <xdr:from>
      <xdr:col>8</xdr:col>
      <xdr:colOff>1082384</xdr:colOff>
      <xdr:row>542</xdr:row>
      <xdr:rowOff>156806</xdr:rowOff>
    </xdr:from>
    <xdr:ext cx="679353" cy="280205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7602679" y="104083215"/>
          <a:ext cx="679353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C1 &amp; C2</a:t>
          </a:r>
        </a:p>
      </xdr:txBody>
    </xdr:sp>
    <xdr:clientData/>
  </xdr:oneCellAnchor>
  <xdr:oneCellAnchor>
    <xdr:from>
      <xdr:col>8</xdr:col>
      <xdr:colOff>622403</xdr:colOff>
      <xdr:row>545</xdr:row>
      <xdr:rowOff>942</xdr:rowOff>
    </xdr:from>
    <xdr:ext cx="679353" cy="280205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7142698" y="104524828"/>
          <a:ext cx="679353" cy="28020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C1 &amp; C2</a:t>
          </a:r>
        </a:p>
      </xdr:txBody>
    </xdr:sp>
    <xdr:clientData/>
  </xdr:oneCellAnchor>
  <xdr:twoCellAnchor>
    <xdr:from>
      <xdr:col>8</xdr:col>
      <xdr:colOff>820521</xdr:colOff>
      <xdr:row>534</xdr:row>
      <xdr:rowOff>72737</xdr:rowOff>
    </xdr:from>
    <xdr:to>
      <xdr:col>12</xdr:col>
      <xdr:colOff>127000</xdr:colOff>
      <xdr:row>539</xdr:row>
      <xdr:rowOff>31750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GrpSpPr/>
      </xdr:nvGrpSpPr>
      <xdr:grpSpPr>
        <a:xfrm>
          <a:off x="7449921" y="107400437"/>
          <a:ext cx="2725954" cy="949613"/>
          <a:chOff x="7521093" y="416782"/>
          <a:chExt cx="2607777" cy="865244"/>
        </a:xfrm>
      </xdr:grpSpPr>
      <xdr:sp macro="" textlink="">
        <xdr:nvSpPr>
          <xdr:cNvPr id="56" name="TextBox 11">
            <a:extLst>
              <a:ext uri="{FF2B5EF4-FFF2-40B4-BE49-F238E27FC236}">
                <a16:creationId xmlns:a16="http://schemas.microsoft.com/office/drawing/2014/main" xmlns="" id="{00000000-0008-0000-0000-000038000000}"/>
              </a:ext>
            </a:extLst>
          </xdr:cNvPr>
          <xdr:cNvSpPr txBox="1"/>
        </xdr:nvSpPr>
        <xdr:spPr>
          <a:xfrm>
            <a:off x="7521093" y="416782"/>
            <a:ext cx="1856610" cy="3455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C (C1 &amp; C2)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9" name="TextBox 15">
            <a:extLst>
              <a:ext uri="{FF2B5EF4-FFF2-40B4-BE49-F238E27FC236}">
                <a16:creationId xmlns:a16="http://schemas.microsoft.com/office/drawing/2014/main" xmlns="" id="{00000000-0008-0000-0000-00003B000000}"/>
              </a:ext>
            </a:extLst>
          </xdr:cNvPr>
          <xdr:cNvSpPr txBox="1"/>
        </xdr:nvSpPr>
        <xdr:spPr>
          <a:xfrm>
            <a:off x="8219116" y="912694"/>
            <a:ext cx="190975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B (B1 &amp; B2)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8</xdr:col>
      <xdr:colOff>563603</xdr:colOff>
      <xdr:row>532</xdr:row>
      <xdr:rowOff>31750</xdr:rowOff>
    </xdr:from>
    <xdr:to>
      <xdr:col>10</xdr:col>
      <xdr:colOff>552761</xdr:colOff>
      <xdr:row>534</xdr:row>
      <xdr:rowOff>4857</xdr:rowOff>
    </xdr:to>
    <xdr:sp macro="" textlink="">
      <xdr:nvSpPr>
        <xdr:cNvPr id="41" name="TextBox 15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>
          <a:off x="7193003" y="103987600"/>
          <a:ext cx="1913208" cy="37315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Tower B (B1 &amp; B2)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151785</xdr:colOff>
      <xdr:row>532</xdr:row>
      <xdr:rowOff>31750</xdr:rowOff>
    </xdr:from>
    <xdr:to>
      <xdr:col>14</xdr:col>
      <xdr:colOff>502839</xdr:colOff>
      <xdr:row>534</xdr:row>
      <xdr:rowOff>12191</xdr:rowOff>
    </xdr:to>
    <xdr:sp macro="" textlink="">
      <xdr:nvSpPr>
        <xdr:cNvPr id="42" name="TextBox 1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/>
      </xdr:nvSpPr>
      <xdr:spPr>
        <a:xfrm>
          <a:off x="10200660" y="103987600"/>
          <a:ext cx="1979829" cy="38049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Tower C (C1 &amp; C2)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304800</xdr:colOff>
      <xdr:row>57</xdr:row>
      <xdr:rowOff>85725</xdr:rowOff>
    </xdr:from>
    <xdr:to>
      <xdr:col>14</xdr:col>
      <xdr:colOff>656550</xdr:colOff>
      <xdr:row>79</xdr:row>
      <xdr:rowOff>1841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76D2915-B442-4F52-A236-6264DE834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34200" y="13944600"/>
          <a:ext cx="5400000" cy="4545266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95</xdr:row>
      <xdr:rowOff>133350</xdr:rowOff>
    </xdr:from>
    <xdr:to>
      <xdr:col>15</xdr:col>
      <xdr:colOff>227925</xdr:colOff>
      <xdr:row>137</xdr:row>
      <xdr:rowOff>188493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40089744-EA72-4ADC-9D22-8D7E999EF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62800" y="22050375"/>
          <a:ext cx="5400000" cy="4655718"/>
        </a:xfrm>
        <a:prstGeom prst="rect">
          <a:avLst/>
        </a:prstGeom>
      </xdr:spPr>
    </xdr:pic>
    <xdr:clientData/>
  </xdr:twoCellAnchor>
  <xdr:twoCellAnchor>
    <xdr:from>
      <xdr:col>8</xdr:col>
      <xdr:colOff>880383</xdr:colOff>
      <xdr:row>530</xdr:row>
      <xdr:rowOff>129435</xdr:rowOff>
    </xdr:from>
    <xdr:to>
      <xdr:col>15</xdr:col>
      <xdr:colOff>319769</xdr:colOff>
      <xdr:row>561</xdr:row>
      <xdr:rowOff>42183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xmlns="" id="{804CD305-CE7B-493D-A3E5-3D8626AEA9AF}"/>
            </a:ext>
          </a:extLst>
        </xdr:cNvPr>
        <xdr:cNvGrpSpPr/>
      </xdr:nvGrpSpPr>
      <xdr:grpSpPr>
        <a:xfrm>
          <a:off x="7509783" y="106657035"/>
          <a:ext cx="5144861" cy="6103998"/>
          <a:chOff x="481699" y="264147"/>
          <a:chExt cx="5571880" cy="7915903"/>
        </a:xfrm>
      </xdr:grpSpPr>
      <xdr:grpSp>
        <xdr:nvGrpSpPr>
          <xdr:cNvPr id="48" name="Group 47">
            <a:extLst>
              <a:ext uri="{FF2B5EF4-FFF2-40B4-BE49-F238E27FC236}">
                <a16:creationId xmlns:a16="http://schemas.microsoft.com/office/drawing/2014/main" xmlns="" id="{3A9E12DF-C80D-4281-9069-6574C56EAB5B}"/>
              </a:ext>
            </a:extLst>
          </xdr:cNvPr>
          <xdr:cNvGrpSpPr/>
        </xdr:nvGrpSpPr>
        <xdr:grpSpPr>
          <a:xfrm>
            <a:off x="481699" y="286870"/>
            <a:ext cx="5571880" cy="7893180"/>
            <a:chOff x="481699" y="286870"/>
            <a:chExt cx="5571880" cy="7893180"/>
          </a:xfrm>
        </xdr:grpSpPr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xmlns="" id="{A5BA51CA-C0C1-40ED-9581-72A8472FF4A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342987" y="691871"/>
              <a:ext cx="3240000" cy="243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xmlns="" id="{C8AB38FE-A608-4858-911D-0498ECACC3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357284" y="286870"/>
              <a:ext cx="2430000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xmlns="" id="{409EF654-CF5F-48DF-BB34-80CF25A6956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90139" y="3693460"/>
              <a:ext cx="1755000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xmlns="" id="{B4A8DC9B-8878-43F6-A65B-863F7E577D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189199" y="3985960"/>
              <a:ext cx="2340000" cy="1755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xmlns="" id="{E6756287-109F-475D-BBC3-A27F360A984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4006079" y="3985960"/>
              <a:ext cx="2340000" cy="1755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xmlns="" id="{85038376-6650-4D1B-B3DB-769D1E6B5C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16200000">
              <a:off x="1453415" y="6447549"/>
              <a:ext cx="1980000" cy="1485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xmlns="" id="{6592516D-8D9F-4177-94A7-2B3F0E601B9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3109784" y="6447550"/>
              <a:ext cx="1980000" cy="1485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0" name="TextBox 22">
            <a:extLst>
              <a:ext uri="{FF2B5EF4-FFF2-40B4-BE49-F238E27FC236}">
                <a16:creationId xmlns:a16="http://schemas.microsoft.com/office/drawing/2014/main" xmlns="" id="{9AA2C61D-4409-44BA-B4CF-7465A6B033A4}"/>
              </a:ext>
            </a:extLst>
          </xdr:cNvPr>
          <xdr:cNvSpPr txBox="1"/>
        </xdr:nvSpPr>
        <xdr:spPr>
          <a:xfrm>
            <a:off x="1633084" y="264147"/>
            <a:ext cx="1180144" cy="48520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B1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1" name="TextBox 23">
            <a:extLst>
              <a:ext uri="{FF2B5EF4-FFF2-40B4-BE49-F238E27FC236}">
                <a16:creationId xmlns:a16="http://schemas.microsoft.com/office/drawing/2014/main" xmlns="" id="{A79EFE9A-33C8-491E-A6D8-1753C9ACE041}"/>
              </a:ext>
            </a:extLst>
          </xdr:cNvPr>
          <xdr:cNvSpPr txBox="1"/>
        </xdr:nvSpPr>
        <xdr:spPr>
          <a:xfrm>
            <a:off x="3606886" y="286870"/>
            <a:ext cx="1724315" cy="48520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Tower C1 &amp; C2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2" name="TextBox 24">
            <a:extLst>
              <a:ext uri="{FF2B5EF4-FFF2-40B4-BE49-F238E27FC236}">
                <a16:creationId xmlns:a16="http://schemas.microsoft.com/office/drawing/2014/main" xmlns="" id="{69C93D40-C60C-45B9-860E-0293C6DDC3CE}"/>
              </a:ext>
            </a:extLst>
          </xdr:cNvPr>
          <xdr:cNvSpPr txBox="1"/>
        </xdr:nvSpPr>
        <xdr:spPr>
          <a:xfrm>
            <a:off x="1170474" y="3854824"/>
            <a:ext cx="500455" cy="48520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B1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3" name="TextBox 25">
            <a:extLst>
              <a:ext uri="{FF2B5EF4-FFF2-40B4-BE49-F238E27FC236}">
                <a16:creationId xmlns:a16="http://schemas.microsoft.com/office/drawing/2014/main" xmlns="" id="{32272F5C-C76C-4DCA-AAA4-A69FD43B9DB5}"/>
              </a:ext>
            </a:extLst>
          </xdr:cNvPr>
          <xdr:cNvSpPr txBox="1"/>
        </xdr:nvSpPr>
        <xdr:spPr>
          <a:xfrm>
            <a:off x="2348195" y="5137955"/>
            <a:ext cx="1207290" cy="48520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C1 &amp; C2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54" name="TextBox 26">
            <a:extLst>
              <a:ext uri="{FF2B5EF4-FFF2-40B4-BE49-F238E27FC236}">
                <a16:creationId xmlns:a16="http://schemas.microsoft.com/office/drawing/2014/main" xmlns="" id="{A6AF581E-0E9B-4F94-A153-172A93828387}"/>
              </a:ext>
            </a:extLst>
          </xdr:cNvPr>
          <xdr:cNvSpPr txBox="1"/>
        </xdr:nvSpPr>
        <xdr:spPr>
          <a:xfrm>
            <a:off x="3483524" y="4222995"/>
            <a:ext cx="486948" cy="48520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B2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381000</xdr:colOff>
      <xdr:row>532</xdr:row>
      <xdr:rowOff>95250</xdr:rowOff>
    </xdr:from>
    <xdr:to>
      <xdr:col>7</xdr:col>
      <xdr:colOff>608820</xdr:colOff>
      <xdr:row>574</xdr:row>
      <xdr:rowOff>120746</xdr:rowOff>
    </xdr:to>
    <xdr:grpSp>
      <xdr:nvGrpSpPr>
        <xdr:cNvPr id="9" name="Group 8"/>
        <xdr:cNvGrpSpPr/>
      </xdr:nvGrpSpPr>
      <xdr:grpSpPr>
        <a:xfrm>
          <a:off x="381000" y="107022900"/>
          <a:ext cx="5923770" cy="8417021"/>
          <a:chOff x="381000" y="106794300"/>
          <a:chExt cx="5923770" cy="8417021"/>
        </a:xfrm>
      </xdr:grpSpPr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353432" y="111062811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-99000" y="107274301"/>
            <a:ext cx="384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2875340" y="107274300"/>
            <a:ext cx="384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3239101" y="113531321"/>
            <a:ext cx="19200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/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4204770" y="111062811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3" name="Picture 82"/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5400000">
            <a:off x="2279101" y="111062811"/>
            <a:ext cx="240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4" name="Picture 83"/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 rot="16200000">
            <a:off x="1690484" y="113531321"/>
            <a:ext cx="19200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756558</xdr:colOff>
      <xdr:row>532</xdr:row>
      <xdr:rowOff>100860</xdr:rowOff>
    </xdr:from>
    <xdr:to>
      <xdr:col>3</xdr:col>
      <xdr:colOff>198433</xdr:colOff>
      <xdr:row>534</xdr:row>
      <xdr:rowOff>74951</xdr:rowOff>
    </xdr:to>
    <xdr:sp macro="" textlink="">
      <xdr:nvSpPr>
        <xdr:cNvPr id="85" name="TextBox 22">
          <a:extLst>
            <a:ext uri="{FF2B5EF4-FFF2-40B4-BE49-F238E27FC236}">
              <a16:creationId xmlns:a16="http://schemas.microsoft.com/office/drawing/2014/main" xmlns="" id="{9AA2C61D-4409-44BA-B4CF-7465A6B033A4}"/>
            </a:ext>
          </a:extLst>
        </xdr:cNvPr>
        <xdr:cNvSpPr txBox="1"/>
      </xdr:nvSpPr>
      <xdr:spPr>
        <a:xfrm>
          <a:off x="1518558" y="106799910"/>
          <a:ext cx="1089700" cy="3741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Tower B1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4tbtbsgiXKAAq4KY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620"/>
  <sheetViews>
    <sheetView tabSelected="1" showWhiteSpace="0" view="pageBreakPreview" zoomScaleNormal="100" zoomScaleSheetLayoutView="100" workbookViewId="0">
      <selection activeCell="K3" sqref="K3"/>
    </sheetView>
  </sheetViews>
  <sheetFormatPr defaultColWidth="9.140625" defaultRowHeight="15.75" x14ac:dyDescent="0.25"/>
  <cols>
    <col min="1" max="1" width="11.42578125" style="43" customWidth="1"/>
    <col min="2" max="2" width="12" style="43" customWidth="1"/>
    <col min="3" max="3" width="12.7109375" style="43" customWidth="1"/>
    <col min="4" max="4" width="14.140625" style="43" customWidth="1"/>
    <col min="5" max="7" width="11.7109375" style="43" customWidth="1"/>
    <col min="8" max="8" width="14" style="43" customWidth="1"/>
    <col min="9" max="9" width="17.42578125" style="24" customWidth="1"/>
    <col min="10" max="10" width="11.42578125" style="24" customWidth="1"/>
    <col min="11" max="11" width="11.85546875" style="24" bestFit="1" customWidth="1"/>
    <col min="12" max="12" width="10.5703125" style="24" customWidth="1"/>
    <col min="13" max="13" width="11.85546875" style="24" customWidth="1"/>
    <col min="14" max="14" width="12.5703125" style="24" customWidth="1"/>
    <col min="15" max="15" width="9.85546875" style="24" customWidth="1"/>
    <col min="16" max="16" width="11.7109375" style="24" customWidth="1"/>
    <col min="17" max="247" width="9.140625" style="24"/>
    <col min="248" max="248" width="8.7109375" style="24" customWidth="1"/>
    <col min="249" max="249" width="9.85546875" style="24" customWidth="1"/>
    <col min="250" max="250" width="14.42578125" style="24" customWidth="1"/>
    <col min="251" max="251" width="7.28515625" style="24" customWidth="1"/>
    <col min="252" max="252" width="5.5703125" style="24" customWidth="1"/>
    <col min="253" max="253" width="9" style="24" customWidth="1"/>
    <col min="254" max="255" width="9.85546875" style="24" customWidth="1"/>
    <col min="256" max="256" width="11.140625" style="24" customWidth="1"/>
    <col min="257" max="257" width="2.85546875" style="24" customWidth="1"/>
    <col min="258" max="258" width="3.5703125" style="24" customWidth="1"/>
    <col min="259" max="503" width="9.140625" style="24"/>
    <col min="504" max="504" width="8.7109375" style="24" customWidth="1"/>
    <col min="505" max="505" width="9.85546875" style="24" customWidth="1"/>
    <col min="506" max="506" width="14.42578125" style="24" customWidth="1"/>
    <col min="507" max="507" width="7.28515625" style="24" customWidth="1"/>
    <col min="508" max="508" width="5.5703125" style="24" customWidth="1"/>
    <col min="509" max="509" width="9" style="24" customWidth="1"/>
    <col min="510" max="511" width="9.85546875" style="24" customWidth="1"/>
    <col min="512" max="512" width="11.140625" style="24" customWidth="1"/>
    <col min="513" max="513" width="2.85546875" style="24" customWidth="1"/>
    <col min="514" max="514" width="3.5703125" style="24" customWidth="1"/>
    <col min="515" max="759" width="9.140625" style="24"/>
    <col min="760" max="760" width="8.7109375" style="24" customWidth="1"/>
    <col min="761" max="761" width="9.85546875" style="24" customWidth="1"/>
    <col min="762" max="762" width="14.42578125" style="24" customWidth="1"/>
    <col min="763" max="763" width="7.28515625" style="24" customWidth="1"/>
    <col min="764" max="764" width="5.5703125" style="24" customWidth="1"/>
    <col min="765" max="765" width="9" style="24" customWidth="1"/>
    <col min="766" max="767" width="9.85546875" style="24" customWidth="1"/>
    <col min="768" max="768" width="11.140625" style="24" customWidth="1"/>
    <col min="769" max="769" width="2.85546875" style="24" customWidth="1"/>
    <col min="770" max="770" width="3.5703125" style="24" customWidth="1"/>
    <col min="771" max="1015" width="9.140625" style="24"/>
    <col min="1016" max="1016" width="8.7109375" style="24" customWidth="1"/>
    <col min="1017" max="1017" width="9.85546875" style="24" customWidth="1"/>
    <col min="1018" max="1018" width="14.42578125" style="24" customWidth="1"/>
    <col min="1019" max="1019" width="7.28515625" style="24" customWidth="1"/>
    <col min="1020" max="1020" width="5.5703125" style="24" customWidth="1"/>
    <col min="1021" max="1021" width="9" style="24" customWidth="1"/>
    <col min="1022" max="1023" width="9.85546875" style="24" customWidth="1"/>
    <col min="1024" max="1024" width="11.140625" style="24" customWidth="1"/>
    <col min="1025" max="1025" width="2.85546875" style="24" customWidth="1"/>
    <col min="1026" max="1026" width="3.5703125" style="24" customWidth="1"/>
    <col min="1027" max="1271" width="9.140625" style="24"/>
    <col min="1272" max="1272" width="8.7109375" style="24" customWidth="1"/>
    <col min="1273" max="1273" width="9.85546875" style="24" customWidth="1"/>
    <col min="1274" max="1274" width="14.42578125" style="24" customWidth="1"/>
    <col min="1275" max="1275" width="7.28515625" style="24" customWidth="1"/>
    <col min="1276" max="1276" width="5.5703125" style="24" customWidth="1"/>
    <col min="1277" max="1277" width="9" style="24" customWidth="1"/>
    <col min="1278" max="1279" width="9.85546875" style="24" customWidth="1"/>
    <col min="1280" max="1280" width="11.140625" style="24" customWidth="1"/>
    <col min="1281" max="1281" width="2.85546875" style="24" customWidth="1"/>
    <col min="1282" max="1282" width="3.5703125" style="24" customWidth="1"/>
    <col min="1283" max="1527" width="9.140625" style="24"/>
    <col min="1528" max="1528" width="8.7109375" style="24" customWidth="1"/>
    <col min="1529" max="1529" width="9.85546875" style="24" customWidth="1"/>
    <col min="1530" max="1530" width="14.42578125" style="24" customWidth="1"/>
    <col min="1531" max="1531" width="7.28515625" style="24" customWidth="1"/>
    <col min="1532" max="1532" width="5.5703125" style="24" customWidth="1"/>
    <col min="1533" max="1533" width="9" style="24" customWidth="1"/>
    <col min="1534" max="1535" width="9.85546875" style="24" customWidth="1"/>
    <col min="1536" max="1536" width="11.140625" style="24" customWidth="1"/>
    <col min="1537" max="1537" width="2.85546875" style="24" customWidth="1"/>
    <col min="1538" max="1538" width="3.5703125" style="24" customWidth="1"/>
    <col min="1539" max="1783" width="9.140625" style="24"/>
    <col min="1784" max="1784" width="8.7109375" style="24" customWidth="1"/>
    <col min="1785" max="1785" width="9.85546875" style="24" customWidth="1"/>
    <col min="1786" max="1786" width="14.42578125" style="24" customWidth="1"/>
    <col min="1787" max="1787" width="7.28515625" style="24" customWidth="1"/>
    <col min="1788" max="1788" width="5.5703125" style="24" customWidth="1"/>
    <col min="1789" max="1789" width="9" style="24" customWidth="1"/>
    <col min="1790" max="1791" width="9.85546875" style="24" customWidth="1"/>
    <col min="1792" max="1792" width="11.140625" style="24" customWidth="1"/>
    <col min="1793" max="1793" width="2.85546875" style="24" customWidth="1"/>
    <col min="1794" max="1794" width="3.5703125" style="24" customWidth="1"/>
    <col min="1795" max="2039" width="9.140625" style="24"/>
    <col min="2040" max="2040" width="8.7109375" style="24" customWidth="1"/>
    <col min="2041" max="2041" width="9.85546875" style="24" customWidth="1"/>
    <col min="2042" max="2042" width="14.42578125" style="24" customWidth="1"/>
    <col min="2043" max="2043" width="7.28515625" style="24" customWidth="1"/>
    <col min="2044" max="2044" width="5.5703125" style="24" customWidth="1"/>
    <col min="2045" max="2045" width="9" style="24" customWidth="1"/>
    <col min="2046" max="2047" width="9.85546875" style="24" customWidth="1"/>
    <col min="2048" max="2048" width="11.140625" style="24" customWidth="1"/>
    <col min="2049" max="2049" width="2.85546875" style="24" customWidth="1"/>
    <col min="2050" max="2050" width="3.5703125" style="24" customWidth="1"/>
    <col min="2051" max="2295" width="9.140625" style="24"/>
    <col min="2296" max="2296" width="8.7109375" style="24" customWidth="1"/>
    <col min="2297" max="2297" width="9.85546875" style="24" customWidth="1"/>
    <col min="2298" max="2298" width="14.42578125" style="24" customWidth="1"/>
    <col min="2299" max="2299" width="7.28515625" style="24" customWidth="1"/>
    <col min="2300" max="2300" width="5.5703125" style="24" customWidth="1"/>
    <col min="2301" max="2301" width="9" style="24" customWidth="1"/>
    <col min="2302" max="2303" width="9.85546875" style="24" customWidth="1"/>
    <col min="2304" max="2304" width="11.140625" style="24" customWidth="1"/>
    <col min="2305" max="2305" width="2.85546875" style="24" customWidth="1"/>
    <col min="2306" max="2306" width="3.5703125" style="24" customWidth="1"/>
    <col min="2307" max="2551" width="9.140625" style="24"/>
    <col min="2552" max="2552" width="8.7109375" style="24" customWidth="1"/>
    <col min="2553" max="2553" width="9.85546875" style="24" customWidth="1"/>
    <col min="2554" max="2554" width="14.42578125" style="24" customWidth="1"/>
    <col min="2555" max="2555" width="7.28515625" style="24" customWidth="1"/>
    <col min="2556" max="2556" width="5.5703125" style="24" customWidth="1"/>
    <col min="2557" max="2557" width="9" style="24" customWidth="1"/>
    <col min="2558" max="2559" width="9.85546875" style="24" customWidth="1"/>
    <col min="2560" max="2560" width="11.140625" style="24" customWidth="1"/>
    <col min="2561" max="2561" width="2.85546875" style="24" customWidth="1"/>
    <col min="2562" max="2562" width="3.5703125" style="24" customWidth="1"/>
    <col min="2563" max="2807" width="9.140625" style="24"/>
    <col min="2808" max="2808" width="8.7109375" style="24" customWidth="1"/>
    <col min="2809" max="2809" width="9.85546875" style="24" customWidth="1"/>
    <col min="2810" max="2810" width="14.42578125" style="24" customWidth="1"/>
    <col min="2811" max="2811" width="7.28515625" style="24" customWidth="1"/>
    <col min="2812" max="2812" width="5.5703125" style="24" customWidth="1"/>
    <col min="2813" max="2813" width="9" style="24" customWidth="1"/>
    <col min="2814" max="2815" width="9.85546875" style="24" customWidth="1"/>
    <col min="2816" max="2816" width="11.140625" style="24" customWidth="1"/>
    <col min="2817" max="2817" width="2.85546875" style="24" customWidth="1"/>
    <col min="2818" max="2818" width="3.5703125" style="24" customWidth="1"/>
    <col min="2819" max="3063" width="9.140625" style="24"/>
    <col min="3064" max="3064" width="8.7109375" style="24" customWidth="1"/>
    <col min="3065" max="3065" width="9.85546875" style="24" customWidth="1"/>
    <col min="3066" max="3066" width="14.42578125" style="24" customWidth="1"/>
    <col min="3067" max="3067" width="7.28515625" style="24" customWidth="1"/>
    <col min="3068" max="3068" width="5.5703125" style="24" customWidth="1"/>
    <col min="3069" max="3069" width="9" style="24" customWidth="1"/>
    <col min="3070" max="3071" width="9.85546875" style="24" customWidth="1"/>
    <col min="3072" max="3072" width="11.140625" style="24" customWidth="1"/>
    <col min="3073" max="3073" width="2.85546875" style="24" customWidth="1"/>
    <col min="3074" max="3074" width="3.5703125" style="24" customWidth="1"/>
    <col min="3075" max="3319" width="9.140625" style="24"/>
    <col min="3320" max="3320" width="8.7109375" style="24" customWidth="1"/>
    <col min="3321" max="3321" width="9.85546875" style="24" customWidth="1"/>
    <col min="3322" max="3322" width="14.42578125" style="24" customWidth="1"/>
    <col min="3323" max="3323" width="7.28515625" style="24" customWidth="1"/>
    <col min="3324" max="3324" width="5.5703125" style="24" customWidth="1"/>
    <col min="3325" max="3325" width="9" style="24" customWidth="1"/>
    <col min="3326" max="3327" width="9.85546875" style="24" customWidth="1"/>
    <col min="3328" max="3328" width="11.140625" style="24" customWidth="1"/>
    <col min="3329" max="3329" width="2.85546875" style="24" customWidth="1"/>
    <col min="3330" max="3330" width="3.5703125" style="24" customWidth="1"/>
    <col min="3331" max="3575" width="9.140625" style="24"/>
    <col min="3576" max="3576" width="8.7109375" style="24" customWidth="1"/>
    <col min="3577" max="3577" width="9.85546875" style="24" customWidth="1"/>
    <col min="3578" max="3578" width="14.42578125" style="24" customWidth="1"/>
    <col min="3579" max="3579" width="7.28515625" style="24" customWidth="1"/>
    <col min="3580" max="3580" width="5.5703125" style="24" customWidth="1"/>
    <col min="3581" max="3581" width="9" style="24" customWidth="1"/>
    <col min="3582" max="3583" width="9.85546875" style="24" customWidth="1"/>
    <col min="3584" max="3584" width="11.140625" style="24" customWidth="1"/>
    <col min="3585" max="3585" width="2.85546875" style="24" customWidth="1"/>
    <col min="3586" max="3586" width="3.5703125" style="24" customWidth="1"/>
    <col min="3587" max="3831" width="9.140625" style="24"/>
    <col min="3832" max="3832" width="8.7109375" style="24" customWidth="1"/>
    <col min="3833" max="3833" width="9.85546875" style="24" customWidth="1"/>
    <col min="3834" max="3834" width="14.42578125" style="24" customWidth="1"/>
    <col min="3835" max="3835" width="7.28515625" style="24" customWidth="1"/>
    <col min="3836" max="3836" width="5.5703125" style="24" customWidth="1"/>
    <col min="3837" max="3837" width="9" style="24" customWidth="1"/>
    <col min="3838" max="3839" width="9.85546875" style="24" customWidth="1"/>
    <col min="3840" max="3840" width="11.140625" style="24" customWidth="1"/>
    <col min="3841" max="3841" width="2.85546875" style="24" customWidth="1"/>
    <col min="3842" max="3842" width="3.5703125" style="24" customWidth="1"/>
    <col min="3843" max="4087" width="9.140625" style="24"/>
    <col min="4088" max="4088" width="8.7109375" style="24" customWidth="1"/>
    <col min="4089" max="4089" width="9.85546875" style="24" customWidth="1"/>
    <col min="4090" max="4090" width="14.42578125" style="24" customWidth="1"/>
    <col min="4091" max="4091" width="7.28515625" style="24" customWidth="1"/>
    <col min="4092" max="4092" width="5.5703125" style="24" customWidth="1"/>
    <col min="4093" max="4093" width="9" style="24" customWidth="1"/>
    <col min="4094" max="4095" width="9.85546875" style="24" customWidth="1"/>
    <col min="4096" max="4096" width="11.140625" style="24" customWidth="1"/>
    <col min="4097" max="4097" width="2.85546875" style="24" customWidth="1"/>
    <col min="4098" max="4098" width="3.5703125" style="24" customWidth="1"/>
    <col min="4099" max="4343" width="9.140625" style="24"/>
    <col min="4344" max="4344" width="8.7109375" style="24" customWidth="1"/>
    <col min="4345" max="4345" width="9.85546875" style="24" customWidth="1"/>
    <col min="4346" max="4346" width="14.42578125" style="24" customWidth="1"/>
    <col min="4347" max="4347" width="7.28515625" style="24" customWidth="1"/>
    <col min="4348" max="4348" width="5.5703125" style="24" customWidth="1"/>
    <col min="4349" max="4349" width="9" style="24" customWidth="1"/>
    <col min="4350" max="4351" width="9.85546875" style="24" customWidth="1"/>
    <col min="4352" max="4352" width="11.140625" style="24" customWidth="1"/>
    <col min="4353" max="4353" width="2.85546875" style="24" customWidth="1"/>
    <col min="4354" max="4354" width="3.5703125" style="24" customWidth="1"/>
    <col min="4355" max="4599" width="9.140625" style="24"/>
    <col min="4600" max="4600" width="8.7109375" style="24" customWidth="1"/>
    <col min="4601" max="4601" width="9.85546875" style="24" customWidth="1"/>
    <col min="4602" max="4602" width="14.42578125" style="24" customWidth="1"/>
    <col min="4603" max="4603" width="7.28515625" style="24" customWidth="1"/>
    <col min="4604" max="4604" width="5.5703125" style="24" customWidth="1"/>
    <col min="4605" max="4605" width="9" style="24" customWidth="1"/>
    <col min="4606" max="4607" width="9.85546875" style="24" customWidth="1"/>
    <col min="4608" max="4608" width="11.140625" style="24" customWidth="1"/>
    <col min="4609" max="4609" width="2.85546875" style="24" customWidth="1"/>
    <col min="4610" max="4610" width="3.5703125" style="24" customWidth="1"/>
    <col min="4611" max="4855" width="9.140625" style="24"/>
    <col min="4856" max="4856" width="8.7109375" style="24" customWidth="1"/>
    <col min="4857" max="4857" width="9.85546875" style="24" customWidth="1"/>
    <col min="4858" max="4858" width="14.42578125" style="24" customWidth="1"/>
    <col min="4859" max="4859" width="7.28515625" style="24" customWidth="1"/>
    <col min="4860" max="4860" width="5.5703125" style="24" customWidth="1"/>
    <col min="4861" max="4861" width="9" style="24" customWidth="1"/>
    <col min="4862" max="4863" width="9.85546875" style="24" customWidth="1"/>
    <col min="4864" max="4864" width="11.140625" style="24" customWidth="1"/>
    <col min="4865" max="4865" width="2.85546875" style="24" customWidth="1"/>
    <col min="4866" max="4866" width="3.5703125" style="24" customWidth="1"/>
    <col min="4867" max="5111" width="9.140625" style="24"/>
    <col min="5112" max="5112" width="8.7109375" style="24" customWidth="1"/>
    <col min="5113" max="5113" width="9.85546875" style="24" customWidth="1"/>
    <col min="5114" max="5114" width="14.42578125" style="24" customWidth="1"/>
    <col min="5115" max="5115" width="7.28515625" style="24" customWidth="1"/>
    <col min="5116" max="5116" width="5.5703125" style="24" customWidth="1"/>
    <col min="5117" max="5117" width="9" style="24" customWidth="1"/>
    <col min="5118" max="5119" width="9.85546875" style="24" customWidth="1"/>
    <col min="5120" max="5120" width="11.140625" style="24" customWidth="1"/>
    <col min="5121" max="5121" width="2.85546875" style="24" customWidth="1"/>
    <col min="5122" max="5122" width="3.5703125" style="24" customWidth="1"/>
    <col min="5123" max="5367" width="9.140625" style="24"/>
    <col min="5368" max="5368" width="8.7109375" style="24" customWidth="1"/>
    <col min="5369" max="5369" width="9.85546875" style="24" customWidth="1"/>
    <col min="5370" max="5370" width="14.42578125" style="24" customWidth="1"/>
    <col min="5371" max="5371" width="7.28515625" style="24" customWidth="1"/>
    <col min="5372" max="5372" width="5.5703125" style="24" customWidth="1"/>
    <col min="5373" max="5373" width="9" style="24" customWidth="1"/>
    <col min="5374" max="5375" width="9.85546875" style="24" customWidth="1"/>
    <col min="5376" max="5376" width="11.140625" style="24" customWidth="1"/>
    <col min="5377" max="5377" width="2.85546875" style="24" customWidth="1"/>
    <col min="5378" max="5378" width="3.5703125" style="24" customWidth="1"/>
    <col min="5379" max="5623" width="9.140625" style="24"/>
    <col min="5624" max="5624" width="8.7109375" style="24" customWidth="1"/>
    <col min="5625" max="5625" width="9.85546875" style="24" customWidth="1"/>
    <col min="5626" max="5626" width="14.42578125" style="24" customWidth="1"/>
    <col min="5627" max="5627" width="7.28515625" style="24" customWidth="1"/>
    <col min="5628" max="5628" width="5.5703125" style="24" customWidth="1"/>
    <col min="5629" max="5629" width="9" style="24" customWidth="1"/>
    <col min="5630" max="5631" width="9.85546875" style="24" customWidth="1"/>
    <col min="5632" max="5632" width="11.140625" style="24" customWidth="1"/>
    <col min="5633" max="5633" width="2.85546875" style="24" customWidth="1"/>
    <col min="5634" max="5634" width="3.5703125" style="24" customWidth="1"/>
    <col min="5635" max="5879" width="9.140625" style="24"/>
    <col min="5880" max="5880" width="8.7109375" style="24" customWidth="1"/>
    <col min="5881" max="5881" width="9.85546875" style="24" customWidth="1"/>
    <col min="5882" max="5882" width="14.42578125" style="24" customWidth="1"/>
    <col min="5883" max="5883" width="7.28515625" style="24" customWidth="1"/>
    <col min="5884" max="5884" width="5.5703125" style="24" customWidth="1"/>
    <col min="5885" max="5885" width="9" style="24" customWidth="1"/>
    <col min="5886" max="5887" width="9.85546875" style="24" customWidth="1"/>
    <col min="5888" max="5888" width="11.140625" style="24" customWidth="1"/>
    <col min="5889" max="5889" width="2.85546875" style="24" customWidth="1"/>
    <col min="5890" max="5890" width="3.5703125" style="24" customWidth="1"/>
    <col min="5891" max="6135" width="9.140625" style="24"/>
    <col min="6136" max="6136" width="8.7109375" style="24" customWidth="1"/>
    <col min="6137" max="6137" width="9.85546875" style="24" customWidth="1"/>
    <col min="6138" max="6138" width="14.42578125" style="24" customWidth="1"/>
    <col min="6139" max="6139" width="7.28515625" style="24" customWidth="1"/>
    <col min="6140" max="6140" width="5.5703125" style="24" customWidth="1"/>
    <col min="6141" max="6141" width="9" style="24" customWidth="1"/>
    <col min="6142" max="6143" width="9.85546875" style="24" customWidth="1"/>
    <col min="6144" max="6144" width="11.140625" style="24" customWidth="1"/>
    <col min="6145" max="6145" width="2.85546875" style="24" customWidth="1"/>
    <col min="6146" max="6146" width="3.5703125" style="24" customWidth="1"/>
    <col min="6147" max="6391" width="9.140625" style="24"/>
    <col min="6392" max="6392" width="8.7109375" style="24" customWidth="1"/>
    <col min="6393" max="6393" width="9.85546875" style="24" customWidth="1"/>
    <col min="6394" max="6394" width="14.42578125" style="24" customWidth="1"/>
    <col min="6395" max="6395" width="7.28515625" style="24" customWidth="1"/>
    <col min="6396" max="6396" width="5.5703125" style="24" customWidth="1"/>
    <col min="6397" max="6397" width="9" style="24" customWidth="1"/>
    <col min="6398" max="6399" width="9.85546875" style="24" customWidth="1"/>
    <col min="6400" max="6400" width="11.140625" style="24" customWidth="1"/>
    <col min="6401" max="6401" width="2.85546875" style="24" customWidth="1"/>
    <col min="6402" max="6402" width="3.5703125" style="24" customWidth="1"/>
    <col min="6403" max="6647" width="9.140625" style="24"/>
    <col min="6648" max="6648" width="8.7109375" style="24" customWidth="1"/>
    <col min="6649" max="6649" width="9.85546875" style="24" customWidth="1"/>
    <col min="6650" max="6650" width="14.42578125" style="24" customWidth="1"/>
    <col min="6651" max="6651" width="7.28515625" style="24" customWidth="1"/>
    <col min="6652" max="6652" width="5.5703125" style="24" customWidth="1"/>
    <col min="6653" max="6653" width="9" style="24" customWidth="1"/>
    <col min="6654" max="6655" width="9.85546875" style="24" customWidth="1"/>
    <col min="6656" max="6656" width="11.140625" style="24" customWidth="1"/>
    <col min="6657" max="6657" width="2.85546875" style="24" customWidth="1"/>
    <col min="6658" max="6658" width="3.5703125" style="24" customWidth="1"/>
    <col min="6659" max="6903" width="9.140625" style="24"/>
    <col min="6904" max="6904" width="8.7109375" style="24" customWidth="1"/>
    <col min="6905" max="6905" width="9.85546875" style="24" customWidth="1"/>
    <col min="6906" max="6906" width="14.42578125" style="24" customWidth="1"/>
    <col min="6907" max="6907" width="7.28515625" style="24" customWidth="1"/>
    <col min="6908" max="6908" width="5.5703125" style="24" customWidth="1"/>
    <col min="6909" max="6909" width="9" style="24" customWidth="1"/>
    <col min="6910" max="6911" width="9.85546875" style="24" customWidth="1"/>
    <col min="6912" max="6912" width="11.140625" style="24" customWidth="1"/>
    <col min="6913" max="6913" width="2.85546875" style="24" customWidth="1"/>
    <col min="6914" max="6914" width="3.5703125" style="24" customWidth="1"/>
    <col min="6915" max="7159" width="9.140625" style="24"/>
    <col min="7160" max="7160" width="8.7109375" style="24" customWidth="1"/>
    <col min="7161" max="7161" width="9.85546875" style="24" customWidth="1"/>
    <col min="7162" max="7162" width="14.42578125" style="24" customWidth="1"/>
    <col min="7163" max="7163" width="7.28515625" style="24" customWidth="1"/>
    <col min="7164" max="7164" width="5.5703125" style="24" customWidth="1"/>
    <col min="7165" max="7165" width="9" style="24" customWidth="1"/>
    <col min="7166" max="7167" width="9.85546875" style="24" customWidth="1"/>
    <col min="7168" max="7168" width="11.140625" style="24" customWidth="1"/>
    <col min="7169" max="7169" width="2.85546875" style="24" customWidth="1"/>
    <col min="7170" max="7170" width="3.5703125" style="24" customWidth="1"/>
    <col min="7171" max="7415" width="9.140625" style="24"/>
    <col min="7416" max="7416" width="8.7109375" style="24" customWidth="1"/>
    <col min="7417" max="7417" width="9.85546875" style="24" customWidth="1"/>
    <col min="7418" max="7418" width="14.42578125" style="24" customWidth="1"/>
    <col min="7419" max="7419" width="7.28515625" style="24" customWidth="1"/>
    <col min="7420" max="7420" width="5.5703125" style="24" customWidth="1"/>
    <col min="7421" max="7421" width="9" style="24" customWidth="1"/>
    <col min="7422" max="7423" width="9.85546875" style="24" customWidth="1"/>
    <col min="7424" max="7424" width="11.140625" style="24" customWidth="1"/>
    <col min="7425" max="7425" width="2.85546875" style="24" customWidth="1"/>
    <col min="7426" max="7426" width="3.5703125" style="24" customWidth="1"/>
    <col min="7427" max="7671" width="9.140625" style="24"/>
    <col min="7672" max="7672" width="8.7109375" style="24" customWidth="1"/>
    <col min="7673" max="7673" width="9.85546875" style="24" customWidth="1"/>
    <col min="7674" max="7674" width="14.42578125" style="24" customWidth="1"/>
    <col min="7675" max="7675" width="7.28515625" style="24" customWidth="1"/>
    <col min="7676" max="7676" width="5.5703125" style="24" customWidth="1"/>
    <col min="7677" max="7677" width="9" style="24" customWidth="1"/>
    <col min="7678" max="7679" width="9.85546875" style="24" customWidth="1"/>
    <col min="7680" max="7680" width="11.140625" style="24" customWidth="1"/>
    <col min="7681" max="7681" width="2.85546875" style="24" customWidth="1"/>
    <col min="7682" max="7682" width="3.5703125" style="24" customWidth="1"/>
    <col min="7683" max="7927" width="9.140625" style="24"/>
    <col min="7928" max="7928" width="8.7109375" style="24" customWidth="1"/>
    <col min="7929" max="7929" width="9.85546875" style="24" customWidth="1"/>
    <col min="7930" max="7930" width="14.42578125" style="24" customWidth="1"/>
    <col min="7931" max="7931" width="7.28515625" style="24" customWidth="1"/>
    <col min="7932" max="7932" width="5.5703125" style="24" customWidth="1"/>
    <col min="7933" max="7933" width="9" style="24" customWidth="1"/>
    <col min="7934" max="7935" width="9.85546875" style="24" customWidth="1"/>
    <col min="7936" max="7936" width="11.140625" style="24" customWidth="1"/>
    <col min="7937" max="7937" width="2.85546875" style="24" customWidth="1"/>
    <col min="7938" max="7938" width="3.5703125" style="24" customWidth="1"/>
    <col min="7939" max="8183" width="9.140625" style="24"/>
    <col min="8184" max="8184" width="8.7109375" style="24" customWidth="1"/>
    <col min="8185" max="8185" width="9.85546875" style="24" customWidth="1"/>
    <col min="8186" max="8186" width="14.42578125" style="24" customWidth="1"/>
    <col min="8187" max="8187" width="7.28515625" style="24" customWidth="1"/>
    <col min="8188" max="8188" width="5.5703125" style="24" customWidth="1"/>
    <col min="8189" max="8189" width="9" style="24" customWidth="1"/>
    <col min="8190" max="8191" width="9.85546875" style="24" customWidth="1"/>
    <col min="8192" max="8192" width="11.140625" style="24" customWidth="1"/>
    <col min="8193" max="8193" width="2.85546875" style="24" customWidth="1"/>
    <col min="8194" max="8194" width="3.5703125" style="24" customWidth="1"/>
    <col min="8195" max="8439" width="9.140625" style="24"/>
    <col min="8440" max="8440" width="8.7109375" style="24" customWidth="1"/>
    <col min="8441" max="8441" width="9.85546875" style="24" customWidth="1"/>
    <col min="8442" max="8442" width="14.42578125" style="24" customWidth="1"/>
    <col min="8443" max="8443" width="7.28515625" style="24" customWidth="1"/>
    <col min="8444" max="8444" width="5.5703125" style="24" customWidth="1"/>
    <col min="8445" max="8445" width="9" style="24" customWidth="1"/>
    <col min="8446" max="8447" width="9.85546875" style="24" customWidth="1"/>
    <col min="8448" max="8448" width="11.140625" style="24" customWidth="1"/>
    <col min="8449" max="8449" width="2.85546875" style="24" customWidth="1"/>
    <col min="8450" max="8450" width="3.5703125" style="24" customWidth="1"/>
    <col min="8451" max="8695" width="9.140625" style="24"/>
    <col min="8696" max="8696" width="8.7109375" style="24" customWidth="1"/>
    <col min="8697" max="8697" width="9.85546875" style="24" customWidth="1"/>
    <col min="8698" max="8698" width="14.42578125" style="24" customWidth="1"/>
    <col min="8699" max="8699" width="7.28515625" style="24" customWidth="1"/>
    <col min="8700" max="8700" width="5.5703125" style="24" customWidth="1"/>
    <col min="8701" max="8701" width="9" style="24" customWidth="1"/>
    <col min="8702" max="8703" width="9.85546875" style="24" customWidth="1"/>
    <col min="8704" max="8704" width="11.140625" style="24" customWidth="1"/>
    <col min="8705" max="8705" width="2.85546875" style="24" customWidth="1"/>
    <col min="8706" max="8706" width="3.5703125" style="24" customWidth="1"/>
    <col min="8707" max="8951" width="9.140625" style="24"/>
    <col min="8952" max="8952" width="8.7109375" style="24" customWidth="1"/>
    <col min="8953" max="8953" width="9.85546875" style="24" customWidth="1"/>
    <col min="8954" max="8954" width="14.42578125" style="24" customWidth="1"/>
    <col min="8955" max="8955" width="7.28515625" style="24" customWidth="1"/>
    <col min="8956" max="8956" width="5.5703125" style="24" customWidth="1"/>
    <col min="8957" max="8957" width="9" style="24" customWidth="1"/>
    <col min="8958" max="8959" width="9.85546875" style="24" customWidth="1"/>
    <col min="8960" max="8960" width="11.140625" style="24" customWidth="1"/>
    <col min="8961" max="8961" width="2.85546875" style="24" customWidth="1"/>
    <col min="8962" max="8962" width="3.5703125" style="24" customWidth="1"/>
    <col min="8963" max="9207" width="9.140625" style="24"/>
    <col min="9208" max="9208" width="8.7109375" style="24" customWidth="1"/>
    <col min="9209" max="9209" width="9.85546875" style="24" customWidth="1"/>
    <col min="9210" max="9210" width="14.42578125" style="24" customWidth="1"/>
    <col min="9211" max="9211" width="7.28515625" style="24" customWidth="1"/>
    <col min="9212" max="9212" width="5.5703125" style="24" customWidth="1"/>
    <col min="9213" max="9213" width="9" style="24" customWidth="1"/>
    <col min="9214" max="9215" width="9.85546875" style="24" customWidth="1"/>
    <col min="9216" max="9216" width="11.140625" style="24" customWidth="1"/>
    <col min="9217" max="9217" width="2.85546875" style="24" customWidth="1"/>
    <col min="9218" max="9218" width="3.5703125" style="24" customWidth="1"/>
    <col min="9219" max="9463" width="9.140625" style="24"/>
    <col min="9464" max="9464" width="8.7109375" style="24" customWidth="1"/>
    <col min="9465" max="9465" width="9.85546875" style="24" customWidth="1"/>
    <col min="9466" max="9466" width="14.42578125" style="24" customWidth="1"/>
    <col min="9467" max="9467" width="7.28515625" style="24" customWidth="1"/>
    <col min="9468" max="9468" width="5.5703125" style="24" customWidth="1"/>
    <col min="9469" max="9469" width="9" style="24" customWidth="1"/>
    <col min="9470" max="9471" width="9.85546875" style="24" customWidth="1"/>
    <col min="9472" max="9472" width="11.140625" style="24" customWidth="1"/>
    <col min="9473" max="9473" width="2.85546875" style="24" customWidth="1"/>
    <col min="9474" max="9474" width="3.5703125" style="24" customWidth="1"/>
    <col min="9475" max="9719" width="9.140625" style="24"/>
    <col min="9720" max="9720" width="8.7109375" style="24" customWidth="1"/>
    <col min="9721" max="9721" width="9.85546875" style="24" customWidth="1"/>
    <col min="9722" max="9722" width="14.42578125" style="24" customWidth="1"/>
    <col min="9723" max="9723" width="7.28515625" style="24" customWidth="1"/>
    <col min="9724" max="9724" width="5.5703125" style="24" customWidth="1"/>
    <col min="9725" max="9725" width="9" style="24" customWidth="1"/>
    <col min="9726" max="9727" width="9.85546875" style="24" customWidth="1"/>
    <col min="9728" max="9728" width="11.140625" style="24" customWidth="1"/>
    <col min="9729" max="9729" width="2.85546875" style="24" customWidth="1"/>
    <col min="9730" max="9730" width="3.5703125" style="24" customWidth="1"/>
    <col min="9731" max="9975" width="9.140625" style="24"/>
    <col min="9976" max="9976" width="8.7109375" style="24" customWidth="1"/>
    <col min="9977" max="9977" width="9.85546875" style="24" customWidth="1"/>
    <col min="9978" max="9978" width="14.42578125" style="24" customWidth="1"/>
    <col min="9979" max="9979" width="7.28515625" style="24" customWidth="1"/>
    <col min="9980" max="9980" width="5.5703125" style="24" customWidth="1"/>
    <col min="9981" max="9981" width="9" style="24" customWidth="1"/>
    <col min="9982" max="9983" width="9.85546875" style="24" customWidth="1"/>
    <col min="9984" max="9984" width="11.140625" style="24" customWidth="1"/>
    <col min="9985" max="9985" width="2.85546875" style="24" customWidth="1"/>
    <col min="9986" max="9986" width="3.5703125" style="24" customWidth="1"/>
    <col min="9987" max="10231" width="9.140625" style="24"/>
    <col min="10232" max="10232" width="8.7109375" style="24" customWidth="1"/>
    <col min="10233" max="10233" width="9.85546875" style="24" customWidth="1"/>
    <col min="10234" max="10234" width="14.42578125" style="24" customWidth="1"/>
    <col min="10235" max="10235" width="7.28515625" style="24" customWidth="1"/>
    <col min="10236" max="10236" width="5.5703125" style="24" customWidth="1"/>
    <col min="10237" max="10237" width="9" style="24" customWidth="1"/>
    <col min="10238" max="10239" width="9.85546875" style="24" customWidth="1"/>
    <col min="10240" max="10240" width="11.140625" style="24" customWidth="1"/>
    <col min="10241" max="10241" width="2.85546875" style="24" customWidth="1"/>
    <col min="10242" max="10242" width="3.5703125" style="24" customWidth="1"/>
    <col min="10243" max="10487" width="9.140625" style="24"/>
    <col min="10488" max="10488" width="8.7109375" style="24" customWidth="1"/>
    <col min="10489" max="10489" width="9.85546875" style="24" customWidth="1"/>
    <col min="10490" max="10490" width="14.42578125" style="24" customWidth="1"/>
    <col min="10491" max="10491" width="7.28515625" style="24" customWidth="1"/>
    <col min="10492" max="10492" width="5.5703125" style="24" customWidth="1"/>
    <col min="10493" max="10493" width="9" style="24" customWidth="1"/>
    <col min="10494" max="10495" width="9.85546875" style="24" customWidth="1"/>
    <col min="10496" max="10496" width="11.140625" style="24" customWidth="1"/>
    <col min="10497" max="10497" width="2.85546875" style="24" customWidth="1"/>
    <col min="10498" max="10498" width="3.5703125" style="24" customWidth="1"/>
    <col min="10499" max="10743" width="9.140625" style="24"/>
    <col min="10744" max="10744" width="8.7109375" style="24" customWidth="1"/>
    <col min="10745" max="10745" width="9.85546875" style="24" customWidth="1"/>
    <col min="10746" max="10746" width="14.42578125" style="24" customWidth="1"/>
    <col min="10747" max="10747" width="7.28515625" style="24" customWidth="1"/>
    <col min="10748" max="10748" width="5.5703125" style="24" customWidth="1"/>
    <col min="10749" max="10749" width="9" style="24" customWidth="1"/>
    <col min="10750" max="10751" width="9.85546875" style="24" customWidth="1"/>
    <col min="10752" max="10752" width="11.140625" style="24" customWidth="1"/>
    <col min="10753" max="10753" width="2.85546875" style="24" customWidth="1"/>
    <col min="10754" max="10754" width="3.5703125" style="24" customWidth="1"/>
    <col min="10755" max="10999" width="9.140625" style="24"/>
    <col min="11000" max="11000" width="8.7109375" style="24" customWidth="1"/>
    <col min="11001" max="11001" width="9.85546875" style="24" customWidth="1"/>
    <col min="11002" max="11002" width="14.42578125" style="24" customWidth="1"/>
    <col min="11003" max="11003" width="7.28515625" style="24" customWidth="1"/>
    <col min="11004" max="11004" width="5.5703125" style="24" customWidth="1"/>
    <col min="11005" max="11005" width="9" style="24" customWidth="1"/>
    <col min="11006" max="11007" width="9.85546875" style="24" customWidth="1"/>
    <col min="11008" max="11008" width="11.140625" style="24" customWidth="1"/>
    <col min="11009" max="11009" width="2.85546875" style="24" customWidth="1"/>
    <col min="11010" max="11010" width="3.5703125" style="24" customWidth="1"/>
    <col min="11011" max="11255" width="9.140625" style="24"/>
    <col min="11256" max="11256" width="8.7109375" style="24" customWidth="1"/>
    <col min="11257" max="11257" width="9.85546875" style="24" customWidth="1"/>
    <col min="11258" max="11258" width="14.42578125" style="24" customWidth="1"/>
    <col min="11259" max="11259" width="7.28515625" style="24" customWidth="1"/>
    <col min="11260" max="11260" width="5.5703125" style="24" customWidth="1"/>
    <col min="11261" max="11261" width="9" style="24" customWidth="1"/>
    <col min="11262" max="11263" width="9.85546875" style="24" customWidth="1"/>
    <col min="11264" max="11264" width="11.140625" style="24" customWidth="1"/>
    <col min="11265" max="11265" width="2.85546875" style="24" customWidth="1"/>
    <col min="11266" max="11266" width="3.5703125" style="24" customWidth="1"/>
    <col min="11267" max="11511" width="9.140625" style="24"/>
    <col min="11512" max="11512" width="8.7109375" style="24" customWidth="1"/>
    <col min="11513" max="11513" width="9.85546875" style="24" customWidth="1"/>
    <col min="11514" max="11514" width="14.42578125" style="24" customWidth="1"/>
    <col min="11515" max="11515" width="7.28515625" style="24" customWidth="1"/>
    <col min="11516" max="11516" width="5.5703125" style="24" customWidth="1"/>
    <col min="11517" max="11517" width="9" style="24" customWidth="1"/>
    <col min="11518" max="11519" width="9.85546875" style="24" customWidth="1"/>
    <col min="11520" max="11520" width="11.140625" style="24" customWidth="1"/>
    <col min="11521" max="11521" width="2.85546875" style="24" customWidth="1"/>
    <col min="11522" max="11522" width="3.5703125" style="24" customWidth="1"/>
    <col min="11523" max="11767" width="9.140625" style="24"/>
    <col min="11768" max="11768" width="8.7109375" style="24" customWidth="1"/>
    <col min="11769" max="11769" width="9.85546875" style="24" customWidth="1"/>
    <col min="11770" max="11770" width="14.42578125" style="24" customWidth="1"/>
    <col min="11771" max="11771" width="7.28515625" style="24" customWidth="1"/>
    <col min="11772" max="11772" width="5.5703125" style="24" customWidth="1"/>
    <col min="11773" max="11773" width="9" style="24" customWidth="1"/>
    <col min="11774" max="11775" width="9.85546875" style="24" customWidth="1"/>
    <col min="11776" max="11776" width="11.140625" style="24" customWidth="1"/>
    <col min="11777" max="11777" width="2.85546875" style="24" customWidth="1"/>
    <col min="11778" max="11778" width="3.5703125" style="24" customWidth="1"/>
    <col min="11779" max="12023" width="9.140625" style="24"/>
    <col min="12024" max="12024" width="8.7109375" style="24" customWidth="1"/>
    <col min="12025" max="12025" width="9.85546875" style="24" customWidth="1"/>
    <col min="12026" max="12026" width="14.42578125" style="24" customWidth="1"/>
    <col min="12027" max="12027" width="7.28515625" style="24" customWidth="1"/>
    <col min="12028" max="12028" width="5.5703125" style="24" customWidth="1"/>
    <col min="12029" max="12029" width="9" style="24" customWidth="1"/>
    <col min="12030" max="12031" width="9.85546875" style="24" customWidth="1"/>
    <col min="12032" max="12032" width="11.140625" style="24" customWidth="1"/>
    <col min="12033" max="12033" width="2.85546875" style="24" customWidth="1"/>
    <col min="12034" max="12034" width="3.5703125" style="24" customWidth="1"/>
    <col min="12035" max="12279" width="9.140625" style="24"/>
    <col min="12280" max="12280" width="8.7109375" style="24" customWidth="1"/>
    <col min="12281" max="12281" width="9.85546875" style="24" customWidth="1"/>
    <col min="12282" max="12282" width="14.42578125" style="24" customWidth="1"/>
    <col min="12283" max="12283" width="7.28515625" style="24" customWidth="1"/>
    <col min="12284" max="12284" width="5.5703125" style="24" customWidth="1"/>
    <col min="12285" max="12285" width="9" style="24" customWidth="1"/>
    <col min="12286" max="12287" width="9.85546875" style="24" customWidth="1"/>
    <col min="12288" max="12288" width="11.140625" style="24" customWidth="1"/>
    <col min="12289" max="12289" width="2.85546875" style="24" customWidth="1"/>
    <col min="12290" max="12290" width="3.5703125" style="24" customWidth="1"/>
    <col min="12291" max="12535" width="9.140625" style="24"/>
    <col min="12536" max="12536" width="8.7109375" style="24" customWidth="1"/>
    <col min="12537" max="12537" width="9.85546875" style="24" customWidth="1"/>
    <col min="12538" max="12538" width="14.42578125" style="24" customWidth="1"/>
    <col min="12539" max="12539" width="7.28515625" style="24" customWidth="1"/>
    <col min="12540" max="12540" width="5.5703125" style="24" customWidth="1"/>
    <col min="12541" max="12541" width="9" style="24" customWidth="1"/>
    <col min="12542" max="12543" width="9.85546875" style="24" customWidth="1"/>
    <col min="12544" max="12544" width="11.140625" style="24" customWidth="1"/>
    <col min="12545" max="12545" width="2.85546875" style="24" customWidth="1"/>
    <col min="12546" max="12546" width="3.5703125" style="24" customWidth="1"/>
    <col min="12547" max="12791" width="9.140625" style="24"/>
    <col min="12792" max="12792" width="8.7109375" style="24" customWidth="1"/>
    <col min="12793" max="12793" width="9.85546875" style="24" customWidth="1"/>
    <col min="12794" max="12794" width="14.42578125" style="24" customWidth="1"/>
    <col min="12795" max="12795" width="7.28515625" style="24" customWidth="1"/>
    <col min="12796" max="12796" width="5.5703125" style="24" customWidth="1"/>
    <col min="12797" max="12797" width="9" style="24" customWidth="1"/>
    <col min="12798" max="12799" width="9.85546875" style="24" customWidth="1"/>
    <col min="12800" max="12800" width="11.140625" style="24" customWidth="1"/>
    <col min="12801" max="12801" width="2.85546875" style="24" customWidth="1"/>
    <col min="12802" max="12802" width="3.5703125" style="24" customWidth="1"/>
    <col min="12803" max="13047" width="9.140625" style="24"/>
    <col min="13048" max="13048" width="8.7109375" style="24" customWidth="1"/>
    <col min="13049" max="13049" width="9.85546875" style="24" customWidth="1"/>
    <col min="13050" max="13050" width="14.42578125" style="24" customWidth="1"/>
    <col min="13051" max="13051" width="7.28515625" style="24" customWidth="1"/>
    <col min="13052" max="13052" width="5.5703125" style="24" customWidth="1"/>
    <col min="13053" max="13053" width="9" style="24" customWidth="1"/>
    <col min="13054" max="13055" width="9.85546875" style="24" customWidth="1"/>
    <col min="13056" max="13056" width="11.140625" style="24" customWidth="1"/>
    <col min="13057" max="13057" width="2.85546875" style="24" customWidth="1"/>
    <col min="13058" max="13058" width="3.5703125" style="24" customWidth="1"/>
    <col min="13059" max="13303" width="9.140625" style="24"/>
    <col min="13304" max="13304" width="8.7109375" style="24" customWidth="1"/>
    <col min="13305" max="13305" width="9.85546875" style="24" customWidth="1"/>
    <col min="13306" max="13306" width="14.42578125" style="24" customWidth="1"/>
    <col min="13307" max="13307" width="7.28515625" style="24" customWidth="1"/>
    <col min="13308" max="13308" width="5.5703125" style="24" customWidth="1"/>
    <col min="13309" max="13309" width="9" style="24" customWidth="1"/>
    <col min="13310" max="13311" width="9.85546875" style="24" customWidth="1"/>
    <col min="13312" max="13312" width="11.140625" style="24" customWidth="1"/>
    <col min="13313" max="13313" width="2.85546875" style="24" customWidth="1"/>
    <col min="13314" max="13314" width="3.5703125" style="24" customWidth="1"/>
    <col min="13315" max="13559" width="9.140625" style="24"/>
    <col min="13560" max="13560" width="8.7109375" style="24" customWidth="1"/>
    <col min="13561" max="13561" width="9.85546875" style="24" customWidth="1"/>
    <col min="13562" max="13562" width="14.42578125" style="24" customWidth="1"/>
    <col min="13563" max="13563" width="7.28515625" style="24" customWidth="1"/>
    <col min="13564" max="13564" width="5.5703125" style="24" customWidth="1"/>
    <col min="13565" max="13565" width="9" style="24" customWidth="1"/>
    <col min="13566" max="13567" width="9.85546875" style="24" customWidth="1"/>
    <col min="13568" max="13568" width="11.140625" style="24" customWidth="1"/>
    <col min="13569" max="13569" width="2.85546875" style="24" customWidth="1"/>
    <col min="13570" max="13570" width="3.5703125" style="24" customWidth="1"/>
    <col min="13571" max="13815" width="9.140625" style="24"/>
    <col min="13816" max="13816" width="8.7109375" style="24" customWidth="1"/>
    <col min="13817" max="13817" width="9.85546875" style="24" customWidth="1"/>
    <col min="13818" max="13818" width="14.42578125" style="24" customWidth="1"/>
    <col min="13819" max="13819" width="7.28515625" style="24" customWidth="1"/>
    <col min="13820" max="13820" width="5.5703125" style="24" customWidth="1"/>
    <col min="13821" max="13821" width="9" style="24" customWidth="1"/>
    <col min="13822" max="13823" width="9.85546875" style="24" customWidth="1"/>
    <col min="13824" max="13824" width="11.140625" style="24" customWidth="1"/>
    <col min="13825" max="13825" width="2.85546875" style="24" customWidth="1"/>
    <col min="13826" max="13826" width="3.5703125" style="24" customWidth="1"/>
    <col min="13827" max="14071" width="9.140625" style="24"/>
    <col min="14072" max="14072" width="8.7109375" style="24" customWidth="1"/>
    <col min="14073" max="14073" width="9.85546875" style="24" customWidth="1"/>
    <col min="14074" max="14074" width="14.42578125" style="24" customWidth="1"/>
    <col min="14075" max="14075" width="7.28515625" style="24" customWidth="1"/>
    <col min="14076" max="14076" width="5.5703125" style="24" customWidth="1"/>
    <col min="14077" max="14077" width="9" style="24" customWidth="1"/>
    <col min="14078" max="14079" width="9.85546875" style="24" customWidth="1"/>
    <col min="14080" max="14080" width="11.140625" style="24" customWidth="1"/>
    <col min="14081" max="14081" width="2.85546875" style="24" customWidth="1"/>
    <col min="14082" max="14082" width="3.5703125" style="24" customWidth="1"/>
    <col min="14083" max="14327" width="9.140625" style="24"/>
    <col min="14328" max="14328" width="8.7109375" style="24" customWidth="1"/>
    <col min="14329" max="14329" width="9.85546875" style="24" customWidth="1"/>
    <col min="14330" max="14330" width="14.42578125" style="24" customWidth="1"/>
    <col min="14331" max="14331" width="7.28515625" style="24" customWidth="1"/>
    <col min="14332" max="14332" width="5.5703125" style="24" customWidth="1"/>
    <col min="14333" max="14333" width="9" style="24" customWidth="1"/>
    <col min="14334" max="14335" width="9.85546875" style="24" customWidth="1"/>
    <col min="14336" max="14336" width="11.140625" style="24" customWidth="1"/>
    <col min="14337" max="14337" width="2.85546875" style="24" customWidth="1"/>
    <col min="14338" max="14338" width="3.5703125" style="24" customWidth="1"/>
    <col min="14339" max="14583" width="9.140625" style="24"/>
    <col min="14584" max="14584" width="8.7109375" style="24" customWidth="1"/>
    <col min="14585" max="14585" width="9.85546875" style="24" customWidth="1"/>
    <col min="14586" max="14586" width="14.42578125" style="24" customWidth="1"/>
    <col min="14587" max="14587" width="7.28515625" style="24" customWidth="1"/>
    <col min="14588" max="14588" width="5.5703125" style="24" customWidth="1"/>
    <col min="14589" max="14589" width="9" style="24" customWidth="1"/>
    <col min="14590" max="14591" width="9.85546875" style="24" customWidth="1"/>
    <col min="14592" max="14592" width="11.140625" style="24" customWidth="1"/>
    <col min="14593" max="14593" width="2.85546875" style="24" customWidth="1"/>
    <col min="14594" max="14594" width="3.5703125" style="24" customWidth="1"/>
    <col min="14595" max="14839" width="9.140625" style="24"/>
    <col min="14840" max="14840" width="8.7109375" style="24" customWidth="1"/>
    <col min="14841" max="14841" width="9.85546875" style="24" customWidth="1"/>
    <col min="14842" max="14842" width="14.42578125" style="24" customWidth="1"/>
    <col min="14843" max="14843" width="7.28515625" style="24" customWidth="1"/>
    <col min="14844" max="14844" width="5.5703125" style="24" customWidth="1"/>
    <col min="14845" max="14845" width="9" style="24" customWidth="1"/>
    <col min="14846" max="14847" width="9.85546875" style="24" customWidth="1"/>
    <col min="14848" max="14848" width="11.140625" style="24" customWidth="1"/>
    <col min="14849" max="14849" width="2.85546875" style="24" customWidth="1"/>
    <col min="14850" max="14850" width="3.5703125" style="24" customWidth="1"/>
    <col min="14851" max="15095" width="9.140625" style="24"/>
    <col min="15096" max="15096" width="8.7109375" style="24" customWidth="1"/>
    <col min="15097" max="15097" width="9.85546875" style="24" customWidth="1"/>
    <col min="15098" max="15098" width="14.42578125" style="24" customWidth="1"/>
    <col min="15099" max="15099" width="7.28515625" style="24" customWidth="1"/>
    <col min="15100" max="15100" width="5.5703125" style="24" customWidth="1"/>
    <col min="15101" max="15101" width="9" style="24" customWidth="1"/>
    <col min="15102" max="15103" width="9.85546875" style="24" customWidth="1"/>
    <col min="15104" max="15104" width="11.140625" style="24" customWidth="1"/>
    <col min="15105" max="15105" width="2.85546875" style="24" customWidth="1"/>
    <col min="15106" max="15106" width="3.5703125" style="24" customWidth="1"/>
    <col min="15107" max="15351" width="9.140625" style="24"/>
    <col min="15352" max="15352" width="8.7109375" style="24" customWidth="1"/>
    <col min="15353" max="15353" width="9.85546875" style="24" customWidth="1"/>
    <col min="15354" max="15354" width="14.42578125" style="24" customWidth="1"/>
    <col min="15355" max="15355" width="7.28515625" style="24" customWidth="1"/>
    <col min="15356" max="15356" width="5.5703125" style="24" customWidth="1"/>
    <col min="15357" max="15357" width="9" style="24" customWidth="1"/>
    <col min="15358" max="15359" width="9.85546875" style="24" customWidth="1"/>
    <col min="15360" max="15360" width="11.140625" style="24" customWidth="1"/>
    <col min="15361" max="15361" width="2.85546875" style="24" customWidth="1"/>
    <col min="15362" max="15362" width="3.5703125" style="24" customWidth="1"/>
    <col min="15363" max="15607" width="9.140625" style="24"/>
    <col min="15608" max="15608" width="8.7109375" style="24" customWidth="1"/>
    <col min="15609" max="15609" width="9.85546875" style="24" customWidth="1"/>
    <col min="15610" max="15610" width="14.42578125" style="24" customWidth="1"/>
    <col min="15611" max="15611" width="7.28515625" style="24" customWidth="1"/>
    <col min="15612" max="15612" width="5.5703125" style="24" customWidth="1"/>
    <col min="15613" max="15613" width="9" style="24" customWidth="1"/>
    <col min="15614" max="15615" width="9.85546875" style="24" customWidth="1"/>
    <col min="15616" max="15616" width="11.140625" style="24" customWidth="1"/>
    <col min="15617" max="15617" width="2.85546875" style="24" customWidth="1"/>
    <col min="15618" max="15618" width="3.5703125" style="24" customWidth="1"/>
    <col min="15619" max="15863" width="9.140625" style="24"/>
    <col min="15864" max="15864" width="8.7109375" style="24" customWidth="1"/>
    <col min="15865" max="15865" width="9.85546875" style="24" customWidth="1"/>
    <col min="15866" max="15866" width="14.42578125" style="24" customWidth="1"/>
    <col min="15867" max="15867" width="7.28515625" style="24" customWidth="1"/>
    <col min="15868" max="15868" width="5.5703125" style="24" customWidth="1"/>
    <col min="15869" max="15869" width="9" style="24" customWidth="1"/>
    <col min="15870" max="15871" width="9.85546875" style="24" customWidth="1"/>
    <col min="15872" max="15872" width="11.140625" style="24" customWidth="1"/>
    <col min="15873" max="15873" width="2.85546875" style="24" customWidth="1"/>
    <col min="15874" max="15874" width="3.5703125" style="24" customWidth="1"/>
    <col min="15875" max="16119" width="9.140625" style="24"/>
    <col min="16120" max="16120" width="8.7109375" style="24" customWidth="1"/>
    <col min="16121" max="16121" width="9.85546875" style="24" customWidth="1"/>
    <col min="16122" max="16122" width="14.42578125" style="24" customWidth="1"/>
    <col min="16123" max="16123" width="7.28515625" style="24" customWidth="1"/>
    <col min="16124" max="16124" width="5.5703125" style="24" customWidth="1"/>
    <col min="16125" max="16125" width="9" style="24" customWidth="1"/>
    <col min="16126" max="16127" width="9.85546875" style="24" customWidth="1"/>
    <col min="16128" max="16128" width="11.140625" style="24" customWidth="1"/>
    <col min="16129" max="16129" width="2.85546875" style="24" customWidth="1"/>
    <col min="16130" max="16130" width="3.5703125" style="24" customWidth="1"/>
    <col min="16131" max="16384" width="9.140625" style="24"/>
  </cols>
  <sheetData>
    <row r="1" spans="1:12" ht="46.5" customHeight="1" x14ac:dyDescent="0.25">
      <c r="A1" s="183" t="s">
        <v>248</v>
      </c>
      <c r="B1" s="183"/>
      <c r="C1" s="183"/>
      <c r="D1" s="183"/>
      <c r="E1" s="183"/>
      <c r="F1" s="183"/>
      <c r="G1" s="183"/>
      <c r="H1" s="183"/>
    </row>
    <row r="2" spans="1:12" ht="16.5" customHeight="1" x14ac:dyDescent="0.25">
      <c r="A2" s="184" t="s">
        <v>0</v>
      </c>
      <c r="B2" s="184"/>
      <c r="C2" s="184"/>
      <c r="D2" s="184"/>
      <c r="E2" s="184"/>
      <c r="F2" s="184"/>
      <c r="G2" s="184"/>
      <c r="H2" s="184"/>
    </row>
    <row r="3" spans="1:12" x14ac:dyDescent="0.25">
      <c r="A3" s="77" t="s">
        <v>1</v>
      </c>
      <c r="B3" s="77"/>
      <c r="C3" s="77"/>
      <c r="D3" s="77"/>
      <c r="E3" s="77" t="str">
        <f ca="1">TEXT(TODAY(),"DD/MM/YYYY")</f>
        <v>07/07/2025</v>
      </c>
      <c r="F3" s="77"/>
      <c r="G3" s="77"/>
      <c r="H3" s="77"/>
    </row>
    <row r="4" spans="1:12" ht="15" customHeight="1" x14ac:dyDescent="0.25">
      <c r="A4" s="77" t="s">
        <v>2</v>
      </c>
      <c r="B4" s="77"/>
      <c r="C4" s="77"/>
      <c r="D4" s="77"/>
      <c r="E4" s="77" t="s">
        <v>169</v>
      </c>
      <c r="F4" s="77"/>
      <c r="G4" s="77"/>
      <c r="H4" s="77"/>
    </row>
    <row r="5" spans="1:12" x14ac:dyDescent="0.25">
      <c r="A5" s="77" t="s">
        <v>3</v>
      </c>
      <c r="B5" s="77"/>
      <c r="C5" s="77"/>
      <c r="D5" s="77"/>
      <c r="E5" s="226">
        <v>45844</v>
      </c>
      <c r="F5" s="227"/>
      <c r="G5" s="227"/>
      <c r="H5" s="227"/>
    </row>
    <row r="6" spans="1:12" ht="16.5" customHeight="1" x14ac:dyDescent="0.25">
      <c r="A6" s="77" t="s">
        <v>4</v>
      </c>
      <c r="B6" s="77"/>
      <c r="C6" s="77"/>
      <c r="D6" s="77"/>
      <c r="E6" s="77" t="s">
        <v>170</v>
      </c>
      <c r="F6" s="77"/>
      <c r="G6" s="77"/>
      <c r="H6" s="77"/>
    </row>
    <row r="7" spans="1:12" ht="15" customHeight="1" x14ac:dyDescent="0.25">
      <c r="A7" s="77" t="s">
        <v>5</v>
      </c>
      <c r="B7" s="77"/>
      <c r="C7" s="77"/>
      <c r="D7" s="77"/>
      <c r="E7" s="77" t="str">
        <f>E6</f>
        <v>JP Infra Realty Private Limited</v>
      </c>
      <c r="F7" s="77"/>
      <c r="G7" s="77"/>
      <c r="H7" s="77"/>
    </row>
    <row r="8" spans="1:12" x14ac:dyDescent="0.25">
      <c r="A8" s="77" t="s">
        <v>6</v>
      </c>
      <c r="B8" s="77"/>
      <c r="C8" s="77"/>
      <c r="D8" s="77"/>
      <c r="E8" s="84" t="s">
        <v>171</v>
      </c>
      <c r="F8" s="84"/>
      <c r="G8" s="84"/>
      <c r="H8" s="84"/>
      <c r="K8" s="24" t="s">
        <v>256</v>
      </c>
    </row>
    <row r="9" spans="1:12" hidden="1" x14ac:dyDescent="0.25">
      <c r="A9" s="77" t="s">
        <v>244</v>
      </c>
      <c r="B9" s="77"/>
      <c r="C9" s="77"/>
      <c r="D9" s="77"/>
      <c r="E9" s="84" t="s">
        <v>247</v>
      </c>
      <c r="F9" s="84"/>
      <c r="G9" s="84"/>
      <c r="H9" s="84"/>
    </row>
    <row r="10" spans="1:12" x14ac:dyDescent="0.25">
      <c r="A10" s="77" t="s">
        <v>167</v>
      </c>
      <c r="B10" s="77"/>
      <c r="C10" s="77"/>
      <c r="D10" s="77"/>
      <c r="E10" s="77" t="s">
        <v>258</v>
      </c>
      <c r="F10" s="77"/>
      <c r="G10" s="77"/>
      <c r="H10" s="77"/>
    </row>
    <row r="11" spans="1:12" x14ac:dyDescent="0.25">
      <c r="A11" s="77" t="s">
        <v>168</v>
      </c>
      <c r="B11" s="77"/>
      <c r="C11" s="77"/>
      <c r="D11" s="77"/>
      <c r="E11" s="77" t="s">
        <v>29</v>
      </c>
      <c r="F11" s="77"/>
      <c r="G11" s="77"/>
      <c r="H11" s="77"/>
      <c r="I11" s="77" t="s">
        <v>259</v>
      </c>
      <c r="J11" s="77"/>
      <c r="K11" s="77"/>
      <c r="L11" s="77"/>
    </row>
    <row r="12" spans="1:12" ht="32.25" customHeight="1" x14ac:dyDescent="0.25">
      <c r="A12" s="77" t="s">
        <v>7</v>
      </c>
      <c r="B12" s="77"/>
      <c r="C12" s="77"/>
      <c r="D12" s="77"/>
      <c r="E12" s="132" t="s">
        <v>236</v>
      </c>
      <c r="F12" s="77"/>
      <c r="G12" s="77"/>
      <c r="H12" s="77"/>
    </row>
    <row r="13" spans="1:12" x14ac:dyDescent="0.25">
      <c r="A13" s="77" t="s">
        <v>8</v>
      </c>
      <c r="B13" s="77"/>
      <c r="C13" s="77"/>
      <c r="D13" s="77"/>
      <c r="E13" s="132" t="s">
        <v>219</v>
      </c>
      <c r="F13" s="132"/>
      <c r="G13" s="132"/>
      <c r="H13" s="132"/>
    </row>
    <row r="14" spans="1:12" ht="47.25" customHeight="1" x14ac:dyDescent="0.25">
      <c r="A14" s="77" t="s">
        <v>245</v>
      </c>
      <c r="B14" s="77"/>
      <c r="C14" s="77"/>
      <c r="D14" s="77"/>
      <c r="E14" s="132" t="s">
        <v>246</v>
      </c>
      <c r="F14" s="77"/>
      <c r="G14" s="77"/>
      <c r="H14" s="77"/>
    </row>
    <row r="15" spans="1:12" ht="48.75" customHeight="1" x14ac:dyDescent="0.25">
      <c r="A15" s="132" t="s">
        <v>9</v>
      </c>
      <c r="B15" s="132"/>
      <c r="C15" s="13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Codename Dream Home, Survey No.20/4B(Pt), 20/8(Pt), 21/2A+21/2B, 22/1B(Pt), 22/1C(Pt)….. &amp; Others, near JP North - Euphoria, Mira Bhayandar Road, Vinay Nagar, Godbunder, Mira Road, Thane, Thane - 401107.</v>
      </c>
      <c r="D15" s="132"/>
      <c r="E15" s="132"/>
      <c r="F15" s="132"/>
      <c r="G15" s="132"/>
      <c r="H15" s="132"/>
      <c r="K15" s="24" t="s">
        <v>173</v>
      </c>
    </row>
    <row r="16" spans="1:12" x14ac:dyDescent="0.25">
      <c r="A16" s="132" t="s">
        <v>172</v>
      </c>
      <c r="B16" s="132"/>
      <c r="C16" s="132" t="s">
        <v>174</v>
      </c>
      <c r="D16" s="132"/>
      <c r="E16" s="132"/>
      <c r="F16" s="132"/>
      <c r="G16" s="132"/>
      <c r="H16" s="132"/>
    </row>
    <row r="17" spans="1:8" ht="15.75" customHeight="1" x14ac:dyDescent="0.25">
      <c r="A17" s="132" t="s">
        <v>166</v>
      </c>
      <c r="B17" s="132"/>
      <c r="C17" s="132" t="s">
        <v>177</v>
      </c>
      <c r="D17" s="132"/>
      <c r="E17" s="132"/>
      <c r="F17" s="132"/>
      <c r="G17" s="132"/>
      <c r="H17" s="132"/>
    </row>
    <row r="18" spans="1:8" ht="15.75" customHeight="1" x14ac:dyDescent="0.25">
      <c r="A18" s="168" t="s">
        <v>10</v>
      </c>
      <c r="B18" s="168"/>
      <c r="C18" s="77" t="s">
        <v>178</v>
      </c>
      <c r="D18" s="77"/>
      <c r="E18" s="168" t="s">
        <v>73</v>
      </c>
      <c r="F18" s="168"/>
      <c r="G18" s="132" t="s">
        <v>175</v>
      </c>
      <c r="H18" s="132"/>
    </row>
    <row r="19" spans="1:8" x14ac:dyDescent="0.25">
      <c r="A19" s="130" t="s">
        <v>12</v>
      </c>
      <c r="B19" s="130"/>
      <c r="C19" s="132" t="s">
        <v>220</v>
      </c>
      <c r="D19" s="132"/>
      <c r="E19" s="168" t="s">
        <v>11</v>
      </c>
      <c r="F19" s="168"/>
      <c r="G19" s="182" t="s">
        <v>176</v>
      </c>
      <c r="H19" s="182"/>
    </row>
    <row r="20" spans="1:8" x14ac:dyDescent="0.25">
      <c r="A20" s="130" t="s">
        <v>74</v>
      </c>
      <c r="B20" s="130"/>
      <c r="C20" s="132" t="s">
        <v>176</v>
      </c>
      <c r="D20" s="132"/>
      <c r="E20" s="168" t="s">
        <v>13</v>
      </c>
      <c r="F20" s="168"/>
      <c r="G20" s="132">
        <v>401107</v>
      </c>
      <c r="H20" s="132"/>
    </row>
    <row r="21" spans="1:8" ht="32.25" customHeight="1" x14ac:dyDescent="0.25">
      <c r="A21" s="130" t="s">
        <v>122</v>
      </c>
      <c r="B21" s="130"/>
      <c r="C21" s="132" t="s">
        <v>179</v>
      </c>
      <c r="D21" s="132"/>
      <c r="E21" s="168" t="s">
        <v>14</v>
      </c>
      <c r="F21" s="168"/>
      <c r="G21" s="132" t="s">
        <v>180</v>
      </c>
      <c r="H21" s="132"/>
    </row>
    <row r="22" spans="1:8" ht="15" customHeight="1" x14ac:dyDescent="0.25">
      <c r="A22" s="168" t="s">
        <v>76</v>
      </c>
      <c r="B22" s="168"/>
      <c r="C22" s="168"/>
      <c r="D22" s="168"/>
      <c r="E22" s="77" t="s">
        <v>15</v>
      </c>
      <c r="F22" s="77"/>
      <c r="G22" s="77"/>
      <c r="H22" s="77"/>
    </row>
    <row r="23" spans="1:8" ht="18.75" customHeight="1" x14ac:dyDescent="0.25">
      <c r="A23" s="168"/>
      <c r="B23" s="168"/>
      <c r="C23" s="168"/>
      <c r="D23" s="168"/>
      <c r="E23" s="77"/>
      <c r="F23" s="77"/>
      <c r="G23" s="77"/>
      <c r="H23" s="77"/>
    </row>
    <row r="24" spans="1:8" ht="15" customHeight="1" x14ac:dyDescent="0.25">
      <c r="A24" s="168" t="s">
        <v>16</v>
      </c>
      <c r="B24" s="168"/>
      <c r="C24" s="168"/>
      <c r="D24" s="168"/>
      <c r="E24" s="132" t="s">
        <v>17</v>
      </c>
      <c r="F24" s="132"/>
      <c r="G24" s="132"/>
      <c r="H24" s="132"/>
    </row>
    <row r="25" spans="1:8" ht="15" customHeight="1" x14ac:dyDescent="0.25">
      <c r="A25" s="130" t="s">
        <v>18</v>
      </c>
      <c r="B25" s="130"/>
      <c r="C25" s="130"/>
      <c r="D25" s="130"/>
      <c r="E25" s="132" t="str">
        <f>IF(AND(G19="Mumbai"),"Upper Class","Middle Class")</f>
        <v>Middle Class</v>
      </c>
      <c r="F25" s="132"/>
      <c r="G25" s="132"/>
      <c r="H25" s="132"/>
    </row>
    <row r="26" spans="1:8" x14ac:dyDescent="0.25">
      <c r="A26" s="130" t="s">
        <v>19</v>
      </c>
      <c r="B26" s="130"/>
      <c r="C26" s="130"/>
      <c r="D26" s="130"/>
      <c r="E26" s="132" t="s">
        <v>20</v>
      </c>
      <c r="F26" s="132"/>
      <c r="G26" s="132"/>
      <c r="H26" s="132"/>
    </row>
    <row r="27" spans="1:8" ht="15.75" customHeight="1" x14ac:dyDescent="0.25">
      <c r="A27" s="130" t="s">
        <v>21</v>
      </c>
      <c r="B27" s="130"/>
      <c r="C27" s="130"/>
      <c r="D27" s="130"/>
      <c r="E27" s="132" t="str">
        <f>IF(AND(G19="Mumbai"),"Developed","Developing")</f>
        <v>Developing</v>
      </c>
      <c r="F27" s="132"/>
      <c r="G27" s="132"/>
      <c r="H27" s="132"/>
    </row>
    <row r="28" spans="1:8" x14ac:dyDescent="0.25">
      <c r="A28" s="130" t="s">
        <v>22</v>
      </c>
      <c r="B28" s="130"/>
      <c r="C28" s="130"/>
      <c r="D28" s="130"/>
      <c r="E28" s="132" t="s">
        <v>23</v>
      </c>
      <c r="F28" s="132"/>
      <c r="G28" s="132"/>
      <c r="H28" s="132"/>
    </row>
    <row r="29" spans="1:8" ht="15.75" customHeight="1" x14ac:dyDescent="0.25">
      <c r="A29" s="130" t="s">
        <v>81</v>
      </c>
      <c r="B29" s="130"/>
      <c r="C29" s="130"/>
      <c r="D29" s="130"/>
      <c r="E29" s="132" t="s">
        <v>82</v>
      </c>
      <c r="F29" s="132"/>
      <c r="G29" s="132"/>
      <c r="H29" s="132"/>
    </row>
    <row r="30" spans="1:8" ht="15" customHeight="1" x14ac:dyDescent="0.25">
      <c r="A30" s="130" t="s">
        <v>32</v>
      </c>
      <c r="B30" s="130"/>
      <c r="C30" s="130"/>
      <c r="D30" s="130"/>
      <c r="E30" s="13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32"/>
      <c r="G30" s="132"/>
      <c r="H30" s="132"/>
    </row>
    <row r="31" spans="1:8" ht="15.75" customHeight="1" x14ac:dyDescent="0.25">
      <c r="A31" s="130" t="s">
        <v>93</v>
      </c>
      <c r="B31" s="130"/>
      <c r="C31" s="130"/>
      <c r="D31" s="130"/>
      <c r="E31" s="132" t="s">
        <v>33</v>
      </c>
      <c r="F31" s="132"/>
      <c r="G31" s="132"/>
      <c r="H31" s="132"/>
    </row>
    <row r="32" spans="1:8" s="25" customFormat="1" x14ac:dyDescent="0.25">
      <c r="A32" s="181" t="s">
        <v>94</v>
      </c>
      <c r="B32" s="181"/>
      <c r="C32" s="180" t="s">
        <v>28</v>
      </c>
      <c r="D32" s="180"/>
      <c r="E32" s="180"/>
      <c r="F32" s="180" t="s">
        <v>30</v>
      </c>
      <c r="G32" s="180"/>
      <c r="H32" s="180"/>
    </row>
    <row r="33" spans="1:8" s="25" customFormat="1" x14ac:dyDescent="0.25">
      <c r="A33" s="165" t="s">
        <v>24</v>
      </c>
      <c r="B33" s="165" t="s">
        <v>29</v>
      </c>
      <c r="C33" s="165" t="s">
        <v>29</v>
      </c>
      <c r="D33" s="165"/>
      <c r="E33" s="165"/>
      <c r="F33" s="164" t="s">
        <v>221</v>
      </c>
      <c r="G33" s="165"/>
      <c r="H33" s="165"/>
    </row>
    <row r="34" spans="1:8" x14ac:dyDescent="0.25">
      <c r="A34" s="179" t="s">
        <v>25</v>
      </c>
      <c r="B34" s="179" t="s">
        <v>29</v>
      </c>
      <c r="C34" s="166" t="s">
        <v>29</v>
      </c>
      <c r="D34" s="166"/>
      <c r="E34" s="166"/>
      <c r="F34" s="166" t="s">
        <v>178</v>
      </c>
      <c r="G34" s="166"/>
      <c r="H34" s="166"/>
    </row>
    <row r="35" spans="1:8" s="25" customFormat="1" x14ac:dyDescent="0.25">
      <c r="A35" s="179" t="s">
        <v>27</v>
      </c>
      <c r="B35" s="179" t="s">
        <v>29</v>
      </c>
      <c r="C35" s="166" t="s">
        <v>29</v>
      </c>
      <c r="D35" s="166"/>
      <c r="E35" s="166"/>
      <c r="F35" s="166" t="s">
        <v>222</v>
      </c>
      <c r="G35" s="166"/>
      <c r="H35" s="166"/>
    </row>
    <row r="36" spans="1:8" x14ac:dyDescent="0.25">
      <c r="A36" s="179" t="s">
        <v>26</v>
      </c>
      <c r="B36" s="179" t="s">
        <v>29</v>
      </c>
      <c r="C36" s="166" t="s">
        <v>29</v>
      </c>
      <c r="D36" s="166"/>
      <c r="E36" s="166"/>
      <c r="F36" s="166" t="s">
        <v>223</v>
      </c>
      <c r="G36" s="166"/>
      <c r="H36" s="166"/>
    </row>
    <row r="37" spans="1:8" x14ac:dyDescent="0.25">
      <c r="A37" s="130" t="s">
        <v>31</v>
      </c>
      <c r="B37" s="130"/>
      <c r="C37" s="130"/>
      <c r="D37" s="130"/>
      <c r="E37" s="130"/>
      <c r="F37" s="130"/>
      <c r="G37" s="130"/>
      <c r="H37" s="130"/>
    </row>
    <row r="38" spans="1:8" ht="15.75" customHeight="1" x14ac:dyDescent="0.25">
      <c r="A38" s="130" t="s">
        <v>252</v>
      </c>
      <c r="B38" s="130"/>
      <c r="C38" s="176" t="s">
        <v>253</v>
      </c>
      <c r="D38" s="177"/>
      <c r="E38" s="177"/>
      <c r="F38" s="177"/>
      <c r="G38" s="177"/>
      <c r="H38" s="178"/>
    </row>
    <row r="39" spans="1:8" x14ac:dyDescent="0.25">
      <c r="A39" s="130" t="s">
        <v>165</v>
      </c>
      <c r="B39" s="130"/>
      <c r="C39" s="131" t="s">
        <v>181</v>
      </c>
      <c r="D39" s="132"/>
      <c r="E39" s="132"/>
      <c r="F39" s="132"/>
      <c r="G39" s="132"/>
      <c r="H39" s="132"/>
    </row>
    <row r="40" spans="1:8" x14ac:dyDescent="0.25">
      <c r="A40" s="167" t="s">
        <v>34</v>
      </c>
      <c r="B40" s="167"/>
      <c r="C40" s="167"/>
      <c r="D40" s="167"/>
      <c r="E40" s="167"/>
      <c r="F40" s="167"/>
      <c r="G40" s="167"/>
      <c r="H40" s="167"/>
    </row>
    <row r="41" spans="1:8" x14ac:dyDescent="0.25">
      <c r="A41" s="130" t="s">
        <v>35</v>
      </c>
      <c r="B41" s="130"/>
      <c r="C41" s="130"/>
      <c r="D41" s="130"/>
      <c r="E41" s="163">
        <v>81761.789999999994</v>
      </c>
      <c r="F41" s="163"/>
      <c r="G41" s="163"/>
      <c r="H41" s="163"/>
    </row>
    <row r="42" spans="1:8" x14ac:dyDescent="0.25">
      <c r="A42" s="130" t="s">
        <v>36</v>
      </c>
      <c r="B42" s="130"/>
      <c r="C42" s="130"/>
      <c r="D42" s="130"/>
      <c r="E42" s="170">
        <v>1.1000000000000001</v>
      </c>
      <c r="F42" s="170"/>
      <c r="G42" s="170"/>
      <c r="H42" s="170"/>
    </row>
    <row r="43" spans="1:8" x14ac:dyDescent="0.25">
      <c r="A43" s="130" t="s">
        <v>37</v>
      </c>
      <c r="B43" s="130"/>
      <c r="C43" s="130"/>
      <c r="D43" s="130"/>
      <c r="E43" s="170">
        <f>E45/E41-E42</f>
        <v>4.7990799981262651</v>
      </c>
      <c r="F43" s="170"/>
      <c r="G43" s="170"/>
      <c r="H43" s="170"/>
    </row>
    <row r="44" spans="1:8" x14ac:dyDescent="0.25">
      <c r="A44" s="130" t="s">
        <v>38</v>
      </c>
      <c r="B44" s="130"/>
      <c r="C44" s="130"/>
      <c r="D44" s="130"/>
      <c r="E44" s="170">
        <f>E42+E43</f>
        <v>5.8990799981262647</v>
      </c>
      <c r="F44" s="170"/>
      <c r="G44" s="170"/>
      <c r="H44" s="170"/>
    </row>
    <row r="45" spans="1:8" x14ac:dyDescent="0.25">
      <c r="A45" s="130" t="s">
        <v>92</v>
      </c>
      <c r="B45" s="130"/>
      <c r="C45" s="130"/>
      <c r="D45" s="130"/>
      <c r="E45" s="171">
        <v>482319.34</v>
      </c>
      <c r="F45" s="171"/>
      <c r="G45" s="171"/>
      <c r="H45" s="171"/>
    </row>
    <row r="46" spans="1:8" x14ac:dyDescent="0.25">
      <c r="A46" s="77" t="s">
        <v>39</v>
      </c>
      <c r="B46" s="77"/>
      <c r="C46" s="77"/>
      <c r="D46" s="77"/>
      <c r="E46" s="77" t="s">
        <v>237</v>
      </c>
      <c r="F46" s="77"/>
      <c r="G46" s="77"/>
      <c r="H46" s="77"/>
    </row>
    <row r="47" spans="1:8" x14ac:dyDescent="0.25">
      <c r="A47" s="84" t="s">
        <v>40</v>
      </c>
      <c r="B47" s="84"/>
      <c r="C47" s="84"/>
      <c r="D47" s="84"/>
      <c r="E47" s="84"/>
      <c r="F47" s="84"/>
      <c r="G47" s="84"/>
      <c r="H47" s="84"/>
    </row>
    <row r="48" spans="1:8" ht="33.75" customHeight="1" x14ac:dyDescent="0.25">
      <c r="A48" s="133" t="s">
        <v>152</v>
      </c>
      <c r="B48" s="134"/>
      <c r="C48" s="135" t="s">
        <v>224</v>
      </c>
      <c r="D48" s="136"/>
      <c r="E48" s="136"/>
      <c r="F48" s="136"/>
      <c r="G48" s="136"/>
      <c r="H48" s="137"/>
    </row>
    <row r="49" spans="1:14" ht="15.75" customHeight="1" x14ac:dyDescent="0.25">
      <c r="A49" s="133" t="s">
        <v>41</v>
      </c>
      <c r="B49" s="134"/>
      <c r="C49" s="133" t="s">
        <v>182</v>
      </c>
      <c r="D49" s="198"/>
      <c r="E49" s="134"/>
      <c r="F49" s="52" t="s">
        <v>42</v>
      </c>
      <c r="G49" s="199">
        <v>44603</v>
      </c>
      <c r="H49" s="134"/>
    </row>
    <row r="50" spans="1:14" x14ac:dyDescent="0.25">
      <c r="A50" s="200" t="s">
        <v>43</v>
      </c>
      <c r="B50" s="191"/>
      <c r="C50" s="200" t="str">
        <f>C49</f>
        <v>MBMNP/NR/3855/2021-22</v>
      </c>
      <c r="D50" s="201"/>
      <c r="E50" s="191"/>
      <c r="F50" s="21" t="s">
        <v>42</v>
      </c>
      <c r="G50" s="190">
        <v>44603</v>
      </c>
      <c r="H50" s="191"/>
    </row>
    <row r="51" spans="1:14" s="26" customFormat="1" ht="15.75" customHeight="1" x14ac:dyDescent="0.25">
      <c r="A51" s="192" t="s">
        <v>156</v>
      </c>
      <c r="B51" s="193"/>
      <c r="C51" s="200" t="s">
        <v>254</v>
      </c>
      <c r="D51" s="201"/>
      <c r="E51" s="191"/>
      <c r="F51" s="21" t="s">
        <v>42</v>
      </c>
      <c r="G51" s="190">
        <v>44855</v>
      </c>
      <c r="H51" s="191"/>
    </row>
    <row r="52" spans="1:14" s="26" customFormat="1" ht="63" customHeight="1" x14ac:dyDescent="0.25">
      <c r="A52" s="194"/>
      <c r="B52" s="195"/>
      <c r="C52" s="200" t="s">
        <v>255</v>
      </c>
      <c r="D52" s="201"/>
      <c r="E52" s="201"/>
      <c r="F52" s="201"/>
      <c r="G52" s="201"/>
      <c r="H52" s="191"/>
    </row>
    <row r="53" spans="1:14" x14ac:dyDescent="0.25">
      <c r="A53" s="222" t="s">
        <v>44</v>
      </c>
      <c r="B53" s="223"/>
      <c r="C53" s="222" t="s">
        <v>105</v>
      </c>
      <c r="D53" s="224"/>
      <c r="E53" s="223"/>
      <c r="F53" s="65" t="s">
        <v>42</v>
      </c>
      <c r="G53" s="210" t="s">
        <v>29</v>
      </c>
      <c r="H53" s="211"/>
    </row>
    <row r="54" spans="1:14" x14ac:dyDescent="0.25">
      <c r="A54" s="209" t="s">
        <v>46</v>
      </c>
      <c r="B54" s="209"/>
      <c r="C54" s="209"/>
      <c r="D54" s="209"/>
      <c r="E54" s="209"/>
      <c r="F54" s="209"/>
      <c r="G54" s="209"/>
      <c r="H54" s="209"/>
    </row>
    <row r="55" spans="1:14" x14ac:dyDescent="0.25">
      <c r="A55" s="168" t="s">
        <v>91</v>
      </c>
      <c r="B55" s="168"/>
      <c r="C55" s="168"/>
      <c r="D55" s="130">
        <f>E45</f>
        <v>482319.34</v>
      </c>
      <c r="E55" s="130"/>
      <c r="F55" s="130"/>
      <c r="G55" s="130"/>
      <c r="H55" s="130"/>
    </row>
    <row r="56" spans="1:14" x14ac:dyDescent="0.25">
      <c r="A56" s="132" t="s">
        <v>47</v>
      </c>
      <c r="B56" s="77"/>
      <c r="C56" s="77"/>
      <c r="D56" s="77" t="s">
        <v>231</v>
      </c>
      <c r="E56" s="77"/>
      <c r="F56" s="77"/>
      <c r="G56" s="77"/>
      <c r="H56" s="77"/>
      <c r="I56" s="27"/>
    </row>
    <row r="57" spans="1:14" ht="31.5" customHeight="1" x14ac:dyDescent="0.25">
      <c r="A57" s="187" t="s">
        <v>48</v>
      </c>
      <c r="B57" s="188"/>
      <c r="C57" s="189"/>
      <c r="D57" s="185" t="s">
        <v>238</v>
      </c>
      <c r="E57" s="186"/>
      <c r="F57" s="186"/>
      <c r="G57" s="186"/>
      <c r="H57" s="186"/>
      <c r="I57" s="28"/>
    </row>
    <row r="58" spans="1:14" x14ac:dyDescent="0.25">
      <c r="A58" s="132" t="s">
        <v>89</v>
      </c>
      <c r="B58" s="132"/>
      <c r="C58" s="132"/>
      <c r="D58" s="189" t="s">
        <v>239</v>
      </c>
      <c r="E58" s="186"/>
      <c r="F58" s="186"/>
      <c r="G58" s="186"/>
      <c r="H58" s="186"/>
      <c r="I58" s="28"/>
    </row>
    <row r="59" spans="1:14" x14ac:dyDescent="0.25">
      <c r="A59" s="132"/>
      <c r="B59" s="132"/>
      <c r="C59" s="132"/>
      <c r="D59" s="220" t="s">
        <v>240</v>
      </c>
      <c r="E59" s="221"/>
      <c r="F59" s="221"/>
      <c r="G59" s="221"/>
      <c r="H59" s="221"/>
      <c r="I59" s="28"/>
    </row>
    <row r="60" spans="1:14" hidden="1" x14ac:dyDescent="0.25">
      <c r="A60" s="132"/>
      <c r="B60" s="132"/>
      <c r="C60" s="132"/>
      <c r="D60" s="212" t="s">
        <v>148</v>
      </c>
      <c r="E60" s="213"/>
      <c r="F60" s="213"/>
      <c r="G60" s="213"/>
      <c r="H60" s="213"/>
      <c r="I60" s="28"/>
    </row>
    <row r="61" spans="1:14" x14ac:dyDescent="0.25">
      <c r="A61" s="130" t="s">
        <v>45</v>
      </c>
      <c r="B61" s="130"/>
      <c r="C61" s="130"/>
      <c r="D61" s="168" t="s">
        <v>232</v>
      </c>
      <c r="E61" s="168"/>
      <c r="F61" s="168"/>
      <c r="G61" s="168"/>
      <c r="H61" s="168"/>
      <c r="J61" s="29"/>
      <c r="K61" s="27"/>
      <c r="N61" s="27"/>
    </row>
    <row r="62" spans="1:14" ht="15.75" customHeight="1" x14ac:dyDescent="0.25">
      <c r="A62" s="130" t="s">
        <v>87</v>
      </c>
      <c r="B62" s="130"/>
      <c r="C62" s="130"/>
      <c r="D62" s="169" t="str">
        <f>(IF(G53="NA","60 Years After Completion",IF(G53&lt;&gt;"NA",""&amp;60-ROUNDDOWN((E3-G53)/360,0)&amp;" Years"," ")))</f>
        <v>60 Years After Completion</v>
      </c>
      <c r="E62" s="169"/>
      <c r="F62" s="169"/>
      <c r="G62" s="169"/>
      <c r="H62" s="169"/>
      <c r="N62" s="27"/>
    </row>
    <row r="63" spans="1:14" ht="15.75" customHeight="1" x14ac:dyDescent="0.25">
      <c r="A63" s="130" t="s">
        <v>88</v>
      </c>
      <c r="B63" s="130"/>
      <c r="C63" s="130"/>
      <c r="D63" s="168" t="s">
        <v>23</v>
      </c>
      <c r="E63" s="168"/>
      <c r="F63" s="168"/>
      <c r="G63" s="168"/>
      <c r="H63" s="168"/>
      <c r="J63" s="30"/>
      <c r="K63" s="30"/>
    </row>
    <row r="64" spans="1:14" ht="15" customHeight="1" x14ac:dyDescent="0.25">
      <c r="A64" s="130" t="s">
        <v>75</v>
      </c>
      <c r="B64" s="130"/>
      <c r="C64" s="130"/>
      <c r="D64" s="132" t="s">
        <v>243</v>
      </c>
      <c r="E64" s="132"/>
      <c r="F64" s="132"/>
      <c r="G64" s="132"/>
      <c r="H64" s="132"/>
    </row>
    <row r="65" spans="1:14" x14ac:dyDescent="0.25">
      <c r="A65" s="168" t="s">
        <v>149</v>
      </c>
      <c r="B65" s="168"/>
      <c r="C65" s="168"/>
      <c r="D65" s="168" t="s">
        <v>29</v>
      </c>
      <c r="E65" s="168"/>
      <c r="F65" s="168"/>
      <c r="G65" s="168"/>
      <c r="H65" s="168"/>
      <c r="I65" s="31"/>
      <c r="J65" s="31"/>
      <c r="K65" s="31"/>
      <c r="L65" s="31"/>
      <c r="M65" s="31"/>
      <c r="N65" s="31"/>
    </row>
    <row r="66" spans="1:14" ht="15.75" customHeight="1" x14ac:dyDescent="0.25">
      <c r="A66" s="197" t="s">
        <v>86</v>
      </c>
      <c r="B66" s="197"/>
      <c r="C66" s="197"/>
      <c r="D66" s="185" t="str">
        <f ca="1">(IF(G86&gt;95%,"Nothing",IF(G86&gt;0%,"Cement, Aggregate, Steel, etc",IF(G86=0%,"Work not yet Started"))))</f>
        <v>Cement, Aggregate, Steel, etc</v>
      </c>
      <c r="E66" s="185"/>
      <c r="F66" s="185"/>
      <c r="G66" s="185"/>
      <c r="H66" s="185"/>
      <c r="J66" s="30"/>
    </row>
    <row r="67" spans="1:14" ht="33.75" customHeight="1" thickBot="1" x14ac:dyDescent="0.3">
      <c r="A67" s="196" t="s">
        <v>118</v>
      </c>
      <c r="B67" s="196"/>
      <c r="C67" s="196"/>
      <c r="D67" s="185" t="str">
        <f ca="1">(IF(D66="Nothing","Yes",IF(D66="Cement, Aggregate, Steel, etc","Under Construction",IF(D66="Work not yet Started","Work not yet Started"))))</f>
        <v>Under Construction</v>
      </c>
      <c r="E67" s="185"/>
      <c r="F67" s="185" t="str">
        <f ca="1">(IF(D66="Nothing","Yes",IF(D66="Cement, Aggregate, Steel, etc","Under Construction",IF(D66="Work not yet Started","Work not yet Started"))))</f>
        <v>Under Construction</v>
      </c>
      <c r="G67" s="185"/>
      <c r="H67" s="185"/>
    </row>
    <row r="68" spans="1:14" x14ac:dyDescent="0.25">
      <c r="A68" s="78" t="s">
        <v>140</v>
      </c>
      <c r="B68" s="79"/>
      <c r="C68" s="80" t="s">
        <v>262</v>
      </c>
      <c r="D68" s="81"/>
      <c r="E68" s="81"/>
      <c r="F68" s="81"/>
      <c r="G68" s="81"/>
      <c r="H68" s="82"/>
      <c r="I68" s="68" t="str">
        <f ca="1">IF(D81=100%,"All work Completed. Possession granted to the Building.",IF(D80=100%,"All work Completed, Waiting for OC",I69&amp;""&amp;I70&amp;""&amp;J69&amp;""&amp;J68&amp;" "&amp;J70))</f>
        <v>Excavation, Plinth Completed, RCC upto 23 Slab, Brickwork upto 22 Floor, Internal Plaster upto 16.5 Floor, External Plaster upto 13.2 Floor Completed</v>
      </c>
      <c r="J68" s="45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RCC upto 23 Slab, Brickwork upto 22 Floor, Internal Plaster upto 16.5 Floor, External Plaster upto 13.2 Floor</v>
      </c>
    </row>
    <row r="69" spans="1:14" x14ac:dyDescent="0.25">
      <c r="A69" s="19" t="s">
        <v>142</v>
      </c>
      <c r="B69" s="76">
        <v>0</v>
      </c>
      <c r="C69" s="76" t="s">
        <v>72</v>
      </c>
      <c r="D69" s="76">
        <v>1</v>
      </c>
      <c r="E69" s="76" t="s">
        <v>71</v>
      </c>
      <c r="F69" s="76">
        <v>0</v>
      </c>
      <c r="G69" s="76" t="s">
        <v>80</v>
      </c>
      <c r="H69" s="20">
        <f ca="1">--TRIM(RIGHT(SUBSTITUTE(LEFT(C68,_xlfn.AGGREGATE(16,6,FIND({0,1,2,3,4,5,6,7,8,9},C68,ROW(INDIRECT("1:"&amp;LEN(C68)))),1))," ",REPT(" ",LEN(C68))),LEN(C68)))</f>
        <v>45</v>
      </c>
      <c r="I69" s="46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</v>
      </c>
      <c r="J69" s="47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3" customHeight="1" x14ac:dyDescent="0.25">
      <c r="A70" s="83" t="s">
        <v>90</v>
      </c>
      <c r="B70" s="84"/>
      <c r="C70" s="85" t="str">
        <f ca="1">I68</f>
        <v>Excavation, Plinth Completed, RCC upto 23 Slab, Brickwork upto 22 Floor, Internal Plaster upto 16.5 Floor, External Plaster upto 13.2 Floor Completed</v>
      </c>
      <c r="D70" s="85"/>
      <c r="E70" s="85"/>
      <c r="F70" s="85"/>
      <c r="G70" s="85"/>
      <c r="H70" s="86"/>
      <c r="I70" s="46" t="str">
        <f ca="1">IF(I69&lt;&gt;""," Completed","")</f>
        <v xml:space="preserve"> Completed</v>
      </c>
      <c r="J70" s="47" t="str">
        <f ca="1">IF(J68&lt;&gt;"","Completed","")</f>
        <v>Completed</v>
      </c>
    </row>
    <row r="71" spans="1:14" ht="15.75" customHeight="1" x14ac:dyDescent="0.25">
      <c r="A71" s="87" t="s">
        <v>49</v>
      </c>
      <c r="B71" s="88"/>
      <c r="C71" s="74" t="s">
        <v>139</v>
      </c>
      <c r="D71" s="74" t="s">
        <v>83</v>
      </c>
      <c r="E71" s="88" t="s">
        <v>85</v>
      </c>
      <c r="F71" s="88"/>
      <c r="G71" s="88" t="s">
        <v>84</v>
      </c>
      <c r="H71" s="89"/>
      <c r="I71" s="16" t="s">
        <v>141</v>
      </c>
      <c r="J71" s="32">
        <f ca="1">H69*25%</f>
        <v>11.25</v>
      </c>
      <c r="L71" s="24">
        <f>50*0.37</f>
        <v>18.5</v>
      </c>
    </row>
    <row r="72" spans="1:14" x14ac:dyDescent="0.25">
      <c r="A72" s="87" t="s">
        <v>128</v>
      </c>
      <c r="B72" s="88"/>
      <c r="C72" s="74">
        <f ca="1">J73</f>
        <v>45</v>
      </c>
      <c r="D72" s="53">
        <f ca="1">((100/H69)*C72)/100</f>
        <v>1</v>
      </c>
      <c r="E72" s="90">
        <f ca="1">(((C73/H69*10)+(40/(D69+F69+H69)*C74)+(7.5/(H69)*C75)+(7.5/(H69)*C76)+(10/H69*C77)+(10/H69*C78)+(5/H69*C79)+(5/H69*C80)+(5/H69*C81))/100)</f>
        <v>0.39349999999999996</v>
      </c>
      <c r="F72" s="91"/>
      <c r="G72" s="90">
        <f ca="1">((((C72/H69)*20)+((C73/H69)*25)+(30/(H69+F69+D69)*C74)+(5/H69*C75)+(5/H69*C76)+(5/H69*C77)+(5/H69*C78)+(0/H69*C79)+(0/H69*C80)+(5/H69*C81))/100)</f>
        <v>0.65744444444444439</v>
      </c>
      <c r="H72" s="96"/>
      <c r="I72" s="16" t="s">
        <v>100</v>
      </c>
      <c r="J72" s="33">
        <f ca="1">H69*50%</f>
        <v>22.5</v>
      </c>
    </row>
    <row r="73" spans="1:14" x14ac:dyDescent="0.25">
      <c r="A73" s="87" t="s">
        <v>50</v>
      </c>
      <c r="B73" s="88"/>
      <c r="C73" s="69">
        <f ca="1">J81</f>
        <v>45</v>
      </c>
      <c r="D73" s="53">
        <f ca="1">((100/H69)*C73)/100</f>
        <v>1</v>
      </c>
      <c r="E73" s="92"/>
      <c r="F73" s="93"/>
      <c r="G73" s="92"/>
      <c r="H73" s="97"/>
      <c r="I73" s="16" t="s">
        <v>101</v>
      </c>
      <c r="J73" s="33">
        <f ca="1">H69</f>
        <v>45</v>
      </c>
    </row>
    <row r="74" spans="1:14" ht="15.75" customHeight="1" x14ac:dyDescent="0.25">
      <c r="A74" s="87" t="s">
        <v>129</v>
      </c>
      <c r="B74" s="88"/>
      <c r="C74" s="74">
        <v>23</v>
      </c>
      <c r="D74" s="53">
        <f ca="1">((100/(D69+F69+H69))*C74)/100</f>
        <v>0.5</v>
      </c>
      <c r="E74" s="92"/>
      <c r="F74" s="93"/>
      <c r="G74" s="92"/>
      <c r="H74" s="97"/>
      <c r="I74" s="16" t="s">
        <v>102</v>
      </c>
      <c r="J74" s="34">
        <f ca="1">(IF(B69&gt;1,(H69/(B69+2)),H69/4))</f>
        <v>11.25</v>
      </c>
    </row>
    <row r="75" spans="1:14" ht="15.75" customHeight="1" x14ac:dyDescent="0.25">
      <c r="A75" s="87" t="s">
        <v>136</v>
      </c>
      <c r="B75" s="88" t="s">
        <v>130</v>
      </c>
      <c r="C75" s="74">
        <f>C74-D69</f>
        <v>22</v>
      </c>
      <c r="D75" s="53">
        <f ca="1">((100/H69)*C75)/100</f>
        <v>0.48888888888888893</v>
      </c>
      <c r="E75" s="92"/>
      <c r="F75" s="93"/>
      <c r="G75" s="92"/>
      <c r="H75" s="97"/>
      <c r="I75" s="16" t="s">
        <v>103</v>
      </c>
      <c r="J75" s="34">
        <f ca="1">(IF(B69&gt;1,(H69/(B69+2)+J74),H69/4+J74))</f>
        <v>22.5</v>
      </c>
    </row>
    <row r="76" spans="1:14" ht="15.75" customHeight="1" x14ac:dyDescent="0.25">
      <c r="A76" s="87" t="s">
        <v>137</v>
      </c>
      <c r="B76" s="88" t="s">
        <v>130</v>
      </c>
      <c r="C76" s="69">
        <f>C75*0.75</f>
        <v>16.5</v>
      </c>
      <c r="D76" s="53">
        <f ca="1">((100/H69)*C76)/100</f>
        <v>0.3666666666666667</v>
      </c>
      <c r="E76" s="92"/>
      <c r="F76" s="93"/>
      <c r="G76" s="92"/>
      <c r="H76" s="97"/>
      <c r="I76" s="16" t="s">
        <v>146</v>
      </c>
      <c r="J76" s="34">
        <f>(IF(B69&gt;1,(H69/(B69+2)+J75),0))</f>
        <v>0</v>
      </c>
    </row>
    <row r="77" spans="1:14" ht="15" customHeight="1" x14ac:dyDescent="0.25">
      <c r="A77" s="87" t="s">
        <v>135</v>
      </c>
      <c r="B77" s="88" t="s">
        <v>132</v>
      </c>
      <c r="C77" s="69">
        <f>C75*0.6</f>
        <v>13.2</v>
      </c>
      <c r="D77" s="53">
        <f ca="1">((100/(H69))*C77)/100</f>
        <v>0.29333333333333333</v>
      </c>
      <c r="E77" s="92"/>
      <c r="F77" s="93"/>
      <c r="G77" s="92"/>
      <c r="H77" s="97"/>
      <c r="I77" s="16" t="s">
        <v>143</v>
      </c>
      <c r="J77" s="34">
        <f>(IF(B69&gt;2,(H69/(B69+2)+J76),0))</f>
        <v>0</v>
      </c>
      <c r="L77" s="24">
        <v>14</v>
      </c>
    </row>
    <row r="78" spans="1:14" ht="15.75" customHeight="1" x14ac:dyDescent="0.25">
      <c r="A78" s="87" t="s">
        <v>131</v>
      </c>
      <c r="B78" s="88" t="s">
        <v>131</v>
      </c>
      <c r="C78" s="74">
        <v>0</v>
      </c>
      <c r="D78" s="53">
        <f ca="1">((100/H69)*C78)/100</f>
        <v>0</v>
      </c>
      <c r="E78" s="92"/>
      <c r="F78" s="93"/>
      <c r="G78" s="92"/>
      <c r="H78" s="97"/>
      <c r="I78" s="16" t="s">
        <v>144</v>
      </c>
      <c r="J78" s="35">
        <f>(IF(B69&gt;3,(H69/(B69+2)+J77),0))</f>
        <v>0</v>
      </c>
    </row>
    <row r="79" spans="1:14" ht="15.75" customHeight="1" x14ac:dyDescent="0.25">
      <c r="A79" s="87" t="s">
        <v>138</v>
      </c>
      <c r="B79" s="88"/>
      <c r="C79" s="74">
        <v>0</v>
      </c>
      <c r="D79" s="53">
        <f ca="1">((100/H69)*C79)/100</f>
        <v>0</v>
      </c>
      <c r="E79" s="92"/>
      <c r="F79" s="93"/>
      <c r="G79" s="92"/>
      <c r="H79" s="97"/>
      <c r="I79" s="16" t="s">
        <v>145</v>
      </c>
      <c r="J79" s="34">
        <f>(IF(B69&gt;4,(H69/(B69+2)+J78),0))</f>
        <v>0</v>
      </c>
    </row>
    <row r="80" spans="1:14" ht="15.75" customHeight="1" x14ac:dyDescent="0.25">
      <c r="A80" s="87" t="s">
        <v>133</v>
      </c>
      <c r="B80" s="88" t="s">
        <v>133</v>
      </c>
      <c r="C80" s="74">
        <v>0</v>
      </c>
      <c r="D80" s="53">
        <f ca="1">((100/(H69))*C80)/100</f>
        <v>0</v>
      </c>
      <c r="E80" s="92"/>
      <c r="F80" s="93"/>
      <c r="G80" s="92"/>
      <c r="H80" s="97"/>
      <c r="I80" s="16" t="s">
        <v>147</v>
      </c>
      <c r="J80" s="34">
        <f ca="1">(IF(B69=1,(H69/(B69+3)+J75),IF(B69=0,(H69/4+J75),IF(B69&gt;1,0))))</f>
        <v>33.75</v>
      </c>
    </row>
    <row r="81" spans="1:12" ht="16.5" thickBot="1" x14ac:dyDescent="0.3">
      <c r="A81" s="99" t="s">
        <v>134</v>
      </c>
      <c r="B81" s="100"/>
      <c r="C81" s="75">
        <v>0</v>
      </c>
      <c r="D81" s="54">
        <f ca="1">((100/(H69))*C81)/100</f>
        <v>0</v>
      </c>
      <c r="E81" s="94"/>
      <c r="F81" s="95"/>
      <c r="G81" s="94"/>
      <c r="H81" s="98"/>
      <c r="I81" s="18" t="s">
        <v>104</v>
      </c>
      <c r="J81" s="36">
        <f ca="1">(IF(B69&gt;1.5,(H69/(B69+2)+J75+MAX(0,J76-J75)+MAX(0,J77-J76)+MAX(0,J78-J77)+MAX(0,J79-J78)+MAX(0,J80-J79)),IF(B69=1,(H69/(B69+3)+J80),IF(B69=0,H69/4+J80))))</f>
        <v>45</v>
      </c>
    </row>
    <row r="82" spans="1:12" ht="15.75" customHeight="1" x14ac:dyDescent="0.25">
      <c r="A82" s="78" t="s">
        <v>140</v>
      </c>
      <c r="B82" s="79"/>
      <c r="C82" s="80" t="s">
        <v>261</v>
      </c>
      <c r="D82" s="81"/>
      <c r="E82" s="81"/>
      <c r="F82" s="81"/>
      <c r="G82" s="81"/>
      <c r="H82" s="82"/>
      <c r="I82" s="68" t="str">
        <f ca="1">IF(D95=100%,"All work Completed. Possession granted to the Building.",IF(D94=100%,"All work Completed, Waiting for OC",I83&amp;""&amp;I84&amp;""&amp;J83&amp;""&amp;J82&amp;" "&amp;J84))</f>
        <v>Excavation, Plinth Completed, RCC upto 16 Slab, Brickwork upto 15 Floor, Internal Plaster upto 11.25 Floor, External Plaster upto 9 Floor Completed</v>
      </c>
      <c r="J82" s="45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16 Slab, Brickwork upto 15 Floor, Internal Plaster upto 11.25 Floor, External Plaster upto 9 Floor</v>
      </c>
    </row>
    <row r="83" spans="1:12" x14ac:dyDescent="0.25">
      <c r="A83" s="19" t="s">
        <v>142</v>
      </c>
      <c r="B83" s="64">
        <v>0</v>
      </c>
      <c r="C83" s="64" t="s">
        <v>72</v>
      </c>
      <c r="D83" s="64">
        <v>1</v>
      </c>
      <c r="E83" s="64" t="s">
        <v>71</v>
      </c>
      <c r="F83" s="64">
        <v>0</v>
      </c>
      <c r="G83" s="64" t="s">
        <v>80</v>
      </c>
      <c r="H83" s="20">
        <f ca="1">--TRIM(RIGHT(SUBSTITUTE(LEFT(C82,_xlfn.AGGREGATE(16,6,FIND({0,1,2,3,4,5,6,7,8,9},C82,ROW(INDIRECT("1:"&amp;LEN(C82)))),1))," ",REPT(" ",LEN(C82))),LEN(C82)))</f>
        <v>45</v>
      </c>
      <c r="I83" s="46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47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2" ht="33" customHeight="1" x14ac:dyDescent="0.25">
      <c r="A84" s="83" t="s">
        <v>90</v>
      </c>
      <c r="B84" s="84"/>
      <c r="C84" s="85" t="str">
        <f ca="1">I82</f>
        <v>Excavation, Plinth Completed, RCC upto 16 Slab, Brickwork upto 15 Floor, Internal Plaster upto 11.25 Floor, External Plaster upto 9 Floor Completed</v>
      </c>
      <c r="D84" s="85"/>
      <c r="E84" s="85"/>
      <c r="F84" s="85"/>
      <c r="G84" s="85"/>
      <c r="H84" s="86"/>
      <c r="I84" s="46" t="str">
        <f ca="1">IF(I83&lt;&gt;""," Completed","")</f>
        <v xml:space="preserve"> Completed</v>
      </c>
      <c r="J84" s="47" t="str">
        <f ca="1">IF(J82&lt;&gt;"","Completed","")</f>
        <v>Completed</v>
      </c>
    </row>
    <row r="85" spans="1:12" ht="15.75" customHeight="1" x14ac:dyDescent="0.25">
      <c r="A85" s="87" t="s">
        <v>49</v>
      </c>
      <c r="B85" s="88"/>
      <c r="C85" s="60" t="s">
        <v>139</v>
      </c>
      <c r="D85" s="60" t="s">
        <v>83</v>
      </c>
      <c r="E85" s="88" t="s">
        <v>85</v>
      </c>
      <c r="F85" s="88"/>
      <c r="G85" s="88" t="s">
        <v>84</v>
      </c>
      <c r="H85" s="89"/>
      <c r="I85" s="16" t="s">
        <v>141</v>
      </c>
      <c r="J85" s="32">
        <f ca="1">H83*25%</f>
        <v>11.25</v>
      </c>
    </row>
    <row r="86" spans="1:12" x14ac:dyDescent="0.25">
      <c r="A86" s="87" t="s">
        <v>128</v>
      </c>
      <c r="B86" s="88"/>
      <c r="C86" s="60">
        <f ca="1">J87</f>
        <v>45</v>
      </c>
      <c r="D86" s="53">
        <f ca="1">((100/H83)*C86)/100</f>
        <v>1</v>
      </c>
      <c r="E86" s="90">
        <f ca="1">(((C87/H83*10)+(40/(D83+F83+H83)*C88)+(7.5/(H83)*C89)+(7.5/(H83)*C90)+(10/H83*C91)+(10/H83*C92)+(5/H83*C93)+(5/H83*C94)+(5/H83*C95))/100)</f>
        <v>0.30288043478260868</v>
      </c>
      <c r="F86" s="91"/>
      <c r="G86" s="90">
        <f ca="1">((((C86/H83)*20)+((C87/H83)*25)+(30/(H83+F83+D83)*C88)+(5/H83*C89)+(5/H83*C90)+(5/H83*C91)+(5/H83*C92)+(0/H83*C93)+(0/H83*C94)+(5/H83*C95))/100)</f>
        <v>0.59351449275362322</v>
      </c>
      <c r="H86" s="96"/>
      <c r="I86" s="16" t="s">
        <v>100</v>
      </c>
      <c r="J86" s="33">
        <f ca="1">H83*50%</f>
        <v>22.5</v>
      </c>
    </row>
    <row r="87" spans="1:12" x14ac:dyDescent="0.25">
      <c r="A87" s="87" t="s">
        <v>50</v>
      </c>
      <c r="B87" s="88"/>
      <c r="C87" s="69">
        <f ca="1">J95</f>
        <v>45</v>
      </c>
      <c r="D87" s="53">
        <f ca="1">((100/H83)*C87)/100</f>
        <v>1</v>
      </c>
      <c r="E87" s="92"/>
      <c r="F87" s="93"/>
      <c r="G87" s="92"/>
      <c r="H87" s="97"/>
      <c r="I87" s="16" t="s">
        <v>101</v>
      </c>
      <c r="J87" s="33">
        <f ca="1">H83</f>
        <v>45</v>
      </c>
    </row>
    <row r="88" spans="1:12" ht="15.75" customHeight="1" x14ac:dyDescent="0.25">
      <c r="A88" s="87" t="s">
        <v>129</v>
      </c>
      <c r="B88" s="88"/>
      <c r="C88" s="60">
        <v>16</v>
      </c>
      <c r="D88" s="53">
        <f ca="1">((100/(D83+F83+H83))*C88)/100</f>
        <v>0.34782608695652173</v>
      </c>
      <c r="E88" s="92"/>
      <c r="F88" s="93"/>
      <c r="G88" s="92"/>
      <c r="H88" s="97"/>
      <c r="I88" s="16" t="s">
        <v>102</v>
      </c>
      <c r="J88" s="34">
        <f ca="1">(IF(B83&gt;1,(H83/(B83+2)),H83/4))</f>
        <v>11.25</v>
      </c>
    </row>
    <row r="89" spans="1:12" ht="15.75" customHeight="1" x14ac:dyDescent="0.25">
      <c r="A89" s="87" t="s">
        <v>136</v>
      </c>
      <c r="B89" s="88" t="s">
        <v>130</v>
      </c>
      <c r="C89" s="60">
        <f>C88-D83</f>
        <v>15</v>
      </c>
      <c r="D89" s="53">
        <f ca="1">((100/H83)*C89)/100</f>
        <v>0.33333333333333337</v>
      </c>
      <c r="E89" s="92"/>
      <c r="F89" s="93"/>
      <c r="G89" s="92"/>
      <c r="H89" s="97"/>
      <c r="I89" s="16" t="s">
        <v>103</v>
      </c>
      <c r="J89" s="34">
        <f ca="1">(IF(B83&gt;1,(H83/(B83+2)+J88),H83/4+J88))</f>
        <v>22.5</v>
      </c>
    </row>
    <row r="90" spans="1:12" ht="15.75" customHeight="1" x14ac:dyDescent="0.25">
      <c r="A90" s="87" t="s">
        <v>137</v>
      </c>
      <c r="B90" s="88" t="s">
        <v>130</v>
      </c>
      <c r="C90" s="69">
        <f>C89*0.75</f>
        <v>11.25</v>
      </c>
      <c r="D90" s="53">
        <f ca="1">((100/H83)*C90)/100</f>
        <v>0.25</v>
      </c>
      <c r="E90" s="92"/>
      <c r="F90" s="93"/>
      <c r="G90" s="92"/>
      <c r="H90" s="97"/>
      <c r="I90" s="16" t="s">
        <v>146</v>
      </c>
      <c r="J90" s="34">
        <f>(IF(B83&gt;1,(H83/(B83+2)+J89),0))</f>
        <v>0</v>
      </c>
    </row>
    <row r="91" spans="1:12" ht="15" customHeight="1" x14ac:dyDescent="0.25">
      <c r="A91" s="87" t="s">
        <v>135</v>
      </c>
      <c r="B91" s="88" t="s">
        <v>132</v>
      </c>
      <c r="C91" s="69">
        <f>C89*0.6</f>
        <v>9</v>
      </c>
      <c r="D91" s="53">
        <f ca="1">((100/(H83))*C91)/100</f>
        <v>0.2</v>
      </c>
      <c r="E91" s="92"/>
      <c r="F91" s="93"/>
      <c r="G91" s="92"/>
      <c r="H91" s="97"/>
      <c r="I91" s="16" t="s">
        <v>143</v>
      </c>
      <c r="J91" s="34">
        <f>(IF(B83&gt;2,(H83/(B83+2)+J90),0))</f>
        <v>0</v>
      </c>
      <c r="L91" s="24">
        <v>14</v>
      </c>
    </row>
    <row r="92" spans="1:12" ht="15.75" customHeight="1" x14ac:dyDescent="0.25">
      <c r="A92" s="87" t="s">
        <v>131</v>
      </c>
      <c r="B92" s="88" t="s">
        <v>131</v>
      </c>
      <c r="C92" s="60">
        <v>0</v>
      </c>
      <c r="D92" s="53">
        <f ca="1">((100/H83)*C92)/100</f>
        <v>0</v>
      </c>
      <c r="E92" s="92"/>
      <c r="F92" s="93"/>
      <c r="G92" s="92"/>
      <c r="H92" s="97"/>
      <c r="I92" s="16" t="s">
        <v>144</v>
      </c>
      <c r="J92" s="35">
        <f>(IF(B83&gt;3,(H83/(B83+2)+J91),0))</f>
        <v>0</v>
      </c>
    </row>
    <row r="93" spans="1:12" ht="15.75" customHeight="1" x14ac:dyDescent="0.25">
      <c r="A93" s="87" t="s">
        <v>138</v>
      </c>
      <c r="B93" s="88"/>
      <c r="C93" s="60">
        <v>0</v>
      </c>
      <c r="D93" s="53">
        <f ca="1">((100/H83)*C93)/100</f>
        <v>0</v>
      </c>
      <c r="E93" s="92"/>
      <c r="F93" s="93"/>
      <c r="G93" s="92"/>
      <c r="H93" s="97"/>
      <c r="I93" s="16" t="s">
        <v>145</v>
      </c>
      <c r="J93" s="34">
        <f>(IF(B83&gt;4,(H83/(B83+2)+J92),0))</f>
        <v>0</v>
      </c>
    </row>
    <row r="94" spans="1:12" ht="15.75" customHeight="1" x14ac:dyDescent="0.25">
      <c r="A94" s="87" t="s">
        <v>133</v>
      </c>
      <c r="B94" s="88" t="s">
        <v>133</v>
      </c>
      <c r="C94" s="60">
        <v>0</v>
      </c>
      <c r="D94" s="53">
        <f ca="1">((100/(H83))*C94)/100</f>
        <v>0</v>
      </c>
      <c r="E94" s="92"/>
      <c r="F94" s="93"/>
      <c r="G94" s="92"/>
      <c r="H94" s="97"/>
      <c r="I94" s="16" t="s">
        <v>147</v>
      </c>
      <c r="J94" s="34">
        <f ca="1">(IF(B83=1,(H83/(B83+3)+J89),IF(B83=0,(H83/4+J89),IF(B83&gt;1,0))))</f>
        <v>33.75</v>
      </c>
    </row>
    <row r="95" spans="1:12" ht="16.5" thickBot="1" x14ac:dyDescent="0.3">
      <c r="A95" s="99" t="s">
        <v>134</v>
      </c>
      <c r="B95" s="100"/>
      <c r="C95" s="62">
        <v>0</v>
      </c>
      <c r="D95" s="54">
        <f ca="1">((100/(H83))*C95)/100</f>
        <v>0</v>
      </c>
      <c r="E95" s="94"/>
      <c r="F95" s="95"/>
      <c r="G95" s="94"/>
      <c r="H95" s="98"/>
      <c r="I95" s="18" t="s">
        <v>104</v>
      </c>
      <c r="J95" s="36">
        <f ca="1">(IF(B83&gt;1.5,(H83/(B83+2)+J89+MAX(0,J90-J89)+MAX(0,J91-J90)+MAX(0,J92-J91)+MAX(0,J93-J92)+MAX(0,J94-J93)),IF(B83=1,(H83/(B83+3)+J94),IF(B83=0,H83/4+J94))))</f>
        <v>45</v>
      </c>
    </row>
    <row r="96" spans="1:12" ht="15.75" customHeight="1" x14ac:dyDescent="0.25">
      <c r="A96" s="78" t="s">
        <v>140</v>
      </c>
      <c r="B96" s="79"/>
      <c r="C96" s="80" t="str">
        <f>D59</f>
        <v>Building No. 8 - Tower C (C1 &amp; C2 Wings) = Gr + 1st to 45th Floor</v>
      </c>
      <c r="D96" s="81"/>
      <c r="E96" s="81"/>
      <c r="F96" s="81"/>
      <c r="G96" s="81"/>
      <c r="H96" s="82"/>
      <c r="I96" s="68" t="str">
        <f ca="1">IF(D109=100%,"All work Completed. Possession granted to the Building.",IF(D108=100%,"All work Completed, Waiting for OC",I97&amp;""&amp;I98&amp;""&amp;J97&amp;""&amp;J96&amp;" "&amp;J98))</f>
        <v>Excavation, Plinth Completed, RCC upto 22 Slab, Brickwork upto 21 Floor, Internal Plaster upto 15.75 Floor, External Plaster upto 12.6 Floor Completed</v>
      </c>
      <c r="J96" s="45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22 Slab, Brickwork upto 21 Floor, Internal Plaster upto 15.75 Floor, External Plaster upto 12.6 Floor</v>
      </c>
    </row>
    <row r="97" spans="1:10" x14ac:dyDescent="0.25">
      <c r="A97" s="19" t="s">
        <v>142</v>
      </c>
      <c r="B97" s="64">
        <v>0</v>
      </c>
      <c r="C97" s="64" t="s">
        <v>72</v>
      </c>
      <c r="D97" s="64">
        <v>1</v>
      </c>
      <c r="E97" s="64" t="s">
        <v>71</v>
      </c>
      <c r="F97" s="64">
        <v>0</v>
      </c>
      <c r="G97" s="64" t="s">
        <v>80</v>
      </c>
      <c r="H97" s="20">
        <f ca="1">--TRIM(RIGHT(SUBSTITUTE(LEFT(C96,_xlfn.AGGREGATE(16,6,FIND({0,1,2,3,4,5,6,7,8,9},C96,ROW(INDIRECT("1:"&amp;LEN(C96)))),1))," ",REPT(" ",LEN(C96))),LEN(C96)))</f>
        <v>45</v>
      </c>
      <c r="I97" s="46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47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1.5" customHeight="1" x14ac:dyDescent="0.25">
      <c r="A98" s="83" t="s">
        <v>90</v>
      </c>
      <c r="B98" s="84"/>
      <c r="C98" s="85" t="str">
        <f ca="1">(IF($G$53="NA",I96,"All work Completed. OC Received."))</f>
        <v>Excavation, Plinth Completed, RCC upto 22 Slab, Brickwork upto 21 Floor, Internal Plaster upto 15.75 Floor, External Plaster upto 12.6 Floor Completed</v>
      </c>
      <c r="D98" s="85"/>
      <c r="E98" s="85"/>
      <c r="F98" s="85"/>
      <c r="G98" s="85"/>
      <c r="H98" s="86"/>
      <c r="I98" s="46" t="str">
        <f ca="1">IF(I97&lt;&gt;""," Completed","")</f>
        <v xml:space="preserve"> Completed</v>
      </c>
      <c r="J98" s="47" t="str">
        <f ca="1">IF(J96&lt;&gt;"","Completed","")</f>
        <v>Completed</v>
      </c>
    </row>
    <row r="99" spans="1:10" ht="15.75" customHeight="1" x14ac:dyDescent="0.25">
      <c r="A99" s="87" t="s">
        <v>49</v>
      </c>
      <c r="B99" s="88"/>
      <c r="C99" s="60" t="s">
        <v>139</v>
      </c>
      <c r="D99" s="60" t="s">
        <v>83</v>
      </c>
      <c r="E99" s="88" t="s">
        <v>85</v>
      </c>
      <c r="F99" s="88"/>
      <c r="G99" s="88" t="s">
        <v>84</v>
      </c>
      <c r="H99" s="89"/>
      <c r="I99" s="16" t="s">
        <v>141</v>
      </c>
      <c r="J99" s="32">
        <f ca="1">H97*25%</f>
        <v>11.25</v>
      </c>
    </row>
    <row r="100" spans="1:10" x14ac:dyDescent="0.25">
      <c r="A100" s="87" t="s">
        <v>128</v>
      </c>
      <c r="B100" s="88"/>
      <c r="C100" s="60">
        <f ca="1">J101</f>
        <v>45</v>
      </c>
      <c r="D100" s="53">
        <f ca="1">((100/H97)*C100)/100</f>
        <v>1</v>
      </c>
      <c r="E100" s="90">
        <f ca="1">(((C101/H97*10)+(40/(D97+F97+H97)*C102)+(7.5/(H97)*C103)+(7.5/(H97)*C104)+(10/H97*C105)+(10/H97*C106)+(5/H97*C107)+(5/H97*C108)+(5/H97*C109))/100)</f>
        <v>0.38055434782608694</v>
      </c>
      <c r="F100" s="91"/>
      <c r="G100" s="90">
        <f ca="1">((((C100/H97)*20)+((C101/H97)*25)+(30/(H97+F97+D97)*C102)+(5/H97*C103)+(5/H97*C104)+(5/H97*C105)+(5/H97*C106)+(0/H97*C107)+(0/H97*C108)+(5/H97*C109))/100)</f>
        <v>0.64831159420289863</v>
      </c>
      <c r="H100" s="96"/>
      <c r="I100" s="16" t="s">
        <v>100</v>
      </c>
      <c r="J100" s="33">
        <f ca="1">H97*50%</f>
        <v>22.5</v>
      </c>
    </row>
    <row r="101" spans="1:10" x14ac:dyDescent="0.25">
      <c r="A101" s="87" t="s">
        <v>50</v>
      </c>
      <c r="B101" s="88"/>
      <c r="C101" s="69">
        <f ca="1">J109</f>
        <v>45</v>
      </c>
      <c r="D101" s="53">
        <f ca="1">((100/H97)*C101)/100</f>
        <v>1</v>
      </c>
      <c r="E101" s="92"/>
      <c r="F101" s="93"/>
      <c r="G101" s="92"/>
      <c r="H101" s="97"/>
      <c r="I101" s="16" t="s">
        <v>101</v>
      </c>
      <c r="J101" s="33">
        <f ca="1">H97</f>
        <v>45</v>
      </c>
    </row>
    <row r="102" spans="1:10" ht="15.75" customHeight="1" x14ac:dyDescent="0.25">
      <c r="A102" s="87" t="s">
        <v>129</v>
      </c>
      <c r="B102" s="88"/>
      <c r="C102" s="60">
        <v>22</v>
      </c>
      <c r="D102" s="53">
        <f ca="1">((100/(D97+F97+H97))*C102)/100</f>
        <v>0.47826086956521735</v>
      </c>
      <c r="E102" s="92"/>
      <c r="F102" s="93"/>
      <c r="G102" s="92"/>
      <c r="H102" s="97"/>
      <c r="I102" s="16" t="s">
        <v>102</v>
      </c>
      <c r="J102" s="34">
        <f ca="1">(IF(B97&gt;1,(H97/(B97+2)),H97/4))</f>
        <v>11.25</v>
      </c>
    </row>
    <row r="103" spans="1:10" ht="15.75" customHeight="1" x14ac:dyDescent="0.25">
      <c r="A103" s="87" t="s">
        <v>136</v>
      </c>
      <c r="B103" s="88" t="s">
        <v>130</v>
      </c>
      <c r="C103" s="72">
        <f>C102-D97</f>
        <v>21</v>
      </c>
      <c r="D103" s="53">
        <f ca="1">((100/H97)*C103)/100</f>
        <v>0.46666666666666673</v>
      </c>
      <c r="E103" s="92"/>
      <c r="F103" s="93"/>
      <c r="G103" s="92"/>
      <c r="H103" s="97"/>
      <c r="I103" s="16" t="s">
        <v>103</v>
      </c>
      <c r="J103" s="34">
        <f ca="1">(IF(B97&gt;1,(H97/(B97+2)+J102),H97/4+J102))</f>
        <v>22.5</v>
      </c>
    </row>
    <row r="104" spans="1:10" ht="15.75" customHeight="1" x14ac:dyDescent="0.25">
      <c r="A104" s="87" t="s">
        <v>137</v>
      </c>
      <c r="B104" s="88" t="s">
        <v>130</v>
      </c>
      <c r="C104" s="69">
        <f>C103*0.75</f>
        <v>15.75</v>
      </c>
      <c r="D104" s="53">
        <f ca="1">((100/H97)*C104)/100</f>
        <v>0.35</v>
      </c>
      <c r="E104" s="92"/>
      <c r="F104" s="93"/>
      <c r="G104" s="92"/>
      <c r="H104" s="97"/>
      <c r="I104" s="16" t="s">
        <v>146</v>
      </c>
      <c r="J104" s="34">
        <f>(IF(B97&gt;1,(H97/(B97+2)+J103),0))</f>
        <v>0</v>
      </c>
    </row>
    <row r="105" spans="1:10" ht="15" customHeight="1" x14ac:dyDescent="0.25">
      <c r="A105" s="87" t="s">
        <v>135</v>
      </c>
      <c r="B105" s="88" t="s">
        <v>132</v>
      </c>
      <c r="C105" s="69">
        <f>C103*0.6</f>
        <v>12.6</v>
      </c>
      <c r="D105" s="53">
        <f ca="1">((100/(H97))*C105)/100</f>
        <v>0.28000000000000003</v>
      </c>
      <c r="E105" s="92"/>
      <c r="F105" s="93"/>
      <c r="G105" s="92"/>
      <c r="H105" s="97"/>
      <c r="I105" s="16" t="s">
        <v>143</v>
      </c>
      <c r="J105" s="34">
        <f>(IF(B97&gt;2,(H97/(B97+2)+J104),0))</f>
        <v>0</v>
      </c>
    </row>
    <row r="106" spans="1:10" ht="15.75" customHeight="1" x14ac:dyDescent="0.25">
      <c r="A106" s="87" t="s">
        <v>131</v>
      </c>
      <c r="B106" s="88" t="s">
        <v>131</v>
      </c>
      <c r="C106" s="60">
        <v>0</v>
      </c>
      <c r="D106" s="53">
        <f ca="1">((100/H97)*C106)/100</f>
        <v>0</v>
      </c>
      <c r="E106" s="92"/>
      <c r="F106" s="93"/>
      <c r="G106" s="92"/>
      <c r="H106" s="97"/>
      <c r="I106" s="16" t="s">
        <v>144</v>
      </c>
      <c r="J106" s="35">
        <f>(IF(B97&gt;3,(H97/(B97+2)+J105),0))</f>
        <v>0</v>
      </c>
    </row>
    <row r="107" spans="1:10" ht="15.75" customHeight="1" x14ac:dyDescent="0.25">
      <c r="A107" s="87" t="s">
        <v>138</v>
      </c>
      <c r="B107" s="88"/>
      <c r="C107" s="60">
        <v>0</v>
      </c>
      <c r="D107" s="53">
        <f ca="1">((100/H97)*C107)/100</f>
        <v>0</v>
      </c>
      <c r="E107" s="92"/>
      <c r="F107" s="93"/>
      <c r="G107" s="92"/>
      <c r="H107" s="97"/>
      <c r="I107" s="16" t="s">
        <v>145</v>
      </c>
      <c r="J107" s="34">
        <f>(IF(B97&gt;4,(H97/(B97+2)+J106),0))</f>
        <v>0</v>
      </c>
    </row>
    <row r="108" spans="1:10" ht="15.75" customHeight="1" x14ac:dyDescent="0.25">
      <c r="A108" s="87" t="s">
        <v>133</v>
      </c>
      <c r="B108" s="88" t="s">
        <v>133</v>
      </c>
      <c r="C108" s="60">
        <v>0</v>
      </c>
      <c r="D108" s="53">
        <f ca="1">((100/(H97))*C108)/100</f>
        <v>0</v>
      </c>
      <c r="E108" s="92"/>
      <c r="F108" s="93"/>
      <c r="G108" s="92"/>
      <c r="H108" s="97"/>
      <c r="I108" s="16" t="s">
        <v>147</v>
      </c>
      <c r="J108" s="34">
        <f ca="1">(IF(B97=1,(H97/(B97+3)+J103),IF(B97=0,(H97/4+J103),IF(B97&gt;1,0))))</f>
        <v>33.75</v>
      </c>
    </row>
    <row r="109" spans="1:10" ht="16.5" thickBot="1" x14ac:dyDescent="0.3">
      <c r="A109" s="99" t="s">
        <v>134</v>
      </c>
      <c r="B109" s="100"/>
      <c r="C109" s="62">
        <v>0</v>
      </c>
      <c r="D109" s="54">
        <f ca="1">((100/(H97))*C109)/100</f>
        <v>0</v>
      </c>
      <c r="E109" s="94"/>
      <c r="F109" s="95"/>
      <c r="G109" s="94"/>
      <c r="H109" s="98"/>
      <c r="I109" s="18" t="s">
        <v>104</v>
      </c>
      <c r="J109" s="36">
        <f ca="1">(IF(B97&gt;1.5,(H97/(B97+2)+J103+MAX(0,J104-J103)+MAX(0,J105-J104)+MAX(0,J106-J105)+MAX(0,J107-J106)+MAX(0,J108-J107)),IF(B97=1,(H97/(B97+3)+J108),IF(B97=0,H97/4+J108))))</f>
        <v>45</v>
      </c>
    </row>
    <row r="110" spans="1:10" ht="15.75" hidden="1" customHeight="1" x14ac:dyDescent="0.25">
      <c r="A110" s="146" t="s">
        <v>140</v>
      </c>
      <c r="B110" s="147"/>
      <c r="C110" s="148" t="str">
        <f>D60</f>
        <v>C Wing = G + 1st to 20th Floor</v>
      </c>
      <c r="D110" s="149"/>
      <c r="E110" s="149"/>
      <c r="F110" s="149"/>
      <c r="G110" s="149"/>
      <c r="H110" s="150"/>
      <c r="I110" s="68" t="str">
        <f ca="1">IF(D123=100%,"All work Completed. Possession granted to the Building.",IF(D122=100%,"All work Completed, Waiting for OC",I111&amp;""&amp;I112&amp;""&amp;J111&amp;""&amp;J110&amp;" "&amp;J112))</f>
        <v xml:space="preserve">Excavation, Plinth, RCC Slab Completed </v>
      </c>
      <c r="J110" s="45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/>
      </c>
    </row>
    <row r="111" spans="1:10" hidden="1" x14ac:dyDescent="0.25">
      <c r="A111" s="19" t="s">
        <v>142</v>
      </c>
      <c r="B111" s="17">
        <v>0</v>
      </c>
      <c r="C111" s="64" t="s">
        <v>72</v>
      </c>
      <c r="D111" s="64">
        <v>1</v>
      </c>
      <c r="E111" s="64" t="s">
        <v>71</v>
      </c>
      <c r="F111" s="17">
        <v>0</v>
      </c>
      <c r="G111" s="63" t="s">
        <v>80</v>
      </c>
      <c r="H111" s="20">
        <f ca="1">--TRIM(RIGHT(SUBSTITUTE(LEFT(C110,_xlfn.AGGREGATE(16,6,FIND({0,1,2,3,4,5,6,7,8,9},C110,ROW(INDIRECT("1:"&amp;LEN(C110)))),1))," ",REPT(" ",LEN(C110))),LEN(C110)))</f>
        <v>20</v>
      </c>
      <c r="I111" s="46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>Excavation, Plinth, RCC Slab</v>
      </c>
      <c r="J111" s="47" t="str">
        <f ca="1"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/>
      </c>
    </row>
    <row r="112" spans="1:10" ht="33" hidden="1" customHeight="1" x14ac:dyDescent="0.25">
      <c r="A112" s="83" t="s">
        <v>90</v>
      </c>
      <c r="B112" s="84"/>
      <c r="C112" s="85" t="str">
        <f ca="1">(IF($G$53="NA",I110,"All work Completed. OC Received."))</f>
        <v xml:space="preserve">Excavation, Plinth, RCC Slab Completed </v>
      </c>
      <c r="D112" s="85"/>
      <c r="E112" s="85"/>
      <c r="F112" s="85"/>
      <c r="G112" s="85"/>
      <c r="H112" s="86"/>
      <c r="I112" s="46" t="str">
        <f ca="1">IF(I111&lt;&gt;""," Completed","")</f>
        <v xml:space="preserve"> Completed</v>
      </c>
      <c r="J112" s="47" t="str">
        <f ca="1">IF(J110&lt;&gt;"","Completed","")</f>
        <v/>
      </c>
    </row>
    <row r="113" spans="1:11" ht="15.75" hidden="1" customHeight="1" x14ac:dyDescent="0.25">
      <c r="A113" s="138" t="s">
        <v>49</v>
      </c>
      <c r="B113" s="139"/>
      <c r="C113" s="59" t="s">
        <v>139</v>
      </c>
      <c r="D113" s="59" t="s">
        <v>83</v>
      </c>
      <c r="E113" s="139" t="s">
        <v>85</v>
      </c>
      <c r="F113" s="139"/>
      <c r="G113" s="139" t="s">
        <v>84</v>
      </c>
      <c r="H113" s="175"/>
      <c r="I113" s="16" t="s">
        <v>141</v>
      </c>
      <c r="J113" s="32">
        <f ca="1">H111*25%</f>
        <v>5</v>
      </c>
    </row>
    <row r="114" spans="1:11" hidden="1" x14ac:dyDescent="0.25">
      <c r="A114" s="138" t="s">
        <v>128</v>
      </c>
      <c r="B114" s="139"/>
      <c r="C114" s="59">
        <f ca="1">J115</f>
        <v>20</v>
      </c>
      <c r="D114" s="22">
        <f ca="1">((100/H111)*C114)/100</f>
        <v>1</v>
      </c>
      <c r="E114" s="157">
        <f ca="1">(((C115/H111*10)+(40/(D111+F111+H111)*C116)+(7.5/(H111)*C117)+(7.5/(H111)*C118)+(10/H111*C119)+(10/H111*C120)+(5/H111*C121)+(5/H111*C122)+(5/H111*C123))/100)</f>
        <v>0.5</v>
      </c>
      <c r="F114" s="172"/>
      <c r="G114" s="157">
        <f ca="1">((((C114/H111)*20)+((C115/H111)*25)+(30/(H111+F111+D111)*C116)+(5/H111*C117)+(5/H111*C118)+(5/H111*C119)+(5/H111*C120)+(0/H111*C121)+(0/H111*C122)+(5/H111*C123))/100)</f>
        <v>0.75</v>
      </c>
      <c r="H114" s="158"/>
      <c r="I114" s="16" t="s">
        <v>100</v>
      </c>
      <c r="J114" s="33">
        <f ca="1">H111*50%</f>
        <v>10</v>
      </c>
    </row>
    <row r="115" spans="1:11" hidden="1" x14ac:dyDescent="0.25">
      <c r="A115" s="138" t="s">
        <v>50</v>
      </c>
      <c r="B115" s="139"/>
      <c r="C115" s="59">
        <f ca="1">J123</f>
        <v>20</v>
      </c>
      <c r="D115" s="22">
        <f ca="1">((100/H111)*C115)/100</f>
        <v>1</v>
      </c>
      <c r="E115" s="159"/>
      <c r="F115" s="173"/>
      <c r="G115" s="159"/>
      <c r="H115" s="160"/>
      <c r="I115" s="16" t="s">
        <v>101</v>
      </c>
      <c r="J115" s="33">
        <f ca="1">H111</f>
        <v>20</v>
      </c>
    </row>
    <row r="116" spans="1:11" ht="15.75" hidden="1" customHeight="1" x14ac:dyDescent="0.25">
      <c r="A116" s="138" t="s">
        <v>129</v>
      </c>
      <c r="B116" s="139"/>
      <c r="C116" s="59">
        <f ca="1">D111+H111</f>
        <v>21</v>
      </c>
      <c r="D116" s="22">
        <f ca="1">((100/(D111+F111+H111))*C116)/100</f>
        <v>1</v>
      </c>
      <c r="E116" s="159"/>
      <c r="F116" s="173"/>
      <c r="G116" s="159"/>
      <c r="H116" s="160"/>
      <c r="I116" s="16" t="s">
        <v>102</v>
      </c>
      <c r="J116" s="34">
        <f ca="1">(IF(B111&gt;1,(H111/(B111+2)),H111/4))</f>
        <v>5</v>
      </c>
    </row>
    <row r="117" spans="1:11" ht="15.75" hidden="1" customHeight="1" x14ac:dyDescent="0.25">
      <c r="A117" s="138" t="s">
        <v>136</v>
      </c>
      <c r="B117" s="139" t="s">
        <v>130</v>
      </c>
      <c r="C117" s="59">
        <v>0</v>
      </c>
      <c r="D117" s="22">
        <f ca="1">((100/H111)*C117)/100</f>
        <v>0</v>
      </c>
      <c r="E117" s="159"/>
      <c r="F117" s="173"/>
      <c r="G117" s="159"/>
      <c r="H117" s="160"/>
      <c r="I117" s="16" t="s">
        <v>103</v>
      </c>
      <c r="J117" s="34">
        <f ca="1">(IF(B111&gt;1,(H111/(B111+2)+J116),H111/4+J116))</f>
        <v>10</v>
      </c>
    </row>
    <row r="118" spans="1:11" ht="15.75" hidden="1" customHeight="1" x14ac:dyDescent="0.25">
      <c r="A118" s="138" t="s">
        <v>137</v>
      </c>
      <c r="B118" s="139" t="s">
        <v>130</v>
      </c>
      <c r="C118" s="59">
        <v>0</v>
      </c>
      <c r="D118" s="22">
        <f ca="1">((100/H111)*C118)/100</f>
        <v>0</v>
      </c>
      <c r="E118" s="159"/>
      <c r="F118" s="173"/>
      <c r="G118" s="159"/>
      <c r="H118" s="160"/>
      <c r="I118" s="16" t="s">
        <v>146</v>
      </c>
      <c r="J118" s="34">
        <f>(IF(B111&gt;1,(H111/(B111+2)+J117),0))</f>
        <v>0</v>
      </c>
    </row>
    <row r="119" spans="1:11" ht="15" hidden="1" customHeight="1" x14ac:dyDescent="0.25">
      <c r="A119" s="138" t="s">
        <v>135</v>
      </c>
      <c r="B119" s="139" t="s">
        <v>132</v>
      </c>
      <c r="C119" s="59">
        <v>0</v>
      </c>
      <c r="D119" s="22">
        <f ca="1">((100/(H111))*C119)/100</f>
        <v>0</v>
      </c>
      <c r="E119" s="159"/>
      <c r="F119" s="173"/>
      <c r="G119" s="159"/>
      <c r="H119" s="160"/>
      <c r="I119" s="16" t="s">
        <v>143</v>
      </c>
      <c r="J119" s="34">
        <f>(IF(B111&gt;2,(H111/(B111+2)+J118),0))</f>
        <v>0</v>
      </c>
    </row>
    <row r="120" spans="1:11" ht="15.75" hidden="1" customHeight="1" x14ac:dyDescent="0.25">
      <c r="A120" s="138" t="s">
        <v>131</v>
      </c>
      <c r="B120" s="139" t="s">
        <v>131</v>
      </c>
      <c r="C120" s="59">
        <v>0</v>
      </c>
      <c r="D120" s="22">
        <f ca="1">((100/H111)*C120)/100</f>
        <v>0</v>
      </c>
      <c r="E120" s="159"/>
      <c r="F120" s="173"/>
      <c r="G120" s="159"/>
      <c r="H120" s="160"/>
      <c r="I120" s="16" t="s">
        <v>144</v>
      </c>
      <c r="J120" s="35">
        <f>(IF(B111&gt;3,(H111/(B111+2)+J119),0))</f>
        <v>0</v>
      </c>
    </row>
    <row r="121" spans="1:11" ht="15.75" hidden="1" customHeight="1" x14ac:dyDescent="0.25">
      <c r="A121" s="138" t="s">
        <v>138</v>
      </c>
      <c r="B121" s="139"/>
      <c r="C121" s="59">
        <v>0</v>
      </c>
      <c r="D121" s="22">
        <f ca="1">((100/H111)*C121)/100</f>
        <v>0</v>
      </c>
      <c r="E121" s="159"/>
      <c r="F121" s="173"/>
      <c r="G121" s="159"/>
      <c r="H121" s="160"/>
      <c r="I121" s="16" t="s">
        <v>145</v>
      </c>
      <c r="J121" s="34">
        <f>(IF(B111&gt;4,(H111/(B111+2)+J120),0))</f>
        <v>0</v>
      </c>
    </row>
    <row r="122" spans="1:11" ht="15.75" hidden="1" customHeight="1" x14ac:dyDescent="0.25">
      <c r="A122" s="138" t="s">
        <v>133</v>
      </c>
      <c r="B122" s="139" t="s">
        <v>133</v>
      </c>
      <c r="C122" s="59">
        <v>0</v>
      </c>
      <c r="D122" s="22">
        <f ca="1">((100/(H111))*C122)/100</f>
        <v>0</v>
      </c>
      <c r="E122" s="159"/>
      <c r="F122" s="173"/>
      <c r="G122" s="159"/>
      <c r="H122" s="160"/>
      <c r="I122" s="16" t="s">
        <v>147</v>
      </c>
      <c r="J122" s="34">
        <f ca="1">(IF(B111=1,(H111/(B111+3)+J117),IF(B111=0,(H111/4+J117),IF(B111&gt;1,0))))</f>
        <v>15</v>
      </c>
    </row>
    <row r="123" spans="1:11" ht="16.5" hidden="1" thickBot="1" x14ac:dyDescent="0.3">
      <c r="A123" s="214" t="s">
        <v>134</v>
      </c>
      <c r="B123" s="215"/>
      <c r="C123" s="66">
        <v>0</v>
      </c>
      <c r="D123" s="23">
        <f ca="1">((100/(H111))*C123)/100</f>
        <v>0</v>
      </c>
      <c r="E123" s="161"/>
      <c r="F123" s="174"/>
      <c r="G123" s="161"/>
      <c r="H123" s="162"/>
      <c r="I123" s="18" t="s">
        <v>104</v>
      </c>
      <c r="J123" s="36">
        <f ca="1">(IF(B111&gt;1.5,(H111/(B111+2)+J117+MAX(0,J118-J117)+MAX(0,J119-J118)+MAX(0,J120-J119)+MAX(0,J121-J120)+MAX(0,J122-J121)),IF(B111=1,(H111/(B111+3)+J122),IF(B111=0,H111/4+J122))))</f>
        <v>20</v>
      </c>
    </row>
    <row r="124" spans="1:11" x14ac:dyDescent="0.25">
      <c r="A124" s="143" t="s">
        <v>158</v>
      </c>
      <c r="B124" s="143"/>
      <c r="C124" s="143"/>
      <c r="D124" s="143"/>
      <c r="E124" s="143"/>
      <c r="F124" s="129" t="s">
        <v>163</v>
      </c>
      <c r="G124" s="129"/>
      <c r="H124" s="129"/>
    </row>
    <row r="125" spans="1:11" x14ac:dyDescent="0.25">
      <c r="A125" s="130" t="s">
        <v>161</v>
      </c>
      <c r="B125" s="130"/>
      <c r="C125" s="130"/>
      <c r="D125" s="130"/>
      <c r="E125" s="130"/>
      <c r="F125" s="140">
        <v>10000</v>
      </c>
      <c r="G125" s="140"/>
      <c r="H125" s="140"/>
      <c r="I125" s="24" t="s">
        <v>251</v>
      </c>
      <c r="K125" s="29">
        <v>45300</v>
      </c>
    </row>
    <row r="126" spans="1:11" x14ac:dyDescent="0.25">
      <c r="A126" s="130" t="s">
        <v>160</v>
      </c>
      <c r="B126" s="130"/>
      <c r="C126" s="130"/>
      <c r="D126" s="130"/>
      <c r="E126" s="130"/>
      <c r="F126" s="140">
        <v>22000</v>
      </c>
      <c r="G126" s="140"/>
      <c r="H126" s="140"/>
    </row>
    <row r="127" spans="1:11" x14ac:dyDescent="0.25">
      <c r="A127" s="130" t="s">
        <v>162</v>
      </c>
      <c r="B127" s="130"/>
      <c r="C127" s="130"/>
      <c r="D127" s="130"/>
      <c r="E127" s="130"/>
      <c r="F127" s="140">
        <v>15000</v>
      </c>
      <c r="G127" s="140"/>
      <c r="H127" s="140"/>
    </row>
    <row r="128" spans="1:11" s="37" customFormat="1" hidden="1" x14ac:dyDescent="0.25">
      <c r="A128" s="130" t="s">
        <v>159</v>
      </c>
      <c r="B128" s="130"/>
      <c r="C128" s="130"/>
      <c r="D128" s="130"/>
      <c r="E128" s="130"/>
      <c r="F128" s="140"/>
      <c r="G128" s="140"/>
      <c r="H128" s="140"/>
    </row>
    <row r="129" spans="1:10" s="37" customFormat="1" x14ac:dyDescent="0.25">
      <c r="A129" s="130" t="s">
        <v>95</v>
      </c>
      <c r="B129" s="130"/>
      <c r="C129" s="130"/>
      <c r="D129" s="130"/>
      <c r="E129" s="130"/>
      <c r="F129" s="140">
        <v>300000</v>
      </c>
      <c r="G129" s="140"/>
      <c r="H129" s="140"/>
    </row>
    <row r="130" spans="1:10" s="37" customFormat="1" hidden="1" x14ac:dyDescent="0.25">
      <c r="A130" s="130" t="s">
        <v>96</v>
      </c>
      <c r="B130" s="130"/>
      <c r="C130" s="130"/>
      <c r="D130" s="130"/>
      <c r="E130" s="130"/>
      <c r="F130" s="140"/>
      <c r="G130" s="140"/>
      <c r="H130" s="140"/>
    </row>
    <row r="131" spans="1:10" s="37" customFormat="1" hidden="1" x14ac:dyDescent="0.25">
      <c r="A131" s="130" t="s">
        <v>164</v>
      </c>
      <c r="B131" s="130"/>
      <c r="C131" s="130"/>
      <c r="D131" s="130"/>
      <c r="E131" s="130"/>
      <c r="F131" s="140"/>
      <c r="G131" s="140"/>
      <c r="H131" s="140"/>
    </row>
    <row r="132" spans="1:10" s="37" customFormat="1" hidden="1" x14ac:dyDescent="0.25">
      <c r="A132" s="130" t="s">
        <v>97</v>
      </c>
      <c r="B132" s="130"/>
      <c r="C132" s="130"/>
      <c r="D132" s="130"/>
      <c r="E132" s="130"/>
      <c r="F132" s="140"/>
      <c r="G132" s="140"/>
      <c r="H132" s="140"/>
    </row>
    <row r="133" spans="1:10" s="37" customFormat="1" hidden="1" x14ac:dyDescent="0.25">
      <c r="A133" s="130" t="s">
        <v>98</v>
      </c>
      <c r="B133" s="130"/>
      <c r="C133" s="130"/>
      <c r="D133" s="130"/>
      <c r="E133" s="130"/>
      <c r="F133" s="140"/>
      <c r="G133" s="140"/>
      <c r="H133" s="140"/>
    </row>
    <row r="134" spans="1:10" s="37" customFormat="1" x14ac:dyDescent="0.25">
      <c r="A134" s="130" t="s">
        <v>249</v>
      </c>
      <c r="B134" s="130"/>
      <c r="C134" s="130"/>
      <c r="D134" s="130"/>
      <c r="E134" s="130"/>
      <c r="F134" s="140">
        <v>100000</v>
      </c>
      <c r="G134" s="140"/>
      <c r="H134" s="140"/>
    </row>
    <row r="135" spans="1:10" s="37" customFormat="1" hidden="1" x14ac:dyDescent="0.25">
      <c r="A135" s="130" t="s">
        <v>99</v>
      </c>
      <c r="B135" s="130"/>
      <c r="C135" s="130"/>
      <c r="D135" s="130"/>
      <c r="E135" s="130"/>
      <c r="F135" s="140"/>
      <c r="G135" s="140"/>
      <c r="H135" s="140"/>
    </row>
    <row r="136" spans="1:10" x14ac:dyDescent="0.25">
      <c r="A136" s="130" t="s">
        <v>51</v>
      </c>
      <c r="B136" s="130"/>
      <c r="C136" s="130"/>
      <c r="D136" s="130"/>
      <c r="E136" s="130"/>
      <c r="F136" s="140">
        <v>600000</v>
      </c>
      <c r="G136" s="140"/>
      <c r="H136" s="140"/>
    </row>
    <row r="137" spans="1:10" s="38" customFormat="1" x14ac:dyDescent="0.25">
      <c r="A137" s="167" t="s">
        <v>52</v>
      </c>
      <c r="B137" s="167"/>
      <c r="C137" s="167"/>
      <c r="D137" s="167"/>
      <c r="E137" s="167"/>
      <c r="F137" s="140">
        <f>F125*0.8</f>
        <v>8000</v>
      </c>
      <c r="G137" s="140"/>
      <c r="H137" s="140"/>
    </row>
    <row r="138" spans="1:10" s="39" customFormat="1" ht="15.75" customHeight="1" x14ac:dyDescent="0.25">
      <c r="A138" s="121" t="s">
        <v>218</v>
      </c>
      <c r="B138" s="121"/>
      <c r="C138" s="121"/>
      <c r="D138" s="121"/>
      <c r="E138" s="121"/>
      <c r="F138" s="121"/>
      <c r="G138" s="121"/>
      <c r="H138" s="121"/>
    </row>
    <row r="139" spans="1:10" s="39" customFormat="1" ht="15.75" customHeight="1" x14ac:dyDescent="0.25">
      <c r="A139" s="126" t="s">
        <v>53</v>
      </c>
      <c r="B139" s="126"/>
      <c r="C139" s="123" t="s">
        <v>78</v>
      </c>
      <c r="D139" s="123"/>
      <c r="E139" s="125" t="s">
        <v>54</v>
      </c>
      <c r="F139" s="125"/>
      <c r="G139" s="126" t="s">
        <v>55</v>
      </c>
      <c r="H139" s="126"/>
      <c r="J139" s="39" t="s">
        <v>234</v>
      </c>
    </row>
    <row r="140" spans="1:10" s="39" customFormat="1" x14ac:dyDescent="0.25">
      <c r="A140" s="144" t="s">
        <v>185</v>
      </c>
      <c r="B140" s="144"/>
      <c r="C140" s="145">
        <f>COUNT(D162:D171)+COUNT(D173:D182)+COUNT(D184:D193)</f>
        <v>30</v>
      </c>
      <c r="D140" s="145"/>
      <c r="E140" s="120">
        <f>SUM(D162:D171)+SUM(D173:D182)+SUM(D184:D193)</f>
        <v>6816.6194615999993</v>
      </c>
      <c r="F140" s="120"/>
      <c r="G140" s="120">
        <f>SUM(F162:F171)+SUM(F173:F182)+SUM(F184:F193)</f>
        <v>10906.591138560001</v>
      </c>
      <c r="H140" s="120"/>
      <c r="J140" s="39" t="s">
        <v>235</v>
      </c>
    </row>
    <row r="141" spans="1:10" s="39" customFormat="1" x14ac:dyDescent="0.25">
      <c r="A141" s="144" t="s">
        <v>187</v>
      </c>
      <c r="B141" s="144"/>
      <c r="C141" s="145">
        <f>COUNT(D208:D216)+COUNT(D218:D226)+COUNT(D228:D234)</f>
        <v>25</v>
      </c>
      <c r="D141" s="145"/>
      <c r="E141" s="120">
        <f>SUM(D208:D216)+SUM(D218:D226)+SUM(D228:D234)</f>
        <v>6419.7443231999996</v>
      </c>
      <c r="F141" s="120"/>
      <c r="G141" s="120">
        <f>SUM(F208:F216)+SUM(F218:F226)+SUM(F228:F234)</f>
        <v>10271.59091712</v>
      </c>
      <c r="H141" s="120"/>
      <c r="J141" s="39">
        <v>11000</v>
      </c>
    </row>
    <row r="142" spans="1:10" s="39" customFormat="1" x14ac:dyDescent="0.25">
      <c r="A142" s="121" t="s">
        <v>151</v>
      </c>
      <c r="B142" s="121"/>
      <c r="C142" s="122">
        <f>SUM(C140:C141)</f>
        <v>55</v>
      </c>
      <c r="D142" s="123"/>
      <c r="E142" s="124">
        <f>SUM(E140:E141)</f>
        <v>13236.3637848</v>
      </c>
      <c r="F142" s="125"/>
      <c r="G142" s="126">
        <f>SUM(G140:G141)</f>
        <v>21178.182055680001</v>
      </c>
      <c r="H142" s="126"/>
    </row>
    <row r="143" spans="1:10" s="39" customFormat="1" ht="15.75" customHeight="1" x14ac:dyDescent="0.25">
      <c r="A143" s="121" t="s">
        <v>217</v>
      </c>
      <c r="B143" s="121"/>
      <c r="C143" s="121"/>
      <c r="D143" s="121"/>
      <c r="E143" s="121"/>
      <c r="F143" s="121"/>
      <c r="G143" s="121"/>
      <c r="H143" s="121"/>
    </row>
    <row r="144" spans="1:10" s="39" customFormat="1" ht="15.75" customHeight="1" x14ac:dyDescent="0.25">
      <c r="A144" s="126" t="s">
        <v>53</v>
      </c>
      <c r="B144" s="126"/>
      <c r="C144" s="123" t="s">
        <v>78</v>
      </c>
      <c r="D144" s="123"/>
      <c r="E144" s="125" t="s">
        <v>54</v>
      </c>
      <c r="F144" s="125"/>
      <c r="G144" s="126" t="s">
        <v>55</v>
      </c>
      <c r="H144" s="126"/>
    </row>
    <row r="145" spans="1:10" s="39" customFormat="1" x14ac:dyDescent="0.25">
      <c r="A145" s="144" t="s">
        <v>185</v>
      </c>
      <c r="B145" s="144"/>
      <c r="C145" s="145">
        <f>COUNT(D195:D204)*2</f>
        <v>20</v>
      </c>
      <c r="D145" s="145"/>
      <c r="E145" s="120">
        <f>SUM(D195:D204)*2</f>
        <v>5394.3872111999999</v>
      </c>
      <c r="F145" s="120"/>
      <c r="G145" s="120">
        <f>SUM(F195:F204)*2</f>
        <v>8631.0195379199995</v>
      </c>
      <c r="H145" s="120"/>
    </row>
    <row r="146" spans="1:10" s="39" customFormat="1" x14ac:dyDescent="0.25">
      <c r="A146" s="144" t="s">
        <v>187</v>
      </c>
      <c r="B146" s="144"/>
      <c r="C146" s="145">
        <f>COUNT(D236:D242)*2</f>
        <v>14</v>
      </c>
      <c r="D146" s="145"/>
      <c r="E146" s="120">
        <f>SUM(D236:D242)*2</f>
        <v>5015.0423231999994</v>
      </c>
      <c r="F146" s="120"/>
      <c r="G146" s="120">
        <f>SUM(F236:F242)*2</f>
        <v>8024.0677171199995</v>
      </c>
      <c r="H146" s="120"/>
      <c r="J146" s="70">
        <f>SUM(E142,E147,E154)</f>
        <v>726357.83940720011</v>
      </c>
    </row>
    <row r="147" spans="1:10" s="39" customFormat="1" x14ac:dyDescent="0.25">
      <c r="A147" s="121" t="s">
        <v>151</v>
      </c>
      <c r="B147" s="121"/>
      <c r="C147" s="122">
        <f>SUM(C145:C146)</f>
        <v>34</v>
      </c>
      <c r="D147" s="123"/>
      <c r="E147" s="124">
        <f>SUM(E145:E146)</f>
        <v>10409.429534399998</v>
      </c>
      <c r="F147" s="125"/>
      <c r="G147" s="126">
        <f>SUM(G145:G146)</f>
        <v>16655.087255039998</v>
      </c>
      <c r="H147" s="126"/>
    </row>
    <row r="148" spans="1:10" s="39" customFormat="1" x14ac:dyDescent="0.25">
      <c r="A148" s="121" t="s">
        <v>227</v>
      </c>
      <c r="B148" s="121"/>
      <c r="C148" s="121"/>
      <c r="D148" s="121"/>
      <c r="E148" s="121"/>
      <c r="F148" s="121"/>
      <c r="G148" s="121"/>
      <c r="H148" s="121"/>
    </row>
    <row r="149" spans="1:10" s="39" customFormat="1" ht="15.75" customHeight="1" x14ac:dyDescent="0.25">
      <c r="A149" s="126" t="s">
        <v>53</v>
      </c>
      <c r="B149" s="126"/>
      <c r="C149" s="123" t="s">
        <v>78</v>
      </c>
      <c r="D149" s="123"/>
      <c r="E149" s="125" t="s">
        <v>54</v>
      </c>
      <c r="F149" s="125"/>
      <c r="G149" s="126" t="s">
        <v>55</v>
      </c>
      <c r="H149" s="126"/>
    </row>
    <row r="150" spans="1:10" s="39" customFormat="1" x14ac:dyDescent="0.25">
      <c r="A150" s="144" t="s">
        <v>183</v>
      </c>
      <c r="B150" s="144"/>
      <c r="C150" s="145">
        <f>COUNT(D250:D258)+COUNT(D260:D268)+COUNT(D270:D278)*2+COUNT(D280:D288)+COUNT(D290:D298)*4+COUNT(D300:D303,D305:D308)+COUNT(D310:D318)+COUNT(D320:D334)+COUNT(D336:D350)*22+COUNT(D352:D355,D357:D366)*6</f>
        <v>527</v>
      </c>
      <c r="D150" s="145"/>
      <c r="E150" s="120">
        <f>SUM(D250:D258)+SUM(D260:D268)+SUM(D270:D278)*2+SUM(D280:D288)+SUM(D290:D298)*4+SUM(D300:D303,D305:D308)+SUM(D310:D318)+SUM(D320:D334)+SUM(D336:D350)*22+SUM(D352:D355,D357:D366)*6</f>
        <v>282177.39887999999</v>
      </c>
      <c r="F150" s="120"/>
      <c r="G150" s="120">
        <f>SUM(F250:F258)+SUM(F260:F268)+SUM(F270:F278)*2+SUM(F280:F288)+SUM(F290:F298)*4+SUM(F300:F303,F305:F308)+SUM(F310:F318)+SUM(F320:F334)+SUM(F336:F350)*22+SUM(F352:F355,F357:F366)*6</f>
        <v>437374.96826400008</v>
      </c>
      <c r="H150" s="120"/>
    </row>
    <row r="151" spans="1:10" s="39" customFormat="1" x14ac:dyDescent="0.25">
      <c r="A151" s="144" t="s">
        <v>185</v>
      </c>
      <c r="B151" s="144"/>
      <c r="C151" s="145">
        <f>COUNT(D373:D374)+COUNT(D376:D377)+COUNT(D379:D388)*22+COUNT(D390,D392:D399)*6</f>
        <v>278</v>
      </c>
      <c r="D151" s="145"/>
      <c r="E151" s="120">
        <f>SUM(D373:D374)+SUM(D376:D377)+SUM(D379:D388)*22+SUM(D390,D392:D399)*6</f>
        <v>148509.357984</v>
      </c>
      <c r="F151" s="120"/>
      <c r="G151" s="120">
        <f>SUM(F373:F374)+SUM(F376:F377)+SUM(F379:F388)*22+SUM(F390,F392:F399)*6</f>
        <v>230363.88167520001</v>
      </c>
      <c r="H151" s="120"/>
    </row>
    <row r="152" spans="1:10" s="39" customFormat="1" x14ac:dyDescent="0.25">
      <c r="A152" s="144" t="s">
        <v>186</v>
      </c>
      <c r="B152" s="144"/>
      <c r="C152" s="145">
        <f>COUNT(D404:D408)+COUNT(D410:D414)+COUNT(D416:D420)*2+COUNT(D422:D426)+COUNT(D428:D432)*4+COUNT(D434:D438)+COUNT(D440:D444)+COUNT(D446:D453)+COUNT(D455:D462)*22+COUNT(D464:D465,D467:D471)*6</f>
        <v>281</v>
      </c>
      <c r="D152" s="145"/>
      <c r="E152" s="120">
        <f t="shared" ref="E152" si="0">SUM(D404:D408)+SUM(D410:D414)+SUM(D416:D420)*2+SUM(D422:D426)+SUM(D428:D432)*4+SUM(D434:D438)+SUM(D440:D444)+SUM(D446:D453)+SUM(D455:D462)*22+SUM(D464:D465,D467:D471)*6</f>
        <v>176369.980644</v>
      </c>
      <c r="F152" s="120"/>
      <c r="G152" s="120">
        <f>SUM(F404:F408)+SUM(F410:F414)+SUM(F416:F420)*2+SUM(F422:F426)+SUM(F428:F432)*4+SUM(F434:F438)+SUM(F440:F444)+SUM(F446:F453)+SUM(F455:F462)*22+SUM(F464:F465,F467:F471)*6</f>
        <v>273373.46999819996</v>
      </c>
      <c r="H152" s="120"/>
    </row>
    <row r="153" spans="1:10" s="39" customFormat="1" x14ac:dyDescent="0.25">
      <c r="A153" s="144" t="s">
        <v>187</v>
      </c>
      <c r="B153" s="144"/>
      <c r="C153" s="145">
        <f>COUNT(D475:D477)+COUNT(D479:D481)*4+COUNT(D483,D485)+COUNT(D487:D489)+COUNT(D491:D495)+COUNT(D497:D501)*22+COUNT(D503,D505:D507)*6</f>
        <v>159</v>
      </c>
      <c r="D153" s="145"/>
      <c r="E153" s="120">
        <f>SUM(D475:D477)+SUM(D479:D481)*4+SUM(D483,D485)+SUM(D487:D489)+SUM(D491:D495)+SUM(D497:D501)*22+SUM(D503,D505:D507)*6</f>
        <v>95655.308580000012</v>
      </c>
      <c r="F153" s="120"/>
      <c r="G153" s="120">
        <f>SUM(F475:F477)+SUM(F479:F481)*4+SUM(F483,F485)+SUM(F487:F489)+SUM(F491:F495)+SUM(F497:F501)*22+SUM(F503,F505:F507)*6</f>
        <v>148404.58389899999</v>
      </c>
      <c r="H153" s="120"/>
    </row>
    <row r="154" spans="1:10" s="39" customFormat="1" x14ac:dyDescent="0.25">
      <c r="A154" s="121" t="s">
        <v>151</v>
      </c>
      <c r="B154" s="121"/>
      <c r="C154" s="122">
        <f>SUM(C150:C153)</f>
        <v>1245</v>
      </c>
      <c r="D154" s="123"/>
      <c r="E154" s="124">
        <f>SUM(E150:E153)</f>
        <v>702712.04608800006</v>
      </c>
      <c r="F154" s="125"/>
      <c r="G154" s="126">
        <f>SUM(G150:G153)</f>
        <v>1089516.9038364</v>
      </c>
      <c r="H154" s="126"/>
    </row>
    <row r="155" spans="1:10" s="38" customFormat="1" x14ac:dyDescent="0.25">
      <c r="A155" s="184" t="s">
        <v>56</v>
      </c>
      <c r="B155" s="184"/>
      <c r="C155" s="184"/>
      <c r="D155" s="184"/>
      <c r="E155" s="184"/>
      <c r="F155" s="184"/>
      <c r="G155" s="184"/>
      <c r="H155" s="184"/>
    </row>
    <row r="156" spans="1:10" x14ac:dyDescent="0.25">
      <c r="A156" s="184" t="s">
        <v>57</v>
      </c>
      <c r="B156" s="184"/>
      <c r="C156" s="184"/>
      <c r="D156" s="184"/>
      <c r="E156" s="184"/>
      <c r="F156" s="184"/>
      <c r="G156" s="184"/>
      <c r="H156" s="184"/>
    </row>
    <row r="157" spans="1:10" ht="47.25" customHeight="1" x14ac:dyDescent="0.25">
      <c r="A157" s="141" t="s">
        <v>120</v>
      </c>
      <c r="B157" s="141" t="s">
        <v>119</v>
      </c>
      <c r="C157" s="141" t="s">
        <v>58</v>
      </c>
      <c r="D157" s="141" t="s">
        <v>59</v>
      </c>
      <c r="E157" s="151" t="s">
        <v>157</v>
      </c>
      <c r="F157" s="61" t="s">
        <v>150</v>
      </c>
      <c r="G157" s="153" t="s">
        <v>61</v>
      </c>
      <c r="H157" s="154"/>
    </row>
    <row r="158" spans="1:10" s="56" customFormat="1" x14ac:dyDescent="0.25">
      <c r="A158" s="142"/>
      <c r="B158" s="142"/>
      <c r="C158" s="142"/>
      <c r="D158" s="142"/>
      <c r="E158" s="152"/>
      <c r="F158" s="15">
        <v>0.6</v>
      </c>
      <c r="G158" s="155"/>
      <c r="H158" s="156"/>
    </row>
    <row r="159" spans="1:10" s="56" customFormat="1" x14ac:dyDescent="0.25">
      <c r="A159" s="108" t="s">
        <v>241</v>
      </c>
      <c r="B159" s="109"/>
      <c r="C159" s="109"/>
      <c r="D159" s="109"/>
      <c r="E159" s="109"/>
      <c r="F159" s="109"/>
      <c r="G159" s="109"/>
      <c r="H159" s="110"/>
      <c r="J159" s="40"/>
    </row>
    <row r="160" spans="1:10" s="56" customFormat="1" x14ac:dyDescent="0.25">
      <c r="A160" s="108" t="s">
        <v>185</v>
      </c>
      <c r="B160" s="109"/>
      <c r="C160" s="109"/>
      <c r="D160" s="109"/>
      <c r="E160" s="109"/>
      <c r="F160" s="109"/>
      <c r="G160" s="109"/>
      <c r="H160" s="110"/>
      <c r="J160" s="40"/>
    </row>
    <row r="161" spans="1:14" s="56" customFormat="1" x14ac:dyDescent="0.25">
      <c r="A161" s="108" t="s">
        <v>201</v>
      </c>
      <c r="B161" s="109"/>
      <c r="C161" s="109"/>
      <c r="D161" s="109"/>
      <c r="E161" s="109"/>
      <c r="F161" s="109"/>
      <c r="G161" s="109"/>
      <c r="H161" s="110"/>
      <c r="J161" s="48">
        <v>10.763999999999999</v>
      </c>
    </row>
    <row r="162" spans="1:14" s="56" customFormat="1" x14ac:dyDescent="0.25">
      <c r="A162" s="101">
        <v>14</v>
      </c>
      <c r="B162" s="102"/>
      <c r="C162" s="50" t="s">
        <v>188</v>
      </c>
      <c r="D162" s="51">
        <f>(2.87*8.72)*10.764</f>
        <v>269.38416960000001</v>
      </c>
      <c r="E162" s="50">
        <v>0</v>
      </c>
      <c r="F162" s="50">
        <f>(D162+E162)*(($F$158)+1)</f>
        <v>431.01467136000002</v>
      </c>
      <c r="G162" s="101" t="str">
        <f>G216</f>
        <v>Ground Floor For Commercial &amp; Parking</v>
      </c>
      <c r="H162" s="102"/>
      <c r="I162" s="40"/>
      <c r="L162" s="107"/>
      <c r="M162" s="107"/>
      <c r="N162" s="40"/>
    </row>
    <row r="163" spans="1:14" s="56" customFormat="1" x14ac:dyDescent="0.25">
      <c r="A163" s="101">
        <v>15</v>
      </c>
      <c r="B163" s="102"/>
      <c r="C163" s="50" t="s">
        <v>188</v>
      </c>
      <c r="D163" s="51">
        <f>(3.24*8.72)*10.764</f>
        <v>304.11313920000003</v>
      </c>
      <c r="E163" s="50">
        <v>0</v>
      </c>
      <c r="F163" s="50">
        <f>(D163+E163)*(($F$158)+1)</f>
        <v>486.58102272000008</v>
      </c>
      <c r="G163" s="101" t="str">
        <f t="shared" ref="G163:G171" si="1">G162</f>
        <v>Ground Floor For Commercial &amp; Parking</v>
      </c>
      <c r="H163" s="102"/>
      <c r="I163" s="40"/>
      <c r="L163" s="107"/>
      <c r="M163" s="107"/>
      <c r="N163" s="40"/>
    </row>
    <row r="164" spans="1:14" s="56" customFormat="1" x14ac:dyDescent="0.25">
      <c r="A164" s="101">
        <v>16</v>
      </c>
      <c r="B164" s="102"/>
      <c r="C164" s="50" t="s">
        <v>188</v>
      </c>
      <c r="D164" s="51">
        <f>(3.24*8.72)*10.764</f>
        <v>304.11313920000003</v>
      </c>
      <c r="E164" s="50">
        <v>0</v>
      </c>
      <c r="F164" s="50">
        <f t="shared" ref="F164:F166" si="2">(D164+E164)*(($F$158)+1)</f>
        <v>486.58102272000008</v>
      </c>
      <c r="G164" s="101" t="str">
        <f t="shared" si="1"/>
        <v>Ground Floor For Commercial &amp; Parking</v>
      </c>
      <c r="H164" s="102"/>
      <c r="I164" s="40"/>
      <c r="L164" s="107"/>
      <c r="M164" s="107"/>
      <c r="N164" s="40"/>
    </row>
    <row r="165" spans="1:14" s="56" customFormat="1" x14ac:dyDescent="0.25">
      <c r="A165" s="101">
        <v>17</v>
      </c>
      <c r="B165" s="102"/>
      <c r="C165" s="50" t="s">
        <v>188</v>
      </c>
      <c r="D165" s="51">
        <f>(3.32*8.72)*10.764</f>
        <v>311.6221056</v>
      </c>
      <c r="E165" s="50">
        <v>0</v>
      </c>
      <c r="F165" s="50">
        <f t="shared" si="2"/>
        <v>498.59536896000003</v>
      </c>
      <c r="G165" s="101" t="str">
        <f t="shared" si="1"/>
        <v>Ground Floor For Commercial &amp; Parking</v>
      </c>
      <c r="H165" s="102"/>
      <c r="I165" s="40"/>
      <c r="L165" s="107"/>
      <c r="M165" s="107"/>
      <c r="N165" s="40"/>
    </row>
    <row r="166" spans="1:14" s="56" customFormat="1" x14ac:dyDescent="0.25">
      <c r="A166" s="101">
        <v>18</v>
      </c>
      <c r="B166" s="102"/>
      <c r="C166" s="50" t="s">
        <v>188</v>
      </c>
      <c r="D166" s="51">
        <f>(2.48*8.72)*10.764</f>
        <v>232.77795840000002</v>
      </c>
      <c r="E166" s="50">
        <v>0</v>
      </c>
      <c r="F166" s="50">
        <f t="shared" si="2"/>
        <v>372.44473344000005</v>
      </c>
      <c r="G166" s="101" t="str">
        <f t="shared" si="1"/>
        <v>Ground Floor For Commercial &amp; Parking</v>
      </c>
      <c r="H166" s="102"/>
      <c r="I166" s="40"/>
      <c r="L166" s="107"/>
      <c r="M166" s="107"/>
      <c r="N166" s="40"/>
    </row>
    <row r="167" spans="1:14" s="56" customFormat="1" x14ac:dyDescent="0.25">
      <c r="A167" s="101">
        <v>19</v>
      </c>
      <c r="B167" s="102"/>
      <c r="C167" s="50" t="s">
        <v>188</v>
      </c>
      <c r="D167" s="51">
        <f>(3.37*3.1+2.07*5.62)*10.764</f>
        <v>237.6734256</v>
      </c>
      <c r="E167" s="50">
        <v>0</v>
      </c>
      <c r="F167" s="50">
        <f>(D167+E167)*(($F$158)+1)</f>
        <v>380.27748096000005</v>
      </c>
      <c r="G167" s="101" t="str">
        <f t="shared" si="1"/>
        <v>Ground Floor For Commercial &amp; Parking</v>
      </c>
      <c r="H167" s="102"/>
      <c r="I167" s="40"/>
      <c r="L167" s="107"/>
      <c r="M167" s="107"/>
      <c r="N167" s="40"/>
    </row>
    <row r="168" spans="1:14" s="56" customFormat="1" x14ac:dyDescent="0.25">
      <c r="A168" s="101">
        <v>20</v>
      </c>
      <c r="B168" s="102"/>
      <c r="C168" s="50" t="s">
        <v>188</v>
      </c>
      <c r="D168" s="51">
        <f>(2.66*8.72+1.3*4.54+1.2*1.1)*10.764</f>
        <v>327.41074080000004</v>
      </c>
      <c r="E168" s="50">
        <v>0</v>
      </c>
      <c r="F168" s="50">
        <f t="shared" ref="F168:F170" si="3">(D168+E168)*(($F$158)+1)</f>
        <v>523.85718528000007</v>
      </c>
      <c r="G168" s="101" t="str">
        <f t="shared" si="1"/>
        <v>Ground Floor For Commercial &amp; Parking</v>
      </c>
      <c r="H168" s="102"/>
      <c r="I168" s="40"/>
      <c r="L168" s="107"/>
      <c r="M168" s="107"/>
      <c r="N168" s="40"/>
    </row>
    <row r="169" spans="1:14" s="56" customFormat="1" x14ac:dyDescent="0.25">
      <c r="A169" s="101">
        <v>21</v>
      </c>
      <c r="B169" s="102"/>
      <c r="C169" s="50" t="s">
        <v>188</v>
      </c>
      <c r="D169" s="51">
        <f>(2.66*8.72+1.3*4.54+1.2*1.1)*10.764</f>
        <v>327.41074080000004</v>
      </c>
      <c r="E169" s="50">
        <v>0</v>
      </c>
      <c r="F169" s="50">
        <f t="shared" si="3"/>
        <v>523.85718528000007</v>
      </c>
      <c r="G169" s="101" t="str">
        <f t="shared" si="1"/>
        <v>Ground Floor For Commercial &amp; Parking</v>
      </c>
      <c r="H169" s="102"/>
      <c r="I169" s="40"/>
      <c r="L169" s="107"/>
      <c r="M169" s="107"/>
      <c r="N169" s="40"/>
    </row>
    <row r="170" spans="1:14" s="56" customFormat="1" x14ac:dyDescent="0.25">
      <c r="A170" s="101">
        <v>22</v>
      </c>
      <c r="B170" s="102"/>
      <c r="C170" s="50" t="s">
        <v>188</v>
      </c>
      <c r="D170" s="51">
        <f>(3.38*3.1+2.08*5.62)*10.764</f>
        <v>238.6120464</v>
      </c>
      <c r="E170" s="50">
        <v>0</v>
      </c>
      <c r="F170" s="50">
        <f t="shared" si="3"/>
        <v>381.77927424000001</v>
      </c>
      <c r="G170" s="101" t="str">
        <f t="shared" si="1"/>
        <v>Ground Floor For Commercial &amp; Parking</v>
      </c>
      <c r="H170" s="102"/>
      <c r="I170" s="40"/>
      <c r="L170" s="107"/>
      <c r="M170" s="107"/>
      <c r="N170" s="40"/>
    </row>
    <row r="171" spans="1:14" s="56" customFormat="1" x14ac:dyDescent="0.25">
      <c r="A171" s="101">
        <v>23</v>
      </c>
      <c r="B171" s="102"/>
      <c r="C171" s="50" t="s">
        <v>188</v>
      </c>
      <c r="D171" s="51">
        <f>(2.46*8.72)*10.764</f>
        <v>230.9007168</v>
      </c>
      <c r="E171" s="50">
        <v>0</v>
      </c>
      <c r="F171" s="50">
        <f t="shared" ref="F171" si="4">(D171+E171)*(($F$158)+1)</f>
        <v>369.44114688000002</v>
      </c>
      <c r="G171" s="101" t="str">
        <f t="shared" si="1"/>
        <v>Ground Floor For Commercial &amp; Parking</v>
      </c>
      <c r="H171" s="102"/>
      <c r="I171" s="40"/>
      <c r="L171" s="107"/>
      <c r="M171" s="107"/>
      <c r="N171" s="40"/>
    </row>
    <row r="172" spans="1:14" s="56" customFormat="1" ht="15" customHeight="1" x14ac:dyDescent="0.25">
      <c r="A172" s="108" t="s">
        <v>202</v>
      </c>
      <c r="B172" s="109"/>
      <c r="C172" s="109"/>
      <c r="D172" s="109"/>
      <c r="E172" s="109"/>
      <c r="F172" s="109"/>
      <c r="G172" s="109"/>
      <c r="H172" s="110"/>
      <c r="J172" s="48">
        <v>10.763999999999999</v>
      </c>
    </row>
    <row r="173" spans="1:14" s="56" customFormat="1" x14ac:dyDescent="0.25">
      <c r="A173" s="101">
        <v>14</v>
      </c>
      <c r="B173" s="102"/>
      <c r="C173" s="50" t="s">
        <v>188</v>
      </c>
      <c r="D173" s="51">
        <f>(2.87*4.18)*10.764</f>
        <v>129.13140239999998</v>
      </c>
      <c r="E173" s="50">
        <v>0</v>
      </c>
      <c r="F173" s="50">
        <f t="shared" ref="F173" si="5">(D173+E173)*(($F$158)+1)</f>
        <v>206.61024383999998</v>
      </c>
      <c r="G173" s="101" t="str">
        <f>A172</f>
        <v>1st Floor For Mezzanine &amp; Parking</v>
      </c>
      <c r="H173" s="102"/>
      <c r="I173" s="40"/>
      <c r="L173" s="107"/>
      <c r="M173" s="107"/>
      <c r="N173" s="40"/>
    </row>
    <row r="174" spans="1:14" s="56" customFormat="1" x14ac:dyDescent="0.25">
      <c r="A174" s="101">
        <v>15</v>
      </c>
      <c r="B174" s="102"/>
      <c r="C174" s="50" t="s">
        <v>188</v>
      </c>
      <c r="D174" s="51">
        <f>(3.24*4.18)*10.764</f>
        <v>145.7790048</v>
      </c>
      <c r="E174" s="50">
        <v>0</v>
      </c>
      <c r="F174" s="50">
        <f>(D174+E174)*(($F$158)+1)</f>
        <v>233.24640768</v>
      </c>
      <c r="G174" s="101" t="str">
        <f>G173</f>
        <v>1st Floor For Mezzanine &amp; Parking</v>
      </c>
      <c r="H174" s="102"/>
      <c r="I174" s="40"/>
      <c r="L174" s="107"/>
      <c r="M174" s="107"/>
      <c r="N174" s="40"/>
    </row>
    <row r="175" spans="1:14" s="56" customFormat="1" x14ac:dyDescent="0.25">
      <c r="A175" s="101">
        <v>16</v>
      </c>
      <c r="B175" s="102"/>
      <c r="C175" s="50" t="s">
        <v>188</v>
      </c>
      <c r="D175" s="51">
        <f>(3.24*4.18)*10.764</f>
        <v>145.7790048</v>
      </c>
      <c r="E175" s="50">
        <v>0</v>
      </c>
      <c r="F175" s="50">
        <f t="shared" ref="F175:F177" si="6">(D175+E175)*(($F$158)+1)</f>
        <v>233.24640768</v>
      </c>
      <c r="G175" s="101" t="str">
        <f t="shared" ref="G175:G182" si="7">G174</f>
        <v>1st Floor For Mezzanine &amp; Parking</v>
      </c>
      <c r="H175" s="102"/>
      <c r="I175" s="40"/>
      <c r="L175" s="107"/>
      <c r="M175" s="107"/>
      <c r="N175" s="40"/>
    </row>
    <row r="176" spans="1:14" s="56" customFormat="1" x14ac:dyDescent="0.25">
      <c r="A176" s="101">
        <v>17</v>
      </c>
      <c r="B176" s="102"/>
      <c r="C176" s="50" t="s">
        <v>188</v>
      </c>
      <c r="D176" s="51">
        <f>(3.32*4.18)*10.764</f>
        <v>149.37848639999999</v>
      </c>
      <c r="E176" s="50">
        <v>0</v>
      </c>
      <c r="F176" s="50">
        <f t="shared" si="6"/>
        <v>239.00557823999998</v>
      </c>
      <c r="G176" s="101" t="str">
        <f t="shared" si="7"/>
        <v>1st Floor For Mezzanine &amp; Parking</v>
      </c>
      <c r="H176" s="102"/>
      <c r="I176" s="40"/>
      <c r="L176" s="107"/>
      <c r="M176" s="107"/>
      <c r="N176" s="40"/>
    </row>
    <row r="177" spans="1:14" s="56" customFormat="1" x14ac:dyDescent="0.25">
      <c r="A177" s="101">
        <v>18</v>
      </c>
      <c r="B177" s="102"/>
      <c r="C177" s="50" t="s">
        <v>188</v>
      </c>
      <c r="D177" s="51">
        <f>(2.48*4.18)*10.764</f>
        <v>111.58392959999998</v>
      </c>
      <c r="E177" s="50">
        <v>0</v>
      </c>
      <c r="F177" s="50">
        <f t="shared" si="6"/>
        <v>178.53428735999998</v>
      </c>
      <c r="G177" s="101" t="str">
        <f t="shared" si="7"/>
        <v>1st Floor For Mezzanine &amp; Parking</v>
      </c>
      <c r="H177" s="102"/>
      <c r="I177" s="40"/>
      <c r="L177" s="107"/>
      <c r="M177" s="107"/>
      <c r="N177" s="40"/>
    </row>
    <row r="178" spans="1:14" s="56" customFormat="1" x14ac:dyDescent="0.25">
      <c r="A178" s="101">
        <v>19</v>
      </c>
      <c r="B178" s="102"/>
      <c r="C178" s="50" t="s">
        <v>188</v>
      </c>
      <c r="D178" s="51">
        <f>(2.07*4.18)*10.764</f>
        <v>93.136586399999985</v>
      </c>
      <c r="E178" s="50">
        <v>0</v>
      </c>
      <c r="F178" s="50">
        <f>(D178+E178)*(($F$158)+1)</f>
        <v>149.01853823999997</v>
      </c>
      <c r="G178" s="101" t="str">
        <f>G177</f>
        <v>1st Floor For Mezzanine &amp; Parking</v>
      </c>
      <c r="H178" s="102"/>
      <c r="I178" s="40"/>
      <c r="L178" s="107"/>
      <c r="M178" s="107"/>
      <c r="N178" s="40"/>
    </row>
    <row r="179" spans="1:14" s="56" customFormat="1" x14ac:dyDescent="0.25">
      <c r="A179" s="101">
        <v>20</v>
      </c>
      <c r="B179" s="102"/>
      <c r="C179" s="50" t="s">
        <v>188</v>
      </c>
      <c r="D179" s="51">
        <f>(2.66*4.18+1.3*4.18)*10.764</f>
        <v>178.17433919999999</v>
      </c>
      <c r="E179" s="50">
        <v>0</v>
      </c>
      <c r="F179" s="50">
        <f t="shared" ref="F179:F182" si="8">(D179+E179)*(($F$158)+1)</f>
        <v>285.07894271999999</v>
      </c>
      <c r="G179" s="101" t="str">
        <f t="shared" si="7"/>
        <v>1st Floor For Mezzanine &amp; Parking</v>
      </c>
      <c r="H179" s="102"/>
      <c r="I179" s="40"/>
      <c r="L179" s="107"/>
      <c r="M179" s="107"/>
      <c r="N179" s="40"/>
    </row>
    <row r="180" spans="1:14" s="56" customFormat="1" x14ac:dyDescent="0.25">
      <c r="A180" s="101">
        <v>21</v>
      </c>
      <c r="B180" s="102"/>
      <c r="C180" s="50" t="s">
        <v>188</v>
      </c>
      <c r="D180" s="51">
        <f>(2.66*4.18+1.3*4.18)*10.764</f>
        <v>178.17433919999999</v>
      </c>
      <c r="E180" s="50">
        <v>0</v>
      </c>
      <c r="F180" s="50">
        <f t="shared" si="8"/>
        <v>285.07894271999999</v>
      </c>
      <c r="G180" s="101" t="str">
        <f t="shared" si="7"/>
        <v>1st Floor For Mezzanine &amp; Parking</v>
      </c>
      <c r="H180" s="102"/>
      <c r="I180" s="40"/>
      <c r="L180" s="107"/>
      <c r="M180" s="107"/>
      <c r="N180" s="40"/>
    </row>
    <row r="181" spans="1:14" s="56" customFormat="1" x14ac:dyDescent="0.25">
      <c r="A181" s="101">
        <v>22</v>
      </c>
      <c r="B181" s="102"/>
      <c r="C181" s="50" t="s">
        <v>188</v>
      </c>
      <c r="D181" s="51">
        <f>(2.08*4.18)*10.764</f>
        <v>93.586521599999998</v>
      </c>
      <c r="E181" s="50">
        <v>0</v>
      </c>
      <c r="F181" s="50">
        <f t="shared" si="8"/>
        <v>149.73843456</v>
      </c>
      <c r="G181" s="101" t="str">
        <f t="shared" si="7"/>
        <v>1st Floor For Mezzanine &amp; Parking</v>
      </c>
      <c r="H181" s="102"/>
      <c r="I181" s="40"/>
      <c r="L181" s="107"/>
      <c r="M181" s="107"/>
      <c r="N181" s="40"/>
    </row>
    <row r="182" spans="1:14" s="56" customFormat="1" x14ac:dyDescent="0.25">
      <c r="A182" s="101">
        <v>23</v>
      </c>
      <c r="B182" s="102"/>
      <c r="C182" s="50" t="s">
        <v>188</v>
      </c>
      <c r="D182" s="51">
        <f>(2.46*4.18)*10.764</f>
        <v>110.68405919999999</v>
      </c>
      <c r="E182" s="50">
        <v>0</v>
      </c>
      <c r="F182" s="50">
        <f t="shared" si="8"/>
        <v>177.09449472</v>
      </c>
      <c r="G182" s="101" t="str">
        <f t="shared" si="7"/>
        <v>1st Floor For Mezzanine &amp; Parking</v>
      </c>
      <c r="H182" s="102"/>
      <c r="I182" s="40"/>
      <c r="L182" s="107"/>
      <c r="M182" s="107"/>
      <c r="N182" s="40"/>
    </row>
    <row r="183" spans="1:14" s="56" customFormat="1" ht="15" customHeight="1" x14ac:dyDescent="0.25">
      <c r="A183" s="108" t="s">
        <v>228</v>
      </c>
      <c r="B183" s="109"/>
      <c r="C183" s="109"/>
      <c r="D183" s="109"/>
      <c r="E183" s="109"/>
      <c r="F183" s="109"/>
      <c r="G183" s="109"/>
      <c r="H183" s="110"/>
      <c r="J183" s="48">
        <v>10.763999999999999</v>
      </c>
    </row>
    <row r="184" spans="1:14" s="56" customFormat="1" x14ac:dyDescent="0.25">
      <c r="A184" s="101">
        <v>11</v>
      </c>
      <c r="B184" s="102"/>
      <c r="C184" s="50" t="s">
        <v>188</v>
      </c>
      <c r="D184" s="51">
        <f>(2.87*8.42)*10.764</f>
        <v>260.11636559999999</v>
      </c>
      <c r="E184" s="50">
        <v>0</v>
      </c>
      <c r="F184" s="50">
        <f t="shared" ref="F184" si="9">(D184+E184)*(($F$158)+1)</f>
        <v>416.18618495999999</v>
      </c>
      <c r="G184" s="101" t="str">
        <f>A183</f>
        <v>2nd Floor (1st Floor) For Commercial &amp; Parking</v>
      </c>
      <c r="H184" s="102"/>
      <c r="I184" s="40"/>
      <c r="L184" s="107"/>
      <c r="M184" s="107"/>
      <c r="N184" s="40"/>
    </row>
    <row r="185" spans="1:14" s="56" customFormat="1" x14ac:dyDescent="0.25">
      <c r="A185" s="101">
        <v>12</v>
      </c>
      <c r="B185" s="102"/>
      <c r="C185" s="50" t="s">
        <v>188</v>
      </c>
      <c r="D185" s="51">
        <f>(3.24*8.42)*10.764</f>
        <v>293.65053119999999</v>
      </c>
      <c r="E185" s="50">
        <v>0</v>
      </c>
      <c r="F185" s="50">
        <f t="shared" ref="F185:F186" si="10">(D185+E185)*(($F$158)+1)</f>
        <v>469.84084991999998</v>
      </c>
      <c r="G185" s="101" t="str">
        <f t="shared" ref="G185:G193" si="11">G184</f>
        <v>2nd Floor (1st Floor) For Commercial &amp; Parking</v>
      </c>
      <c r="H185" s="102"/>
      <c r="I185" s="40"/>
      <c r="L185" s="107"/>
      <c r="M185" s="107"/>
      <c r="N185" s="40"/>
    </row>
    <row r="186" spans="1:14" s="56" customFormat="1" x14ac:dyDescent="0.25">
      <c r="A186" s="101">
        <v>13</v>
      </c>
      <c r="B186" s="102"/>
      <c r="C186" s="50" t="s">
        <v>188</v>
      </c>
      <c r="D186" s="51">
        <f>(3.24*8.42)*10.764</f>
        <v>293.65053119999999</v>
      </c>
      <c r="E186" s="50">
        <v>0</v>
      </c>
      <c r="F186" s="50">
        <f t="shared" si="10"/>
        <v>469.84084991999998</v>
      </c>
      <c r="G186" s="101" t="str">
        <f t="shared" si="11"/>
        <v>2nd Floor (1st Floor) For Commercial &amp; Parking</v>
      </c>
      <c r="H186" s="102"/>
      <c r="I186" s="40"/>
      <c r="L186" s="107"/>
      <c r="M186" s="107"/>
      <c r="N186" s="40"/>
    </row>
    <row r="187" spans="1:14" s="56" customFormat="1" x14ac:dyDescent="0.25">
      <c r="A187" s="101">
        <v>14</v>
      </c>
      <c r="B187" s="102"/>
      <c r="C187" s="50" t="s">
        <v>188</v>
      </c>
      <c r="D187" s="51">
        <f>(3.32*8.42)*10.764</f>
        <v>300.90116159999997</v>
      </c>
      <c r="E187" s="50">
        <v>0</v>
      </c>
      <c r="F187" s="50">
        <f>(D187+E187)*(($F$158)+1)</f>
        <v>481.44185855999996</v>
      </c>
      <c r="G187" s="101" t="str">
        <f>G186</f>
        <v>2nd Floor (1st Floor) For Commercial &amp; Parking</v>
      </c>
      <c r="H187" s="102"/>
      <c r="I187" s="40"/>
      <c r="L187" s="107"/>
      <c r="M187" s="107"/>
      <c r="N187" s="40"/>
    </row>
    <row r="188" spans="1:14" s="56" customFormat="1" x14ac:dyDescent="0.25">
      <c r="A188" s="101">
        <v>15</v>
      </c>
      <c r="B188" s="102"/>
      <c r="C188" s="50" t="s">
        <v>188</v>
      </c>
      <c r="D188" s="51">
        <f>(2.48*8.42)*10.764</f>
        <v>224.76954239999998</v>
      </c>
      <c r="E188" s="50">
        <v>0</v>
      </c>
      <c r="F188" s="50">
        <f t="shared" ref="F188:F190" si="12">(D188+E188)*(($F$158)+1)</f>
        <v>359.63126783999996</v>
      </c>
      <c r="G188" s="101" t="str">
        <f t="shared" si="11"/>
        <v>2nd Floor (1st Floor) For Commercial &amp; Parking</v>
      </c>
      <c r="H188" s="102"/>
      <c r="I188" s="40"/>
      <c r="L188" s="107"/>
      <c r="M188" s="107"/>
      <c r="N188" s="40"/>
    </row>
    <row r="189" spans="1:14" s="56" customFormat="1" x14ac:dyDescent="0.25">
      <c r="A189" s="101">
        <v>16</v>
      </c>
      <c r="B189" s="102"/>
      <c r="C189" s="50" t="s">
        <v>188</v>
      </c>
      <c r="D189" s="51">
        <f>(3.37*3.1+2.07*3.12+2.33*2.2)*10.764</f>
        <v>237.14598960000001</v>
      </c>
      <c r="E189" s="50">
        <v>0</v>
      </c>
      <c r="F189" s="50">
        <f t="shared" si="12"/>
        <v>379.43358336000006</v>
      </c>
      <c r="G189" s="101" t="str">
        <f t="shared" si="11"/>
        <v>2nd Floor (1st Floor) For Commercial &amp; Parking</v>
      </c>
      <c r="H189" s="102"/>
      <c r="I189" s="40"/>
      <c r="L189" s="107"/>
      <c r="M189" s="107"/>
      <c r="N189" s="40"/>
    </row>
    <row r="190" spans="1:14" s="56" customFormat="1" x14ac:dyDescent="0.25">
      <c r="A190" s="101">
        <v>17</v>
      </c>
      <c r="B190" s="102"/>
      <c r="C190" s="50" t="s">
        <v>188</v>
      </c>
      <c r="D190" s="51">
        <f>(2.66*8.42+1.3*5.17)*10.764</f>
        <v>313.42830479999998</v>
      </c>
      <c r="E190" s="50">
        <v>0</v>
      </c>
      <c r="F190" s="50">
        <f t="shared" si="12"/>
        <v>501.48528768</v>
      </c>
      <c r="G190" s="101" t="str">
        <f t="shared" si="11"/>
        <v>2nd Floor (1st Floor) For Commercial &amp; Parking</v>
      </c>
      <c r="H190" s="102"/>
      <c r="I190" s="40"/>
      <c r="L190" s="107"/>
      <c r="M190" s="107"/>
      <c r="N190" s="40"/>
    </row>
    <row r="191" spans="1:14" s="56" customFormat="1" x14ac:dyDescent="0.25">
      <c r="A191" s="101">
        <v>18</v>
      </c>
      <c r="B191" s="102"/>
      <c r="C191" s="50" t="s">
        <v>188</v>
      </c>
      <c r="D191" s="51">
        <f>(2.66*8.42+1.3*5.17)*10.764</f>
        <v>313.42830479999998</v>
      </c>
      <c r="E191" s="50">
        <v>0</v>
      </c>
      <c r="F191" s="50">
        <f>(D191+E191)*(($F$158)+1)</f>
        <v>501.48528768</v>
      </c>
      <c r="G191" s="101" t="str">
        <f>G190</f>
        <v>2nd Floor (1st Floor) For Commercial &amp; Parking</v>
      </c>
      <c r="H191" s="102"/>
      <c r="I191" s="40"/>
      <c r="L191" s="107"/>
      <c r="M191" s="107"/>
      <c r="N191" s="40"/>
    </row>
    <row r="192" spans="1:14" s="56" customFormat="1" x14ac:dyDescent="0.25">
      <c r="A192" s="101">
        <v>19</v>
      </c>
      <c r="B192" s="102"/>
      <c r="C192" s="50" t="s">
        <v>188</v>
      </c>
      <c r="D192" s="51">
        <f>(3.37*3.1+2.07*3.12+2.33*2.2)*10.764</f>
        <v>237.14598960000001</v>
      </c>
      <c r="E192" s="50">
        <v>0</v>
      </c>
      <c r="F192" s="50">
        <f t="shared" ref="F192" si="13">(D192+E192)*(($F$158)+1)</f>
        <v>379.43358336000006</v>
      </c>
      <c r="G192" s="101" t="str">
        <f t="shared" si="11"/>
        <v>2nd Floor (1st Floor) For Commercial &amp; Parking</v>
      </c>
      <c r="H192" s="102"/>
      <c r="I192" s="40"/>
      <c r="L192" s="107"/>
      <c r="M192" s="107"/>
      <c r="N192" s="40"/>
    </row>
    <row r="193" spans="1:14" s="56" customFormat="1" x14ac:dyDescent="0.25">
      <c r="A193" s="101">
        <v>20</v>
      </c>
      <c r="B193" s="102"/>
      <c r="C193" s="50" t="s">
        <v>188</v>
      </c>
      <c r="D193" s="51">
        <f>(2.46*8.42)*10.764</f>
        <v>222.95688479999998</v>
      </c>
      <c r="E193" s="50">
        <v>0</v>
      </c>
      <c r="F193" s="50">
        <f t="shared" ref="F193" si="14">(D193+E193)*(($F$158)+1)</f>
        <v>356.73101567999998</v>
      </c>
      <c r="G193" s="101" t="str">
        <f t="shared" si="11"/>
        <v>2nd Floor (1st Floor) For Commercial &amp; Parking</v>
      </c>
      <c r="H193" s="102"/>
      <c r="I193" s="40"/>
      <c r="L193" s="107"/>
      <c r="M193" s="107"/>
      <c r="N193" s="40"/>
    </row>
    <row r="194" spans="1:14" s="56" customFormat="1" ht="15" customHeight="1" x14ac:dyDescent="0.25">
      <c r="A194" s="108" t="s">
        <v>229</v>
      </c>
      <c r="B194" s="109"/>
      <c r="C194" s="109"/>
      <c r="D194" s="109"/>
      <c r="E194" s="109"/>
      <c r="F194" s="109"/>
      <c r="G194" s="109"/>
      <c r="H194" s="110"/>
      <c r="J194" s="48">
        <v>10.763999999999999</v>
      </c>
    </row>
    <row r="195" spans="1:14" s="56" customFormat="1" x14ac:dyDescent="0.25">
      <c r="A195" s="101">
        <v>11</v>
      </c>
      <c r="B195" s="102"/>
      <c r="C195" s="50" t="s">
        <v>192</v>
      </c>
      <c r="D195" s="51">
        <f>(2.87*8.42)*10.764</f>
        <v>260.11636559999999</v>
      </c>
      <c r="E195" s="50">
        <v>0</v>
      </c>
      <c r="F195" s="50">
        <f t="shared" ref="F195:F197" si="15">(D195+E195)*(($F$158)+1)</f>
        <v>416.18618495999999</v>
      </c>
      <c r="G195" s="101" t="str">
        <f>A194</f>
        <v>3rd &amp; 4th (2nd &amp; 3rd) Floor For Commercial &amp; Parking</v>
      </c>
      <c r="H195" s="102"/>
      <c r="I195" s="40"/>
      <c r="L195" s="107"/>
      <c r="M195" s="107"/>
      <c r="N195" s="40"/>
    </row>
    <row r="196" spans="1:14" s="56" customFormat="1" x14ac:dyDescent="0.25">
      <c r="A196" s="101">
        <v>12</v>
      </c>
      <c r="B196" s="102"/>
      <c r="C196" s="50" t="s">
        <v>192</v>
      </c>
      <c r="D196" s="51">
        <f>(3.24*8.42)*10.764</f>
        <v>293.65053119999999</v>
      </c>
      <c r="E196" s="50">
        <v>0</v>
      </c>
      <c r="F196" s="50">
        <f t="shared" si="15"/>
        <v>469.84084991999998</v>
      </c>
      <c r="G196" s="101" t="str">
        <f t="shared" ref="G196:G204" si="16">G195</f>
        <v>3rd &amp; 4th (2nd &amp; 3rd) Floor For Commercial &amp; Parking</v>
      </c>
      <c r="H196" s="102"/>
      <c r="I196" s="40"/>
      <c r="L196" s="107"/>
      <c r="M196" s="107"/>
      <c r="N196" s="40"/>
    </row>
    <row r="197" spans="1:14" s="56" customFormat="1" x14ac:dyDescent="0.25">
      <c r="A197" s="101">
        <v>13</v>
      </c>
      <c r="B197" s="102"/>
      <c r="C197" s="50" t="s">
        <v>192</v>
      </c>
      <c r="D197" s="51">
        <f>(3.24*8.42)*10.764</f>
        <v>293.65053119999999</v>
      </c>
      <c r="E197" s="50">
        <v>0</v>
      </c>
      <c r="F197" s="50">
        <f t="shared" si="15"/>
        <v>469.84084991999998</v>
      </c>
      <c r="G197" s="101" t="str">
        <f t="shared" si="16"/>
        <v>3rd &amp; 4th (2nd &amp; 3rd) Floor For Commercial &amp; Parking</v>
      </c>
      <c r="H197" s="102"/>
      <c r="I197" s="40"/>
      <c r="L197" s="107"/>
      <c r="M197" s="107"/>
      <c r="N197" s="40"/>
    </row>
    <row r="198" spans="1:14" s="56" customFormat="1" x14ac:dyDescent="0.25">
      <c r="A198" s="101">
        <v>14</v>
      </c>
      <c r="B198" s="102"/>
      <c r="C198" s="50" t="s">
        <v>192</v>
      </c>
      <c r="D198" s="51">
        <f>(3.32*8.42)*10.764</f>
        <v>300.90116159999997</v>
      </c>
      <c r="E198" s="50">
        <v>0</v>
      </c>
      <c r="F198" s="50">
        <f>(D198+E198)*(($F$158)+1)</f>
        <v>481.44185855999996</v>
      </c>
      <c r="G198" s="101" t="str">
        <f>G197</f>
        <v>3rd &amp; 4th (2nd &amp; 3rd) Floor For Commercial &amp; Parking</v>
      </c>
      <c r="H198" s="102"/>
      <c r="I198" s="40"/>
      <c r="L198" s="107"/>
      <c r="M198" s="107"/>
      <c r="N198" s="40"/>
    </row>
    <row r="199" spans="1:14" s="56" customFormat="1" x14ac:dyDescent="0.25">
      <c r="A199" s="101">
        <v>15</v>
      </c>
      <c r="B199" s="102"/>
      <c r="C199" s="50" t="s">
        <v>192</v>
      </c>
      <c r="D199" s="51">
        <f>(2.48*8.42)*10.764</f>
        <v>224.76954239999998</v>
      </c>
      <c r="E199" s="50">
        <v>0</v>
      </c>
      <c r="F199" s="50">
        <f t="shared" ref="F199:F201" si="17">(D199+E199)*(($F$158)+1)</f>
        <v>359.63126783999996</v>
      </c>
      <c r="G199" s="101" t="str">
        <f t="shared" si="16"/>
        <v>3rd &amp; 4th (2nd &amp; 3rd) Floor For Commercial &amp; Parking</v>
      </c>
      <c r="H199" s="102"/>
      <c r="I199" s="40"/>
      <c r="L199" s="107"/>
      <c r="M199" s="107"/>
      <c r="N199" s="40"/>
    </row>
    <row r="200" spans="1:14" s="56" customFormat="1" x14ac:dyDescent="0.25">
      <c r="A200" s="101">
        <v>16</v>
      </c>
      <c r="B200" s="102"/>
      <c r="C200" s="50" t="s">
        <v>192</v>
      </c>
      <c r="D200" s="51">
        <f>(3.37*3.1+2.07*3.12+2.33*2.2)*10.764</f>
        <v>237.14598960000001</v>
      </c>
      <c r="E200" s="50">
        <v>0</v>
      </c>
      <c r="F200" s="50">
        <f t="shared" si="17"/>
        <v>379.43358336000006</v>
      </c>
      <c r="G200" s="101" t="str">
        <f t="shared" si="16"/>
        <v>3rd &amp; 4th (2nd &amp; 3rd) Floor For Commercial &amp; Parking</v>
      </c>
      <c r="H200" s="102"/>
      <c r="I200" s="40"/>
      <c r="L200" s="107"/>
      <c r="M200" s="107"/>
      <c r="N200" s="40"/>
    </row>
    <row r="201" spans="1:14" s="56" customFormat="1" x14ac:dyDescent="0.25">
      <c r="A201" s="101">
        <v>17</v>
      </c>
      <c r="B201" s="102"/>
      <c r="C201" s="50" t="s">
        <v>192</v>
      </c>
      <c r="D201" s="51">
        <f>(2.66*8.42+1.3*5.17)*10.764</f>
        <v>313.42830479999998</v>
      </c>
      <c r="E201" s="50">
        <v>0</v>
      </c>
      <c r="F201" s="50">
        <f t="shared" si="17"/>
        <v>501.48528768</v>
      </c>
      <c r="G201" s="101" t="str">
        <f t="shared" si="16"/>
        <v>3rd &amp; 4th (2nd &amp; 3rd) Floor For Commercial &amp; Parking</v>
      </c>
      <c r="H201" s="102"/>
      <c r="I201" s="40"/>
      <c r="L201" s="107"/>
      <c r="M201" s="107"/>
      <c r="N201" s="40"/>
    </row>
    <row r="202" spans="1:14" s="56" customFormat="1" x14ac:dyDescent="0.25">
      <c r="A202" s="101">
        <v>18</v>
      </c>
      <c r="B202" s="102"/>
      <c r="C202" s="50" t="s">
        <v>192</v>
      </c>
      <c r="D202" s="51">
        <f>(2.66*8.42+1.3*5.17)*10.764</f>
        <v>313.42830479999998</v>
      </c>
      <c r="E202" s="50">
        <v>0</v>
      </c>
      <c r="F202" s="50">
        <f>(D202+E202)*(($F$158)+1)</f>
        <v>501.48528768</v>
      </c>
      <c r="G202" s="101" t="str">
        <f>G201</f>
        <v>3rd &amp; 4th (2nd &amp; 3rd) Floor For Commercial &amp; Parking</v>
      </c>
      <c r="H202" s="102"/>
      <c r="I202" s="40"/>
      <c r="L202" s="107"/>
      <c r="M202" s="107"/>
      <c r="N202" s="40"/>
    </row>
    <row r="203" spans="1:14" s="56" customFormat="1" x14ac:dyDescent="0.25">
      <c r="A203" s="101">
        <v>19</v>
      </c>
      <c r="B203" s="102"/>
      <c r="C203" s="50" t="s">
        <v>192</v>
      </c>
      <c r="D203" s="51">
        <f>(3.37*3.1+2.07*3.12+2.33*2.2)*10.764</f>
        <v>237.14598960000001</v>
      </c>
      <c r="E203" s="50">
        <v>0</v>
      </c>
      <c r="F203" s="50">
        <f t="shared" ref="F203:F204" si="18">(D203+E203)*(($F$158)+1)</f>
        <v>379.43358336000006</v>
      </c>
      <c r="G203" s="101" t="str">
        <f t="shared" si="16"/>
        <v>3rd &amp; 4th (2nd &amp; 3rd) Floor For Commercial &amp; Parking</v>
      </c>
      <c r="H203" s="102"/>
      <c r="I203" s="40"/>
      <c r="L203" s="107"/>
      <c r="M203" s="107"/>
      <c r="N203" s="40"/>
    </row>
    <row r="204" spans="1:14" s="56" customFormat="1" x14ac:dyDescent="0.25">
      <c r="A204" s="101">
        <v>20</v>
      </c>
      <c r="B204" s="102"/>
      <c r="C204" s="50" t="s">
        <v>192</v>
      </c>
      <c r="D204" s="51">
        <f>(2.46*8.42)*10.764</f>
        <v>222.95688479999998</v>
      </c>
      <c r="E204" s="50">
        <v>0</v>
      </c>
      <c r="F204" s="50">
        <f t="shared" si="18"/>
        <v>356.73101567999998</v>
      </c>
      <c r="G204" s="101" t="str">
        <f t="shared" si="16"/>
        <v>3rd &amp; 4th (2nd &amp; 3rd) Floor For Commercial &amp; Parking</v>
      </c>
      <c r="H204" s="102"/>
      <c r="I204" s="40"/>
      <c r="L204" s="107"/>
      <c r="M204" s="107"/>
      <c r="N204" s="40"/>
    </row>
    <row r="205" spans="1:14" s="56" customFormat="1" x14ac:dyDescent="0.25">
      <c r="A205" s="108" t="s">
        <v>242</v>
      </c>
      <c r="B205" s="109"/>
      <c r="C205" s="109"/>
      <c r="D205" s="109"/>
      <c r="E205" s="109"/>
      <c r="F205" s="109"/>
      <c r="G205" s="109"/>
      <c r="H205" s="110"/>
      <c r="J205" s="40"/>
    </row>
    <row r="206" spans="1:14" s="56" customFormat="1" x14ac:dyDescent="0.25">
      <c r="A206" s="108" t="s">
        <v>187</v>
      </c>
      <c r="B206" s="109"/>
      <c r="C206" s="109"/>
      <c r="D206" s="109"/>
      <c r="E206" s="109"/>
      <c r="F206" s="109"/>
      <c r="G206" s="109"/>
      <c r="H206" s="110"/>
      <c r="J206" s="40"/>
    </row>
    <row r="207" spans="1:14" s="56" customFormat="1" x14ac:dyDescent="0.25">
      <c r="A207" s="108" t="s">
        <v>201</v>
      </c>
      <c r="B207" s="109"/>
      <c r="C207" s="109"/>
      <c r="D207" s="109"/>
      <c r="E207" s="109"/>
      <c r="F207" s="109"/>
      <c r="G207" s="109"/>
      <c r="H207" s="110"/>
      <c r="J207" s="48">
        <v>10.763999999999999</v>
      </c>
    </row>
    <row r="208" spans="1:14" s="56" customFormat="1" x14ac:dyDescent="0.25">
      <c r="A208" s="101">
        <v>5</v>
      </c>
      <c r="B208" s="102"/>
      <c r="C208" s="50" t="s">
        <v>188</v>
      </c>
      <c r="D208" s="51">
        <f>(3.15*8.72)*10.764</f>
        <v>295.66555199999999</v>
      </c>
      <c r="E208" s="50">
        <v>0</v>
      </c>
      <c r="F208" s="50">
        <f>(D208+E208)*(($F$158)+1)</f>
        <v>473.0648832</v>
      </c>
      <c r="G208" s="101" t="str">
        <f>A207</f>
        <v>Ground Floor For Commercial &amp; Parking</v>
      </c>
      <c r="H208" s="102"/>
      <c r="I208" s="40">
        <f>3.15*7.17+1.8*1.1+1.2*1.1</f>
        <v>25.8855</v>
      </c>
      <c r="L208" s="107"/>
      <c r="M208" s="107"/>
      <c r="N208" s="40"/>
    </row>
    <row r="209" spans="1:14" s="56" customFormat="1" x14ac:dyDescent="0.25">
      <c r="A209" s="101">
        <v>6</v>
      </c>
      <c r="B209" s="102"/>
      <c r="C209" s="50" t="s">
        <v>188</v>
      </c>
      <c r="D209" s="51">
        <f>(3.05*8.72)*10.764</f>
        <v>286.27934399999998</v>
      </c>
      <c r="E209" s="50">
        <v>0</v>
      </c>
      <c r="F209" s="50">
        <f t="shared" ref="F209" si="19">(D209+E209)*(($F$158)+1)</f>
        <v>458.04695040000001</v>
      </c>
      <c r="G209" s="101" t="str">
        <f t="shared" ref="G209:G216" si="20">G208</f>
        <v>Ground Floor For Commercial &amp; Parking</v>
      </c>
      <c r="H209" s="102"/>
      <c r="I209" s="40">
        <f>8.72*3.15</f>
        <v>27.468</v>
      </c>
      <c r="L209" s="107"/>
      <c r="M209" s="107"/>
      <c r="N209" s="40"/>
    </row>
    <row r="210" spans="1:14" s="56" customFormat="1" x14ac:dyDescent="0.25">
      <c r="A210" s="101">
        <v>7</v>
      </c>
      <c r="B210" s="102"/>
      <c r="C210" s="50" t="s">
        <v>188</v>
      </c>
      <c r="D210" s="51">
        <f>(2.95*8.72+1.8*2.2)*10.764</f>
        <v>319.51857600000005</v>
      </c>
      <c r="E210" s="50">
        <v>0</v>
      </c>
      <c r="F210" s="50">
        <f t="shared" ref="F210:F215" si="21">(D210+E210)*(($F$158)+1)</f>
        <v>511.22972160000012</v>
      </c>
      <c r="G210" s="101" t="str">
        <f>G208</f>
        <v>Ground Floor For Commercial &amp; Parking</v>
      </c>
      <c r="H210" s="102"/>
      <c r="I210" s="40"/>
      <c r="L210" s="107"/>
      <c r="M210" s="107"/>
      <c r="N210" s="40"/>
    </row>
    <row r="211" spans="1:14" s="56" customFormat="1" x14ac:dyDescent="0.25">
      <c r="A211" s="101">
        <v>8</v>
      </c>
      <c r="B211" s="102"/>
      <c r="C211" s="50" t="s">
        <v>188</v>
      </c>
      <c r="D211" s="51">
        <f>(2.95*4.37+1.15*1.35+1.4*1.5)*10.764</f>
        <v>178.07961599999999</v>
      </c>
      <c r="E211" s="50">
        <v>0</v>
      </c>
      <c r="F211" s="50">
        <f t="shared" si="21"/>
        <v>284.92738559999998</v>
      </c>
      <c r="G211" s="101" t="str">
        <f>G209</f>
        <v>Ground Floor For Commercial &amp; Parking</v>
      </c>
      <c r="H211" s="102"/>
      <c r="I211" s="40"/>
      <c r="L211" s="107"/>
      <c r="M211" s="107"/>
      <c r="N211" s="40"/>
    </row>
    <row r="212" spans="1:14" s="56" customFormat="1" x14ac:dyDescent="0.25">
      <c r="A212" s="101">
        <v>9</v>
      </c>
      <c r="B212" s="102"/>
      <c r="C212" s="50" t="s">
        <v>188</v>
      </c>
      <c r="D212" s="51">
        <f>(3.1*8.72+1.3*1+1.2*1.1)*10.764</f>
        <v>319.17412800000005</v>
      </c>
      <c r="E212" s="50">
        <v>0</v>
      </c>
      <c r="F212" s="50">
        <f t="shared" si="21"/>
        <v>510.67860480000013</v>
      </c>
      <c r="G212" s="101" t="str">
        <f t="shared" si="20"/>
        <v>Ground Floor For Commercial &amp; Parking</v>
      </c>
      <c r="H212" s="102"/>
      <c r="I212" s="40"/>
      <c r="L212" s="107"/>
      <c r="M212" s="107"/>
      <c r="N212" s="40"/>
    </row>
    <row r="213" spans="1:14" s="56" customFormat="1" x14ac:dyDescent="0.25">
      <c r="A213" s="101">
        <v>10</v>
      </c>
      <c r="B213" s="102"/>
      <c r="C213" s="50" t="s">
        <v>188</v>
      </c>
      <c r="D213" s="51">
        <f>(3.1*8.72+1.3*2.2)*10.764</f>
        <v>321.75748800000002</v>
      </c>
      <c r="E213" s="50">
        <v>0</v>
      </c>
      <c r="F213" s="50">
        <f t="shared" si="21"/>
        <v>514.81198080000001</v>
      </c>
      <c r="G213" s="101" t="str">
        <f>G211</f>
        <v>Ground Floor For Commercial &amp; Parking</v>
      </c>
      <c r="H213" s="102"/>
      <c r="I213" s="40"/>
      <c r="L213" s="107"/>
      <c r="M213" s="107"/>
      <c r="N213" s="40"/>
    </row>
    <row r="214" spans="1:14" s="56" customFormat="1" x14ac:dyDescent="0.25">
      <c r="A214" s="101">
        <v>11</v>
      </c>
      <c r="B214" s="102"/>
      <c r="C214" s="50" t="s">
        <v>188</v>
      </c>
      <c r="D214" s="51">
        <f>(3.02*4.22+1.52*1.65+1.1*1.5)*10.764</f>
        <v>181.93743359999996</v>
      </c>
      <c r="E214" s="50">
        <v>0</v>
      </c>
      <c r="F214" s="50">
        <f t="shared" si="21"/>
        <v>291.09989375999993</v>
      </c>
      <c r="G214" s="101" t="str">
        <f>G212</f>
        <v>Ground Floor For Commercial &amp; Parking</v>
      </c>
      <c r="H214" s="102"/>
      <c r="I214" s="40"/>
      <c r="L214" s="107"/>
      <c r="M214" s="107"/>
      <c r="N214" s="40"/>
    </row>
    <row r="215" spans="1:14" s="56" customFormat="1" x14ac:dyDescent="0.25">
      <c r="A215" s="101">
        <v>12</v>
      </c>
      <c r="B215" s="102"/>
      <c r="C215" s="50" t="s">
        <v>188</v>
      </c>
      <c r="D215" s="51">
        <f>(3.03*8.72+1.88*2.2)*10.764</f>
        <v>328.92200639999999</v>
      </c>
      <c r="E215" s="50">
        <v>0</v>
      </c>
      <c r="F215" s="50">
        <f t="shared" si="21"/>
        <v>526.27521023999998</v>
      </c>
      <c r="G215" s="101" t="str">
        <f t="shared" si="20"/>
        <v>Ground Floor For Commercial &amp; Parking</v>
      </c>
      <c r="H215" s="102"/>
      <c r="I215" s="40"/>
      <c r="L215" s="107"/>
      <c r="M215" s="107"/>
      <c r="N215" s="40"/>
    </row>
    <row r="216" spans="1:14" s="56" customFormat="1" x14ac:dyDescent="0.25">
      <c r="A216" s="101">
        <v>13</v>
      </c>
      <c r="B216" s="102"/>
      <c r="C216" s="50" t="s">
        <v>188</v>
      </c>
      <c r="D216" s="51">
        <f>(3.32*8.72)*10.764</f>
        <v>311.6221056</v>
      </c>
      <c r="E216" s="50">
        <v>0</v>
      </c>
      <c r="F216" s="50">
        <f t="shared" ref="F216" si="22">(D216+E216)*(($F$158)+1)</f>
        <v>498.59536896000003</v>
      </c>
      <c r="G216" s="101" t="str">
        <f t="shared" si="20"/>
        <v>Ground Floor For Commercial &amp; Parking</v>
      </c>
      <c r="H216" s="102"/>
      <c r="I216" s="40"/>
      <c r="L216" s="107"/>
      <c r="M216" s="107"/>
      <c r="N216" s="40"/>
    </row>
    <row r="217" spans="1:14" s="56" customFormat="1" ht="15" customHeight="1" x14ac:dyDescent="0.25">
      <c r="A217" s="108" t="s">
        <v>202</v>
      </c>
      <c r="B217" s="109"/>
      <c r="C217" s="109"/>
      <c r="D217" s="109"/>
      <c r="E217" s="109"/>
      <c r="F217" s="109"/>
      <c r="G217" s="109"/>
      <c r="H217" s="110"/>
      <c r="J217" s="48">
        <v>10.763999999999999</v>
      </c>
    </row>
    <row r="218" spans="1:14" s="56" customFormat="1" x14ac:dyDescent="0.25">
      <c r="A218" s="101">
        <v>5</v>
      </c>
      <c r="B218" s="102"/>
      <c r="C218" s="50" t="s">
        <v>188</v>
      </c>
      <c r="D218" s="51">
        <f>(3.15*4.18)*10.764</f>
        <v>141.72958799999998</v>
      </c>
      <c r="E218" s="50">
        <v>0</v>
      </c>
      <c r="F218" s="50">
        <f>(D218+E218)*(($F$158)+1)</f>
        <v>226.76734079999997</v>
      </c>
      <c r="G218" s="101" t="str">
        <f>A217</f>
        <v>1st Floor For Mezzanine &amp; Parking</v>
      </c>
      <c r="H218" s="102"/>
      <c r="I218" s="40">
        <f>3.15*7.17+1.8*1.1+1.2*1.1</f>
        <v>25.8855</v>
      </c>
      <c r="L218" s="107"/>
      <c r="M218" s="107"/>
      <c r="N218" s="40"/>
    </row>
    <row r="219" spans="1:14" s="56" customFormat="1" x14ac:dyDescent="0.25">
      <c r="A219" s="101">
        <v>6</v>
      </c>
      <c r="B219" s="102"/>
      <c r="C219" s="50" t="s">
        <v>188</v>
      </c>
      <c r="D219" s="51">
        <f>(3.05*4.18)*10.764</f>
        <v>137.23023599999999</v>
      </c>
      <c r="E219" s="50">
        <v>0</v>
      </c>
      <c r="F219" s="50">
        <f t="shared" ref="F219:F226" si="23">(D219+E219)*(($F$158)+1)</f>
        <v>219.56837759999999</v>
      </c>
      <c r="G219" s="101" t="str">
        <f t="shared" ref="G219:G226" si="24">G218</f>
        <v>1st Floor For Mezzanine &amp; Parking</v>
      </c>
      <c r="H219" s="102"/>
      <c r="I219" s="40">
        <f>8.72*3.15</f>
        <v>27.468</v>
      </c>
      <c r="L219" s="107"/>
      <c r="M219" s="107"/>
      <c r="N219" s="40"/>
    </row>
    <row r="220" spans="1:14" s="56" customFormat="1" x14ac:dyDescent="0.25">
      <c r="A220" s="101">
        <v>7</v>
      </c>
      <c r="B220" s="102"/>
      <c r="C220" s="50" t="s">
        <v>188</v>
      </c>
      <c r="D220" s="51">
        <f>(2.95*4.18+1.8*2.2)*10.764</f>
        <v>175.356324</v>
      </c>
      <c r="E220" s="50">
        <v>0</v>
      </c>
      <c r="F220" s="50">
        <f t="shared" si="23"/>
        <v>280.57011840000001</v>
      </c>
      <c r="G220" s="101" t="str">
        <f>G218</f>
        <v>1st Floor For Mezzanine &amp; Parking</v>
      </c>
      <c r="H220" s="102"/>
      <c r="I220" s="40"/>
      <c r="L220" s="107"/>
      <c r="M220" s="107"/>
      <c r="N220" s="40"/>
    </row>
    <row r="221" spans="1:14" s="56" customFormat="1" x14ac:dyDescent="0.25">
      <c r="A221" s="101">
        <v>8</v>
      </c>
      <c r="B221" s="102"/>
      <c r="C221" s="50" t="s">
        <v>188</v>
      </c>
      <c r="D221" s="51">
        <f>(2.95*3.8)*10.764</f>
        <v>120.66444</v>
      </c>
      <c r="E221" s="50">
        <v>0</v>
      </c>
      <c r="F221" s="50">
        <f>(D221+E221)*(($F$158)+1)</f>
        <v>193.06310400000001</v>
      </c>
      <c r="G221" s="101" t="str">
        <f>G219</f>
        <v>1st Floor For Mezzanine &amp; Parking</v>
      </c>
      <c r="H221" s="102"/>
      <c r="I221" s="40"/>
      <c r="L221" s="107"/>
      <c r="M221" s="107"/>
      <c r="N221" s="40"/>
    </row>
    <row r="222" spans="1:14" s="56" customFormat="1" x14ac:dyDescent="0.25">
      <c r="A222" s="101">
        <v>9</v>
      </c>
      <c r="B222" s="102"/>
      <c r="C222" s="50" t="s">
        <v>188</v>
      </c>
      <c r="D222" s="51">
        <f>(3.1*4.18+1.3*2.2)*10.764</f>
        <v>170.26495199999999</v>
      </c>
      <c r="E222" s="50">
        <v>0</v>
      </c>
      <c r="F222" s="50">
        <f t="shared" si="23"/>
        <v>272.42392319999999</v>
      </c>
      <c r="G222" s="101" t="str">
        <f t="shared" si="24"/>
        <v>1st Floor For Mezzanine &amp; Parking</v>
      </c>
      <c r="H222" s="102"/>
      <c r="I222" s="40"/>
      <c r="L222" s="107"/>
      <c r="M222" s="107"/>
      <c r="N222" s="40"/>
    </row>
    <row r="223" spans="1:14" s="56" customFormat="1" x14ac:dyDescent="0.25">
      <c r="A223" s="101">
        <v>10</v>
      </c>
      <c r="B223" s="102"/>
      <c r="C223" s="50" t="s">
        <v>188</v>
      </c>
      <c r="D223" s="51">
        <f>(3.1*4.18+1.3*2.2)*10.764</f>
        <v>170.26495199999999</v>
      </c>
      <c r="E223" s="50">
        <v>0</v>
      </c>
      <c r="F223" s="50">
        <f t="shared" si="23"/>
        <v>272.42392319999999</v>
      </c>
      <c r="G223" s="101" t="str">
        <f>G221</f>
        <v>1st Floor For Mezzanine &amp; Parking</v>
      </c>
      <c r="H223" s="102"/>
      <c r="I223" s="40"/>
      <c r="L223" s="107"/>
      <c r="M223" s="107"/>
      <c r="N223" s="40"/>
    </row>
    <row r="224" spans="1:14" s="56" customFormat="1" x14ac:dyDescent="0.25">
      <c r="A224" s="101">
        <v>11</v>
      </c>
      <c r="B224" s="102"/>
      <c r="C224" s="50" t="s">
        <v>188</v>
      </c>
      <c r="D224" s="51">
        <f>(3.02*3.8)*10.764</f>
        <v>123.52766399999999</v>
      </c>
      <c r="E224" s="50">
        <v>0</v>
      </c>
      <c r="F224" s="50">
        <f t="shared" si="23"/>
        <v>197.6442624</v>
      </c>
      <c r="G224" s="101" t="str">
        <f>G222</f>
        <v>1st Floor For Mezzanine &amp; Parking</v>
      </c>
      <c r="H224" s="102"/>
      <c r="I224" s="40"/>
      <c r="L224" s="107"/>
      <c r="M224" s="107"/>
      <c r="N224" s="40"/>
    </row>
    <row r="225" spans="1:14" s="56" customFormat="1" x14ac:dyDescent="0.25">
      <c r="A225" s="101">
        <v>12</v>
      </c>
      <c r="B225" s="102"/>
      <c r="C225" s="50" t="s">
        <v>188</v>
      </c>
      <c r="D225" s="51">
        <f>(3.03*4.18+1.88*2.2)*10.764</f>
        <v>180.85026959999996</v>
      </c>
      <c r="E225" s="50">
        <v>0</v>
      </c>
      <c r="F225" s="50">
        <f t="shared" si="23"/>
        <v>289.36043135999995</v>
      </c>
      <c r="G225" s="101" t="str">
        <f t="shared" si="24"/>
        <v>1st Floor For Mezzanine &amp; Parking</v>
      </c>
      <c r="H225" s="102"/>
      <c r="I225" s="40"/>
      <c r="L225" s="107"/>
      <c r="M225" s="107"/>
      <c r="N225" s="40"/>
    </row>
    <row r="226" spans="1:14" s="56" customFormat="1" x14ac:dyDescent="0.25">
      <c r="A226" s="101">
        <v>13</v>
      </c>
      <c r="B226" s="102"/>
      <c r="C226" s="50" t="s">
        <v>188</v>
      </c>
      <c r="D226" s="51">
        <f>(3.32*4.18)*10.764</f>
        <v>149.37848639999999</v>
      </c>
      <c r="E226" s="50">
        <v>0</v>
      </c>
      <c r="F226" s="50">
        <f t="shared" si="23"/>
        <v>239.00557823999998</v>
      </c>
      <c r="G226" s="101" t="str">
        <f t="shared" si="24"/>
        <v>1st Floor For Mezzanine &amp; Parking</v>
      </c>
      <c r="H226" s="102"/>
      <c r="I226" s="40"/>
      <c r="L226" s="107"/>
      <c r="M226" s="107"/>
      <c r="N226" s="40"/>
    </row>
    <row r="227" spans="1:14" s="56" customFormat="1" ht="15" customHeight="1" x14ac:dyDescent="0.25">
      <c r="A227" s="108" t="s">
        <v>228</v>
      </c>
      <c r="B227" s="109"/>
      <c r="C227" s="109"/>
      <c r="D227" s="109"/>
      <c r="E227" s="109"/>
      <c r="F227" s="109"/>
      <c r="G227" s="109"/>
      <c r="H227" s="110"/>
      <c r="J227" s="48">
        <v>10.763999999999999</v>
      </c>
    </row>
    <row r="228" spans="1:14" s="56" customFormat="1" x14ac:dyDescent="0.25">
      <c r="A228" s="101">
        <v>4</v>
      </c>
      <c r="B228" s="102"/>
      <c r="C228" s="50" t="s">
        <v>188</v>
      </c>
      <c r="D228" s="51">
        <f>(3.15*8.27)*10.764</f>
        <v>280.40758199999999</v>
      </c>
      <c r="E228" s="50">
        <v>0</v>
      </c>
      <c r="F228" s="50">
        <f>(D228+E228)*(($F$158)+1)</f>
        <v>448.65213119999999</v>
      </c>
      <c r="G228" s="101" t="str">
        <f>A227</f>
        <v>2nd Floor (1st Floor) For Commercial &amp; Parking</v>
      </c>
      <c r="H228" s="102"/>
      <c r="I228" s="40">
        <f>3.15*7.17+1.8*1.1+1.2*1.1</f>
        <v>25.8855</v>
      </c>
      <c r="L228" s="107"/>
      <c r="M228" s="107"/>
      <c r="N228" s="40"/>
    </row>
    <row r="229" spans="1:14" s="56" customFormat="1" x14ac:dyDescent="0.25">
      <c r="A229" s="101">
        <v>5</v>
      </c>
      <c r="B229" s="102"/>
      <c r="C229" s="50" t="s">
        <v>188</v>
      </c>
      <c r="D229" s="51">
        <f>(3.2*8.27)*10.764</f>
        <v>284.85849599999995</v>
      </c>
      <c r="E229" s="50">
        <v>0</v>
      </c>
      <c r="F229" s="50">
        <f t="shared" ref="F229:F234" si="25">(D229+E229)*(($F$158)+1)</f>
        <v>455.77359359999991</v>
      </c>
      <c r="G229" s="101" t="str">
        <f t="shared" ref="G229:G232" si="26">G228</f>
        <v>2nd Floor (1st Floor) For Commercial &amp; Parking</v>
      </c>
      <c r="H229" s="102"/>
      <c r="I229" s="40">
        <f>8.72*3.15</f>
        <v>27.468</v>
      </c>
      <c r="L229" s="107"/>
      <c r="M229" s="107"/>
      <c r="N229" s="40"/>
    </row>
    <row r="230" spans="1:14" s="56" customFormat="1" x14ac:dyDescent="0.25">
      <c r="A230" s="101">
        <v>6</v>
      </c>
      <c r="B230" s="102"/>
      <c r="C230" s="50" t="s">
        <v>188</v>
      </c>
      <c r="D230" s="51">
        <f>(4.5*8.42+1.55*3.32)*10.764</f>
        <v>463.23950400000001</v>
      </c>
      <c r="E230" s="50">
        <v>0</v>
      </c>
      <c r="F230" s="50">
        <f t="shared" si="25"/>
        <v>741.18320640000002</v>
      </c>
      <c r="G230" s="101" t="str">
        <f>G228</f>
        <v>2nd Floor (1st Floor) For Commercial &amp; Parking</v>
      </c>
      <c r="H230" s="102"/>
      <c r="I230" s="40"/>
      <c r="L230" s="107"/>
      <c r="M230" s="107"/>
      <c r="N230" s="40"/>
    </row>
    <row r="231" spans="1:14" s="56" customFormat="1" x14ac:dyDescent="0.25">
      <c r="A231" s="101">
        <v>7</v>
      </c>
      <c r="B231" s="102"/>
      <c r="C231" s="50" t="s">
        <v>188</v>
      </c>
      <c r="D231" s="51">
        <f>(2.95*8.27+1.7*4.8)*10.764</f>
        <v>350.43816599999997</v>
      </c>
      <c r="E231" s="50">
        <v>0</v>
      </c>
      <c r="F231" s="50">
        <f t="shared" si="25"/>
        <v>560.70106559999999</v>
      </c>
      <c r="G231" s="101" t="str">
        <f>G229</f>
        <v>2nd Floor (1st Floor) For Commercial &amp; Parking</v>
      </c>
      <c r="H231" s="102"/>
      <c r="I231" s="40"/>
      <c r="L231" s="107"/>
      <c r="M231" s="107"/>
      <c r="N231" s="40"/>
    </row>
    <row r="232" spans="1:14" s="56" customFormat="1" x14ac:dyDescent="0.25">
      <c r="A232" s="101">
        <v>8</v>
      </c>
      <c r="B232" s="102"/>
      <c r="C232" s="50" t="s">
        <v>188</v>
      </c>
      <c r="D232" s="51">
        <f>(2.95*8.27+1.65*4.95)*10.764</f>
        <v>350.51889599999998</v>
      </c>
      <c r="E232" s="50">
        <v>0</v>
      </c>
      <c r="F232" s="50">
        <f t="shared" si="25"/>
        <v>560.83023360000004</v>
      </c>
      <c r="G232" s="101" t="str">
        <f t="shared" si="26"/>
        <v>2nd Floor (1st Floor) For Commercial &amp; Parking</v>
      </c>
      <c r="H232" s="102"/>
      <c r="I232" s="40"/>
      <c r="L232" s="107"/>
      <c r="M232" s="107"/>
      <c r="N232" s="40"/>
    </row>
    <row r="233" spans="1:14" s="56" customFormat="1" x14ac:dyDescent="0.25">
      <c r="A233" s="101">
        <v>9</v>
      </c>
      <c r="B233" s="102"/>
      <c r="C233" s="50" t="s">
        <v>188</v>
      </c>
      <c r="D233" s="51">
        <f>(4.7*8.42+1.5*3.17)*10.764</f>
        <v>477.15735599999999</v>
      </c>
      <c r="E233" s="50">
        <v>0</v>
      </c>
      <c r="F233" s="50">
        <f t="shared" si="25"/>
        <v>763.45176960000003</v>
      </c>
      <c r="G233" s="101" t="str">
        <f>G231</f>
        <v>2nd Floor (1st Floor) For Commercial &amp; Parking</v>
      </c>
      <c r="H233" s="102"/>
      <c r="I233" s="40"/>
      <c r="L233" s="107"/>
      <c r="M233" s="107"/>
      <c r="N233" s="40"/>
    </row>
    <row r="234" spans="1:14" s="56" customFormat="1" x14ac:dyDescent="0.25">
      <c r="A234" s="101">
        <v>10</v>
      </c>
      <c r="B234" s="102"/>
      <c r="C234" s="50" t="s">
        <v>188</v>
      </c>
      <c r="D234" s="51">
        <f>(3.32*8.42)*10.764</f>
        <v>300.90116159999997</v>
      </c>
      <c r="E234" s="50">
        <v>0</v>
      </c>
      <c r="F234" s="50">
        <f t="shared" si="25"/>
        <v>481.44185855999996</v>
      </c>
      <c r="G234" s="101" t="str">
        <f>G232</f>
        <v>2nd Floor (1st Floor) For Commercial &amp; Parking</v>
      </c>
      <c r="H234" s="102"/>
      <c r="I234" s="40"/>
      <c r="L234" s="107"/>
      <c r="M234" s="107"/>
      <c r="N234" s="40"/>
    </row>
    <row r="235" spans="1:14" s="56" customFormat="1" ht="15" customHeight="1" x14ac:dyDescent="0.25">
      <c r="A235" s="108" t="s">
        <v>229</v>
      </c>
      <c r="B235" s="109"/>
      <c r="C235" s="109"/>
      <c r="D235" s="109"/>
      <c r="E235" s="109"/>
      <c r="F235" s="109"/>
      <c r="G235" s="109"/>
      <c r="H235" s="110"/>
      <c r="J235" s="48">
        <v>10.763999999999999</v>
      </c>
    </row>
    <row r="236" spans="1:14" s="56" customFormat="1" x14ac:dyDescent="0.25">
      <c r="A236" s="101">
        <v>4</v>
      </c>
      <c r="B236" s="102"/>
      <c r="C236" s="50" t="s">
        <v>192</v>
      </c>
      <c r="D236" s="51">
        <f>(3.15*8.27)*10.764</f>
        <v>280.40758199999999</v>
      </c>
      <c r="E236" s="50">
        <v>0</v>
      </c>
      <c r="F236" s="50">
        <f>(D236+E236)*(($F$158)+1)</f>
        <v>448.65213119999999</v>
      </c>
      <c r="G236" s="101" t="str">
        <f>A235</f>
        <v>3rd &amp; 4th (2nd &amp; 3rd) Floor For Commercial &amp; Parking</v>
      </c>
      <c r="H236" s="102"/>
      <c r="I236" s="40"/>
      <c r="L236" s="107"/>
      <c r="M236" s="107"/>
      <c r="N236" s="40"/>
    </row>
    <row r="237" spans="1:14" s="56" customFormat="1" x14ac:dyDescent="0.25">
      <c r="A237" s="101">
        <v>5</v>
      </c>
      <c r="B237" s="102"/>
      <c r="C237" s="50" t="s">
        <v>192</v>
      </c>
      <c r="D237" s="51">
        <f>(3.2*8.27)*10.764</f>
        <v>284.85849599999995</v>
      </c>
      <c r="E237" s="50">
        <v>0</v>
      </c>
      <c r="F237" s="50">
        <f t="shared" ref="F237:F242" si="27">(D237+E237)*(($F$158)+1)</f>
        <v>455.77359359999991</v>
      </c>
      <c r="G237" s="101" t="str">
        <f t="shared" ref="G237:G240" si="28">G236</f>
        <v>3rd &amp; 4th (2nd &amp; 3rd) Floor For Commercial &amp; Parking</v>
      </c>
      <c r="H237" s="102"/>
      <c r="I237" s="40"/>
      <c r="L237" s="107"/>
      <c r="M237" s="107"/>
      <c r="N237" s="40"/>
    </row>
    <row r="238" spans="1:14" s="56" customFormat="1" x14ac:dyDescent="0.25">
      <c r="A238" s="101">
        <v>6</v>
      </c>
      <c r="B238" s="102"/>
      <c r="C238" s="50" t="s">
        <v>192</v>
      </c>
      <c r="D238" s="51">
        <f>(4.5*8.42+1.55*3.32)*10.764</f>
        <v>463.23950400000001</v>
      </c>
      <c r="E238" s="50">
        <v>0</v>
      </c>
      <c r="F238" s="50">
        <f t="shared" si="27"/>
        <v>741.18320640000002</v>
      </c>
      <c r="G238" s="101" t="str">
        <f>G236</f>
        <v>3rd &amp; 4th (2nd &amp; 3rd) Floor For Commercial &amp; Parking</v>
      </c>
      <c r="H238" s="102"/>
      <c r="I238" s="40"/>
      <c r="L238" s="107"/>
      <c r="M238" s="107"/>
      <c r="N238" s="40"/>
    </row>
    <row r="239" spans="1:14" s="56" customFormat="1" x14ac:dyDescent="0.25">
      <c r="A239" s="101">
        <v>7</v>
      </c>
      <c r="B239" s="102"/>
      <c r="C239" s="50" t="s">
        <v>192</v>
      </c>
      <c r="D239" s="51">
        <f>(2.95*8.27+1.7*4.8)*10.764</f>
        <v>350.43816599999997</v>
      </c>
      <c r="E239" s="50">
        <v>0</v>
      </c>
      <c r="F239" s="50">
        <f t="shared" si="27"/>
        <v>560.70106559999999</v>
      </c>
      <c r="G239" s="101" t="str">
        <f>G237</f>
        <v>3rd &amp; 4th (2nd &amp; 3rd) Floor For Commercial &amp; Parking</v>
      </c>
      <c r="H239" s="102"/>
      <c r="I239" s="40"/>
      <c r="L239" s="107"/>
      <c r="M239" s="107"/>
      <c r="N239" s="40"/>
    </row>
    <row r="240" spans="1:14" s="56" customFormat="1" x14ac:dyDescent="0.25">
      <c r="A240" s="101">
        <v>8</v>
      </c>
      <c r="B240" s="102"/>
      <c r="C240" s="50" t="s">
        <v>192</v>
      </c>
      <c r="D240" s="51">
        <f>(2.95*8.27+1.65*4.95)*10.764</f>
        <v>350.51889599999998</v>
      </c>
      <c r="E240" s="50">
        <v>0</v>
      </c>
      <c r="F240" s="50">
        <f t="shared" si="27"/>
        <v>560.83023360000004</v>
      </c>
      <c r="G240" s="101" t="str">
        <f t="shared" si="28"/>
        <v>3rd &amp; 4th (2nd &amp; 3rd) Floor For Commercial &amp; Parking</v>
      </c>
      <c r="H240" s="102"/>
      <c r="I240" s="40"/>
      <c r="L240" s="107"/>
      <c r="M240" s="107"/>
      <c r="N240" s="40"/>
    </row>
    <row r="241" spans="1:14" s="56" customFormat="1" x14ac:dyDescent="0.25">
      <c r="A241" s="101">
        <v>9</v>
      </c>
      <c r="B241" s="102"/>
      <c r="C241" s="50" t="s">
        <v>192</v>
      </c>
      <c r="D241" s="51">
        <f>(4.7*8.42+1.5*3.17)*10.764</f>
        <v>477.15735599999999</v>
      </c>
      <c r="E241" s="50">
        <v>0</v>
      </c>
      <c r="F241" s="50">
        <f t="shared" si="27"/>
        <v>763.45176960000003</v>
      </c>
      <c r="G241" s="101" t="str">
        <f>G239</f>
        <v>3rd &amp; 4th (2nd &amp; 3rd) Floor For Commercial &amp; Parking</v>
      </c>
      <c r="H241" s="102"/>
      <c r="I241" s="40"/>
      <c r="L241" s="107"/>
      <c r="M241" s="107"/>
      <c r="N241" s="40"/>
    </row>
    <row r="242" spans="1:14" s="56" customFormat="1" x14ac:dyDescent="0.25">
      <c r="A242" s="101">
        <v>10</v>
      </c>
      <c r="B242" s="102"/>
      <c r="C242" s="50" t="s">
        <v>192</v>
      </c>
      <c r="D242" s="51">
        <f>(3.32*8.42)*10.764</f>
        <v>300.90116159999997</v>
      </c>
      <c r="E242" s="50">
        <v>0</v>
      </c>
      <c r="F242" s="50">
        <f t="shared" si="27"/>
        <v>481.44185855999996</v>
      </c>
      <c r="G242" s="101" t="str">
        <f>G240</f>
        <v>3rd &amp; 4th (2nd &amp; 3rd) Floor For Commercial &amp; Parking</v>
      </c>
      <c r="H242" s="102"/>
      <c r="I242" s="40"/>
      <c r="L242" s="107"/>
      <c r="M242" s="107"/>
      <c r="N242" s="40"/>
    </row>
    <row r="243" spans="1:14" s="56" customFormat="1" x14ac:dyDescent="0.25">
      <c r="A243" s="101"/>
      <c r="B243" s="119"/>
      <c r="C243" s="119"/>
      <c r="D243" s="119"/>
      <c r="E243" s="119"/>
      <c r="F243" s="119"/>
      <c r="G243" s="119"/>
      <c r="H243" s="102"/>
      <c r="I243" s="40"/>
      <c r="N243" s="40"/>
    </row>
    <row r="244" spans="1:14" ht="47.25" customHeight="1" x14ac:dyDescent="0.25">
      <c r="A244" s="111" t="s">
        <v>230</v>
      </c>
      <c r="B244" s="111" t="s">
        <v>121</v>
      </c>
      <c r="C244" s="127" t="s">
        <v>58</v>
      </c>
      <c r="D244" s="127" t="s">
        <v>59</v>
      </c>
      <c r="E244" s="216" t="s">
        <v>60</v>
      </c>
      <c r="F244" s="67" t="s">
        <v>150</v>
      </c>
      <c r="G244" s="111" t="s">
        <v>61</v>
      </c>
      <c r="H244" s="218"/>
      <c r="I244" s="40"/>
    </row>
    <row r="245" spans="1:14" s="56" customFormat="1" x14ac:dyDescent="0.25">
      <c r="A245" s="112"/>
      <c r="B245" s="112"/>
      <c r="C245" s="128"/>
      <c r="D245" s="128"/>
      <c r="E245" s="217"/>
      <c r="F245" s="55">
        <v>0.55000000000000004</v>
      </c>
      <c r="G245" s="112"/>
      <c r="H245" s="219"/>
      <c r="I245" s="40"/>
    </row>
    <row r="246" spans="1:14" s="56" customFormat="1" x14ac:dyDescent="0.25">
      <c r="A246" s="108" t="s">
        <v>241</v>
      </c>
      <c r="B246" s="109"/>
      <c r="C246" s="109"/>
      <c r="D246" s="109"/>
      <c r="E246" s="109"/>
      <c r="F246" s="109"/>
      <c r="G246" s="109"/>
      <c r="H246" s="110"/>
      <c r="J246" s="40"/>
    </row>
    <row r="247" spans="1:14" s="56" customFormat="1" x14ac:dyDescent="0.25">
      <c r="A247" s="108" t="s">
        <v>183</v>
      </c>
      <c r="B247" s="109"/>
      <c r="C247" s="109"/>
      <c r="D247" s="109"/>
      <c r="E247" s="109"/>
      <c r="F247" s="109"/>
      <c r="G247" s="109"/>
      <c r="H247" s="110"/>
      <c r="J247" s="40"/>
    </row>
    <row r="248" spans="1:14" s="56" customFormat="1" x14ac:dyDescent="0.25">
      <c r="A248" s="108" t="s">
        <v>184</v>
      </c>
      <c r="B248" s="109"/>
      <c r="C248" s="109"/>
      <c r="D248" s="109"/>
      <c r="E248" s="109"/>
      <c r="F248" s="109"/>
      <c r="G248" s="109"/>
      <c r="H248" s="110"/>
      <c r="J248" s="40"/>
    </row>
    <row r="249" spans="1:14" s="56" customFormat="1" x14ac:dyDescent="0.25">
      <c r="A249" s="108" t="s">
        <v>203</v>
      </c>
      <c r="B249" s="109"/>
      <c r="C249" s="109"/>
      <c r="D249" s="109"/>
      <c r="E249" s="109"/>
      <c r="F249" s="109"/>
      <c r="G249" s="109"/>
      <c r="H249" s="110"/>
      <c r="J249" s="40"/>
    </row>
    <row r="250" spans="1:14" s="56" customFormat="1" x14ac:dyDescent="0.25">
      <c r="A250" s="101">
        <v>1</v>
      </c>
      <c r="B250" s="102"/>
      <c r="C250" s="50" t="s">
        <v>189</v>
      </c>
      <c r="D250" s="51">
        <f>(1.05*2.7+2*2.25+2.9*4.5+1.45*2.4+1.9*0.9+2.9*2.75+3*3.8+2.1*1.2+2.25*1.2+1.2*(2.25+2.9+2.9+3))*10.764</f>
        <v>682.76051999999993</v>
      </c>
      <c r="E250" s="50">
        <v>0</v>
      </c>
      <c r="F250" s="50">
        <f t="shared" ref="F250:F258" si="29">D250*(($F$245)+1)+(IF(E250&lt;101,E250,IF(E250&lt;201,E250/2,IF(E250&lt;=301,E250/3,E250/4))))</f>
        <v>1058.278806</v>
      </c>
      <c r="G250" s="101" t="str">
        <f>A249</f>
        <v>1st Floor For Residential &amp; Parking</v>
      </c>
      <c r="H250" s="102"/>
      <c r="I250" s="40">
        <f>12500000/F250</f>
        <v>11811.632179658334</v>
      </c>
      <c r="L250" s="107"/>
      <c r="M250" s="107"/>
      <c r="N250" s="40"/>
    </row>
    <row r="251" spans="1:14" s="56" customFormat="1" x14ac:dyDescent="0.25">
      <c r="A251" s="101">
        <v>2</v>
      </c>
      <c r="B251" s="102"/>
      <c r="C251" s="50" t="s">
        <v>190</v>
      </c>
      <c r="D251" s="51">
        <f>(1.05*2.7+2.2*2.25+2.9*4.5+2.75*3.5+1.25*2.1+1.25*2.1+1.2*(1.75+2.9+2.75))*10.764</f>
        <v>479.96676000000002</v>
      </c>
      <c r="E251" s="50">
        <v>0</v>
      </c>
      <c r="F251" s="50">
        <f t="shared" si="29"/>
        <v>743.94847800000002</v>
      </c>
      <c r="G251" s="101" t="str">
        <f t="shared" ref="G251:G258" si="30">G250</f>
        <v>1st Floor For Residential &amp; Parking</v>
      </c>
      <c r="H251" s="102"/>
      <c r="I251" s="40">
        <f>6499000/F251</f>
        <v>8735.8200092990846</v>
      </c>
      <c r="L251" s="107"/>
      <c r="M251" s="107"/>
      <c r="N251" s="40"/>
    </row>
    <row r="252" spans="1:14" s="56" customFormat="1" x14ac:dyDescent="0.25">
      <c r="A252" s="101">
        <v>3</v>
      </c>
      <c r="B252" s="102"/>
      <c r="C252" s="50" t="s">
        <v>190</v>
      </c>
      <c r="D252" s="51">
        <f t="shared" ref="D252:D253" si="31">(1.05*2.7+2.2*2.25+2.9*4.5+2.75*3.5+1.25*2.1+1.25*2.1+1.2*(1.75+2.9+2.75))*10.764</f>
        <v>479.96676000000002</v>
      </c>
      <c r="E252" s="50">
        <v>0</v>
      </c>
      <c r="F252" s="50">
        <f t="shared" si="29"/>
        <v>743.94847800000002</v>
      </c>
      <c r="G252" s="101" t="str">
        <f t="shared" si="30"/>
        <v>1st Floor For Residential &amp; Parking</v>
      </c>
      <c r="H252" s="102"/>
      <c r="I252" s="40">
        <f>7500000/F252</f>
        <v>10081.343294313454</v>
      </c>
      <c r="L252" s="107"/>
      <c r="M252" s="107"/>
      <c r="N252" s="40"/>
    </row>
    <row r="253" spans="1:14" s="56" customFormat="1" ht="15.75" customHeight="1" x14ac:dyDescent="0.25">
      <c r="A253" s="101">
        <v>4</v>
      </c>
      <c r="B253" s="102"/>
      <c r="C253" s="50" t="s">
        <v>190</v>
      </c>
      <c r="D253" s="51">
        <f t="shared" si="31"/>
        <v>479.96676000000002</v>
      </c>
      <c r="E253" s="50">
        <v>0</v>
      </c>
      <c r="F253" s="50">
        <f t="shared" si="29"/>
        <v>743.94847800000002</v>
      </c>
      <c r="G253" s="101" t="str">
        <f t="shared" si="30"/>
        <v>1st Floor For Residential &amp; Parking</v>
      </c>
      <c r="H253" s="102"/>
      <c r="I253" s="40">
        <f>8000000/F253</f>
        <v>10753.432847267684</v>
      </c>
      <c r="L253" s="107"/>
      <c r="M253" s="107"/>
      <c r="N253" s="40"/>
    </row>
    <row r="254" spans="1:14" s="56" customFormat="1" x14ac:dyDescent="0.25">
      <c r="A254" s="101">
        <v>5</v>
      </c>
      <c r="B254" s="102"/>
      <c r="C254" s="50" t="s">
        <v>190</v>
      </c>
      <c r="D254" s="51">
        <f>(1.05*2.7+2.2*2.25+3*4.5+2.9*3.5+1.25*2.1+1.4*2.1+1.2*(1.75+3+2.9))*10.764</f>
        <v>497.08151999999995</v>
      </c>
      <c r="E254" s="50">
        <v>0</v>
      </c>
      <c r="F254" s="50">
        <f t="shared" si="29"/>
        <v>770.4763559999999</v>
      </c>
      <c r="G254" s="101" t="str">
        <f t="shared" si="30"/>
        <v>1st Floor For Residential &amp; Parking</v>
      </c>
      <c r="H254" s="102"/>
      <c r="I254" s="40">
        <f>7500000/F254</f>
        <v>9734.23771098824</v>
      </c>
      <c r="L254" s="107"/>
      <c r="M254" s="107"/>
      <c r="N254" s="40"/>
    </row>
    <row r="255" spans="1:14" s="56" customFormat="1" x14ac:dyDescent="0.25">
      <c r="A255" s="101">
        <v>6</v>
      </c>
      <c r="B255" s="102"/>
      <c r="C255" s="50" t="s">
        <v>190</v>
      </c>
      <c r="D255" s="51">
        <f>(1.05*2.7+2.2*2.25+3*4.5+2.9*3.5+1.25*2.1+1.4*2.1+1.2*(1.75+3+2.9))*10.764</f>
        <v>497.08151999999995</v>
      </c>
      <c r="E255" s="50">
        <v>0</v>
      </c>
      <c r="F255" s="50">
        <f t="shared" si="29"/>
        <v>770.4763559999999</v>
      </c>
      <c r="G255" s="101" t="str">
        <f t="shared" si="30"/>
        <v>1st Floor For Residential &amp; Parking</v>
      </c>
      <c r="H255" s="102"/>
      <c r="I255" s="40">
        <f>8000000/F255</f>
        <v>10383.18689172079</v>
      </c>
      <c r="L255" s="107"/>
      <c r="M255" s="107"/>
      <c r="N255" s="40"/>
    </row>
    <row r="256" spans="1:14" s="56" customFormat="1" x14ac:dyDescent="0.25">
      <c r="A256" s="101">
        <v>7</v>
      </c>
      <c r="B256" s="102"/>
      <c r="C256" s="50" t="s">
        <v>190</v>
      </c>
      <c r="D256" s="51">
        <f t="shared" ref="D256:D257" si="32">(1.05*2.7+2.2*2.25+2.9*4.5+2.75*3.5+1.25*2.1+1.25*2.1+1.2*(1.75+2.9+2.75))*10.764</f>
        <v>479.96676000000002</v>
      </c>
      <c r="E256" s="50">
        <v>0</v>
      </c>
      <c r="F256" s="50">
        <f t="shared" si="29"/>
        <v>743.94847800000002</v>
      </c>
      <c r="G256" s="101" t="str">
        <f t="shared" si="30"/>
        <v>1st Floor For Residential &amp; Parking</v>
      </c>
      <c r="H256" s="102"/>
      <c r="I256" s="40"/>
      <c r="L256" s="107"/>
      <c r="M256" s="107"/>
      <c r="N256" s="40"/>
    </row>
    <row r="257" spans="1:14" s="56" customFormat="1" x14ac:dyDescent="0.25">
      <c r="A257" s="101">
        <v>8</v>
      </c>
      <c r="B257" s="102"/>
      <c r="C257" s="50" t="s">
        <v>190</v>
      </c>
      <c r="D257" s="51">
        <f t="shared" si="32"/>
        <v>479.96676000000002</v>
      </c>
      <c r="E257" s="50">
        <v>0</v>
      </c>
      <c r="F257" s="50">
        <f t="shared" si="29"/>
        <v>743.94847800000002</v>
      </c>
      <c r="G257" s="101" t="str">
        <f t="shared" si="30"/>
        <v>1st Floor For Residential &amp; Parking</v>
      </c>
      <c r="H257" s="102"/>
      <c r="I257" s="40"/>
      <c r="L257" s="107"/>
      <c r="M257" s="107"/>
      <c r="N257" s="40"/>
    </row>
    <row r="258" spans="1:14" s="56" customFormat="1" x14ac:dyDescent="0.25">
      <c r="A258" s="101">
        <v>9</v>
      </c>
      <c r="B258" s="102"/>
      <c r="C258" s="50" t="s">
        <v>189</v>
      </c>
      <c r="D258" s="51">
        <f>(1.05*2.7+2*2.25+2.9*4.5+1.45*2.4+1.9*0.9+2.9*2.75+3*3.8+2.1*1.2+2.25*1.2+1.2*(2.25+2.9+2.9+3))*10.764</f>
        <v>682.76051999999993</v>
      </c>
      <c r="E258" s="50">
        <v>0</v>
      </c>
      <c r="F258" s="50">
        <f t="shared" si="29"/>
        <v>1058.278806</v>
      </c>
      <c r="G258" s="101" t="str">
        <f t="shared" si="30"/>
        <v>1st Floor For Residential &amp; Parking</v>
      </c>
      <c r="H258" s="102"/>
      <c r="I258" s="40">
        <f>13000000/F258</f>
        <v>12284.097466844667</v>
      </c>
      <c r="L258" s="107"/>
      <c r="M258" s="107"/>
      <c r="N258" s="40"/>
    </row>
    <row r="259" spans="1:14" s="56" customFormat="1" x14ac:dyDescent="0.25">
      <c r="A259" s="108" t="s">
        <v>204</v>
      </c>
      <c r="B259" s="109"/>
      <c r="C259" s="109"/>
      <c r="D259" s="109"/>
      <c r="E259" s="109"/>
      <c r="F259" s="109"/>
      <c r="G259" s="109"/>
      <c r="H259" s="110"/>
      <c r="J259" s="40"/>
    </row>
    <row r="260" spans="1:14" s="56" customFormat="1" x14ac:dyDescent="0.25">
      <c r="A260" s="101">
        <v>1</v>
      </c>
      <c r="B260" s="102"/>
      <c r="C260" s="50" t="s">
        <v>189</v>
      </c>
      <c r="D260" s="51">
        <f>(1.05*2.7+2*2.25+2.9*4.5+1.45*2.4+1.9*0.9+2.9*2.75+3*3.8+2.1*1.2+2.25*1.2+1.2*(2.25+2.9+2.9+3))*10.764</f>
        <v>682.76051999999993</v>
      </c>
      <c r="E260" s="50">
        <v>0</v>
      </c>
      <c r="F260" s="50">
        <f t="shared" ref="F260:F268" si="33">D260*(($F$245)+1)+(IF(E260&lt;101,E260,IF(E260&lt;201,E260/2,IF(E260&lt;=301,E260/3,E260/4))))</f>
        <v>1058.278806</v>
      </c>
      <c r="G260" s="101" t="str">
        <f>A259</f>
        <v>2nd Floor &amp; Parking</v>
      </c>
      <c r="H260" s="102"/>
      <c r="I260" s="40"/>
      <c r="L260" s="107"/>
      <c r="M260" s="107"/>
      <c r="N260" s="40"/>
    </row>
    <row r="261" spans="1:14" s="56" customFormat="1" x14ac:dyDescent="0.25">
      <c r="A261" s="101">
        <v>2</v>
      </c>
      <c r="B261" s="102"/>
      <c r="C261" s="50" t="s">
        <v>190</v>
      </c>
      <c r="D261" s="51">
        <f>(1.05*2.7+2.2*2.25+2.9*4.5+2.75*3.5+1.25*2.1+1.25*2.1+1.2*(1.75+2.9+2.75))*10.764</f>
        <v>479.96676000000002</v>
      </c>
      <c r="E261" s="50">
        <v>0</v>
      </c>
      <c r="F261" s="50">
        <f t="shared" si="33"/>
        <v>743.94847800000002</v>
      </c>
      <c r="G261" s="101" t="str">
        <f t="shared" ref="G261:G268" si="34">G260</f>
        <v>2nd Floor &amp; Parking</v>
      </c>
      <c r="H261" s="102"/>
      <c r="I261" s="40">
        <f>6300000/F261</f>
        <v>8468.328367223301</v>
      </c>
      <c r="L261" s="107"/>
      <c r="M261" s="107"/>
      <c r="N261" s="40"/>
    </row>
    <row r="262" spans="1:14" s="56" customFormat="1" x14ac:dyDescent="0.25">
      <c r="A262" s="101">
        <v>3</v>
      </c>
      <c r="B262" s="102"/>
      <c r="C262" s="50" t="s">
        <v>190</v>
      </c>
      <c r="D262" s="51">
        <f t="shared" ref="D262:D263" si="35">(1.05*2.7+2.2*2.25+2.9*4.5+2.75*3.5+1.25*2.1+1.25*2.1+1.2*(1.75+2.9+2.75))*10.764</f>
        <v>479.96676000000002</v>
      </c>
      <c r="E262" s="50">
        <v>0</v>
      </c>
      <c r="F262" s="50">
        <f t="shared" si="33"/>
        <v>743.94847800000002</v>
      </c>
      <c r="G262" s="101" t="str">
        <f t="shared" si="34"/>
        <v>2nd Floor &amp; Parking</v>
      </c>
      <c r="H262" s="102"/>
      <c r="I262" s="40">
        <f>6699000/F262</f>
        <v>9004.6558304807768</v>
      </c>
      <c r="L262" s="107"/>
      <c r="M262" s="107"/>
      <c r="N262" s="40"/>
    </row>
    <row r="263" spans="1:14" s="56" customFormat="1" ht="15.75" customHeight="1" x14ac:dyDescent="0.25">
      <c r="A263" s="101">
        <v>4</v>
      </c>
      <c r="B263" s="102"/>
      <c r="C263" s="50" t="s">
        <v>190</v>
      </c>
      <c r="D263" s="51">
        <f t="shared" si="35"/>
        <v>479.96676000000002</v>
      </c>
      <c r="E263" s="50">
        <v>0</v>
      </c>
      <c r="F263" s="50">
        <f t="shared" si="33"/>
        <v>743.94847800000002</v>
      </c>
      <c r="G263" s="101" t="str">
        <f t="shared" si="34"/>
        <v>2nd Floor &amp; Parking</v>
      </c>
      <c r="H263" s="102"/>
      <c r="I263" s="40"/>
      <c r="L263" s="107"/>
      <c r="M263" s="107"/>
      <c r="N263" s="40"/>
    </row>
    <row r="264" spans="1:14" s="56" customFormat="1" x14ac:dyDescent="0.25">
      <c r="A264" s="101">
        <v>5</v>
      </c>
      <c r="B264" s="102"/>
      <c r="C264" s="50" t="s">
        <v>190</v>
      </c>
      <c r="D264" s="51">
        <f>(1.05*2.7+2.2*2.25+3*4.5+2.9*3.5+1.25*2.1+1.4*2.1+1.2*(1.75+3+2.9))*10.764</f>
        <v>497.08151999999995</v>
      </c>
      <c r="E264" s="50">
        <v>0</v>
      </c>
      <c r="F264" s="50">
        <f t="shared" si="33"/>
        <v>770.4763559999999</v>
      </c>
      <c r="G264" s="101" t="str">
        <f t="shared" si="34"/>
        <v>2nd Floor &amp; Parking</v>
      </c>
      <c r="H264" s="102"/>
      <c r="I264" s="40"/>
      <c r="L264" s="107"/>
      <c r="M264" s="107"/>
      <c r="N264" s="40"/>
    </row>
    <row r="265" spans="1:14" s="56" customFormat="1" x14ac:dyDescent="0.25">
      <c r="A265" s="101">
        <v>6</v>
      </c>
      <c r="B265" s="102"/>
      <c r="C265" s="50" t="s">
        <v>190</v>
      </c>
      <c r="D265" s="51">
        <f>(1.05*2.7+2.2*2.25+3*4.5+2.9*3.5+1.25*2.1+1.4*2.1+1.2*(1.75+3+2.9))*10.764</f>
        <v>497.08151999999995</v>
      </c>
      <c r="E265" s="50">
        <v>0</v>
      </c>
      <c r="F265" s="50">
        <f t="shared" si="33"/>
        <v>770.4763559999999</v>
      </c>
      <c r="G265" s="101" t="str">
        <f t="shared" si="34"/>
        <v>2nd Floor &amp; Parking</v>
      </c>
      <c r="H265" s="102"/>
      <c r="I265" s="40"/>
      <c r="L265" s="107"/>
      <c r="M265" s="107"/>
      <c r="N265" s="40"/>
    </row>
    <row r="266" spans="1:14" s="56" customFormat="1" x14ac:dyDescent="0.25">
      <c r="A266" s="101">
        <v>7</v>
      </c>
      <c r="B266" s="102"/>
      <c r="C266" s="50" t="s">
        <v>190</v>
      </c>
      <c r="D266" s="51">
        <f t="shared" ref="D266:D267" si="36">(1.05*2.7+2.2*2.25+2.9*4.5+2.75*3.5+1.25*2.1+1.25*2.1+1.2*(1.75+2.9+2.75))*10.764</f>
        <v>479.96676000000002</v>
      </c>
      <c r="E266" s="50">
        <v>0</v>
      </c>
      <c r="F266" s="50">
        <f t="shared" si="33"/>
        <v>743.94847800000002</v>
      </c>
      <c r="G266" s="101" t="str">
        <f t="shared" si="34"/>
        <v>2nd Floor &amp; Parking</v>
      </c>
      <c r="H266" s="102"/>
      <c r="I266" s="40"/>
      <c r="L266" s="107"/>
      <c r="M266" s="107"/>
      <c r="N266" s="40"/>
    </row>
    <row r="267" spans="1:14" s="56" customFormat="1" x14ac:dyDescent="0.25">
      <c r="A267" s="101">
        <v>8</v>
      </c>
      <c r="B267" s="102"/>
      <c r="C267" s="50" t="s">
        <v>190</v>
      </c>
      <c r="D267" s="51">
        <f t="shared" si="36"/>
        <v>479.96676000000002</v>
      </c>
      <c r="E267" s="50">
        <v>0</v>
      </c>
      <c r="F267" s="50">
        <f t="shared" si="33"/>
        <v>743.94847800000002</v>
      </c>
      <c r="G267" s="101" t="str">
        <f t="shared" si="34"/>
        <v>2nd Floor &amp; Parking</v>
      </c>
      <c r="H267" s="102"/>
      <c r="I267" s="40"/>
      <c r="L267" s="107"/>
      <c r="M267" s="107"/>
      <c r="N267" s="40"/>
    </row>
    <row r="268" spans="1:14" s="56" customFormat="1" x14ac:dyDescent="0.25">
      <c r="A268" s="101">
        <v>9</v>
      </c>
      <c r="B268" s="102"/>
      <c r="C268" s="50" t="s">
        <v>189</v>
      </c>
      <c r="D268" s="51">
        <f>(1.05*2.7+2*2.25+2.9*4.5+1.45*2.4+1.9*0.9+2.9*2.75+3*3.8+2.1*1.2+2.25*1.2+1.2*(2.25+2.9+2.9+3))*10.764</f>
        <v>682.76051999999993</v>
      </c>
      <c r="E268" s="50">
        <v>0</v>
      </c>
      <c r="F268" s="50">
        <f t="shared" si="33"/>
        <v>1058.278806</v>
      </c>
      <c r="G268" s="101" t="str">
        <f t="shared" si="34"/>
        <v>2nd Floor &amp; Parking</v>
      </c>
      <c r="H268" s="102"/>
      <c r="I268" s="40"/>
      <c r="L268" s="107"/>
      <c r="M268" s="107"/>
      <c r="N268" s="40"/>
    </row>
    <row r="269" spans="1:14" s="56" customFormat="1" x14ac:dyDescent="0.25">
      <c r="A269" s="108" t="s">
        <v>191</v>
      </c>
      <c r="B269" s="109"/>
      <c r="C269" s="109"/>
      <c r="D269" s="109"/>
      <c r="E269" s="109"/>
      <c r="F269" s="109"/>
      <c r="G269" s="109"/>
      <c r="H269" s="110"/>
      <c r="J269" s="40"/>
    </row>
    <row r="270" spans="1:14" s="56" customFormat="1" x14ac:dyDescent="0.25">
      <c r="A270" s="101">
        <v>1</v>
      </c>
      <c r="B270" s="102"/>
      <c r="C270" s="50" t="s">
        <v>189</v>
      </c>
      <c r="D270" s="51">
        <f>(1.05*2.7+2*2.25+2.9*4.5+1.45*2.4+1.9*0.9+2.9*2.75+3*3.8+2.1*1.2+2.25*1.2+1.2*(2.25+2.9+2.9+3))*10.764</f>
        <v>682.76051999999993</v>
      </c>
      <c r="E270" s="50">
        <v>0</v>
      </c>
      <c r="F270" s="50">
        <f t="shared" ref="F270:F278" si="37">D270*(($F$245)+1)+(IF(E270&lt;101,E270,IF(E270&lt;201,E270/2,IF(E270&lt;=301,E270/3,E270/4))))</f>
        <v>1058.278806</v>
      </c>
      <c r="G270" s="101" t="str">
        <f>A269</f>
        <v>3rd &amp; 4th Floor</v>
      </c>
      <c r="H270" s="102"/>
      <c r="I270" s="40"/>
      <c r="L270" s="107"/>
      <c r="M270" s="107"/>
      <c r="N270" s="40"/>
    </row>
    <row r="271" spans="1:14" s="56" customFormat="1" x14ac:dyDescent="0.25">
      <c r="A271" s="101">
        <v>2</v>
      </c>
      <c r="B271" s="102"/>
      <c r="C271" s="50" t="s">
        <v>190</v>
      </c>
      <c r="D271" s="51">
        <f>(1.05*2.7+2.2*2.25+2.9*4.5+2.75*3.5+1.25*2.1+1.25*2.1+1.2*(1.75+2.9+2.75))*10.764</f>
        <v>479.96676000000002</v>
      </c>
      <c r="E271" s="50">
        <v>0</v>
      </c>
      <c r="F271" s="50">
        <f t="shared" si="37"/>
        <v>743.94847800000002</v>
      </c>
      <c r="G271" s="101" t="str">
        <f t="shared" ref="G271:G278" si="38">G270</f>
        <v>3rd &amp; 4th Floor</v>
      </c>
      <c r="H271" s="102"/>
      <c r="I271" s="40"/>
      <c r="L271" s="107"/>
      <c r="M271" s="107"/>
      <c r="N271" s="40"/>
    </row>
    <row r="272" spans="1:14" s="56" customFormat="1" x14ac:dyDescent="0.25">
      <c r="A272" s="101">
        <v>3</v>
      </c>
      <c r="B272" s="102"/>
      <c r="C272" s="50" t="s">
        <v>190</v>
      </c>
      <c r="D272" s="51">
        <f t="shared" ref="D272:D273" si="39">(1.05*2.7+2.2*2.25+2.9*4.5+2.75*3.5+1.25*2.1+1.25*2.1+1.2*(1.75+2.9+2.75))*10.764</f>
        <v>479.96676000000002</v>
      </c>
      <c r="E272" s="50">
        <v>0</v>
      </c>
      <c r="F272" s="50">
        <f t="shared" si="37"/>
        <v>743.94847800000002</v>
      </c>
      <c r="G272" s="101" t="str">
        <f t="shared" si="38"/>
        <v>3rd &amp; 4th Floor</v>
      </c>
      <c r="H272" s="102"/>
      <c r="I272" s="40"/>
      <c r="L272" s="107"/>
      <c r="M272" s="107"/>
      <c r="N272" s="40"/>
    </row>
    <row r="273" spans="1:14" s="56" customFormat="1" ht="15.75" customHeight="1" x14ac:dyDescent="0.25">
      <c r="A273" s="101">
        <v>4</v>
      </c>
      <c r="B273" s="102"/>
      <c r="C273" s="50" t="s">
        <v>190</v>
      </c>
      <c r="D273" s="51">
        <f t="shared" si="39"/>
        <v>479.96676000000002</v>
      </c>
      <c r="E273" s="50">
        <v>0</v>
      </c>
      <c r="F273" s="50">
        <f t="shared" si="37"/>
        <v>743.94847800000002</v>
      </c>
      <c r="G273" s="101" t="str">
        <f t="shared" si="38"/>
        <v>3rd &amp; 4th Floor</v>
      </c>
      <c r="H273" s="102"/>
      <c r="I273" s="40"/>
      <c r="L273" s="107"/>
      <c r="M273" s="107"/>
      <c r="N273" s="40"/>
    </row>
    <row r="274" spans="1:14" s="56" customFormat="1" x14ac:dyDescent="0.25">
      <c r="A274" s="101">
        <v>5</v>
      </c>
      <c r="B274" s="102"/>
      <c r="C274" s="50" t="s">
        <v>190</v>
      </c>
      <c r="D274" s="51">
        <f>(1.05*2.7+2.2*2.25+3*4.5+2.9*3.5+1.25*2.1+1.4*2.1+1.2*(1.75+3+2.9))*10.764</f>
        <v>497.08151999999995</v>
      </c>
      <c r="E274" s="50">
        <v>0</v>
      </c>
      <c r="F274" s="50">
        <f t="shared" si="37"/>
        <v>770.4763559999999</v>
      </c>
      <c r="G274" s="101" t="str">
        <f t="shared" si="38"/>
        <v>3rd &amp; 4th Floor</v>
      </c>
      <c r="H274" s="102"/>
      <c r="I274" s="40"/>
      <c r="L274" s="107"/>
      <c r="M274" s="107"/>
      <c r="N274" s="40"/>
    </row>
    <row r="275" spans="1:14" s="56" customFormat="1" x14ac:dyDescent="0.25">
      <c r="A275" s="101">
        <v>6</v>
      </c>
      <c r="B275" s="102"/>
      <c r="C275" s="50" t="s">
        <v>190</v>
      </c>
      <c r="D275" s="51">
        <f>(1.05*2.7+2.2*2.25+3*4.5+2.9*3.5+1.25*2.1+1.4*2.1+1.2*(1.75+3+2.9))*10.764</f>
        <v>497.08151999999995</v>
      </c>
      <c r="E275" s="50">
        <v>0</v>
      </c>
      <c r="F275" s="50">
        <f t="shared" si="37"/>
        <v>770.4763559999999</v>
      </c>
      <c r="G275" s="101" t="str">
        <f t="shared" si="38"/>
        <v>3rd &amp; 4th Floor</v>
      </c>
      <c r="H275" s="102"/>
      <c r="I275" s="40"/>
      <c r="L275" s="107"/>
      <c r="M275" s="107"/>
      <c r="N275" s="40"/>
    </row>
    <row r="276" spans="1:14" s="56" customFormat="1" x14ac:dyDescent="0.25">
      <c r="A276" s="101">
        <v>7</v>
      </c>
      <c r="B276" s="102"/>
      <c r="C276" s="50" t="s">
        <v>190</v>
      </c>
      <c r="D276" s="51">
        <f t="shared" ref="D276:D277" si="40">(1.05*2.7+2.2*2.25+2.9*4.5+2.75*3.5+1.25*2.1+1.25*2.1+1.2*(1.75+2.9+2.75))*10.764</f>
        <v>479.96676000000002</v>
      </c>
      <c r="E276" s="50">
        <v>0</v>
      </c>
      <c r="F276" s="50">
        <f t="shared" si="37"/>
        <v>743.94847800000002</v>
      </c>
      <c r="G276" s="101" t="str">
        <f t="shared" si="38"/>
        <v>3rd &amp; 4th Floor</v>
      </c>
      <c r="H276" s="102"/>
      <c r="I276" s="40"/>
      <c r="L276" s="107"/>
      <c r="M276" s="107"/>
      <c r="N276" s="40"/>
    </row>
    <row r="277" spans="1:14" s="56" customFormat="1" x14ac:dyDescent="0.25">
      <c r="A277" s="101">
        <v>8</v>
      </c>
      <c r="B277" s="102"/>
      <c r="C277" s="50" t="s">
        <v>190</v>
      </c>
      <c r="D277" s="51">
        <f t="shared" si="40"/>
        <v>479.96676000000002</v>
      </c>
      <c r="E277" s="50">
        <v>0</v>
      </c>
      <c r="F277" s="50">
        <f t="shared" si="37"/>
        <v>743.94847800000002</v>
      </c>
      <c r="G277" s="101" t="str">
        <f t="shared" si="38"/>
        <v>3rd &amp; 4th Floor</v>
      </c>
      <c r="H277" s="102"/>
      <c r="I277" s="40"/>
      <c r="L277" s="107"/>
      <c r="M277" s="107"/>
      <c r="N277" s="40"/>
    </row>
    <row r="278" spans="1:14" s="56" customFormat="1" x14ac:dyDescent="0.25">
      <c r="A278" s="101">
        <v>9</v>
      </c>
      <c r="B278" s="102"/>
      <c r="C278" s="50" t="s">
        <v>189</v>
      </c>
      <c r="D278" s="51">
        <f>(1.05*2.7+2*2.25+2.9*4.5+1.45*2.4+1.9*0.9+2.9*2.75+3*3.8+2.1*1.2+2.25*1.2+1.2*(2.25+2.9+2.9+3))*10.764</f>
        <v>682.76051999999993</v>
      </c>
      <c r="E278" s="50">
        <v>0</v>
      </c>
      <c r="F278" s="50">
        <f t="shared" si="37"/>
        <v>1058.278806</v>
      </c>
      <c r="G278" s="101" t="str">
        <f t="shared" si="38"/>
        <v>3rd &amp; 4th Floor</v>
      </c>
      <c r="H278" s="102"/>
      <c r="I278" s="40"/>
      <c r="L278" s="107"/>
      <c r="M278" s="107"/>
      <c r="N278" s="40"/>
    </row>
    <row r="279" spans="1:14" s="56" customFormat="1" x14ac:dyDescent="0.25">
      <c r="A279" s="108" t="s">
        <v>193</v>
      </c>
      <c r="B279" s="109"/>
      <c r="C279" s="109"/>
      <c r="D279" s="109"/>
      <c r="E279" s="109"/>
      <c r="F279" s="109"/>
      <c r="G279" s="109"/>
      <c r="H279" s="110"/>
      <c r="J279" s="40"/>
    </row>
    <row r="280" spans="1:14" s="56" customFormat="1" x14ac:dyDescent="0.25">
      <c r="A280" s="101">
        <v>1</v>
      </c>
      <c r="B280" s="102"/>
      <c r="C280" s="50" t="s">
        <v>189</v>
      </c>
      <c r="D280" s="51">
        <f>(1.05*2.7+2*2.25+2.9*4.5+1.45*2.4+1.9*0.9+2.9*2.75+3*3.8+2.1*1.2+2.25*1.2+1.2*(2.25+2.9+2.9+3))*10.764</f>
        <v>682.76051999999993</v>
      </c>
      <c r="E280" s="50">
        <v>0</v>
      </c>
      <c r="F280" s="50">
        <f t="shared" ref="F280:F288" si="41">D280*(($F$245)+1)+(IF(E280&lt;101,E280,IF(E280&lt;201,E280/2,IF(E280&lt;=301,E280/3,E280/4))))</f>
        <v>1058.278806</v>
      </c>
      <c r="G280" s="101" t="str">
        <f>A279</f>
        <v>5th Floor</v>
      </c>
      <c r="H280" s="102"/>
      <c r="I280" s="40"/>
      <c r="L280" s="107"/>
      <c r="M280" s="107"/>
      <c r="N280" s="40"/>
    </row>
    <row r="281" spans="1:14" s="56" customFormat="1" x14ac:dyDescent="0.25">
      <c r="A281" s="101">
        <v>2</v>
      </c>
      <c r="B281" s="102"/>
      <c r="C281" s="50" t="s">
        <v>190</v>
      </c>
      <c r="D281" s="51">
        <f>(1.05*2.7+2.2*2.25+2.9*4.5+2.75*3.5+1.25*2.1+1.25*2.1+1.2*(1.75+2.9+2.75))*10.764</f>
        <v>479.96676000000002</v>
      </c>
      <c r="E281" s="50">
        <v>0</v>
      </c>
      <c r="F281" s="50">
        <f t="shared" si="41"/>
        <v>743.94847800000002</v>
      </c>
      <c r="G281" s="101" t="str">
        <f t="shared" ref="G281:G288" si="42">G280</f>
        <v>5th Floor</v>
      </c>
      <c r="H281" s="102"/>
      <c r="I281" s="40"/>
      <c r="L281" s="107"/>
      <c r="M281" s="107"/>
      <c r="N281" s="40"/>
    </row>
    <row r="282" spans="1:14" s="56" customFormat="1" x14ac:dyDescent="0.25">
      <c r="A282" s="101">
        <v>3</v>
      </c>
      <c r="B282" s="102"/>
      <c r="C282" s="50" t="s">
        <v>190</v>
      </c>
      <c r="D282" s="51">
        <f t="shared" ref="D282:D283" si="43">(1.05*2.7+2.2*2.25+2.9*4.5+2.75*3.5+1.25*2.1+1.25*2.1+1.2*(1.75+2.9+2.75))*10.764</f>
        <v>479.96676000000002</v>
      </c>
      <c r="E282" s="50">
        <v>0</v>
      </c>
      <c r="F282" s="50">
        <f t="shared" si="41"/>
        <v>743.94847800000002</v>
      </c>
      <c r="G282" s="101" t="str">
        <f t="shared" si="42"/>
        <v>5th Floor</v>
      </c>
      <c r="H282" s="102"/>
      <c r="I282" s="40"/>
      <c r="L282" s="107"/>
      <c r="M282" s="107"/>
      <c r="N282" s="40"/>
    </row>
    <row r="283" spans="1:14" s="56" customFormat="1" ht="15.75" customHeight="1" x14ac:dyDescent="0.25">
      <c r="A283" s="101">
        <v>4</v>
      </c>
      <c r="B283" s="102"/>
      <c r="C283" s="50" t="s">
        <v>190</v>
      </c>
      <c r="D283" s="51">
        <f t="shared" si="43"/>
        <v>479.96676000000002</v>
      </c>
      <c r="E283" s="50">
        <v>0</v>
      </c>
      <c r="F283" s="50">
        <f t="shared" si="41"/>
        <v>743.94847800000002</v>
      </c>
      <c r="G283" s="101" t="str">
        <f t="shared" si="42"/>
        <v>5th Floor</v>
      </c>
      <c r="H283" s="102"/>
      <c r="I283" s="40"/>
      <c r="L283" s="107"/>
      <c r="M283" s="107"/>
      <c r="N283" s="40"/>
    </row>
    <row r="284" spans="1:14" s="56" customFormat="1" x14ac:dyDescent="0.25">
      <c r="A284" s="101">
        <v>5</v>
      </c>
      <c r="B284" s="102"/>
      <c r="C284" s="50" t="s">
        <v>190</v>
      </c>
      <c r="D284" s="51">
        <f>(1.05*2.7+2.2*2.25+3*4.5+2.9*3.5+1.25*2.1+1.4*2.1+1.2*(1.75+3+2.9))*10.764</f>
        <v>497.08151999999995</v>
      </c>
      <c r="E284" s="50">
        <v>0</v>
      </c>
      <c r="F284" s="50">
        <f t="shared" si="41"/>
        <v>770.4763559999999</v>
      </c>
      <c r="G284" s="101" t="str">
        <f t="shared" si="42"/>
        <v>5th Floor</v>
      </c>
      <c r="H284" s="102"/>
      <c r="I284" s="40"/>
      <c r="L284" s="107"/>
      <c r="M284" s="107"/>
      <c r="N284" s="40"/>
    </row>
    <row r="285" spans="1:14" s="56" customFormat="1" x14ac:dyDescent="0.25">
      <c r="A285" s="101">
        <v>6</v>
      </c>
      <c r="B285" s="102"/>
      <c r="C285" s="50" t="s">
        <v>190</v>
      </c>
      <c r="D285" s="51">
        <f>(1.05*2.7+2.2*2.25+3*4.5+2.9*3.5+1.25*2.1+1.4*2.1+1.2*(1.75+3+2.9))*10.764</f>
        <v>497.08151999999995</v>
      </c>
      <c r="E285" s="50">
        <v>0</v>
      </c>
      <c r="F285" s="50">
        <f t="shared" si="41"/>
        <v>770.4763559999999</v>
      </c>
      <c r="G285" s="101" t="str">
        <f t="shared" si="42"/>
        <v>5th Floor</v>
      </c>
      <c r="H285" s="102"/>
      <c r="I285" s="40"/>
      <c r="L285" s="107"/>
      <c r="M285" s="107"/>
      <c r="N285" s="40"/>
    </row>
    <row r="286" spans="1:14" s="56" customFormat="1" x14ac:dyDescent="0.25">
      <c r="A286" s="101">
        <v>7</v>
      </c>
      <c r="B286" s="102"/>
      <c r="C286" s="50" t="s">
        <v>190</v>
      </c>
      <c r="D286" s="51">
        <f t="shared" ref="D286:D287" si="44">(1.05*2.7+2.2*2.25+2.9*4.5+2.75*3.5+1.25*2.1+1.25*2.1+1.2*(1.75+2.9+2.75))*10.764</f>
        <v>479.96676000000002</v>
      </c>
      <c r="E286" s="50">
        <v>0</v>
      </c>
      <c r="F286" s="50">
        <f>D286*(($F$245)+1)+(IF(E286&lt;101,E286,IF(E286&lt;201,E286/2,IF(E286&lt;=301,E286/3,E286/4))))</f>
        <v>743.94847800000002</v>
      </c>
      <c r="G286" s="101" t="str">
        <f t="shared" si="42"/>
        <v>5th Floor</v>
      </c>
      <c r="H286" s="102"/>
      <c r="I286" s="40"/>
      <c r="L286" s="107"/>
      <c r="M286" s="107"/>
      <c r="N286" s="40"/>
    </row>
    <row r="287" spans="1:14" s="56" customFormat="1" x14ac:dyDescent="0.25">
      <c r="A287" s="101">
        <v>8</v>
      </c>
      <c r="B287" s="102"/>
      <c r="C287" s="50" t="s">
        <v>190</v>
      </c>
      <c r="D287" s="51">
        <f t="shared" si="44"/>
        <v>479.96676000000002</v>
      </c>
      <c r="E287" s="50">
        <v>0</v>
      </c>
      <c r="F287" s="50">
        <f t="shared" si="41"/>
        <v>743.94847800000002</v>
      </c>
      <c r="G287" s="101" t="str">
        <f t="shared" si="42"/>
        <v>5th Floor</v>
      </c>
      <c r="H287" s="102"/>
      <c r="I287" s="40">
        <f>6700000/F287</f>
        <v>9006.0000095866853</v>
      </c>
      <c r="L287" s="107"/>
      <c r="M287" s="107"/>
      <c r="N287" s="40"/>
    </row>
    <row r="288" spans="1:14" s="56" customFormat="1" x14ac:dyDescent="0.25">
      <c r="A288" s="101">
        <v>9</v>
      </c>
      <c r="B288" s="102"/>
      <c r="C288" s="50" t="s">
        <v>189</v>
      </c>
      <c r="D288" s="51">
        <f>(1.05*2.7+2*2.25+2.9*4.5+1.45*2.4+1.9*0.9+2.9*2.75+3*3.8+2.1*1.2+2.25*1.2+1.2*(2.25+2.9+2.9+3))*10.764</f>
        <v>682.76051999999993</v>
      </c>
      <c r="E288" s="50">
        <v>0</v>
      </c>
      <c r="F288" s="50">
        <f t="shared" si="41"/>
        <v>1058.278806</v>
      </c>
      <c r="G288" s="101" t="str">
        <f t="shared" si="42"/>
        <v>5th Floor</v>
      </c>
      <c r="H288" s="102"/>
      <c r="I288" s="40"/>
      <c r="L288" s="107"/>
      <c r="M288" s="107"/>
      <c r="N288" s="40"/>
    </row>
    <row r="289" spans="1:14" s="56" customFormat="1" x14ac:dyDescent="0.25">
      <c r="A289" s="108" t="s">
        <v>194</v>
      </c>
      <c r="B289" s="109"/>
      <c r="C289" s="109"/>
      <c r="D289" s="109"/>
      <c r="E289" s="109"/>
      <c r="F289" s="109"/>
      <c r="G289" s="109"/>
      <c r="H289" s="110"/>
      <c r="J289" s="40"/>
    </row>
    <row r="290" spans="1:14" s="56" customFormat="1" x14ac:dyDescent="0.25">
      <c r="A290" s="101">
        <v>1</v>
      </c>
      <c r="B290" s="102"/>
      <c r="C290" s="50" t="s">
        <v>189</v>
      </c>
      <c r="D290" s="51">
        <f>(1.05*2.7+2*2.25+2.9*4.5+1.45*2.4+1.9*0.9+2.9*2.75+3*3.8+2.1*1.2+2.25*1.2+1.2*(2.25+2.9+2.9+3))*10.764</f>
        <v>682.76051999999993</v>
      </c>
      <c r="E290" s="50">
        <v>0</v>
      </c>
      <c r="F290" s="50">
        <f t="shared" ref="F290:F298" si="45">D290*(($F$245)+1)+(IF(E290&lt;101,E290,IF(E290&lt;201,E290/2,IF(E290&lt;=301,E290/3,E290/4))))</f>
        <v>1058.278806</v>
      </c>
      <c r="G290" s="101" t="str">
        <f>A289</f>
        <v>6th, 7th, 9th &amp; 10th Floor</v>
      </c>
      <c r="H290" s="102"/>
      <c r="I290" s="40"/>
      <c r="L290" s="107"/>
      <c r="M290" s="107"/>
      <c r="N290" s="40"/>
    </row>
    <row r="291" spans="1:14" s="56" customFormat="1" x14ac:dyDescent="0.25">
      <c r="A291" s="101">
        <v>2</v>
      </c>
      <c r="B291" s="102"/>
      <c r="C291" s="50" t="s">
        <v>190</v>
      </c>
      <c r="D291" s="51">
        <f>(1.05*2.7+2.2*2.25+2.9*4.5+2.75*3.5+1.25*2.1+1.25*2.1+1.2*(1.75+2.9+2.75))*10.764</f>
        <v>479.96676000000002</v>
      </c>
      <c r="E291" s="50">
        <v>0</v>
      </c>
      <c r="F291" s="50">
        <f t="shared" si="45"/>
        <v>743.94847800000002</v>
      </c>
      <c r="G291" s="101" t="str">
        <f t="shared" ref="G291:G298" si="46">G290</f>
        <v>6th, 7th, 9th &amp; 10th Floor</v>
      </c>
      <c r="H291" s="102"/>
      <c r="I291" s="40"/>
      <c r="L291" s="107"/>
      <c r="M291" s="107"/>
      <c r="N291" s="40"/>
    </row>
    <row r="292" spans="1:14" s="56" customFormat="1" x14ac:dyDescent="0.25">
      <c r="A292" s="101">
        <v>3</v>
      </c>
      <c r="B292" s="102"/>
      <c r="C292" s="50" t="s">
        <v>190</v>
      </c>
      <c r="D292" s="51">
        <f t="shared" ref="D292:D293" si="47">(1.05*2.7+2.2*2.25+2.9*4.5+2.75*3.5+1.25*2.1+1.25*2.1+1.2*(1.75+2.9+2.75))*10.764</f>
        <v>479.96676000000002</v>
      </c>
      <c r="E292" s="50">
        <v>0</v>
      </c>
      <c r="F292" s="50">
        <f t="shared" si="45"/>
        <v>743.94847800000002</v>
      </c>
      <c r="G292" s="101" t="str">
        <f t="shared" si="46"/>
        <v>6th, 7th, 9th &amp; 10th Floor</v>
      </c>
      <c r="H292" s="102"/>
      <c r="I292" s="40"/>
      <c r="L292" s="107"/>
      <c r="M292" s="107"/>
      <c r="N292" s="40"/>
    </row>
    <row r="293" spans="1:14" s="56" customFormat="1" ht="15.75" customHeight="1" x14ac:dyDescent="0.25">
      <c r="A293" s="101">
        <v>4</v>
      </c>
      <c r="B293" s="102"/>
      <c r="C293" s="50" t="s">
        <v>190</v>
      </c>
      <c r="D293" s="51">
        <f t="shared" si="47"/>
        <v>479.96676000000002</v>
      </c>
      <c r="E293" s="50">
        <v>0</v>
      </c>
      <c r="F293" s="50">
        <f t="shared" si="45"/>
        <v>743.94847800000002</v>
      </c>
      <c r="G293" s="101" t="str">
        <f t="shared" si="46"/>
        <v>6th, 7th, 9th &amp; 10th Floor</v>
      </c>
      <c r="H293" s="102"/>
      <c r="I293" s="40"/>
      <c r="L293" s="107"/>
      <c r="M293" s="107"/>
      <c r="N293" s="40"/>
    </row>
    <row r="294" spans="1:14" s="56" customFormat="1" x14ac:dyDescent="0.25">
      <c r="A294" s="101">
        <v>5</v>
      </c>
      <c r="B294" s="102"/>
      <c r="C294" s="50" t="s">
        <v>190</v>
      </c>
      <c r="D294" s="51">
        <f>(1.05*2.7+2.2*2.25+3*4.5+2.9*3.5+1.25*2.1+1.4*2.1+1.2*(1.75+3+2.9))*10.764</f>
        <v>497.08151999999995</v>
      </c>
      <c r="E294" s="50">
        <v>0</v>
      </c>
      <c r="F294" s="50">
        <f t="shared" si="45"/>
        <v>770.4763559999999</v>
      </c>
      <c r="G294" s="101" t="str">
        <f t="shared" si="46"/>
        <v>6th, 7th, 9th &amp; 10th Floor</v>
      </c>
      <c r="H294" s="102"/>
      <c r="I294" s="40"/>
      <c r="L294" s="107"/>
      <c r="M294" s="107"/>
      <c r="N294" s="40"/>
    </row>
    <row r="295" spans="1:14" s="56" customFormat="1" x14ac:dyDescent="0.25">
      <c r="A295" s="101">
        <v>6</v>
      </c>
      <c r="B295" s="102"/>
      <c r="C295" s="50" t="s">
        <v>190</v>
      </c>
      <c r="D295" s="51">
        <f>(1.05*2.7+2.2*2.25+3*4.5+2.9*3.5+1.25*2.1+1.4*2.1+1.2*(1.75+3+2.9))*10.764</f>
        <v>497.08151999999995</v>
      </c>
      <c r="E295" s="50">
        <v>0</v>
      </c>
      <c r="F295" s="50">
        <f t="shared" si="45"/>
        <v>770.4763559999999</v>
      </c>
      <c r="G295" s="101" t="str">
        <f t="shared" si="46"/>
        <v>6th, 7th, 9th &amp; 10th Floor</v>
      </c>
      <c r="H295" s="102"/>
      <c r="I295" s="40"/>
      <c r="L295" s="107"/>
      <c r="M295" s="107"/>
      <c r="N295" s="40"/>
    </row>
    <row r="296" spans="1:14" s="56" customFormat="1" x14ac:dyDescent="0.25">
      <c r="A296" s="101">
        <v>7</v>
      </c>
      <c r="B296" s="102"/>
      <c r="C296" s="50" t="s">
        <v>190</v>
      </c>
      <c r="D296" s="51">
        <f t="shared" ref="D296:D297" si="48">(1.05*2.7+2.2*2.25+2.9*4.5+2.75*3.5+1.25*2.1+1.25*2.1+1.2*(1.75+2.9+2.75))*10.764</f>
        <v>479.96676000000002</v>
      </c>
      <c r="E296" s="50">
        <v>0</v>
      </c>
      <c r="F296" s="50">
        <f t="shared" si="45"/>
        <v>743.94847800000002</v>
      </c>
      <c r="G296" s="101" t="str">
        <f t="shared" si="46"/>
        <v>6th, 7th, 9th &amp; 10th Floor</v>
      </c>
      <c r="H296" s="102"/>
      <c r="I296" s="40"/>
      <c r="L296" s="107"/>
      <c r="M296" s="107"/>
      <c r="N296" s="40"/>
    </row>
    <row r="297" spans="1:14" s="56" customFormat="1" x14ac:dyDescent="0.25">
      <c r="A297" s="101">
        <v>8</v>
      </c>
      <c r="B297" s="102"/>
      <c r="C297" s="50" t="s">
        <v>190</v>
      </c>
      <c r="D297" s="51">
        <f t="shared" si="48"/>
        <v>479.96676000000002</v>
      </c>
      <c r="E297" s="50">
        <v>0</v>
      </c>
      <c r="F297" s="50">
        <f t="shared" si="45"/>
        <v>743.94847800000002</v>
      </c>
      <c r="G297" s="101" t="str">
        <f t="shared" si="46"/>
        <v>6th, 7th, 9th &amp; 10th Floor</v>
      </c>
      <c r="H297" s="102"/>
      <c r="I297" s="40"/>
      <c r="L297" s="107"/>
      <c r="M297" s="107"/>
      <c r="N297" s="40"/>
    </row>
    <row r="298" spans="1:14" s="56" customFormat="1" x14ac:dyDescent="0.25">
      <c r="A298" s="101">
        <v>9</v>
      </c>
      <c r="B298" s="102"/>
      <c r="C298" s="50" t="s">
        <v>189</v>
      </c>
      <c r="D298" s="51">
        <f>(1.05*2.7+2*2.25+2.9*4.5+1.45*2.4+1.9*0.9+2.9*2.75+3*3.8+2.1*1.2+2.25*1.2+1.2*(2.25+2.9+2.9+3))*10.764</f>
        <v>682.76051999999993</v>
      </c>
      <c r="E298" s="50">
        <v>0</v>
      </c>
      <c r="F298" s="50">
        <f t="shared" si="45"/>
        <v>1058.278806</v>
      </c>
      <c r="G298" s="101" t="str">
        <f t="shared" si="46"/>
        <v>6th, 7th, 9th &amp; 10th Floor</v>
      </c>
      <c r="H298" s="102"/>
      <c r="I298" s="40"/>
      <c r="L298" s="107"/>
      <c r="M298" s="107"/>
      <c r="N298" s="40"/>
    </row>
    <row r="299" spans="1:14" s="56" customFormat="1" x14ac:dyDescent="0.25">
      <c r="A299" s="108" t="s">
        <v>195</v>
      </c>
      <c r="B299" s="109"/>
      <c r="C299" s="109"/>
      <c r="D299" s="109"/>
      <c r="E299" s="109"/>
      <c r="F299" s="109"/>
      <c r="G299" s="109"/>
      <c r="H299" s="110"/>
      <c r="J299" s="40"/>
    </row>
    <row r="300" spans="1:14" s="56" customFormat="1" x14ac:dyDescent="0.25">
      <c r="A300" s="101">
        <v>1</v>
      </c>
      <c r="B300" s="102"/>
      <c r="C300" s="50" t="s">
        <v>189</v>
      </c>
      <c r="D300" s="51">
        <f>(1.05*2.7+2*2.25+2.9*4.5+1.45*2.4+1.9*0.9+2.9*2.75+3*3.8+2.1*1.2+2.25*1.2+1.2*(2.25+2.9+2.9+3))*10.764</f>
        <v>682.76051999999993</v>
      </c>
      <c r="E300" s="50">
        <v>0</v>
      </c>
      <c r="F300" s="50">
        <f t="shared" ref="F300:F308" si="49">D300*(($F$245)+1)+(IF(E300&lt;101,E300,IF(E300&lt;201,E300/2,IF(E300&lt;=301,E300/3,E300/4))))</f>
        <v>1058.278806</v>
      </c>
      <c r="G300" s="101" t="str">
        <f>A299</f>
        <v>8th Floor Part Refuge Area</v>
      </c>
      <c r="H300" s="102"/>
      <c r="I300" s="40"/>
      <c r="L300" s="107"/>
      <c r="M300" s="107"/>
      <c r="N300" s="40"/>
    </row>
    <row r="301" spans="1:14" s="56" customFormat="1" x14ac:dyDescent="0.25">
      <c r="A301" s="101">
        <v>2</v>
      </c>
      <c r="B301" s="102"/>
      <c r="C301" s="50" t="s">
        <v>190</v>
      </c>
      <c r="D301" s="51">
        <f>(1.05*2.7+2.2*2.25+2.9*4.5+2.75*3.5+1.25*2.1+1.25*2.1+1.2*(1.75+2.9+2.75))*10.764</f>
        <v>479.96676000000002</v>
      </c>
      <c r="E301" s="50">
        <v>0</v>
      </c>
      <c r="F301" s="50">
        <f t="shared" si="49"/>
        <v>743.94847800000002</v>
      </c>
      <c r="G301" s="101" t="str">
        <f t="shared" ref="G301:G308" si="50">G300</f>
        <v>8th Floor Part Refuge Area</v>
      </c>
      <c r="H301" s="102"/>
      <c r="I301" s="40"/>
      <c r="L301" s="107"/>
      <c r="M301" s="107"/>
      <c r="N301" s="40"/>
    </row>
    <row r="302" spans="1:14" s="56" customFormat="1" x14ac:dyDescent="0.25">
      <c r="A302" s="101">
        <v>3</v>
      </c>
      <c r="B302" s="102"/>
      <c r="C302" s="50" t="s">
        <v>190</v>
      </c>
      <c r="D302" s="51">
        <f t="shared" ref="D302:D303" si="51">(1.05*2.7+2.2*2.25+2.9*4.5+2.75*3.5+1.25*2.1+1.25*2.1+1.2*(1.75+2.9+2.75))*10.764</f>
        <v>479.96676000000002</v>
      </c>
      <c r="E302" s="50">
        <v>0</v>
      </c>
      <c r="F302" s="50">
        <f t="shared" si="49"/>
        <v>743.94847800000002</v>
      </c>
      <c r="G302" s="101" t="str">
        <f t="shared" si="50"/>
        <v>8th Floor Part Refuge Area</v>
      </c>
      <c r="H302" s="102"/>
      <c r="I302" s="40"/>
      <c r="L302" s="107"/>
      <c r="M302" s="107"/>
      <c r="N302" s="40"/>
    </row>
    <row r="303" spans="1:14" s="56" customFormat="1" ht="15.75" customHeight="1" x14ac:dyDescent="0.25">
      <c r="A303" s="101">
        <v>4</v>
      </c>
      <c r="B303" s="102"/>
      <c r="C303" s="50" t="s">
        <v>190</v>
      </c>
      <c r="D303" s="51">
        <f t="shared" si="51"/>
        <v>479.96676000000002</v>
      </c>
      <c r="E303" s="50">
        <v>0</v>
      </c>
      <c r="F303" s="50">
        <f t="shared" si="49"/>
        <v>743.94847800000002</v>
      </c>
      <c r="G303" s="101" t="str">
        <f t="shared" si="50"/>
        <v>8th Floor Part Refuge Area</v>
      </c>
      <c r="H303" s="102"/>
      <c r="I303" s="40"/>
      <c r="L303" s="107"/>
      <c r="M303" s="107"/>
      <c r="N303" s="40"/>
    </row>
    <row r="304" spans="1:14" s="56" customFormat="1" x14ac:dyDescent="0.25">
      <c r="A304" s="101">
        <v>5</v>
      </c>
      <c r="B304" s="102"/>
      <c r="C304" s="101" t="s">
        <v>196</v>
      </c>
      <c r="D304" s="119"/>
      <c r="E304" s="119"/>
      <c r="F304" s="102"/>
      <c r="G304" s="101" t="str">
        <f t="shared" si="50"/>
        <v>8th Floor Part Refuge Area</v>
      </c>
      <c r="H304" s="102"/>
      <c r="I304" s="40"/>
      <c r="L304" s="107"/>
      <c r="M304" s="107"/>
      <c r="N304" s="40"/>
    </row>
    <row r="305" spans="1:14" s="56" customFormat="1" x14ac:dyDescent="0.25">
      <c r="A305" s="101">
        <v>6</v>
      </c>
      <c r="B305" s="102"/>
      <c r="C305" s="50" t="s">
        <v>190</v>
      </c>
      <c r="D305" s="51">
        <f>(1.05*2.7+2.2*2.25+3*4.5+2.9*3.5+1.25*2.1+1.4*2.1+1.2*(1.75+3+2.9))*10.764</f>
        <v>497.08151999999995</v>
      </c>
      <c r="E305" s="50">
        <v>0</v>
      </c>
      <c r="F305" s="50">
        <f t="shared" si="49"/>
        <v>770.4763559999999</v>
      </c>
      <c r="G305" s="101" t="str">
        <f t="shared" si="50"/>
        <v>8th Floor Part Refuge Area</v>
      </c>
      <c r="H305" s="102"/>
      <c r="I305" s="40"/>
      <c r="L305" s="107"/>
      <c r="M305" s="107"/>
      <c r="N305" s="40"/>
    </row>
    <row r="306" spans="1:14" s="56" customFormat="1" x14ac:dyDescent="0.25">
      <c r="A306" s="101">
        <v>7</v>
      </c>
      <c r="B306" s="102"/>
      <c r="C306" s="50" t="s">
        <v>190</v>
      </c>
      <c r="D306" s="51">
        <f t="shared" ref="D306:D307" si="52">(1.05*2.7+2.2*2.25+2.9*4.5+2.75*3.5+1.25*2.1+1.25*2.1+1.2*(1.75+2.9+2.75))*10.764</f>
        <v>479.96676000000002</v>
      </c>
      <c r="E306" s="50">
        <v>0</v>
      </c>
      <c r="F306" s="50">
        <f t="shared" si="49"/>
        <v>743.94847800000002</v>
      </c>
      <c r="G306" s="101" t="str">
        <f t="shared" si="50"/>
        <v>8th Floor Part Refuge Area</v>
      </c>
      <c r="H306" s="102"/>
      <c r="I306" s="40"/>
      <c r="L306" s="107"/>
      <c r="M306" s="107"/>
      <c r="N306" s="40"/>
    </row>
    <row r="307" spans="1:14" s="56" customFormat="1" x14ac:dyDescent="0.25">
      <c r="A307" s="101">
        <v>8</v>
      </c>
      <c r="B307" s="102"/>
      <c r="C307" s="50" t="s">
        <v>190</v>
      </c>
      <c r="D307" s="51">
        <f t="shared" si="52"/>
        <v>479.96676000000002</v>
      </c>
      <c r="E307" s="50">
        <v>0</v>
      </c>
      <c r="F307" s="50">
        <f t="shared" si="49"/>
        <v>743.94847800000002</v>
      </c>
      <c r="G307" s="101" t="str">
        <f t="shared" si="50"/>
        <v>8th Floor Part Refuge Area</v>
      </c>
      <c r="H307" s="102"/>
      <c r="I307" s="40"/>
      <c r="L307" s="107"/>
      <c r="M307" s="107"/>
      <c r="N307" s="40"/>
    </row>
    <row r="308" spans="1:14" s="56" customFormat="1" x14ac:dyDescent="0.25">
      <c r="A308" s="101">
        <v>9</v>
      </c>
      <c r="B308" s="102"/>
      <c r="C308" s="50" t="s">
        <v>189</v>
      </c>
      <c r="D308" s="51">
        <f>(1.05*2.7+2*2.25+2.9*4.5+1.45*2.4+1.9*0.9+2.9*2.75+3*3.8+2.1*1.2+2.25*1.2+1.2*(2.25+2.9+2.9+3))*10.764</f>
        <v>682.76051999999993</v>
      </c>
      <c r="E308" s="50">
        <v>0</v>
      </c>
      <c r="F308" s="50">
        <f t="shared" si="49"/>
        <v>1058.278806</v>
      </c>
      <c r="G308" s="101" t="str">
        <f t="shared" si="50"/>
        <v>8th Floor Part Refuge Area</v>
      </c>
      <c r="H308" s="102"/>
      <c r="I308" s="40"/>
      <c r="L308" s="107"/>
      <c r="M308" s="107"/>
      <c r="N308" s="40"/>
    </row>
    <row r="309" spans="1:14" s="56" customFormat="1" x14ac:dyDescent="0.25">
      <c r="A309" s="108" t="s">
        <v>209</v>
      </c>
      <c r="B309" s="109"/>
      <c r="C309" s="109"/>
      <c r="D309" s="109"/>
      <c r="E309" s="109"/>
      <c r="F309" s="109"/>
      <c r="G309" s="109"/>
      <c r="H309" s="110"/>
      <c r="J309" s="40"/>
    </row>
    <row r="310" spans="1:14" s="56" customFormat="1" x14ac:dyDescent="0.25">
      <c r="A310" s="101">
        <v>1</v>
      </c>
      <c r="B310" s="102"/>
      <c r="C310" s="50" t="s">
        <v>189</v>
      </c>
      <c r="D310" s="51">
        <f>(1.05*2.7+2*2.25+2.9*4.5+1.45*2.4+1.9*0.9+2.9*2.75+3*3.8+2.1*1.2+2.25*1.2+1.2*(2.25+2.9+2.9+3))*10.764</f>
        <v>682.76051999999993</v>
      </c>
      <c r="E310" s="50">
        <v>0</v>
      </c>
      <c r="F310" s="50">
        <f t="shared" ref="F310:F318" si="53">D310*(($F$245)+1)+(IF(E310&lt;101,E310,IF(E310&lt;201,E310/2,IF(E310&lt;=301,E310/3,E310/4))))</f>
        <v>1058.278806</v>
      </c>
      <c r="G310" s="101" t="str">
        <f>A309</f>
        <v>11th Floor For Residential &amp; Amenities</v>
      </c>
      <c r="H310" s="102"/>
      <c r="I310" s="40"/>
      <c r="L310" s="107"/>
      <c r="M310" s="107"/>
      <c r="N310" s="40"/>
    </row>
    <row r="311" spans="1:14" s="56" customFormat="1" x14ac:dyDescent="0.25">
      <c r="A311" s="101">
        <v>2</v>
      </c>
      <c r="B311" s="102"/>
      <c r="C311" s="50" t="s">
        <v>190</v>
      </c>
      <c r="D311" s="51">
        <f>(1.05*2.7+2.2*2.25+2.9*4.5+2.75*3.5+1.25*2.1+1.25*2.1+1.2*(1.75+2.9+2.75))*10.764</f>
        <v>479.96676000000002</v>
      </c>
      <c r="E311" s="50">
        <v>0</v>
      </c>
      <c r="F311" s="50">
        <f t="shared" si="53"/>
        <v>743.94847800000002</v>
      </c>
      <c r="G311" s="101" t="str">
        <f t="shared" ref="G311:G318" si="54">G310</f>
        <v>11th Floor For Residential &amp; Amenities</v>
      </c>
      <c r="H311" s="102"/>
      <c r="I311" s="40"/>
      <c r="L311" s="107"/>
      <c r="M311" s="107"/>
      <c r="N311" s="40"/>
    </row>
    <row r="312" spans="1:14" s="56" customFormat="1" x14ac:dyDescent="0.25">
      <c r="A312" s="101">
        <v>3</v>
      </c>
      <c r="B312" s="102"/>
      <c r="C312" s="50" t="s">
        <v>190</v>
      </c>
      <c r="D312" s="51">
        <f t="shared" ref="D312:D313" si="55">(1.05*2.7+2.2*2.25+2.9*4.5+2.75*3.5+1.25*2.1+1.25*2.1+1.2*(1.75+2.9+2.75))*10.764</f>
        <v>479.96676000000002</v>
      </c>
      <c r="E312" s="50">
        <v>0</v>
      </c>
      <c r="F312" s="50">
        <f t="shared" si="53"/>
        <v>743.94847800000002</v>
      </c>
      <c r="G312" s="101" t="str">
        <f t="shared" si="54"/>
        <v>11th Floor For Residential &amp; Amenities</v>
      </c>
      <c r="H312" s="102"/>
      <c r="I312" s="40"/>
      <c r="L312" s="107"/>
      <c r="M312" s="107"/>
      <c r="N312" s="40"/>
    </row>
    <row r="313" spans="1:14" s="56" customFormat="1" ht="15.75" customHeight="1" x14ac:dyDescent="0.25">
      <c r="A313" s="101">
        <v>4</v>
      </c>
      <c r="B313" s="102"/>
      <c r="C313" s="50" t="s">
        <v>190</v>
      </c>
      <c r="D313" s="51">
        <f t="shared" si="55"/>
        <v>479.96676000000002</v>
      </c>
      <c r="E313" s="50">
        <v>0</v>
      </c>
      <c r="F313" s="50">
        <f t="shared" si="53"/>
        <v>743.94847800000002</v>
      </c>
      <c r="G313" s="101" t="str">
        <f t="shared" si="54"/>
        <v>11th Floor For Residential &amp; Amenities</v>
      </c>
      <c r="H313" s="102"/>
      <c r="I313" s="40"/>
      <c r="L313" s="107"/>
      <c r="M313" s="107"/>
      <c r="N313" s="40"/>
    </row>
    <row r="314" spans="1:14" s="56" customFormat="1" x14ac:dyDescent="0.25">
      <c r="A314" s="101">
        <v>5</v>
      </c>
      <c r="B314" s="102"/>
      <c r="C314" s="50" t="s">
        <v>190</v>
      </c>
      <c r="D314" s="51">
        <f>(1.05*2.7+2.2*2.25+3*4.5+2.9*3.5+1.25*2.1+1.4*2.1+1.2*(1.75+3+2.9))*10.764</f>
        <v>497.08151999999995</v>
      </c>
      <c r="E314" s="50">
        <v>0</v>
      </c>
      <c r="F314" s="50">
        <f t="shared" si="53"/>
        <v>770.4763559999999</v>
      </c>
      <c r="G314" s="101" t="str">
        <f t="shared" si="54"/>
        <v>11th Floor For Residential &amp; Amenities</v>
      </c>
      <c r="H314" s="102"/>
      <c r="I314" s="40"/>
      <c r="L314" s="107"/>
      <c r="M314" s="107"/>
      <c r="N314" s="40"/>
    </row>
    <row r="315" spans="1:14" s="56" customFormat="1" x14ac:dyDescent="0.25">
      <c r="A315" s="101">
        <v>6</v>
      </c>
      <c r="B315" s="102"/>
      <c r="C315" s="50" t="s">
        <v>190</v>
      </c>
      <c r="D315" s="51">
        <f>(1.05*2.7+2.2*2.25+3*4.5+2.9*3.5+1.25*2.1+1.4*2.1+1.2*(1.75+3+2.9))*10.764</f>
        <v>497.08151999999995</v>
      </c>
      <c r="E315" s="50">
        <v>0</v>
      </c>
      <c r="F315" s="50">
        <f t="shared" si="53"/>
        <v>770.4763559999999</v>
      </c>
      <c r="G315" s="101" t="str">
        <f t="shared" si="54"/>
        <v>11th Floor For Residential &amp; Amenities</v>
      </c>
      <c r="H315" s="102"/>
      <c r="I315" s="40"/>
      <c r="L315" s="107"/>
      <c r="M315" s="107"/>
      <c r="N315" s="40"/>
    </row>
    <row r="316" spans="1:14" s="56" customFormat="1" x14ac:dyDescent="0.25">
      <c r="A316" s="101">
        <v>7</v>
      </c>
      <c r="B316" s="102"/>
      <c r="C316" s="50" t="s">
        <v>190</v>
      </c>
      <c r="D316" s="51">
        <f t="shared" ref="D316:D317" si="56">(1.05*2.7+2.2*2.25+2.9*4.5+2.75*3.5+1.25*2.1+1.25*2.1+1.2*(1.75+2.9+2.75))*10.764</f>
        <v>479.96676000000002</v>
      </c>
      <c r="E316" s="50">
        <v>0</v>
      </c>
      <c r="F316" s="50">
        <f t="shared" si="53"/>
        <v>743.94847800000002</v>
      </c>
      <c r="G316" s="101" t="str">
        <f t="shared" si="54"/>
        <v>11th Floor For Residential &amp; Amenities</v>
      </c>
      <c r="H316" s="102"/>
      <c r="I316" s="40">
        <f>6400000/F316</f>
        <v>8602.7462778141471</v>
      </c>
      <c r="L316" s="107"/>
      <c r="M316" s="107"/>
      <c r="N316" s="40"/>
    </row>
    <row r="317" spans="1:14" s="56" customFormat="1" x14ac:dyDescent="0.25">
      <c r="A317" s="101">
        <v>8</v>
      </c>
      <c r="B317" s="102"/>
      <c r="C317" s="50" t="s">
        <v>190</v>
      </c>
      <c r="D317" s="51">
        <f t="shared" si="56"/>
        <v>479.96676000000002</v>
      </c>
      <c r="E317" s="50">
        <v>0</v>
      </c>
      <c r="F317" s="50">
        <f t="shared" si="53"/>
        <v>743.94847800000002</v>
      </c>
      <c r="G317" s="101" t="str">
        <f t="shared" si="54"/>
        <v>11th Floor For Residential &amp; Amenities</v>
      </c>
      <c r="H317" s="102"/>
      <c r="I317" s="40"/>
      <c r="L317" s="107"/>
      <c r="M317" s="107"/>
      <c r="N317" s="40"/>
    </row>
    <row r="318" spans="1:14" s="56" customFormat="1" x14ac:dyDescent="0.25">
      <c r="A318" s="101">
        <v>9</v>
      </c>
      <c r="B318" s="102"/>
      <c r="C318" s="50" t="s">
        <v>189</v>
      </c>
      <c r="D318" s="51">
        <f>(1.05*2.7+2*2.25+2.9*4.5+1.45*2.4+1.9*0.9+2.9*2.75+3*3.8+2.1*1.2+2.25*1.2+1.2*(2.25+2.9+2.9+3))*10.764</f>
        <v>682.76051999999993</v>
      </c>
      <c r="E318" s="50">
        <v>0</v>
      </c>
      <c r="F318" s="50">
        <f t="shared" si="53"/>
        <v>1058.278806</v>
      </c>
      <c r="G318" s="101" t="str">
        <f t="shared" si="54"/>
        <v>11th Floor For Residential &amp; Amenities</v>
      </c>
      <c r="H318" s="102"/>
      <c r="I318" s="40"/>
      <c r="L318" s="107"/>
      <c r="M318" s="107"/>
      <c r="N318" s="40"/>
    </row>
    <row r="319" spans="1:14" s="56" customFormat="1" x14ac:dyDescent="0.25">
      <c r="A319" s="108" t="s">
        <v>211</v>
      </c>
      <c r="B319" s="109"/>
      <c r="C319" s="109"/>
      <c r="D319" s="109"/>
      <c r="E319" s="109"/>
      <c r="F319" s="109"/>
      <c r="G319" s="109"/>
      <c r="H319" s="110"/>
      <c r="J319" s="40"/>
    </row>
    <row r="320" spans="1:14" s="56" customFormat="1" x14ac:dyDescent="0.25">
      <c r="A320" s="101">
        <v>1</v>
      </c>
      <c r="B320" s="102"/>
      <c r="C320" s="50" t="s">
        <v>189</v>
      </c>
      <c r="D320" s="51">
        <f>(1.05*2.7+2*2.25+2.9*4.5+1.45*2.4+1.9*0.9+2.9*2.75+3*3.8+2.1*1.2+2.25*1.2+1.2*(2.25+2.9+2.9+3))*10.764</f>
        <v>682.76051999999993</v>
      </c>
      <c r="E320" s="50">
        <v>0</v>
      </c>
      <c r="F320" s="50">
        <f t="shared" ref="F320:F328" si="57">D320*(($F$245)+1)+(IF(E320&lt;101,E320,IF(E320&lt;201,E320/2,IF(E320&lt;=301,E320/3,E320/4))))</f>
        <v>1058.278806</v>
      </c>
      <c r="G320" s="101" t="str">
        <f>A319</f>
        <v>12th Floor For Residential</v>
      </c>
      <c r="H320" s="102"/>
      <c r="I320" s="40"/>
      <c r="L320" s="107"/>
      <c r="M320" s="107"/>
      <c r="N320" s="40"/>
    </row>
    <row r="321" spans="1:14" s="56" customFormat="1" x14ac:dyDescent="0.25">
      <c r="A321" s="101">
        <v>2</v>
      </c>
      <c r="B321" s="102"/>
      <c r="C321" s="50" t="s">
        <v>190</v>
      </c>
      <c r="D321" s="51">
        <f>(1.05*2.7+2.2*2.25+2.9*4.5+2.75*3.5+1.25*2.1+1.25*2.1+1.2*(1.75+2.9+2.75))*10.764</f>
        <v>479.96676000000002</v>
      </c>
      <c r="E321" s="50">
        <v>0</v>
      </c>
      <c r="F321" s="50">
        <f t="shared" si="57"/>
        <v>743.94847800000002</v>
      </c>
      <c r="G321" s="101" t="str">
        <f t="shared" ref="G321:G334" si="58">G320</f>
        <v>12th Floor For Residential</v>
      </c>
      <c r="H321" s="102"/>
      <c r="I321" s="40"/>
      <c r="L321" s="107"/>
      <c r="M321" s="107"/>
      <c r="N321" s="40"/>
    </row>
    <row r="322" spans="1:14" s="56" customFormat="1" x14ac:dyDescent="0.25">
      <c r="A322" s="101">
        <v>3</v>
      </c>
      <c r="B322" s="102"/>
      <c r="C322" s="50" t="s">
        <v>190</v>
      </c>
      <c r="D322" s="51">
        <f t="shared" ref="D322:D323" si="59">(1.05*2.7+2.2*2.25+2.9*4.5+2.75*3.5+1.25*2.1+1.25*2.1+1.2*(1.75+2.9+2.75))*10.764</f>
        <v>479.96676000000002</v>
      </c>
      <c r="E322" s="50">
        <v>0</v>
      </c>
      <c r="F322" s="50">
        <f t="shared" si="57"/>
        <v>743.94847800000002</v>
      </c>
      <c r="G322" s="101" t="str">
        <f t="shared" si="58"/>
        <v>12th Floor For Residential</v>
      </c>
      <c r="H322" s="102"/>
      <c r="I322" s="40"/>
      <c r="L322" s="107"/>
      <c r="M322" s="107"/>
      <c r="N322" s="40"/>
    </row>
    <row r="323" spans="1:14" s="56" customFormat="1" ht="15.75" customHeight="1" x14ac:dyDescent="0.25">
      <c r="A323" s="101">
        <v>4</v>
      </c>
      <c r="B323" s="102"/>
      <c r="C323" s="50" t="s">
        <v>190</v>
      </c>
      <c r="D323" s="51">
        <f t="shared" si="59"/>
        <v>479.96676000000002</v>
      </c>
      <c r="E323" s="50">
        <v>0</v>
      </c>
      <c r="F323" s="50">
        <f t="shared" si="57"/>
        <v>743.94847800000002</v>
      </c>
      <c r="G323" s="101" t="str">
        <f t="shared" si="58"/>
        <v>12th Floor For Residential</v>
      </c>
      <c r="H323" s="102"/>
      <c r="I323" s="40"/>
      <c r="L323" s="107"/>
      <c r="M323" s="107"/>
      <c r="N323" s="40"/>
    </row>
    <row r="324" spans="1:14" s="56" customFormat="1" x14ac:dyDescent="0.25">
      <c r="A324" s="101">
        <v>5</v>
      </c>
      <c r="B324" s="102"/>
      <c r="C324" s="50" t="s">
        <v>190</v>
      </c>
      <c r="D324" s="51">
        <f>(1.05*2.7+2.2*2.25+3*4.5+2.9*3.5+1.25*2.1+1.4*2.1+1.2*(1.75+3+2.9))*10.764</f>
        <v>497.08151999999995</v>
      </c>
      <c r="E324" s="50">
        <v>0</v>
      </c>
      <c r="F324" s="50">
        <f t="shared" si="57"/>
        <v>770.4763559999999</v>
      </c>
      <c r="G324" s="101" t="str">
        <f t="shared" si="58"/>
        <v>12th Floor For Residential</v>
      </c>
      <c r="H324" s="102"/>
      <c r="I324" s="40"/>
      <c r="L324" s="107"/>
      <c r="M324" s="107"/>
      <c r="N324" s="40"/>
    </row>
    <row r="325" spans="1:14" s="56" customFormat="1" x14ac:dyDescent="0.25">
      <c r="A325" s="101">
        <v>6</v>
      </c>
      <c r="B325" s="102"/>
      <c r="C325" s="50" t="s">
        <v>190</v>
      </c>
      <c r="D325" s="51">
        <f>(1.05*2.7+2.2*2.25+3*4.5+2.9*3.5+1.25*2.1+1.4*2.1+1.2*(1.75+3+2.9))*10.764</f>
        <v>497.08151999999995</v>
      </c>
      <c r="E325" s="50">
        <v>0</v>
      </c>
      <c r="F325" s="50">
        <f t="shared" si="57"/>
        <v>770.4763559999999</v>
      </c>
      <c r="G325" s="101" t="str">
        <f t="shared" si="58"/>
        <v>12th Floor For Residential</v>
      </c>
      <c r="H325" s="102"/>
      <c r="I325" s="40"/>
      <c r="L325" s="107"/>
      <c r="M325" s="107"/>
      <c r="N325" s="40"/>
    </row>
    <row r="326" spans="1:14" s="56" customFormat="1" x14ac:dyDescent="0.25">
      <c r="A326" s="101">
        <v>7</v>
      </c>
      <c r="B326" s="102"/>
      <c r="C326" s="50" t="s">
        <v>190</v>
      </c>
      <c r="D326" s="51">
        <f t="shared" ref="D326:D327" si="60">(1.05*2.7+2.2*2.25+2.9*4.5+2.75*3.5+1.25*2.1+1.25*2.1+1.2*(1.75+2.9+2.75))*10.764</f>
        <v>479.96676000000002</v>
      </c>
      <c r="E326" s="50">
        <v>0</v>
      </c>
      <c r="F326" s="50">
        <f t="shared" si="57"/>
        <v>743.94847800000002</v>
      </c>
      <c r="G326" s="101" t="str">
        <f t="shared" si="58"/>
        <v>12th Floor For Residential</v>
      </c>
      <c r="H326" s="102"/>
      <c r="I326" s="40"/>
      <c r="L326" s="107"/>
      <c r="M326" s="107"/>
      <c r="N326" s="40"/>
    </row>
    <row r="327" spans="1:14" s="56" customFormat="1" x14ac:dyDescent="0.25">
      <c r="A327" s="101">
        <v>8</v>
      </c>
      <c r="B327" s="102"/>
      <c r="C327" s="50" t="s">
        <v>190</v>
      </c>
      <c r="D327" s="51">
        <f t="shared" si="60"/>
        <v>479.96676000000002</v>
      </c>
      <c r="E327" s="50">
        <v>0</v>
      </c>
      <c r="F327" s="50">
        <f t="shared" si="57"/>
        <v>743.94847800000002</v>
      </c>
      <c r="G327" s="101" t="str">
        <f t="shared" si="58"/>
        <v>12th Floor For Residential</v>
      </c>
      <c r="H327" s="102"/>
      <c r="I327" s="40"/>
      <c r="L327" s="107"/>
      <c r="M327" s="107"/>
      <c r="N327" s="40"/>
    </row>
    <row r="328" spans="1:14" s="56" customFormat="1" x14ac:dyDescent="0.25">
      <c r="A328" s="101">
        <v>9</v>
      </c>
      <c r="B328" s="102"/>
      <c r="C328" s="50" t="s">
        <v>189</v>
      </c>
      <c r="D328" s="51">
        <f>(1.05*2.7+2*2.25+2.9*4.5+1.45*2.4+1.9*0.9+2.9*2.75+3*3.8+2.1*1.2+2.25*1.2+1.2*(2.25+2.9+2.9+3))*10.764</f>
        <v>682.76051999999993</v>
      </c>
      <c r="E328" s="50">
        <v>0</v>
      </c>
      <c r="F328" s="50">
        <f t="shared" si="57"/>
        <v>1058.278806</v>
      </c>
      <c r="G328" s="101" t="str">
        <f t="shared" si="58"/>
        <v>12th Floor For Residential</v>
      </c>
      <c r="H328" s="102"/>
      <c r="I328" s="40"/>
      <c r="L328" s="107"/>
      <c r="M328" s="107"/>
      <c r="N328" s="40"/>
    </row>
    <row r="329" spans="1:14" s="56" customFormat="1" x14ac:dyDescent="0.25">
      <c r="A329" s="101">
        <v>10</v>
      </c>
      <c r="B329" s="102"/>
      <c r="C329" s="50" t="s">
        <v>189</v>
      </c>
      <c r="D329" s="51">
        <f>(1.05*2.7+2*2.25+2.9*4.5+1.45*2.4+1.9*0.9+2.9*2.75+3*3.8+2.1*1.2+2.25*1.2+1.2*(2.25+2.9+2.9+3))*10.764</f>
        <v>682.76051999999993</v>
      </c>
      <c r="E329" s="50">
        <v>0</v>
      </c>
      <c r="F329" s="50">
        <f t="shared" ref="F329:F334" si="61">D329*(($F$245)+1)+(IF(E329&lt;101,E329,IF(E329&lt;201,E329/2,IF(E329&lt;=301,E329/3,E329/4))))</f>
        <v>1058.278806</v>
      </c>
      <c r="G329" s="101" t="str">
        <f>G328</f>
        <v>12th Floor For Residential</v>
      </c>
      <c r="H329" s="102"/>
      <c r="I329" s="40"/>
      <c r="L329" s="107"/>
      <c r="M329" s="107"/>
      <c r="N329" s="40"/>
    </row>
    <row r="330" spans="1:14" s="56" customFormat="1" x14ac:dyDescent="0.25">
      <c r="A330" s="101">
        <v>11</v>
      </c>
      <c r="B330" s="102"/>
      <c r="C330" s="50" t="s">
        <v>190</v>
      </c>
      <c r="D330" s="51">
        <f>(1.05*2.7+2.2*2.25+2.9*4.5+2.75*3.5+1.25*2.1+1.25*2.1+1.2*(1.75+2.9+2.75))*10.764</f>
        <v>479.96676000000002</v>
      </c>
      <c r="E330" s="50">
        <v>0</v>
      </c>
      <c r="F330" s="50">
        <f t="shared" si="61"/>
        <v>743.94847800000002</v>
      </c>
      <c r="G330" s="101" t="str">
        <f t="shared" si="58"/>
        <v>12th Floor For Residential</v>
      </c>
      <c r="H330" s="102"/>
      <c r="I330" s="40"/>
      <c r="L330" s="107"/>
      <c r="M330" s="107"/>
      <c r="N330" s="40"/>
    </row>
    <row r="331" spans="1:14" s="56" customFormat="1" x14ac:dyDescent="0.25">
      <c r="A331" s="101">
        <v>12</v>
      </c>
      <c r="B331" s="102"/>
      <c r="C331" s="50" t="s">
        <v>190</v>
      </c>
      <c r="D331" s="51">
        <f t="shared" ref="D331:D333" si="62">(1.05*2.7+2.2*2.25+2.9*4.5+2.75*3.5+1.25*2.1+1.25*2.1+1.2*(1.75+2.9+2.75))*10.764</f>
        <v>479.96676000000002</v>
      </c>
      <c r="E331" s="50">
        <v>0</v>
      </c>
      <c r="F331" s="50">
        <f t="shared" si="61"/>
        <v>743.94847800000002</v>
      </c>
      <c r="G331" s="101" t="str">
        <f t="shared" si="58"/>
        <v>12th Floor For Residential</v>
      </c>
      <c r="H331" s="102"/>
      <c r="I331" s="40"/>
      <c r="L331" s="107"/>
      <c r="M331" s="107"/>
      <c r="N331" s="40"/>
    </row>
    <row r="332" spans="1:14" s="56" customFormat="1" x14ac:dyDescent="0.25">
      <c r="A332" s="101">
        <v>14</v>
      </c>
      <c r="B332" s="102"/>
      <c r="C332" s="50" t="s">
        <v>190</v>
      </c>
      <c r="D332" s="51">
        <f t="shared" si="62"/>
        <v>479.96676000000002</v>
      </c>
      <c r="E332" s="50">
        <v>0</v>
      </c>
      <c r="F332" s="50">
        <f t="shared" si="61"/>
        <v>743.94847800000002</v>
      </c>
      <c r="G332" s="101" t="str">
        <f>G331</f>
        <v>12th Floor For Residential</v>
      </c>
      <c r="H332" s="102"/>
      <c r="I332" s="40"/>
      <c r="L332" s="107"/>
      <c r="M332" s="107"/>
      <c r="N332" s="40"/>
    </row>
    <row r="333" spans="1:14" s="56" customFormat="1" x14ac:dyDescent="0.25">
      <c r="A333" s="101">
        <v>15</v>
      </c>
      <c r="B333" s="102"/>
      <c r="C333" s="50" t="s">
        <v>190</v>
      </c>
      <c r="D333" s="51">
        <f t="shared" si="62"/>
        <v>479.96676000000002</v>
      </c>
      <c r="E333" s="50">
        <v>0</v>
      </c>
      <c r="F333" s="50">
        <f t="shared" si="61"/>
        <v>743.94847800000002</v>
      </c>
      <c r="G333" s="101" t="str">
        <f t="shared" si="58"/>
        <v>12th Floor For Residential</v>
      </c>
      <c r="H333" s="102"/>
      <c r="I333" s="40"/>
      <c r="L333" s="107"/>
      <c r="M333" s="107"/>
      <c r="N333" s="40"/>
    </row>
    <row r="334" spans="1:14" s="56" customFormat="1" x14ac:dyDescent="0.25">
      <c r="A334" s="101">
        <v>16</v>
      </c>
      <c r="B334" s="102"/>
      <c r="C334" s="50" t="s">
        <v>189</v>
      </c>
      <c r="D334" s="51">
        <f>(1.05*2.7+2*2.25+2.9*4.5+1.45*2.4+1.9*0.9+2.9*2.75+3*3.8+2.1*1.2+2.25*1.2+1.2*(2.25+2.9+2.9+3))*10.764</f>
        <v>682.76051999999993</v>
      </c>
      <c r="E334" s="50">
        <v>0</v>
      </c>
      <c r="F334" s="50">
        <f t="shared" si="61"/>
        <v>1058.278806</v>
      </c>
      <c r="G334" s="101" t="str">
        <f t="shared" si="58"/>
        <v>12th Floor For Residential</v>
      </c>
      <c r="H334" s="102"/>
      <c r="I334" s="40"/>
      <c r="L334" s="107"/>
      <c r="M334" s="107"/>
      <c r="N334" s="40"/>
    </row>
    <row r="335" spans="1:14" s="56" customFormat="1" x14ac:dyDescent="0.25">
      <c r="A335" s="108" t="s">
        <v>199</v>
      </c>
      <c r="B335" s="109"/>
      <c r="C335" s="109"/>
      <c r="D335" s="109"/>
      <c r="E335" s="109"/>
      <c r="F335" s="109"/>
      <c r="G335" s="109"/>
      <c r="H335" s="110"/>
      <c r="J335" s="40"/>
    </row>
    <row r="336" spans="1:14" s="56" customFormat="1" ht="15.75" customHeight="1" x14ac:dyDescent="0.25">
      <c r="A336" s="101">
        <v>1</v>
      </c>
      <c r="B336" s="102"/>
      <c r="C336" s="50" t="s">
        <v>189</v>
      </c>
      <c r="D336" s="51">
        <f>(1.05*2.7+2*2.25+2.9*4.5+1.45*2.4+1.9*0.9+2.9*2.75+3*3.8+2.1*1.2+2.25*1.2+1.2*(2.25+2.9+2.9+3))*10.764</f>
        <v>682.76051999999993</v>
      </c>
      <c r="E336" s="50">
        <v>0</v>
      </c>
      <c r="F336" s="50">
        <f t="shared" ref="F336:F350" si="63">D336*(($F$245)+1)+(IF(E336&lt;101,E336,IF(E336&lt;201,E336/2,IF(E336&lt;=301,E336/3,E336/4))))</f>
        <v>1058.278806</v>
      </c>
      <c r="G336" s="113" t="str">
        <f>A335</f>
        <v>14th to 17th, 19th to 22nd, 24th to 27th, 29th to 32nd, 34th to 37th, 39th &amp; 40th Floor</v>
      </c>
      <c r="H336" s="114"/>
      <c r="I336" s="40"/>
      <c r="L336" s="107"/>
      <c r="M336" s="107"/>
      <c r="N336" s="40"/>
    </row>
    <row r="337" spans="1:14" s="56" customFormat="1" ht="15.75" customHeight="1" x14ac:dyDescent="0.25">
      <c r="A337" s="101">
        <v>2</v>
      </c>
      <c r="B337" s="102"/>
      <c r="C337" s="50" t="s">
        <v>190</v>
      </c>
      <c r="D337" s="51">
        <f>(1.05*2.7+2.2*2.25+2.9*4.5+2.75*3.5+1.25*2.1+1.25*2.1+1.2*(1.75+2.9+2.75))*10.764</f>
        <v>479.96676000000002</v>
      </c>
      <c r="E337" s="50">
        <v>0</v>
      </c>
      <c r="F337" s="50">
        <f t="shared" si="63"/>
        <v>743.94847800000002</v>
      </c>
      <c r="G337" s="115"/>
      <c r="H337" s="116"/>
      <c r="I337" s="40"/>
      <c r="L337" s="107"/>
      <c r="M337" s="107"/>
      <c r="N337" s="40"/>
    </row>
    <row r="338" spans="1:14" s="56" customFormat="1" ht="15.75" customHeight="1" x14ac:dyDescent="0.25">
      <c r="A338" s="101">
        <v>3</v>
      </c>
      <c r="B338" s="102"/>
      <c r="C338" s="50" t="s">
        <v>190</v>
      </c>
      <c r="D338" s="51">
        <f t="shared" ref="D338:D339" si="64">(1.05*2.7+2.2*2.25+2.9*4.5+2.75*3.5+1.25*2.1+1.25*2.1+1.2*(1.75+2.9+2.75))*10.764</f>
        <v>479.96676000000002</v>
      </c>
      <c r="E338" s="50">
        <v>0</v>
      </c>
      <c r="F338" s="50">
        <f t="shared" si="63"/>
        <v>743.94847800000002</v>
      </c>
      <c r="G338" s="115"/>
      <c r="H338" s="116"/>
      <c r="I338" s="40"/>
      <c r="L338" s="107"/>
      <c r="M338" s="107"/>
      <c r="N338" s="40"/>
    </row>
    <row r="339" spans="1:14" s="56" customFormat="1" ht="15.75" customHeight="1" x14ac:dyDescent="0.25">
      <c r="A339" s="101">
        <v>4</v>
      </c>
      <c r="B339" s="102"/>
      <c r="C339" s="50" t="s">
        <v>190</v>
      </c>
      <c r="D339" s="51">
        <f t="shared" si="64"/>
        <v>479.96676000000002</v>
      </c>
      <c r="E339" s="50">
        <v>0</v>
      </c>
      <c r="F339" s="50">
        <f t="shared" si="63"/>
        <v>743.94847800000002</v>
      </c>
      <c r="G339" s="115"/>
      <c r="H339" s="116"/>
      <c r="I339" s="40"/>
      <c r="L339" s="107"/>
      <c r="M339" s="107"/>
      <c r="N339" s="40"/>
    </row>
    <row r="340" spans="1:14" s="56" customFormat="1" ht="15.75" customHeight="1" x14ac:dyDescent="0.25">
      <c r="A340" s="101">
        <v>5</v>
      </c>
      <c r="B340" s="102"/>
      <c r="C340" s="50" t="s">
        <v>190</v>
      </c>
      <c r="D340" s="51">
        <f>(1.05*2.7+2.2*2.25+3*4.5+2.9*3.5+1.25*2.1+1.4*2.1+1.2*(1.75+3+2.9))*10.764</f>
        <v>497.08151999999995</v>
      </c>
      <c r="E340" s="50">
        <v>0</v>
      </c>
      <c r="F340" s="50">
        <f t="shared" si="63"/>
        <v>770.4763559999999</v>
      </c>
      <c r="G340" s="115"/>
      <c r="H340" s="116"/>
      <c r="I340" s="40"/>
      <c r="L340" s="107"/>
      <c r="M340" s="107"/>
      <c r="N340" s="40"/>
    </row>
    <row r="341" spans="1:14" s="56" customFormat="1" ht="15.75" customHeight="1" x14ac:dyDescent="0.25">
      <c r="A341" s="101">
        <v>6</v>
      </c>
      <c r="B341" s="102"/>
      <c r="C341" s="50" t="s">
        <v>190</v>
      </c>
      <c r="D341" s="51">
        <f>(1.05*2.7+2.2*2.25+3*4.5+2.9*3.5+1.25*2.1+1.4*2.1+1.2*(1.75+3+2.9))*10.764</f>
        <v>497.08151999999995</v>
      </c>
      <c r="E341" s="50">
        <v>0</v>
      </c>
      <c r="F341" s="50">
        <f t="shared" si="63"/>
        <v>770.4763559999999</v>
      </c>
      <c r="G341" s="115"/>
      <c r="H341" s="116"/>
      <c r="I341" s="40"/>
      <c r="L341" s="107"/>
      <c r="M341" s="107"/>
      <c r="N341" s="40"/>
    </row>
    <row r="342" spans="1:14" s="56" customFormat="1" ht="15.75" customHeight="1" x14ac:dyDescent="0.25">
      <c r="A342" s="101">
        <v>7</v>
      </c>
      <c r="B342" s="102"/>
      <c r="C342" s="50" t="s">
        <v>190</v>
      </c>
      <c r="D342" s="51">
        <f t="shared" ref="D342:D343" si="65">(1.05*2.7+2.2*2.25+2.9*4.5+2.75*3.5+1.25*2.1+1.25*2.1+1.2*(1.75+2.9+2.75))*10.764</f>
        <v>479.96676000000002</v>
      </c>
      <c r="E342" s="50">
        <v>0</v>
      </c>
      <c r="F342" s="50">
        <f t="shared" si="63"/>
        <v>743.94847800000002</v>
      </c>
      <c r="G342" s="115"/>
      <c r="H342" s="116"/>
      <c r="I342" s="40"/>
      <c r="L342" s="107"/>
      <c r="M342" s="107"/>
      <c r="N342" s="40"/>
    </row>
    <row r="343" spans="1:14" s="56" customFormat="1" ht="15.75" customHeight="1" x14ac:dyDescent="0.25">
      <c r="A343" s="101">
        <v>8</v>
      </c>
      <c r="B343" s="102"/>
      <c r="C343" s="50" t="s">
        <v>190</v>
      </c>
      <c r="D343" s="51">
        <f t="shared" si="65"/>
        <v>479.96676000000002</v>
      </c>
      <c r="E343" s="50">
        <v>0</v>
      </c>
      <c r="F343" s="50">
        <f t="shared" si="63"/>
        <v>743.94847800000002</v>
      </c>
      <c r="G343" s="115"/>
      <c r="H343" s="116"/>
      <c r="I343" s="40"/>
      <c r="L343" s="107"/>
      <c r="M343" s="107"/>
      <c r="N343" s="40"/>
    </row>
    <row r="344" spans="1:14" s="56" customFormat="1" ht="15.75" customHeight="1" x14ac:dyDescent="0.25">
      <c r="A344" s="101">
        <v>9</v>
      </c>
      <c r="B344" s="102"/>
      <c r="C344" s="50" t="s">
        <v>189</v>
      </c>
      <c r="D344" s="51">
        <f>(1.05*2.7+2*2.25+2.9*4.5+1.45*2.4+1.9*0.9+2.9*2.75+3*3.8+2.1*1.2+2.25*1.2+1.2*(2.25+2.9+2.9+3))*10.764</f>
        <v>682.76051999999993</v>
      </c>
      <c r="E344" s="50">
        <v>0</v>
      </c>
      <c r="F344" s="50">
        <f t="shared" si="63"/>
        <v>1058.278806</v>
      </c>
      <c r="G344" s="115"/>
      <c r="H344" s="116"/>
      <c r="I344" s="40"/>
      <c r="L344" s="107"/>
      <c r="M344" s="107"/>
      <c r="N344" s="40"/>
    </row>
    <row r="345" spans="1:14" s="56" customFormat="1" ht="15.75" customHeight="1" x14ac:dyDescent="0.25">
      <c r="A345" s="101">
        <v>10</v>
      </c>
      <c r="B345" s="102"/>
      <c r="C345" s="50" t="s">
        <v>189</v>
      </c>
      <c r="D345" s="51">
        <f>(1.05*2.7+2*2.25+2.9*4.5+1.45*2.4+1.9*0.9+2.9*2.75+3*3.8+2.1*1.2+2.25*1.2+1.2*(2.25+2.9+2.9+3))*10.764</f>
        <v>682.76051999999993</v>
      </c>
      <c r="E345" s="50">
        <v>0</v>
      </c>
      <c r="F345" s="50">
        <f t="shared" si="63"/>
        <v>1058.278806</v>
      </c>
      <c r="G345" s="115"/>
      <c r="H345" s="116"/>
      <c r="I345" s="40"/>
      <c r="L345" s="107"/>
      <c r="M345" s="107"/>
      <c r="N345" s="40"/>
    </row>
    <row r="346" spans="1:14" s="56" customFormat="1" ht="15.75" customHeight="1" x14ac:dyDescent="0.25">
      <c r="A346" s="101">
        <v>11</v>
      </c>
      <c r="B346" s="102"/>
      <c r="C346" s="50" t="s">
        <v>190</v>
      </c>
      <c r="D346" s="51">
        <f>(1.05*2.7+2.2*2.25+2.9*4.5+2.75*3.5+1.25*2.1+1.25*2.1+1.2*(1.75+2.9+2.75))*10.764</f>
        <v>479.96676000000002</v>
      </c>
      <c r="E346" s="50">
        <v>0</v>
      </c>
      <c r="F346" s="50">
        <f t="shared" si="63"/>
        <v>743.94847800000002</v>
      </c>
      <c r="G346" s="115"/>
      <c r="H346" s="116"/>
      <c r="I346" s="40"/>
      <c r="L346" s="107"/>
      <c r="M346" s="107"/>
      <c r="N346" s="40"/>
    </row>
    <row r="347" spans="1:14" s="56" customFormat="1" ht="15.75" customHeight="1" x14ac:dyDescent="0.25">
      <c r="A347" s="101">
        <v>12</v>
      </c>
      <c r="B347" s="102"/>
      <c r="C347" s="50" t="s">
        <v>190</v>
      </c>
      <c r="D347" s="51">
        <f t="shared" ref="D347:D349" si="66">(1.05*2.7+2.2*2.25+2.9*4.5+2.75*3.5+1.25*2.1+1.25*2.1+1.2*(1.75+2.9+2.75))*10.764</f>
        <v>479.96676000000002</v>
      </c>
      <c r="E347" s="50">
        <v>0</v>
      </c>
      <c r="F347" s="50">
        <f t="shared" si="63"/>
        <v>743.94847800000002</v>
      </c>
      <c r="G347" s="115"/>
      <c r="H347" s="116"/>
      <c r="I347" s="40"/>
      <c r="L347" s="107"/>
      <c r="M347" s="107"/>
      <c r="N347" s="40"/>
    </row>
    <row r="348" spans="1:14" s="56" customFormat="1" ht="15.75" customHeight="1" x14ac:dyDescent="0.25">
      <c r="A348" s="101">
        <v>14</v>
      </c>
      <c r="B348" s="102"/>
      <c r="C348" s="50" t="s">
        <v>190</v>
      </c>
      <c r="D348" s="51">
        <f t="shared" si="66"/>
        <v>479.96676000000002</v>
      </c>
      <c r="E348" s="50">
        <v>0</v>
      </c>
      <c r="F348" s="50">
        <f t="shared" si="63"/>
        <v>743.94847800000002</v>
      </c>
      <c r="G348" s="115"/>
      <c r="H348" s="116"/>
      <c r="I348" s="40"/>
      <c r="L348" s="107"/>
      <c r="M348" s="107"/>
      <c r="N348" s="40"/>
    </row>
    <row r="349" spans="1:14" s="56" customFormat="1" ht="15.75" customHeight="1" x14ac:dyDescent="0.25">
      <c r="A349" s="101">
        <v>15</v>
      </c>
      <c r="B349" s="102"/>
      <c r="C349" s="50" t="s">
        <v>190</v>
      </c>
      <c r="D349" s="51">
        <f t="shared" si="66"/>
        <v>479.96676000000002</v>
      </c>
      <c r="E349" s="50">
        <v>0</v>
      </c>
      <c r="F349" s="50">
        <f t="shared" si="63"/>
        <v>743.94847800000002</v>
      </c>
      <c r="G349" s="115"/>
      <c r="H349" s="116"/>
      <c r="I349" s="40"/>
      <c r="L349" s="107"/>
      <c r="M349" s="107"/>
      <c r="N349" s="40"/>
    </row>
    <row r="350" spans="1:14" s="56" customFormat="1" ht="15.75" customHeight="1" x14ac:dyDescent="0.25">
      <c r="A350" s="101">
        <v>16</v>
      </c>
      <c r="B350" s="102"/>
      <c r="C350" s="50" t="s">
        <v>189</v>
      </c>
      <c r="D350" s="51">
        <f>(1.05*2.7+2*2.25+2.9*4.5+1.45*2.4+1.9*0.9+2.9*2.75+3*3.8+2.1*1.2+2.25*1.2+1.2*(2.25+2.9+2.9+3))*10.764</f>
        <v>682.76051999999993</v>
      </c>
      <c r="E350" s="50">
        <v>0</v>
      </c>
      <c r="F350" s="50">
        <f t="shared" si="63"/>
        <v>1058.278806</v>
      </c>
      <c r="G350" s="117"/>
      <c r="H350" s="118"/>
      <c r="I350" s="40"/>
      <c r="L350" s="107"/>
      <c r="M350" s="107"/>
      <c r="N350" s="40"/>
    </row>
    <row r="351" spans="1:14" s="56" customFormat="1" x14ac:dyDescent="0.25">
      <c r="A351" s="108" t="s">
        <v>200</v>
      </c>
      <c r="B351" s="109"/>
      <c r="C351" s="109"/>
      <c r="D351" s="109"/>
      <c r="E351" s="109"/>
      <c r="F351" s="109"/>
      <c r="G351" s="109"/>
      <c r="H351" s="110"/>
      <c r="J351" s="40"/>
    </row>
    <row r="352" spans="1:14" s="56" customFormat="1" ht="15.75" customHeight="1" x14ac:dyDescent="0.25">
      <c r="A352" s="101">
        <v>1</v>
      </c>
      <c r="B352" s="102"/>
      <c r="C352" s="50" t="s">
        <v>189</v>
      </c>
      <c r="D352" s="51">
        <f>(1.05*2.7+2*2.25+2.9*4.5+1.45*2.4+1.9*0.9+2.9*2.75+3*3.8+2.1*1.2+2.25*1.2+1.2*(2.25+2.9+2.9+3))*10.764</f>
        <v>682.76051999999993</v>
      </c>
      <c r="E352" s="50">
        <v>0</v>
      </c>
      <c r="F352" s="50">
        <f>D352*(($F$245)+1)+(IF(E352&lt;101,E352,IF(E352&lt;201,E352/2,IF(E352&lt;=301,E352/3,E352/4))))</f>
        <v>1058.278806</v>
      </c>
      <c r="G352" s="113" t="str">
        <f>A351</f>
        <v>13th, 18th, 23rd, 28th, 33th &amp; 38th Floor (Part Refuge Area)</v>
      </c>
      <c r="H352" s="114"/>
      <c r="I352" s="40"/>
      <c r="L352" s="107"/>
      <c r="M352" s="107"/>
      <c r="N352" s="40"/>
    </row>
    <row r="353" spans="1:14" s="56" customFormat="1" ht="15.75" customHeight="1" x14ac:dyDescent="0.25">
      <c r="A353" s="101">
        <v>2</v>
      </c>
      <c r="B353" s="102"/>
      <c r="C353" s="50" t="s">
        <v>190</v>
      </c>
      <c r="D353" s="51">
        <f>(1.05*2.7+2.2*2.25+2.9*4.5+2.75*3.5+1.25*2.1+1.25*2.1+1.2*(1.75+2.9+2.75))*10.764</f>
        <v>479.96676000000002</v>
      </c>
      <c r="E353" s="50">
        <v>0</v>
      </c>
      <c r="F353" s="50">
        <f>D353*(($F$245)+1)+(IF(E353&lt;101,E353,IF(E353&lt;201,E353/2,IF(E353&lt;=301,E353/3,E353/4))))</f>
        <v>743.94847800000002</v>
      </c>
      <c r="G353" s="115"/>
      <c r="H353" s="116"/>
      <c r="I353" s="40"/>
      <c r="L353" s="107"/>
      <c r="M353" s="107"/>
      <c r="N353" s="40"/>
    </row>
    <row r="354" spans="1:14" s="56" customFormat="1" ht="15.75" customHeight="1" x14ac:dyDescent="0.25">
      <c r="A354" s="101">
        <v>3</v>
      </c>
      <c r="B354" s="102"/>
      <c r="C354" s="50" t="s">
        <v>190</v>
      </c>
      <c r="D354" s="51">
        <f t="shared" ref="D354:D355" si="67">(1.05*2.7+2.2*2.25+2.9*4.5+2.75*3.5+1.25*2.1+1.25*2.1+1.2*(1.75+2.9+2.75))*10.764</f>
        <v>479.96676000000002</v>
      </c>
      <c r="E354" s="50">
        <v>0</v>
      </c>
      <c r="F354" s="50">
        <f>D354*(($F$245)+1)+(IF(E354&lt;101,E354,IF(E354&lt;201,E354/2,IF(E354&lt;=301,E354/3,E354/4))))</f>
        <v>743.94847800000002</v>
      </c>
      <c r="G354" s="115"/>
      <c r="H354" s="116"/>
      <c r="I354" s="40"/>
      <c r="L354" s="107"/>
      <c r="M354" s="107"/>
      <c r="N354" s="40"/>
    </row>
    <row r="355" spans="1:14" s="56" customFormat="1" ht="15.75" customHeight="1" x14ac:dyDescent="0.25">
      <c r="A355" s="101">
        <v>4</v>
      </c>
      <c r="B355" s="102"/>
      <c r="C355" s="50" t="s">
        <v>190</v>
      </c>
      <c r="D355" s="51">
        <f t="shared" si="67"/>
        <v>479.96676000000002</v>
      </c>
      <c r="E355" s="50">
        <v>0</v>
      </c>
      <c r="F355" s="50">
        <f>D355*(($F$245)+1)+(IF(E355&lt;101,E355,IF(E355&lt;201,E355/2,IF(E355&lt;=301,E355/3,E355/4))))</f>
        <v>743.94847800000002</v>
      </c>
      <c r="G355" s="115"/>
      <c r="H355" s="116"/>
      <c r="I355" s="40"/>
      <c r="L355" s="107"/>
      <c r="M355" s="107"/>
      <c r="N355" s="40"/>
    </row>
    <row r="356" spans="1:14" s="56" customFormat="1" ht="15.75" customHeight="1" x14ac:dyDescent="0.25">
      <c r="A356" s="101">
        <v>5</v>
      </c>
      <c r="B356" s="102"/>
      <c r="C356" s="101" t="s">
        <v>196</v>
      </c>
      <c r="D356" s="119"/>
      <c r="E356" s="119"/>
      <c r="F356" s="102"/>
      <c r="G356" s="115"/>
      <c r="H356" s="116"/>
      <c r="I356" s="40"/>
      <c r="L356" s="107"/>
      <c r="M356" s="107"/>
      <c r="N356" s="40"/>
    </row>
    <row r="357" spans="1:14" s="56" customFormat="1" ht="15.75" customHeight="1" x14ac:dyDescent="0.25">
      <c r="A357" s="101">
        <v>6</v>
      </c>
      <c r="B357" s="102"/>
      <c r="C357" s="50" t="s">
        <v>190</v>
      </c>
      <c r="D357" s="51">
        <f>(1.05*2.7+2.2*2.25+3*4.5+2.9*3.5+1.25*2.1+1.4*2.1+1.2*(1.75+3+2.9))*10.764</f>
        <v>497.08151999999995</v>
      </c>
      <c r="E357" s="50">
        <v>0</v>
      </c>
      <c r="F357" s="50">
        <f t="shared" ref="F357:F366" si="68">D357*(($F$245)+1)+(IF(E357&lt;101,E357,IF(E357&lt;201,E357/2,IF(E357&lt;=301,E357/3,E357/4))))</f>
        <v>770.4763559999999</v>
      </c>
      <c r="G357" s="115"/>
      <c r="H357" s="116"/>
      <c r="I357" s="40"/>
      <c r="L357" s="107"/>
      <c r="M357" s="107"/>
      <c r="N357" s="40"/>
    </row>
    <row r="358" spans="1:14" s="56" customFormat="1" ht="15.75" customHeight="1" x14ac:dyDescent="0.25">
      <c r="A358" s="101">
        <v>7</v>
      </c>
      <c r="B358" s="102"/>
      <c r="C358" s="50" t="s">
        <v>190</v>
      </c>
      <c r="D358" s="51">
        <f t="shared" ref="D358:D359" si="69">(1.05*2.7+2.2*2.25+2.9*4.5+2.75*3.5+1.25*2.1+1.25*2.1+1.2*(1.75+2.9+2.75))*10.764</f>
        <v>479.96676000000002</v>
      </c>
      <c r="E358" s="50">
        <v>0</v>
      </c>
      <c r="F358" s="50">
        <f t="shared" si="68"/>
        <v>743.94847800000002</v>
      </c>
      <c r="G358" s="115"/>
      <c r="H358" s="116"/>
      <c r="I358" s="40"/>
      <c r="L358" s="107"/>
      <c r="M358" s="107"/>
      <c r="N358" s="40"/>
    </row>
    <row r="359" spans="1:14" s="56" customFormat="1" ht="15.75" customHeight="1" x14ac:dyDescent="0.25">
      <c r="A359" s="101">
        <v>8</v>
      </c>
      <c r="B359" s="102"/>
      <c r="C359" s="50" t="s">
        <v>190</v>
      </c>
      <c r="D359" s="51">
        <f t="shared" si="69"/>
        <v>479.96676000000002</v>
      </c>
      <c r="E359" s="50">
        <v>0</v>
      </c>
      <c r="F359" s="50">
        <f t="shared" si="68"/>
        <v>743.94847800000002</v>
      </c>
      <c r="G359" s="115"/>
      <c r="H359" s="116"/>
      <c r="I359" s="40"/>
      <c r="L359" s="107"/>
      <c r="M359" s="107"/>
      <c r="N359" s="40"/>
    </row>
    <row r="360" spans="1:14" s="56" customFormat="1" ht="15.75" customHeight="1" x14ac:dyDescent="0.25">
      <c r="A360" s="101">
        <v>9</v>
      </c>
      <c r="B360" s="102"/>
      <c r="C360" s="50" t="s">
        <v>189</v>
      </c>
      <c r="D360" s="51">
        <f>(1.05*2.7+2*2.25+2.9*4.5+1.45*2.4+1.9*0.9+2.9*2.75+3*3.8+2.1*1.2+2.25*1.2+1.2*(2.25+2.9+2.9+3))*10.764</f>
        <v>682.76051999999993</v>
      </c>
      <c r="E360" s="50">
        <v>0</v>
      </c>
      <c r="F360" s="50">
        <f t="shared" si="68"/>
        <v>1058.278806</v>
      </c>
      <c r="G360" s="115"/>
      <c r="H360" s="116"/>
      <c r="I360" s="40"/>
      <c r="L360" s="107"/>
      <c r="M360" s="107"/>
      <c r="N360" s="40"/>
    </row>
    <row r="361" spans="1:14" s="56" customFormat="1" ht="15.75" customHeight="1" x14ac:dyDescent="0.25">
      <c r="A361" s="101">
        <v>10</v>
      </c>
      <c r="B361" s="102"/>
      <c r="C361" s="50" t="s">
        <v>189</v>
      </c>
      <c r="D361" s="51">
        <f>(1.05*2.7+2*2.25+2.9*4.5+1.45*2.4+1.9*0.9+2.9*2.75+3*3.8+2.1*1.2+2.25*1.2+1.2*(2.25+2.9+2.9+3))*10.764</f>
        <v>682.76051999999993</v>
      </c>
      <c r="E361" s="50">
        <v>0</v>
      </c>
      <c r="F361" s="50">
        <f t="shared" si="68"/>
        <v>1058.278806</v>
      </c>
      <c r="G361" s="115"/>
      <c r="H361" s="116"/>
      <c r="I361" s="40"/>
      <c r="L361" s="107"/>
      <c r="M361" s="107"/>
      <c r="N361" s="40"/>
    </row>
    <row r="362" spans="1:14" s="56" customFormat="1" ht="15.75" customHeight="1" x14ac:dyDescent="0.25">
      <c r="A362" s="101">
        <v>11</v>
      </c>
      <c r="B362" s="102"/>
      <c r="C362" s="50" t="s">
        <v>190</v>
      </c>
      <c r="D362" s="51">
        <f>(1.05*2.7+2.2*2.25+2.9*4.5+2.75*3.5+1.25*2.1+1.25*2.1+1.2*(1.75+2.9+2.75))*10.764</f>
        <v>479.96676000000002</v>
      </c>
      <c r="E362" s="50">
        <v>0</v>
      </c>
      <c r="F362" s="50">
        <f t="shared" si="68"/>
        <v>743.94847800000002</v>
      </c>
      <c r="G362" s="115"/>
      <c r="H362" s="116"/>
      <c r="I362" s="40"/>
      <c r="L362" s="107"/>
      <c r="M362" s="107"/>
      <c r="N362" s="40"/>
    </row>
    <row r="363" spans="1:14" s="56" customFormat="1" ht="15.75" customHeight="1" x14ac:dyDescent="0.25">
      <c r="A363" s="101">
        <v>12</v>
      </c>
      <c r="B363" s="102"/>
      <c r="C363" s="50" t="s">
        <v>190</v>
      </c>
      <c r="D363" s="51">
        <f t="shared" ref="D363:D365" si="70">(1.05*2.7+2.2*2.25+2.9*4.5+2.75*3.5+1.25*2.1+1.25*2.1+1.2*(1.75+2.9+2.75))*10.764</f>
        <v>479.96676000000002</v>
      </c>
      <c r="E363" s="50">
        <v>0</v>
      </c>
      <c r="F363" s="50">
        <f t="shared" si="68"/>
        <v>743.94847800000002</v>
      </c>
      <c r="G363" s="115"/>
      <c r="H363" s="116"/>
      <c r="I363" s="40"/>
      <c r="L363" s="107"/>
      <c r="M363" s="107"/>
      <c r="N363" s="40"/>
    </row>
    <row r="364" spans="1:14" s="56" customFormat="1" ht="15.75" customHeight="1" x14ac:dyDescent="0.25">
      <c r="A364" s="101">
        <v>14</v>
      </c>
      <c r="B364" s="102"/>
      <c r="C364" s="50" t="s">
        <v>190</v>
      </c>
      <c r="D364" s="51">
        <f t="shared" si="70"/>
        <v>479.96676000000002</v>
      </c>
      <c r="E364" s="50">
        <v>0</v>
      </c>
      <c r="F364" s="50">
        <f t="shared" si="68"/>
        <v>743.94847800000002</v>
      </c>
      <c r="G364" s="115"/>
      <c r="H364" s="116"/>
      <c r="I364" s="40"/>
      <c r="L364" s="107"/>
      <c r="M364" s="107"/>
      <c r="N364" s="40"/>
    </row>
    <row r="365" spans="1:14" s="56" customFormat="1" ht="15.75" customHeight="1" x14ac:dyDescent="0.25">
      <c r="A365" s="101">
        <v>15</v>
      </c>
      <c r="B365" s="102"/>
      <c r="C365" s="50" t="s">
        <v>190</v>
      </c>
      <c r="D365" s="51">
        <f t="shared" si="70"/>
        <v>479.96676000000002</v>
      </c>
      <c r="E365" s="50">
        <v>0</v>
      </c>
      <c r="F365" s="50">
        <f t="shared" si="68"/>
        <v>743.94847800000002</v>
      </c>
      <c r="G365" s="115"/>
      <c r="H365" s="116"/>
      <c r="I365" s="40"/>
      <c r="L365" s="107"/>
      <c r="M365" s="107"/>
      <c r="N365" s="40"/>
    </row>
    <row r="366" spans="1:14" s="56" customFormat="1" ht="15.75" customHeight="1" x14ac:dyDescent="0.25">
      <c r="A366" s="101">
        <v>16</v>
      </c>
      <c r="B366" s="102"/>
      <c r="C366" s="50" t="s">
        <v>189</v>
      </c>
      <c r="D366" s="51">
        <f>(1.05*2.7+2*2.25+2.9*4.5+1.45*2.4+1.9*0.9+2.9*2.75+3*3.8+2.1*1.2+2.25*1.2+1.2*(2.25+2.9+2.9+3))*10.764</f>
        <v>682.76051999999993</v>
      </c>
      <c r="E366" s="50">
        <v>0</v>
      </c>
      <c r="F366" s="50">
        <f t="shared" si="68"/>
        <v>1058.278806</v>
      </c>
      <c r="G366" s="117"/>
      <c r="H366" s="118"/>
      <c r="I366" s="40"/>
      <c r="L366" s="107"/>
      <c r="M366" s="107"/>
      <c r="N366" s="40"/>
    </row>
    <row r="367" spans="1:14" s="56" customFormat="1" x14ac:dyDescent="0.25">
      <c r="A367" s="108" t="s">
        <v>185</v>
      </c>
      <c r="B367" s="109"/>
      <c r="C367" s="109"/>
      <c r="D367" s="109"/>
      <c r="E367" s="109"/>
      <c r="F367" s="109"/>
      <c r="G367" s="109"/>
      <c r="H367" s="110"/>
      <c r="J367" s="40"/>
    </row>
    <row r="368" spans="1:14" s="56" customFormat="1" x14ac:dyDescent="0.25">
      <c r="A368" s="108" t="s">
        <v>233</v>
      </c>
      <c r="B368" s="109"/>
      <c r="C368" s="109"/>
      <c r="D368" s="109"/>
      <c r="E368" s="109"/>
      <c r="F368" s="109"/>
      <c r="G368" s="109"/>
      <c r="H368" s="110"/>
      <c r="J368" s="40"/>
    </row>
    <row r="369" spans="1:14" s="56" customFormat="1" x14ac:dyDescent="0.25">
      <c r="A369" s="108" t="s">
        <v>214</v>
      </c>
      <c r="B369" s="109"/>
      <c r="C369" s="109"/>
      <c r="D369" s="109"/>
      <c r="E369" s="109"/>
      <c r="F369" s="109"/>
      <c r="G369" s="109"/>
      <c r="H369" s="110"/>
      <c r="J369" s="40"/>
    </row>
    <row r="370" spans="1:14" s="56" customFormat="1" x14ac:dyDescent="0.25">
      <c r="A370" s="108" t="s">
        <v>215</v>
      </c>
      <c r="B370" s="109"/>
      <c r="C370" s="109"/>
      <c r="D370" s="109"/>
      <c r="E370" s="109"/>
      <c r="F370" s="109"/>
      <c r="G370" s="109"/>
      <c r="H370" s="110"/>
      <c r="J370" s="40"/>
    </row>
    <row r="371" spans="1:14" s="56" customFormat="1" x14ac:dyDescent="0.25">
      <c r="A371" s="108" t="s">
        <v>216</v>
      </c>
      <c r="B371" s="109"/>
      <c r="C371" s="109"/>
      <c r="D371" s="109"/>
      <c r="E371" s="109"/>
      <c r="F371" s="109"/>
      <c r="G371" s="109"/>
      <c r="H371" s="110"/>
      <c r="J371" s="40"/>
    </row>
    <row r="372" spans="1:14" s="56" customFormat="1" ht="15.75" customHeight="1" x14ac:dyDescent="0.25">
      <c r="A372" s="108" t="s">
        <v>209</v>
      </c>
      <c r="B372" s="109"/>
      <c r="C372" s="109"/>
      <c r="D372" s="109"/>
      <c r="E372" s="109"/>
      <c r="F372" s="109"/>
      <c r="G372" s="109"/>
      <c r="H372" s="110"/>
      <c r="J372" s="40"/>
    </row>
    <row r="373" spans="1:14" s="56" customFormat="1" x14ac:dyDescent="0.25">
      <c r="A373" s="101">
        <v>1</v>
      </c>
      <c r="B373" s="102"/>
      <c r="C373" s="50" t="s">
        <v>198</v>
      </c>
      <c r="D373" s="51">
        <f>(1.1*2.4+2.85*2.25+3.96*5.15+1.5*0.9+3.6*3+3.5*2.9+3.31*2.75+1.35*1.7+2*1.5+2*1.35+1.45*1.2)*10.764</f>
        <v>759.76617599999997</v>
      </c>
      <c r="E373" s="50">
        <f>(2.7*3)*10.764</f>
        <v>87.188400000000016</v>
      </c>
      <c r="F373" s="50">
        <f>D373*(($F$245)+1)+(IF(E373&lt;101,E373,IF(E373&lt;201,E373/2,IF(E373&lt;=301,E373/3,E373/4))))</f>
        <v>1264.8259728</v>
      </c>
      <c r="G373" s="101" t="str">
        <f>A372</f>
        <v>11th Floor For Residential &amp; Amenities</v>
      </c>
      <c r="H373" s="102"/>
      <c r="I373" s="40"/>
      <c r="L373" s="107"/>
      <c r="M373" s="107"/>
      <c r="N373" s="40"/>
    </row>
    <row r="374" spans="1:14" s="56" customFormat="1" x14ac:dyDescent="0.25">
      <c r="A374" s="101">
        <v>2</v>
      </c>
      <c r="B374" s="102"/>
      <c r="C374" s="50" t="s">
        <v>198</v>
      </c>
      <c r="D374" s="51">
        <f>(1.1*2.4+2.85*2.25+3.96*5.15+1.5*0.9+3.6*3+3.5*2.9+3.31*2.75+1.35*1.7+2*1.5+2*1.35+1.45*1.2)*10.764</f>
        <v>759.76617599999997</v>
      </c>
      <c r="E374" s="50">
        <f>(2.7*3)*10.764</f>
        <v>87.188400000000016</v>
      </c>
      <c r="F374" s="50">
        <f>D374*(($F$245)+1)+(IF(E374&lt;101,E374,IF(E374&lt;201,E374/2,IF(E374&lt;=301,E374/3,E374/4))))</f>
        <v>1264.8259728</v>
      </c>
      <c r="G374" s="101" t="str">
        <f>G373</f>
        <v>11th Floor For Residential &amp; Amenities</v>
      </c>
      <c r="H374" s="102"/>
      <c r="I374" s="40"/>
      <c r="L374" s="107"/>
      <c r="M374" s="107"/>
      <c r="N374" s="40"/>
    </row>
    <row r="375" spans="1:14" s="56" customFormat="1" ht="15.75" customHeight="1" x14ac:dyDescent="0.25">
      <c r="A375" s="108" t="s">
        <v>211</v>
      </c>
      <c r="B375" s="109"/>
      <c r="C375" s="109"/>
      <c r="D375" s="109"/>
      <c r="E375" s="109"/>
      <c r="F375" s="109"/>
      <c r="G375" s="109"/>
      <c r="H375" s="110"/>
      <c r="J375" s="40"/>
    </row>
    <row r="376" spans="1:14" s="56" customFormat="1" x14ac:dyDescent="0.25">
      <c r="A376" s="101">
        <v>1</v>
      </c>
      <c r="B376" s="102"/>
      <c r="C376" s="50" t="s">
        <v>198</v>
      </c>
      <c r="D376" s="51">
        <f>(1.1*2.4+2.85*2.25+3.96*5.15+1.5*0.9+3.6*3+3.5*2.9+3.31*2.75+1.35*1.7+2*1.5+2*1.35+(2.7+1.45+2.9+2.75)*1.2)*10.764</f>
        <v>867.62145600000008</v>
      </c>
      <c r="E376" s="50">
        <v>0</v>
      </c>
      <c r="F376" s="50">
        <f>D376*(($F$245)+1)+(IF(E376&lt;101,E376,IF(E376&lt;201,E376/2,IF(E376&lt;=301,E376/3,E376/4))))</f>
        <v>1344.8132568000001</v>
      </c>
      <c r="G376" s="101" t="str">
        <f>A375</f>
        <v>12th Floor For Residential</v>
      </c>
      <c r="H376" s="102"/>
      <c r="I376" s="40"/>
      <c r="L376" s="107"/>
      <c r="M376" s="107"/>
      <c r="N376" s="40"/>
    </row>
    <row r="377" spans="1:14" s="56" customFormat="1" x14ac:dyDescent="0.25">
      <c r="A377" s="101">
        <v>2</v>
      </c>
      <c r="B377" s="102"/>
      <c r="C377" s="50" t="s">
        <v>198</v>
      </c>
      <c r="D377" s="51">
        <f>(1.1*2.4+2.85*2.25+3.96*5.15+1.5*0.9+3.6*3+3.5*2.9+3.31*2.75+1.35*1.7+2*1.5+2*1.35+(2.7+1.45+2.9+2.75)*1.2)*10.764</f>
        <v>867.62145600000008</v>
      </c>
      <c r="E377" s="50">
        <v>0</v>
      </c>
      <c r="F377" s="50">
        <f>D377*(($F$245)+1)+(IF(E377&lt;101,E377,IF(E377&lt;201,E377/2,IF(E377&lt;=301,E377/3,E377/4))))</f>
        <v>1344.8132568000001</v>
      </c>
      <c r="G377" s="101" t="str">
        <f>G376</f>
        <v>12th Floor For Residential</v>
      </c>
      <c r="H377" s="102"/>
      <c r="I377" s="40"/>
      <c r="L377" s="107"/>
      <c r="M377" s="107"/>
      <c r="N377" s="40"/>
    </row>
    <row r="378" spans="1:14" s="56" customFormat="1" ht="15.75" customHeight="1" x14ac:dyDescent="0.25">
      <c r="A378" s="108" t="s">
        <v>199</v>
      </c>
      <c r="B378" s="109"/>
      <c r="C378" s="109"/>
      <c r="D378" s="109"/>
      <c r="E378" s="109"/>
      <c r="F378" s="109"/>
      <c r="G378" s="109"/>
      <c r="H378" s="110"/>
      <c r="J378" s="40"/>
    </row>
    <row r="379" spans="1:14" s="56" customFormat="1" ht="15.75" customHeight="1" x14ac:dyDescent="0.25">
      <c r="A379" s="101">
        <v>1</v>
      </c>
      <c r="B379" s="102"/>
      <c r="C379" s="50" t="s">
        <v>198</v>
      </c>
      <c r="D379" s="51">
        <f>(1.1*2.4+2.85*2.25+3.96*5.15+1.5*0.9+3.6*3+3.5*2.9+3.31*2.75+1.35*1.7+2*1.5+2*1.35+(2.7+1.45+2.9+2.75)*1.2)*10.764</f>
        <v>867.62145600000008</v>
      </c>
      <c r="E379" s="50">
        <v>0</v>
      </c>
      <c r="F379" s="50">
        <f t="shared" ref="F379:F388" si="71">D379*(($F$245)+1)+(IF(E379&lt;101,E379,IF(E379&lt;201,E379/2,IF(E379&lt;=301,E379/3,E379/4))))</f>
        <v>1344.8132568000001</v>
      </c>
      <c r="G379" s="113" t="str">
        <f>A378</f>
        <v>14th to 17th, 19th to 22nd, 24th to 27th, 29th to 32nd, 34th to 37th, 39th &amp; 40th Floor</v>
      </c>
      <c r="H379" s="114"/>
      <c r="I379" s="40">
        <f>16000000/F379</f>
        <v>11897.562668345641</v>
      </c>
      <c r="L379" s="107"/>
      <c r="M379" s="107"/>
      <c r="N379" s="40"/>
    </row>
    <row r="380" spans="1:14" s="56" customFormat="1" ht="15.75" customHeight="1" x14ac:dyDescent="0.25">
      <c r="A380" s="101">
        <v>2</v>
      </c>
      <c r="B380" s="102"/>
      <c r="C380" s="50" t="s">
        <v>198</v>
      </c>
      <c r="D380" s="51">
        <f>(1.1*2.4+2.85*2.25+3.96*5.15+1.5*0.9+3.6*3+3.5*2.9+3.31*2.75+1.35*1.7+2*1.5+2*1.35+(2.7+1.45+2.9+2.75)*1.2)*10.764</f>
        <v>867.62145600000008</v>
      </c>
      <c r="E380" s="50">
        <v>0</v>
      </c>
      <c r="F380" s="50">
        <f t="shared" si="71"/>
        <v>1344.8132568000001</v>
      </c>
      <c r="G380" s="115"/>
      <c r="H380" s="116"/>
      <c r="I380" s="40"/>
      <c r="L380" s="107"/>
      <c r="M380" s="107"/>
      <c r="N380" s="40"/>
    </row>
    <row r="381" spans="1:14" s="56" customFormat="1" ht="15.75" customHeight="1" x14ac:dyDescent="0.25">
      <c r="A381" s="101">
        <v>3</v>
      </c>
      <c r="B381" s="102"/>
      <c r="C381" s="50" t="s">
        <v>190</v>
      </c>
      <c r="D381" s="51">
        <f>(2.4*1.05+4.5*2.9+2.1*2.2+3.35*2.65+2.1*1.25+2.1*1.25+1.1*(2.9+2.65+1.75))*10.764</f>
        <v>455.82848999999993</v>
      </c>
      <c r="E381" s="50">
        <v>0</v>
      </c>
      <c r="F381" s="50">
        <f t="shared" si="71"/>
        <v>706.53415949999987</v>
      </c>
      <c r="G381" s="115"/>
      <c r="H381" s="116"/>
      <c r="I381" s="40"/>
      <c r="L381" s="107"/>
      <c r="M381" s="107"/>
      <c r="N381" s="40"/>
    </row>
    <row r="382" spans="1:14" s="56" customFormat="1" ht="15.75" customHeight="1" x14ac:dyDescent="0.25">
      <c r="A382" s="101">
        <v>4</v>
      </c>
      <c r="B382" s="102"/>
      <c r="C382" s="50" t="s">
        <v>190</v>
      </c>
      <c r="D382" s="51">
        <f t="shared" ref="D382:D383" si="72">(2.4*1.05+4.5*2.9+2.1*2.2+3.35*2.65+2.1*1.25+2.1*1.25+1.1*(2.9+2.65+1.75))*10.764</f>
        <v>455.82848999999993</v>
      </c>
      <c r="E382" s="50">
        <v>0</v>
      </c>
      <c r="F382" s="50">
        <f t="shared" si="71"/>
        <v>706.53415949999987</v>
      </c>
      <c r="G382" s="115"/>
      <c r="H382" s="116"/>
      <c r="I382" s="40"/>
      <c r="L382" s="107"/>
      <c r="M382" s="107"/>
      <c r="N382" s="40"/>
    </row>
    <row r="383" spans="1:14" s="56" customFormat="1" ht="15.75" customHeight="1" x14ac:dyDescent="0.25">
      <c r="A383" s="101">
        <v>5</v>
      </c>
      <c r="B383" s="102"/>
      <c r="C383" s="50" t="s">
        <v>190</v>
      </c>
      <c r="D383" s="51">
        <f t="shared" si="72"/>
        <v>455.82848999999993</v>
      </c>
      <c r="E383" s="50">
        <v>0</v>
      </c>
      <c r="F383" s="50">
        <f t="shared" si="71"/>
        <v>706.53415949999987</v>
      </c>
      <c r="G383" s="115"/>
      <c r="H383" s="116"/>
      <c r="I383" s="40">
        <f>7500000/F383</f>
        <v>10615.198004449778</v>
      </c>
      <c r="L383" s="107"/>
      <c r="M383" s="107"/>
      <c r="N383" s="40"/>
    </row>
    <row r="384" spans="1:14" s="56" customFormat="1" ht="15.75" customHeight="1" x14ac:dyDescent="0.25">
      <c r="A384" s="101">
        <v>6</v>
      </c>
      <c r="B384" s="102"/>
      <c r="C384" s="50" t="s">
        <v>190</v>
      </c>
      <c r="D384" s="51">
        <f>(2.4*1.05+4.5*2.9+2.1*2.2+3.35*2.65+2.1*1.25+2.1*1.25+1.1*(2.55+2.65+1.75))*10.764</f>
        <v>451.68434999999988</v>
      </c>
      <c r="E384" s="50">
        <v>0</v>
      </c>
      <c r="F384" s="50">
        <f t="shared" si="71"/>
        <v>700.11074249999979</v>
      </c>
      <c r="G384" s="115"/>
      <c r="H384" s="116"/>
      <c r="I384" s="40">
        <f>8000000/F384</f>
        <v>11426.763673748375</v>
      </c>
      <c r="L384" s="107"/>
      <c r="M384" s="107"/>
      <c r="N384" s="40"/>
    </row>
    <row r="385" spans="1:14" s="56" customFormat="1" ht="15.75" customHeight="1" x14ac:dyDescent="0.25">
      <c r="A385" s="101">
        <v>7</v>
      </c>
      <c r="B385" s="102"/>
      <c r="C385" s="50" t="s">
        <v>190</v>
      </c>
      <c r="D385" s="51">
        <f>(2.4*1.05+4.5*2.9+2.1*2.2+3.35*2.65+2.1*1.25+2.1*1.25+1.1*(2.55+2.65+1.75))*10.764</f>
        <v>451.68434999999988</v>
      </c>
      <c r="E385" s="50">
        <v>0</v>
      </c>
      <c r="F385" s="50">
        <f t="shared" si="71"/>
        <v>700.11074249999979</v>
      </c>
      <c r="G385" s="115"/>
      <c r="H385" s="116"/>
      <c r="I385" s="40">
        <f>7500000/F385</f>
        <v>10712.590944139101</v>
      </c>
      <c r="L385" s="107"/>
      <c r="M385" s="107"/>
      <c r="N385" s="40"/>
    </row>
    <row r="386" spans="1:14" s="56" customFormat="1" ht="15.75" customHeight="1" x14ac:dyDescent="0.25">
      <c r="A386" s="101">
        <v>8</v>
      </c>
      <c r="B386" s="102"/>
      <c r="C386" s="50" t="s">
        <v>190</v>
      </c>
      <c r="D386" s="51">
        <f t="shared" ref="D386:D388" si="73">(2.4*1.05+4.5*2.9+2.1*2.2+3.35*2.65+2.1*1.25+2.1*1.25+1.1*(2.9+2.65+1.75))*10.764</f>
        <v>455.82848999999993</v>
      </c>
      <c r="E386" s="50">
        <v>0</v>
      </c>
      <c r="F386" s="50">
        <f t="shared" si="71"/>
        <v>706.53415949999987</v>
      </c>
      <c r="G386" s="115"/>
      <c r="H386" s="116"/>
      <c r="I386" s="40">
        <f>8000000/F386</f>
        <v>11322.877871413097</v>
      </c>
      <c r="L386" s="107"/>
      <c r="M386" s="107"/>
      <c r="N386" s="40"/>
    </row>
    <row r="387" spans="1:14" s="56" customFormat="1" ht="15.75" customHeight="1" x14ac:dyDescent="0.25">
      <c r="A387" s="101">
        <v>9</v>
      </c>
      <c r="B387" s="102"/>
      <c r="C387" s="50" t="s">
        <v>190</v>
      </c>
      <c r="D387" s="51">
        <f t="shared" si="73"/>
        <v>455.82848999999993</v>
      </c>
      <c r="E387" s="50">
        <v>0</v>
      </c>
      <c r="F387" s="50">
        <f t="shared" si="71"/>
        <v>706.53415949999987</v>
      </c>
      <c r="G387" s="115"/>
      <c r="H387" s="116"/>
      <c r="I387" s="40"/>
      <c r="L387" s="107"/>
      <c r="M387" s="107"/>
      <c r="N387" s="40"/>
    </row>
    <row r="388" spans="1:14" s="56" customFormat="1" ht="15.75" customHeight="1" x14ac:dyDescent="0.25">
      <c r="A388" s="101">
        <v>10</v>
      </c>
      <c r="B388" s="102"/>
      <c r="C388" s="50" t="s">
        <v>190</v>
      </c>
      <c r="D388" s="51">
        <f t="shared" si="73"/>
        <v>455.82848999999993</v>
      </c>
      <c r="E388" s="50">
        <v>0</v>
      </c>
      <c r="F388" s="50">
        <f t="shared" si="71"/>
        <v>706.53415949999987</v>
      </c>
      <c r="G388" s="117"/>
      <c r="H388" s="118"/>
      <c r="I388" s="40">
        <f>6900000/F388</f>
        <v>9765.9821640937953</v>
      </c>
      <c r="L388" s="107"/>
      <c r="M388" s="107"/>
      <c r="N388" s="40"/>
    </row>
    <row r="389" spans="1:14" s="56" customFormat="1" ht="15.75" customHeight="1" x14ac:dyDescent="0.25">
      <c r="A389" s="108" t="s">
        <v>200</v>
      </c>
      <c r="B389" s="109"/>
      <c r="C389" s="109"/>
      <c r="D389" s="109"/>
      <c r="E389" s="109"/>
      <c r="F389" s="109"/>
      <c r="G389" s="109"/>
      <c r="H389" s="110"/>
      <c r="J389" s="40"/>
    </row>
    <row r="390" spans="1:14" s="56" customFormat="1" ht="15.75" customHeight="1" x14ac:dyDescent="0.25">
      <c r="A390" s="101">
        <v>1</v>
      </c>
      <c r="B390" s="102"/>
      <c r="C390" s="50" t="s">
        <v>198</v>
      </c>
      <c r="D390" s="51">
        <f>(1.1*2.4+2.85*2.25+3.96*5.15+1.5*0.9+3.6*3+3.5*2.9+3.31*2.75+1.35*1.7+2*1.5+2*1.35+(2.7+1.45+2.9+2.75)*1.2)*10.764</f>
        <v>867.62145600000008</v>
      </c>
      <c r="E390" s="50">
        <v>0</v>
      </c>
      <c r="F390" s="50">
        <f>D390*(($F$245)+1)+(IF(E390&lt;101,E390,IF(E390&lt;201,E390/2,IF(E390&lt;=301,E390/3,E390/4))))</f>
        <v>1344.8132568000001</v>
      </c>
      <c r="G390" s="113" t="str">
        <f>A389</f>
        <v>13th, 18th, 23rd, 28th, 33th &amp; 38th Floor (Part Refuge Area)</v>
      </c>
      <c r="H390" s="114"/>
      <c r="I390" s="40">
        <f>13500000/F390</f>
        <v>10038.568501416634</v>
      </c>
      <c r="L390" s="107"/>
      <c r="M390" s="107"/>
      <c r="N390" s="40"/>
    </row>
    <row r="391" spans="1:14" s="56" customFormat="1" ht="15.75" customHeight="1" x14ac:dyDescent="0.25">
      <c r="A391" s="101">
        <v>2</v>
      </c>
      <c r="B391" s="102"/>
      <c r="C391" s="101" t="s">
        <v>196</v>
      </c>
      <c r="D391" s="119"/>
      <c r="E391" s="119"/>
      <c r="F391" s="102"/>
      <c r="G391" s="115"/>
      <c r="H391" s="116"/>
      <c r="I391" s="40"/>
      <c r="L391" s="107"/>
      <c r="M391" s="107"/>
      <c r="N391" s="40"/>
    </row>
    <row r="392" spans="1:14" s="56" customFormat="1" ht="15.75" customHeight="1" x14ac:dyDescent="0.25">
      <c r="A392" s="101">
        <v>3</v>
      </c>
      <c r="B392" s="102"/>
      <c r="C392" s="50" t="s">
        <v>190</v>
      </c>
      <c r="D392" s="51">
        <f>(2.4*1.05+4.5*2.9+2.1*2.2+3.35*2.65+2.1*1.25+2.1*1.25+1.1*(2.9+2.65+1.75))*10.764</f>
        <v>455.82848999999993</v>
      </c>
      <c r="E392" s="50">
        <v>0</v>
      </c>
      <c r="F392" s="50">
        <f t="shared" ref="F392:F399" si="74">D392*(($F$245)+1)+(IF(E392&lt;101,E392,IF(E392&lt;201,E392/2,IF(E392&lt;=301,E392/3,E392/4))))</f>
        <v>706.53415949999987</v>
      </c>
      <c r="G392" s="115"/>
      <c r="H392" s="116"/>
      <c r="I392" s="40"/>
      <c r="L392" s="107"/>
      <c r="M392" s="107"/>
      <c r="N392" s="40"/>
    </row>
    <row r="393" spans="1:14" s="56" customFormat="1" ht="15.75" customHeight="1" x14ac:dyDescent="0.25">
      <c r="A393" s="101">
        <v>4</v>
      </c>
      <c r="B393" s="102"/>
      <c r="C393" s="50" t="s">
        <v>190</v>
      </c>
      <c r="D393" s="51">
        <f t="shared" ref="D393:D394" si="75">(2.4*1.05+4.5*2.9+2.1*2.2+3.35*2.65+2.1*1.25+2.1*1.25+1.1*(2.9+2.65+1.75))*10.764</f>
        <v>455.82848999999993</v>
      </c>
      <c r="E393" s="50">
        <v>0</v>
      </c>
      <c r="F393" s="50">
        <f t="shared" si="74"/>
        <v>706.53415949999987</v>
      </c>
      <c r="G393" s="115"/>
      <c r="H393" s="116"/>
      <c r="I393" s="40"/>
      <c r="L393" s="107"/>
      <c r="M393" s="107"/>
      <c r="N393" s="40"/>
    </row>
    <row r="394" spans="1:14" s="56" customFormat="1" ht="15.75" customHeight="1" x14ac:dyDescent="0.25">
      <c r="A394" s="101">
        <v>5</v>
      </c>
      <c r="B394" s="102"/>
      <c r="C394" s="50" t="s">
        <v>190</v>
      </c>
      <c r="D394" s="51">
        <f t="shared" si="75"/>
        <v>455.82848999999993</v>
      </c>
      <c r="E394" s="50">
        <v>0</v>
      </c>
      <c r="F394" s="50">
        <f t="shared" si="74"/>
        <v>706.53415949999987</v>
      </c>
      <c r="G394" s="115"/>
      <c r="H394" s="116"/>
      <c r="I394" s="40"/>
      <c r="L394" s="107"/>
      <c r="M394" s="107"/>
      <c r="N394" s="40"/>
    </row>
    <row r="395" spans="1:14" s="56" customFormat="1" ht="15.75" customHeight="1" x14ac:dyDescent="0.25">
      <c r="A395" s="101">
        <v>6</v>
      </c>
      <c r="B395" s="102"/>
      <c r="C395" s="50" t="s">
        <v>190</v>
      </c>
      <c r="D395" s="51">
        <f>(2.4*1.05+4.5*2.9+2.1*2.2+3.35*2.65+2.1*1.25+2.1*1.25+1.1*(2.55+2.65+1.75))*10.764</f>
        <v>451.68434999999988</v>
      </c>
      <c r="E395" s="50">
        <v>0</v>
      </c>
      <c r="F395" s="50">
        <f t="shared" si="74"/>
        <v>700.11074249999979</v>
      </c>
      <c r="G395" s="115"/>
      <c r="H395" s="116"/>
      <c r="I395" s="40"/>
      <c r="L395" s="107"/>
      <c r="M395" s="107"/>
      <c r="N395" s="40"/>
    </row>
    <row r="396" spans="1:14" s="56" customFormat="1" ht="15.75" customHeight="1" x14ac:dyDescent="0.25">
      <c r="A396" s="101">
        <v>7</v>
      </c>
      <c r="B396" s="102"/>
      <c r="C396" s="50" t="s">
        <v>190</v>
      </c>
      <c r="D396" s="51">
        <f>(2.4*1.05+4.5*2.9+2.1*2.2+3.35*2.65+2.1*1.25+2.1*1.25+1.1*(2.55+2.65+1.75))*10.764</f>
        <v>451.68434999999988</v>
      </c>
      <c r="E396" s="50">
        <v>0</v>
      </c>
      <c r="F396" s="50">
        <f t="shared" si="74"/>
        <v>700.11074249999979</v>
      </c>
      <c r="G396" s="115"/>
      <c r="H396" s="116"/>
      <c r="I396" s="40"/>
      <c r="L396" s="107"/>
      <c r="M396" s="107"/>
      <c r="N396" s="40"/>
    </row>
    <row r="397" spans="1:14" s="56" customFormat="1" ht="15.75" customHeight="1" x14ac:dyDescent="0.25">
      <c r="A397" s="101">
        <v>8</v>
      </c>
      <c r="B397" s="102"/>
      <c r="C397" s="50" t="s">
        <v>190</v>
      </c>
      <c r="D397" s="51">
        <f t="shared" ref="D397:D399" si="76">(2.4*1.05+4.5*2.9+2.1*2.2+3.35*2.65+2.1*1.25+2.1*1.25+1.1*(2.9+2.65+1.75))*10.764</f>
        <v>455.82848999999993</v>
      </c>
      <c r="E397" s="50">
        <v>0</v>
      </c>
      <c r="F397" s="50">
        <f t="shared" si="74"/>
        <v>706.53415949999987</v>
      </c>
      <c r="G397" s="115"/>
      <c r="H397" s="116"/>
      <c r="I397" s="40"/>
      <c r="L397" s="107"/>
      <c r="M397" s="107"/>
      <c r="N397" s="40"/>
    </row>
    <row r="398" spans="1:14" s="56" customFormat="1" ht="15.75" customHeight="1" x14ac:dyDescent="0.25">
      <c r="A398" s="101">
        <v>9</v>
      </c>
      <c r="B398" s="102"/>
      <c r="C398" s="50" t="s">
        <v>190</v>
      </c>
      <c r="D398" s="51">
        <f t="shared" si="76"/>
        <v>455.82848999999993</v>
      </c>
      <c r="E398" s="50">
        <v>0</v>
      </c>
      <c r="F398" s="50">
        <f t="shared" si="74"/>
        <v>706.53415949999987</v>
      </c>
      <c r="G398" s="115"/>
      <c r="H398" s="116"/>
      <c r="I398" s="40"/>
      <c r="L398" s="107"/>
      <c r="M398" s="107"/>
      <c r="N398" s="40"/>
    </row>
    <row r="399" spans="1:14" s="56" customFormat="1" ht="15.75" customHeight="1" x14ac:dyDescent="0.25">
      <c r="A399" s="101">
        <v>10</v>
      </c>
      <c r="B399" s="102"/>
      <c r="C399" s="50" t="s">
        <v>190</v>
      </c>
      <c r="D399" s="51">
        <f t="shared" si="76"/>
        <v>455.82848999999993</v>
      </c>
      <c r="E399" s="50">
        <v>0</v>
      </c>
      <c r="F399" s="50">
        <f t="shared" si="74"/>
        <v>706.53415949999987</v>
      </c>
      <c r="G399" s="117"/>
      <c r="H399" s="118"/>
      <c r="I399" s="40"/>
      <c r="L399" s="107"/>
      <c r="M399" s="107"/>
      <c r="N399" s="40"/>
    </row>
    <row r="400" spans="1:14" s="56" customFormat="1" x14ac:dyDescent="0.25">
      <c r="A400" s="108" t="s">
        <v>242</v>
      </c>
      <c r="B400" s="109"/>
      <c r="C400" s="109"/>
      <c r="D400" s="109"/>
      <c r="E400" s="109"/>
      <c r="F400" s="109"/>
      <c r="G400" s="109"/>
      <c r="H400" s="110"/>
      <c r="J400" s="40"/>
    </row>
    <row r="401" spans="1:14" s="56" customFormat="1" x14ac:dyDescent="0.25">
      <c r="A401" s="108" t="s">
        <v>186</v>
      </c>
      <c r="B401" s="109"/>
      <c r="C401" s="109"/>
      <c r="D401" s="109"/>
      <c r="E401" s="109"/>
      <c r="F401" s="109"/>
      <c r="G401" s="109"/>
      <c r="H401" s="110"/>
      <c r="J401" s="40"/>
    </row>
    <row r="402" spans="1:14" s="58" customFormat="1" x14ac:dyDescent="0.25">
      <c r="A402" s="108" t="s">
        <v>184</v>
      </c>
      <c r="B402" s="109"/>
      <c r="C402" s="109"/>
      <c r="D402" s="109"/>
      <c r="E402" s="109"/>
      <c r="F402" s="109"/>
      <c r="G402" s="109"/>
      <c r="H402" s="110"/>
      <c r="J402" s="49"/>
    </row>
    <row r="403" spans="1:14" s="58" customFormat="1" x14ac:dyDescent="0.25">
      <c r="A403" s="108" t="s">
        <v>203</v>
      </c>
      <c r="B403" s="109"/>
      <c r="C403" s="109"/>
      <c r="D403" s="109"/>
      <c r="E403" s="109"/>
      <c r="F403" s="109"/>
      <c r="G403" s="109"/>
      <c r="H403" s="110"/>
      <c r="J403" s="49"/>
    </row>
    <row r="404" spans="1:14" s="58" customFormat="1" x14ac:dyDescent="0.25">
      <c r="A404" s="101">
        <v>1</v>
      </c>
      <c r="B404" s="102"/>
      <c r="C404" s="50" t="s">
        <v>189</v>
      </c>
      <c r="D404" s="51">
        <f>(1.95*1.05+1.65*2+4.75*2.75+0.45*1.8+2.75*2.4+3.8*2.75+0.9*2.5+1.23*2.3+1.23*2.3+1.2*(1.25+2.75+2.4+2.75))*10.764</f>
        <v>593.72071199999993</v>
      </c>
      <c r="E404" s="50">
        <v>0</v>
      </c>
      <c r="F404" s="50">
        <f>D404*(($F$245)+1)+(IF(E404&lt;101,E404,IF(E404&lt;201,E404/2,IF(E404&lt;=301,E404/3,E404/4))))</f>
        <v>920.26710359999993</v>
      </c>
      <c r="G404" s="101" t="str">
        <f>A403</f>
        <v>1st Floor For Residential &amp; Parking</v>
      </c>
      <c r="H404" s="102"/>
      <c r="I404" s="49">
        <f>12500000/F404</f>
        <v>13583.012965584834</v>
      </c>
      <c r="L404" s="103"/>
      <c r="M404" s="103"/>
      <c r="N404" s="49"/>
    </row>
    <row r="405" spans="1:14" s="58" customFormat="1" x14ac:dyDescent="0.25">
      <c r="A405" s="101">
        <f t="shared" ref="A405:A406" si="77">A404+1</f>
        <v>2</v>
      </c>
      <c r="B405" s="102"/>
      <c r="C405" s="50" t="s">
        <v>189</v>
      </c>
      <c r="D405" s="51">
        <f t="shared" ref="D405:D406" si="78">(1.95*1.05+1.65*2+4.75*2.75+0.45*1.8+2.75*2.4+3.8*2.75+0.9*2.5+1.23*2.3+1.23*2.3+1.2*(1.25+2.75+2.4+2.75))*10.764</f>
        <v>593.72071199999993</v>
      </c>
      <c r="E405" s="50">
        <v>0</v>
      </c>
      <c r="F405" s="50">
        <f>D405*(($F$245)+1)+(IF(E405&lt;101,E405,IF(E405&lt;201,E405/2,IF(E405&lt;=301,E405/3,E405/4))))</f>
        <v>920.26710359999993</v>
      </c>
      <c r="G405" s="101" t="str">
        <f t="shared" ref="G405:G406" si="79">G404</f>
        <v>1st Floor For Residential &amp; Parking</v>
      </c>
      <c r="H405" s="102"/>
      <c r="I405" s="49">
        <f>13000000/F405</f>
        <v>14126.333484208226</v>
      </c>
      <c r="L405" s="103"/>
      <c r="M405" s="103"/>
      <c r="N405" s="49"/>
    </row>
    <row r="406" spans="1:14" s="58" customFormat="1" x14ac:dyDescent="0.25">
      <c r="A406" s="101">
        <f t="shared" si="77"/>
        <v>3</v>
      </c>
      <c r="B406" s="102"/>
      <c r="C406" s="50" t="s">
        <v>189</v>
      </c>
      <c r="D406" s="51">
        <f t="shared" si="78"/>
        <v>593.72071199999993</v>
      </c>
      <c r="E406" s="50">
        <v>0</v>
      </c>
      <c r="F406" s="50">
        <f>D406*(($F$245)+1)+(IF(E406&lt;101,E406,IF(E406&lt;201,E406/2,IF(E406&lt;=301,E406/3,E406/4))))</f>
        <v>920.26710359999993</v>
      </c>
      <c r="G406" s="101" t="str">
        <f t="shared" si="79"/>
        <v>1st Floor For Residential &amp; Parking</v>
      </c>
      <c r="H406" s="102"/>
      <c r="I406" s="49"/>
      <c r="L406" s="103"/>
      <c r="M406" s="103"/>
      <c r="N406" s="49"/>
    </row>
    <row r="407" spans="1:14" s="58" customFormat="1" x14ac:dyDescent="0.25">
      <c r="A407" s="101">
        <v>4</v>
      </c>
      <c r="B407" s="102"/>
      <c r="C407" s="50" t="s">
        <v>189</v>
      </c>
      <c r="D407" s="51">
        <f>(1.05*2.7+3.2*2.25+3*4.35+1.4*2.55+0.9*2.2+3.05*3.15+3*4.2+2*1.35+2.55*1.35+1.2*(3+2.25+3.05+3))*10.764</f>
        <v>759.34637999999995</v>
      </c>
      <c r="E407" s="50">
        <v>0</v>
      </c>
      <c r="F407" s="50">
        <f>D407*(($F$245)+1)+(IF(E407&lt;101,E407,IF(E407&lt;201,E407/2,IF(E407&lt;=301,E407/3,E407/4))))</f>
        <v>1176.986889</v>
      </c>
      <c r="G407" s="101" t="str">
        <f>A403</f>
        <v>1st Floor For Residential &amp; Parking</v>
      </c>
      <c r="H407" s="102"/>
      <c r="I407" s="49">
        <f>12500000/F407</f>
        <v>10620.339204135349</v>
      </c>
      <c r="L407" s="103"/>
      <c r="M407" s="103"/>
      <c r="N407" s="49"/>
    </row>
    <row r="408" spans="1:14" s="58" customFormat="1" x14ac:dyDescent="0.25">
      <c r="A408" s="101">
        <f t="shared" ref="A408" si="80">A407+1</f>
        <v>5</v>
      </c>
      <c r="B408" s="102"/>
      <c r="C408" s="50" t="s">
        <v>189</v>
      </c>
      <c r="D408" s="51">
        <f>(1.05*2.7+3.2*2.25+3*4.35+1.4*2.55+0.9*2.2+3.05*3.15+3*4.2+2*1.35+2.55*1.35+1.2*(3+2.25+3.05+3))*10.764</f>
        <v>759.34637999999995</v>
      </c>
      <c r="E408" s="50">
        <v>0</v>
      </c>
      <c r="F408" s="50">
        <f>D408*(($F$245)+1)+(IF(E408&lt;101,E408,IF(E408&lt;201,E408/2,IF(E408&lt;=301,E408/3,E408/4))))</f>
        <v>1176.986889</v>
      </c>
      <c r="G408" s="101" t="str">
        <f t="shared" ref="G408" si="81">G407</f>
        <v>1st Floor For Residential &amp; Parking</v>
      </c>
      <c r="H408" s="102"/>
      <c r="I408" s="49">
        <f>13000000/F408</f>
        <v>11045.152772300762</v>
      </c>
      <c r="L408" s="103"/>
      <c r="M408" s="103"/>
      <c r="N408" s="49"/>
    </row>
    <row r="409" spans="1:14" s="58" customFormat="1" x14ac:dyDescent="0.25">
      <c r="A409" s="108" t="s">
        <v>205</v>
      </c>
      <c r="B409" s="109"/>
      <c r="C409" s="109"/>
      <c r="D409" s="109"/>
      <c r="E409" s="109"/>
      <c r="F409" s="109"/>
      <c r="G409" s="109"/>
      <c r="H409" s="110"/>
      <c r="J409" s="49"/>
    </row>
    <row r="410" spans="1:14" s="58" customFormat="1" x14ac:dyDescent="0.25">
      <c r="A410" s="101">
        <v>1</v>
      </c>
      <c r="B410" s="102"/>
      <c r="C410" s="50" t="s">
        <v>189</v>
      </c>
      <c r="D410" s="51">
        <f>(1.95*1.05+1.65*2+4.75*2.75+0.45*1.8+2.75*2.4+3.8*2.75+0.9*2.5+1.23*2.3+1.23*2.3+1.2*(1.25+2.75+2.4+2.75))*10.764</f>
        <v>593.72071199999993</v>
      </c>
      <c r="E410" s="50">
        <v>0</v>
      </c>
      <c r="F410" s="50">
        <f>D410*(($F$245)+1)+(IF(E410&lt;101,E410,IF(E410&lt;201,E410/2,IF(E410&lt;=301,E410/3,E410/4))))</f>
        <v>920.26710359999993</v>
      </c>
      <c r="G410" s="101" t="str">
        <f>A409</f>
        <v>2nd Floor  For Residential &amp; Parking</v>
      </c>
      <c r="H410" s="102"/>
      <c r="I410" s="49"/>
      <c r="L410" s="103"/>
      <c r="M410" s="103"/>
      <c r="N410" s="49"/>
    </row>
    <row r="411" spans="1:14" s="58" customFormat="1" x14ac:dyDescent="0.25">
      <c r="A411" s="101">
        <f t="shared" ref="A411:A412" si="82">A410+1</f>
        <v>2</v>
      </c>
      <c r="B411" s="102"/>
      <c r="C411" s="50" t="s">
        <v>189</v>
      </c>
      <c r="D411" s="51">
        <f t="shared" ref="D411:D412" si="83">(1.95*1.05+1.65*2+4.75*2.75+0.45*1.8+2.75*2.4+3.8*2.75+0.9*2.5+1.23*2.3+1.23*2.3+1.2*(1.25+2.75+2.4+2.75))*10.764</f>
        <v>593.72071199999993</v>
      </c>
      <c r="E411" s="50">
        <v>0</v>
      </c>
      <c r="F411" s="50">
        <f>D411*(($F$245)+1)+(IF(E411&lt;101,E411,IF(E411&lt;201,E411/2,IF(E411&lt;=301,E411/3,E411/4))))</f>
        <v>920.26710359999993</v>
      </c>
      <c r="G411" s="101" t="str">
        <f t="shared" ref="G411:G414" si="84">G410</f>
        <v>2nd Floor  For Residential &amp; Parking</v>
      </c>
      <c r="H411" s="102"/>
      <c r="I411" s="49">
        <f>9900000/F411</f>
        <v>10757.746268743187</v>
      </c>
      <c r="J411" s="58">
        <v>9000</v>
      </c>
      <c r="K411" s="58">
        <v>10700</v>
      </c>
      <c r="L411" s="103"/>
      <c r="M411" s="103"/>
      <c r="N411" s="49"/>
    </row>
    <row r="412" spans="1:14" s="58" customFormat="1" x14ac:dyDescent="0.25">
      <c r="A412" s="101">
        <f t="shared" si="82"/>
        <v>3</v>
      </c>
      <c r="B412" s="102"/>
      <c r="C412" s="50" t="s">
        <v>189</v>
      </c>
      <c r="D412" s="51">
        <f t="shared" si="83"/>
        <v>593.72071199999993</v>
      </c>
      <c r="E412" s="50">
        <v>0</v>
      </c>
      <c r="F412" s="50">
        <f>D412*(($F$245)+1)+(IF(E412&lt;101,E412,IF(E412&lt;201,E412/2,IF(E412&lt;=301,E412/3,E412/4))))</f>
        <v>920.26710359999993</v>
      </c>
      <c r="G412" s="101" t="str">
        <f t="shared" si="84"/>
        <v>2nd Floor  For Residential &amp; Parking</v>
      </c>
      <c r="H412" s="102"/>
      <c r="I412" s="49">
        <f>9000000/F412</f>
        <v>9779.7693352210808</v>
      </c>
      <c r="L412" s="103"/>
      <c r="M412" s="103"/>
      <c r="N412" s="49"/>
    </row>
    <row r="413" spans="1:14" s="58" customFormat="1" x14ac:dyDescent="0.25">
      <c r="A413" s="101">
        <v>4</v>
      </c>
      <c r="B413" s="102"/>
      <c r="C413" s="50" t="s">
        <v>189</v>
      </c>
      <c r="D413" s="51">
        <f>(1.05*2.7+3.2*2.25+3*4.35+1.4*2.55+0.9*2.2+3.05*3.15+3*4.2+2*1.35+2.55*1.35+1.2*(3+2.25+3.05+3))*10.764</f>
        <v>759.34637999999995</v>
      </c>
      <c r="E413" s="50">
        <v>0</v>
      </c>
      <c r="F413" s="50">
        <f>D413*(($F$245)+1)+(IF(E413&lt;101,E413,IF(E413&lt;201,E413/2,IF(E413&lt;=301,E413/3,E413/4))))</f>
        <v>1176.986889</v>
      </c>
      <c r="G413" s="101" t="str">
        <f t="shared" si="84"/>
        <v>2nd Floor  For Residential &amp; Parking</v>
      </c>
      <c r="H413" s="102"/>
      <c r="I413" s="49"/>
      <c r="L413" s="103"/>
      <c r="M413" s="103"/>
      <c r="N413" s="49"/>
    </row>
    <row r="414" spans="1:14" s="58" customFormat="1" x14ac:dyDescent="0.25">
      <c r="A414" s="101">
        <f t="shared" ref="A414" si="85">A413+1</f>
        <v>5</v>
      </c>
      <c r="B414" s="102"/>
      <c r="C414" s="50" t="s">
        <v>189</v>
      </c>
      <c r="D414" s="51">
        <f>(1.05*2.7+3.2*2.25+3*4.35+1.4*2.55+0.9*2.2+3.05*3.15+3*4.2+2*1.35+2.55*1.35+1.2*(3+2.25+3.05+3))*10.764</f>
        <v>759.34637999999995</v>
      </c>
      <c r="E414" s="50">
        <v>0</v>
      </c>
      <c r="F414" s="50">
        <f>D414*(($F$245)+1)+(IF(E414&lt;101,E414,IF(E414&lt;201,E414/2,IF(E414&lt;=301,E414/3,E414/4))))</f>
        <v>1176.986889</v>
      </c>
      <c r="G414" s="101" t="str">
        <f t="shared" si="84"/>
        <v>2nd Floor  For Residential &amp; Parking</v>
      </c>
      <c r="H414" s="102"/>
      <c r="I414" s="49"/>
      <c r="L414" s="103"/>
      <c r="M414" s="103"/>
      <c r="N414" s="49"/>
    </row>
    <row r="415" spans="1:14" s="58" customFormat="1" x14ac:dyDescent="0.25">
      <c r="A415" s="108" t="s">
        <v>206</v>
      </c>
      <c r="B415" s="109"/>
      <c r="C415" s="109"/>
      <c r="D415" s="109"/>
      <c r="E415" s="109"/>
      <c r="F415" s="109"/>
      <c r="G415" s="109"/>
      <c r="H415" s="110"/>
      <c r="J415" s="49"/>
    </row>
    <row r="416" spans="1:14" s="58" customFormat="1" x14ac:dyDescent="0.25">
      <c r="A416" s="101">
        <v>1</v>
      </c>
      <c r="B416" s="102"/>
      <c r="C416" s="50" t="s">
        <v>189</v>
      </c>
      <c r="D416" s="51">
        <f>(1.95*1.05+1.65*2+4.75*2.75+0.45*1.8+2.75*2.4+3.8*2.75+0.9*2.5+1.23*2.3+1.23*2.3+1.2*(1.25+2.75+2.4+2.75))*10.764</f>
        <v>593.72071199999993</v>
      </c>
      <c r="E416" s="50">
        <v>0</v>
      </c>
      <c r="F416" s="50">
        <f>D416*(($F$245)+1)+(IF(E416&lt;101,E416,IF(E416&lt;201,E416/2,IF(E416&lt;=301,E416/3,E416/4))))</f>
        <v>920.26710359999993</v>
      </c>
      <c r="G416" s="101" t="str">
        <f>A415</f>
        <v>3rd &amp; 4th Floor For Residential &amp; Parking</v>
      </c>
      <c r="H416" s="102"/>
      <c r="I416" s="49"/>
      <c r="L416" s="103"/>
      <c r="M416" s="103"/>
      <c r="N416" s="49"/>
    </row>
    <row r="417" spans="1:14" s="58" customFormat="1" x14ac:dyDescent="0.25">
      <c r="A417" s="101">
        <f t="shared" ref="A417:A418" si="86">A416+1</f>
        <v>2</v>
      </c>
      <c r="B417" s="102"/>
      <c r="C417" s="50" t="s">
        <v>189</v>
      </c>
      <c r="D417" s="51">
        <f t="shared" ref="D417:D418" si="87">(1.95*1.05+1.65*2+4.75*2.75+0.45*1.8+2.75*2.4+3.8*2.75+0.9*2.5+1.23*2.3+1.23*2.3+1.2*(1.25+2.75+2.4+2.75))*10.764</f>
        <v>593.72071199999993</v>
      </c>
      <c r="E417" s="50">
        <v>0</v>
      </c>
      <c r="F417" s="50">
        <f>D417*(($F$245)+1)+(IF(E417&lt;101,E417,IF(E417&lt;201,E417/2,IF(E417&lt;=301,E417/3,E417/4))))</f>
        <v>920.26710359999993</v>
      </c>
      <c r="G417" s="101" t="str">
        <f t="shared" ref="G417:G418" si="88">G416</f>
        <v>3rd &amp; 4th Floor For Residential &amp; Parking</v>
      </c>
      <c r="H417" s="102"/>
      <c r="I417" s="49"/>
      <c r="L417" s="103"/>
      <c r="M417" s="103"/>
      <c r="N417" s="49"/>
    </row>
    <row r="418" spans="1:14" s="58" customFormat="1" x14ac:dyDescent="0.25">
      <c r="A418" s="101">
        <f t="shared" si="86"/>
        <v>3</v>
      </c>
      <c r="B418" s="102"/>
      <c r="C418" s="50" t="s">
        <v>189</v>
      </c>
      <c r="D418" s="51">
        <f t="shared" si="87"/>
        <v>593.72071199999993</v>
      </c>
      <c r="E418" s="50">
        <v>0</v>
      </c>
      <c r="F418" s="50">
        <f>D418*(($F$245)+1)+(IF(E418&lt;101,E418,IF(E418&lt;201,E418/2,IF(E418&lt;=301,E418/3,E418/4))))</f>
        <v>920.26710359999993</v>
      </c>
      <c r="G418" s="101" t="str">
        <f t="shared" si="88"/>
        <v>3rd &amp; 4th Floor For Residential &amp; Parking</v>
      </c>
      <c r="H418" s="102"/>
      <c r="I418" s="49"/>
      <c r="L418" s="103"/>
      <c r="M418" s="103"/>
      <c r="N418" s="49"/>
    </row>
    <row r="419" spans="1:14" s="58" customFormat="1" x14ac:dyDescent="0.25">
      <c r="A419" s="101">
        <v>4</v>
      </c>
      <c r="B419" s="102"/>
      <c r="C419" s="50" t="s">
        <v>189</v>
      </c>
      <c r="D419" s="51">
        <f>(1.05*2.7+3.2*2.25+3*4.35+1.4*2.55+0.9*2.2+3.05*3.15+3*4.2+2*1.35+2.55*1.35+1.2*(3+2.25+3.05+3))*10.764</f>
        <v>759.34637999999995</v>
      </c>
      <c r="E419" s="50">
        <v>0</v>
      </c>
      <c r="F419" s="50">
        <f>D419*(($F$245)+1)+(IF(E419&lt;101,E419,IF(E419&lt;201,E419/2,IF(E419&lt;=301,E419/3,E419/4))))</f>
        <v>1176.986889</v>
      </c>
      <c r="G419" s="101" t="str">
        <f>A415</f>
        <v>3rd &amp; 4th Floor For Residential &amp; Parking</v>
      </c>
      <c r="H419" s="102"/>
      <c r="I419" s="49">
        <f>9500000/F419</f>
        <v>8071.4577951428646</v>
      </c>
      <c r="L419" s="103"/>
      <c r="M419" s="103"/>
      <c r="N419" s="49"/>
    </row>
    <row r="420" spans="1:14" s="58" customFormat="1" x14ac:dyDescent="0.25">
      <c r="A420" s="101">
        <f t="shared" ref="A420" si="89">A419+1</f>
        <v>5</v>
      </c>
      <c r="B420" s="102"/>
      <c r="C420" s="50" t="s">
        <v>189</v>
      </c>
      <c r="D420" s="51">
        <f>(1.05*2.7+3.2*2.25+3*4.35+1.4*2.55+0.9*2.2+3.05*3.15+3*4.2+2*1.35+2.55*1.35+1.2*(3+2.25+3.05+3))*10.764</f>
        <v>759.34637999999995</v>
      </c>
      <c r="E420" s="50">
        <v>0</v>
      </c>
      <c r="F420" s="50">
        <f>D420*(($F$245)+1)+(IF(E420&lt;101,E420,IF(E420&lt;201,E420/2,IF(E420&lt;=301,E420/3,E420/4))))</f>
        <v>1176.986889</v>
      </c>
      <c r="G420" s="101" t="str">
        <f t="shared" ref="G420" si="90">G419</f>
        <v>3rd &amp; 4th Floor For Residential &amp; Parking</v>
      </c>
      <c r="H420" s="102"/>
      <c r="I420" s="49"/>
      <c r="L420" s="103"/>
      <c r="M420" s="103"/>
      <c r="N420" s="49"/>
    </row>
    <row r="421" spans="1:14" s="58" customFormat="1" x14ac:dyDescent="0.25">
      <c r="A421" s="108" t="s">
        <v>207</v>
      </c>
      <c r="B421" s="109"/>
      <c r="C421" s="109"/>
      <c r="D421" s="109"/>
      <c r="E421" s="109"/>
      <c r="F421" s="109"/>
      <c r="G421" s="109"/>
      <c r="H421" s="110"/>
      <c r="J421" s="49"/>
    </row>
    <row r="422" spans="1:14" s="58" customFormat="1" x14ac:dyDescent="0.25">
      <c r="A422" s="101">
        <v>1</v>
      </c>
      <c r="B422" s="102"/>
      <c r="C422" s="50" t="s">
        <v>189</v>
      </c>
      <c r="D422" s="51">
        <f>(1.95*1.05+1.65*2+4.75*2.75+0.45*1.8+2.75*2.4+3.8*2.75+0.9*2.5+1.23*2.3+1.23*2.3+1.2*(1.25+2.75+2.4+2.75))*10.764</f>
        <v>593.72071199999993</v>
      </c>
      <c r="E422" s="50">
        <v>0</v>
      </c>
      <c r="F422" s="50">
        <f>D422*(($F$245)+1)+(IF(E422&lt;101,E422,IF(E422&lt;201,E422/2,IF(E422&lt;=301,E422/3,E422/4))))</f>
        <v>920.26710359999993</v>
      </c>
      <c r="G422" s="101" t="str">
        <f>A421</f>
        <v>5th Floor For Residential &amp; Parking</v>
      </c>
      <c r="H422" s="102"/>
      <c r="I422" s="49"/>
      <c r="L422" s="103"/>
      <c r="M422" s="103"/>
      <c r="N422" s="49"/>
    </row>
    <row r="423" spans="1:14" s="58" customFormat="1" x14ac:dyDescent="0.25">
      <c r="A423" s="101">
        <f t="shared" ref="A423:A424" si="91">A422+1</f>
        <v>2</v>
      </c>
      <c r="B423" s="102"/>
      <c r="C423" s="50" t="s">
        <v>189</v>
      </c>
      <c r="D423" s="51">
        <f t="shared" ref="D423:D424" si="92">(1.95*1.05+1.65*2+4.75*2.75+0.45*1.8+2.75*2.4+3.8*2.75+0.9*2.5+1.23*2.3+1.23*2.3+1.2*(1.25+2.75+2.4+2.75))*10.764</f>
        <v>593.72071199999993</v>
      </c>
      <c r="E423" s="50">
        <v>0</v>
      </c>
      <c r="F423" s="50">
        <f>D423*(($F$245)+1)+(IF(E423&lt;101,E423,IF(E423&lt;201,E423/2,IF(E423&lt;=301,E423/3,E423/4))))</f>
        <v>920.26710359999993</v>
      </c>
      <c r="G423" s="101" t="str">
        <f t="shared" ref="G423:G424" si="93">G422</f>
        <v>5th Floor For Residential &amp; Parking</v>
      </c>
      <c r="H423" s="102"/>
      <c r="I423" s="49"/>
      <c r="L423" s="103"/>
      <c r="M423" s="103"/>
      <c r="N423" s="49"/>
    </row>
    <row r="424" spans="1:14" s="58" customFormat="1" x14ac:dyDescent="0.25">
      <c r="A424" s="101">
        <f t="shared" si="91"/>
        <v>3</v>
      </c>
      <c r="B424" s="102"/>
      <c r="C424" s="50" t="s">
        <v>189</v>
      </c>
      <c r="D424" s="51">
        <f t="shared" si="92"/>
        <v>593.72071199999993</v>
      </c>
      <c r="E424" s="50">
        <v>0</v>
      </c>
      <c r="F424" s="50">
        <f>D424*(($F$245)+1)+(IF(E424&lt;101,E424,IF(E424&lt;201,E424/2,IF(E424&lt;=301,E424/3,E424/4))))</f>
        <v>920.26710359999993</v>
      </c>
      <c r="G424" s="101" t="str">
        <f t="shared" si="93"/>
        <v>5th Floor For Residential &amp; Parking</v>
      </c>
      <c r="H424" s="102"/>
      <c r="I424" s="49"/>
      <c r="L424" s="103"/>
      <c r="M424" s="103"/>
      <c r="N424" s="49"/>
    </row>
    <row r="425" spans="1:14" s="58" customFormat="1" x14ac:dyDescent="0.25">
      <c r="A425" s="101">
        <v>4</v>
      </c>
      <c r="B425" s="102"/>
      <c r="C425" s="50" t="s">
        <v>189</v>
      </c>
      <c r="D425" s="51">
        <f>(1.05*2.7+3.2*2.25+3*4.35+1.4*2.55+0.9*2.2+3.05*3.15+3*4.2+2*1.35+2.55*1.35+1.2*(3+2.25+3.05+3))*10.764</f>
        <v>759.34637999999995</v>
      </c>
      <c r="E425" s="50">
        <v>0</v>
      </c>
      <c r="F425" s="50">
        <f>D425*(($F$245)+1)+(IF(E425&lt;101,E425,IF(E425&lt;201,E425/2,IF(E425&lt;=301,E425/3,E425/4))))</f>
        <v>1176.986889</v>
      </c>
      <c r="G425" s="101" t="str">
        <f>A421</f>
        <v>5th Floor For Residential &amp; Parking</v>
      </c>
      <c r="H425" s="102"/>
      <c r="I425" s="49"/>
      <c r="L425" s="103"/>
      <c r="M425" s="103"/>
      <c r="N425" s="49"/>
    </row>
    <row r="426" spans="1:14" s="58" customFormat="1" x14ac:dyDescent="0.25">
      <c r="A426" s="101">
        <f t="shared" ref="A426" si="94">A425+1</f>
        <v>5</v>
      </c>
      <c r="B426" s="102"/>
      <c r="C426" s="50" t="s">
        <v>189</v>
      </c>
      <c r="D426" s="51">
        <f>(1.05*2.7+3.2*2.25+3*4.35+1.4*2.55+0.9*2.2+3.05*3.15+3*4.2+2*1.35+2.55*1.35+1.2*(3+2.25+3.05+3))*10.764</f>
        <v>759.34637999999995</v>
      </c>
      <c r="E426" s="50">
        <v>0</v>
      </c>
      <c r="F426" s="50">
        <f>D426*(($F$245)+1)+(IF(E426&lt;101,E426,IF(E426&lt;201,E426/2,IF(E426&lt;=301,E426/3,E426/4))))</f>
        <v>1176.986889</v>
      </c>
      <c r="G426" s="101" t="str">
        <f t="shared" ref="G426" si="95">G425</f>
        <v>5th Floor For Residential &amp; Parking</v>
      </c>
      <c r="H426" s="102"/>
      <c r="I426" s="49"/>
      <c r="L426" s="103"/>
      <c r="M426" s="103"/>
      <c r="N426" s="49"/>
    </row>
    <row r="427" spans="1:14" s="58" customFormat="1" x14ac:dyDescent="0.25">
      <c r="A427" s="108" t="s">
        <v>208</v>
      </c>
      <c r="B427" s="109"/>
      <c r="C427" s="109"/>
      <c r="D427" s="109"/>
      <c r="E427" s="109"/>
      <c r="F427" s="109"/>
      <c r="G427" s="109"/>
      <c r="H427" s="110"/>
      <c r="J427" s="49"/>
    </row>
    <row r="428" spans="1:14" s="58" customFormat="1" ht="15.75" customHeight="1" x14ac:dyDescent="0.25">
      <c r="A428" s="101">
        <v>1</v>
      </c>
      <c r="B428" s="102"/>
      <c r="C428" s="50" t="s">
        <v>189</v>
      </c>
      <c r="D428" s="51">
        <f>(1.95*1.05+1.65*2+4.75*2.75+0.45*1.8+2.75*2.4+3.8*2.75+0.9*2.5+1.23*2.3+1.23*2.3+1.2*(1.25+2.75+2.4+2.75))*10.764</f>
        <v>593.72071199999993</v>
      </c>
      <c r="E428" s="50">
        <v>0</v>
      </c>
      <c r="F428" s="50">
        <f>D428*(($F$245)+1)+(IF(E428&lt;101,E428,IF(E428&lt;201,E428/2,IF(E428&lt;=301,E428/3,E428/4))))</f>
        <v>920.26710359999993</v>
      </c>
      <c r="G428" s="113" t="str">
        <f>A427</f>
        <v>6th, 7th, 9th &amp; 10th Floor For Residential &amp; Parking</v>
      </c>
      <c r="H428" s="114"/>
      <c r="I428" s="49"/>
      <c r="L428" s="103"/>
      <c r="M428" s="103"/>
      <c r="N428" s="49"/>
    </row>
    <row r="429" spans="1:14" s="58" customFormat="1" ht="15.75" customHeight="1" x14ac:dyDescent="0.25">
      <c r="A429" s="101">
        <f t="shared" ref="A429:A430" si="96">A428+1</f>
        <v>2</v>
      </c>
      <c r="B429" s="102"/>
      <c r="C429" s="50" t="s">
        <v>189</v>
      </c>
      <c r="D429" s="51">
        <f t="shared" ref="D429:D430" si="97">(1.95*1.05+1.65*2+4.75*2.75+0.45*1.8+2.75*2.4+3.8*2.75+0.9*2.5+1.23*2.3+1.23*2.3+1.2*(1.25+2.75+2.4+2.75))*10.764</f>
        <v>593.72071199999993</v>
      </c>
      <c r="E429" s="50">
        <v>0</v>
      </c>
      <c r="F429" s="50">
        <f>D429*(($F$245)+1)+(IF(E429&lt;101,E429,IF(E429&lt;201,E429/2,IF(E429&lt;=301,E429/3,E429/4))))</f>
        <v>920.26710359999993</v>
      </c>
      <c r="G429" s="115"/>
      <c r="H429" s="116"/>
      <c r="I429" s="49"/>
      <c r="L429" s="103"/>
      <c r="M429" s="103"/>
      <c r="N429" s="49"/>
    </row>
    <row r="430" spans="1:14" s="58" customFormat="1" ht="15.75" customHeight="1" x14ac:dyDescent="0.25">
      <c r="A430" s="101">
        <f t="shared" si="96"/>
        <v>3</v>
      </c>
      <c r="B430" s="102"/>
      <c r="C430" s="50" t="s">
        <v>189</v>
      </c>
      <c r="D430" s="51">
        <f t="shared" si="97"/>
        <v>593.72071199999993</v>
      </c>
      <c r="E430" s="50">
        <v>0</v>
      </c>
      <c r="F430" s="50">
        <f>D430*(($F$245)+1)+(IF(E430&lt;101,E430,IF(E430&lt;201,E430/2,IF(E430&lt;=301,E430/3,E430/4))))</f>
        <v>920.26710359999993</v>
      </c>
      <c r="G430" s="115"/>
      <c r="H430" s="116"/>
      <c r="I430" s="49"/>
      <c r="L430" s="103"/>
      <c r="M430" s="103"/>
      <c r="N430" s="49"/>
    </row>
    <row r="431" spans="1:14" s="58" customFormat="1" ht="15.75" customHeight="1" x14ac:dyDescent="0.25">
      <c r="A431" s="101">
        <v>4</v>
      </c>
      <c r="B431" s="102"/>
      <c r="C431" s="50" t="s">
        <v>189</v>
      </c>
      <c r="D431" s="51">
        <f>(1.05*2.7+3.2*2.25+3*4.35+1.4*2.55+0.9*2.2+3.05*3.15+3*4.2+2*1.35+2.55*1.35+1.2*(3+2.25+3.05+3))*10.764</f>
        <v>759.34637999999995</v>
      </c>
      <c r="E431" s="50">
        <v>0</v>
      </c>
      <c r="F431" s="50">
        <f>D431*(($F$245)+1)+(IF(E431&lt;101,E431,IF(E431&lt;201,E431/2,IF(E431&lt;=301,E431/3,E431/4))))</f>
        <v>1176.986889</v>
      </c>
      <c r="G431" s="115"/>
      <c r="H431" s="116"/>
      <c r="I431" s="49"/>
      <c r="L431" s="103"/>
      <c r="M431" s="103"/>
      <c r="N431" s="49"/>
    </row>
    <row r="432" spans="1:14" s="58" customFormat="1" ht="15.75" customHeight="1" x14ac:dyDescent="0.25">
      <c r="A432" s="101">
        <f t="shared" ref="A432" si="98">A431+1</f>
        <v>5</v>
      </c>
      <c r="B432" s="102"/>
      <c r="C432" s="50" t="s">
        <v>189</v>
      </c>
      <c r="D432" s="51">
        <f>(1.05*2.7+3.2*2.25+3*4.35+1.4*2.55+0.9*2.2+3.05*3.15+3*4.2+2*1.35+2.55*1.35+1.2*(3+2.25+3.05+3))*10.764</f>
        <v>759.34637999999995</v>
      </c>
      <c r="E432" s="50">
        <v>0</v>
      </c>
      <c r="F432" s="50">
        <f>D432*(($F$245)+1)+(IF(E432&lt;101,E432,IF(E432&lt;201,E432/2,IF(E432&lt;=301,E432/3,E432/4))))</f>
        <v>1176.986889</v>
      </c>
      <c r="G432" s="117"/>
      <c r="H432" s="118"/>
      <c r="I432" s="49"/>
      <c r="L432" s="103"/>
      <c r="M432" s="103"/>
      <c r="N432" s="49"/>
    </row>
    <row r="433" spans="1:14" s="58" customFormat="1" x14ac:dyDescent="0.25">
      <c r="A433" s="108" t="s">
        <v>197</v>
      </c>
      <c r="B433" s="109"/>
      <c r="C433" s="109"/>
      <c r="D433" s="109"/>
      <c r="E433" s="109"/>
      <c r="F433" s="109"/>
      <c r="G433" s="109"/>
      <c r="H433" s="110"/>
      <c r="J433" s="49"/>
    </row>
    <row r="434" spans="1:14" s="58" customFormat="1" x14ac:dyDescent="0.25">
      <c r="A434" s="101">
        <v>1</v>
      </c>
      <c r="B434" s="102"/>
      <c r="C434" s="50" t="s">
        <v>189</v>
      </c>
      <c r="D434" s="51">
        <f>(1.95*1.05+1.65*2+4.75*2.75+0.45*1.8+2.75*2.4+3.8*2.75+0.9*2.5+1.23*2.3+1.23*2.3+1.2*(1.25+2.75+2.4+2.75))*10.764</f>
        <v>593.72071199999993</v>
      </c>
      <c r="E434" s="50">
        <v>0</v>
      </c>
      <c r="F434" s="50">
        <f>D434*(($F$245)+1)+(IF(E434&lt;101,E434,IF(E434&lt;201,E434/2,IF(E434&lt;=301,E434/3,E434/4))))</f>
        <v>920.26710359999993</v>
      </c>
      <c r="G434" s="101" t="str">
        <f>A433</f>
        <v xml:space="preserve">8th Floor  </v>
      </c>
      <c r="H434" s="102"/>
      <c r="I434" s="49"/>
      <c r="L434" s="103"/>
      <c r="M434" s="103"/>
      <c r="N434" s="49"/>
    </row>
    <row r="435" spans="1:14" s="58" customFormat="1" x14ac:dyDescent="0.25">
      <c r="A435" s="101">
        <f t="shared" ref="A435:A436" si="99">A434+1</f>
        <v>2</v>
      </c>
      <c r="B435" s="102"/>
      <c r="C435" s="50" t="s">
        <v>189</v>
      </c>
      <c r="D435" s="51">
        <f t="shared" ref="D435:D436" si="100">(1.95*1.05+1.65*2+4.75*2.75+0.45*1.8+2.75*2.4+3.8*2.75+0.9*2.5+1.23*2.3+1.23*2.3+1.2*(1.25+2.75+2.4+2.75))*10.764</f>
        <v>593.72071199999993</v>
      </c>
      <c r="E435" s="50">
        <v>0</v>
      </c>
      <c r="F435" s="50">
        <f>D435*(($F$245)+1)+(IF(E435&lt;101,E435,IF(E435&lt;201,E435/2,IF(E435&lt;=301,E435/3,E435/4))))</f>
        <v>920.26710359999993</v>
      </c>
      <c r="G435" s="101" t="str">
        <f t="shared" ref="G435:G436" si="101">G434</f>
        <v xml:space="preserve">8th Floor  </v>
      </c>
      <c r="H435" s="102"/>
      <c r="I435" s="49"/>
      <c r="L435" s="103"/>
      <c r="M435" s="103"/>
      <c r="N435" s="49"/>
    </row>
    <row r="436" spans="1:14" s="58" customFormat="1" x14ac:dyDescent="0.25">
      <c r="A436" s="101">
        <f t="shared" si="99"/>
        <v>3</v>
      </c>
      <c r="B436" s="102"/>
      <c r="C436" s="50" t="s">
        <v>189</v>
      </c>
      <c r="D436" s="51">
        <f t="shared" si="100"/>
        <v>593.72071199999993</v>
      </c>
      <c r="E436" s="50">
        <v>0</v>
      </c>
      <c r="F436" s="50">
        <f>D436*(($F$245)+1)+(IF(E436&lt;101,E436,IF(E436&lt;201,E436/2,IF(E436&lt;=301,E436/3,E436/4))))</f>
        <v>920.26710359999993</v>
      </c>
      <c r="G436" s="101" t="str">
        <f t="shared" si="101"/>
        <v xml:space="preserve">8th Floor  </v>
      </c>
      <c r="H436" s="102"/>
      <c r="I436" s="49"/>
      <c r="L436" s="103"/>
      <c r="M436" s="103"/>
      <c r="N436" s="49"/>
    </row>
    <row r="437" spans="1:14" s="58" customFormat="1" x14ac:dyDescent="0.25">
      <c r="A437" s="101">
        <v>4</v>
      </c>
      <c r="B437" s="102"/>
      <c r="C437" s="50" t="s">
        <v>189</v>
      </c>
      <c r="D437" s="51">
        <f>(1.05*2.7+3.2*2.25+3*4.35+1.4*2.55+0.9*2.2+3.05*3.15+3*4.2+2*1.35+2.55*1.35+1.2*(3+2.25+3.05+3))*10.764</f>
        <v>759.34637999999995</v>
      </c>
      <c r="E437" s="50">
        <v>0</v>
      </c>
      <c r="F437" s="50">
        <f>D437*(($F$245)+1)+(IF(E437&lt;101,E437,IF(E437&lt;201,E437/2,IF(E437&lt;=301,E437/3,E437/4))))</f>
        <v>1176.986889</v>
      </c>
      <c r="G437" s="101" t="str">
        <f>A433</f>
        <v xml:space="preserve">8th Floor  </v>
      </c>
      <c r="H437" s="102"/>
      <c r="I437" s="49"/>
      <c r="L437" s="103"/>
      <c r="M437" s="103"/>
      <c r="N437" s="49"/>
    </row>
    <row r="438" spans="1:14" s="58" customFormat="1" x14ac:dyDescent="0.25">
      <c r="A438" s="101">
        <f t="shared" ref="A438" si="102">A437+1</f>
        <v>5</v>
      </c>
      <c r="B438" s="102"/>
      <c r="C438" s="50" t="s">
        <v>189</v>
      </c>
      <c r="D438" s="51">
        <f>(1.05*2.7+3.2*2.25+3*4.35+1.4*2.55+0.9*2.2+3.05*3.15+3*4.2+2*1.35+2.55*1.35+1.2*(3+2.25+3.05+3))*10.764</f>
        <v>759.34637999999995</v>
      </c>
      <c r="E438" s="50">
        <v>0</v>
      </c>
      <c r="F438" s="50">
        <f>D438*(($F$245)+1)+(IF(E438&lt;101,E438,IF(E438&lt;201,E438/2,IF(E438&lt;=301,E438/3,E438/4))))</f>
        <v>1176.986889</v>
      </c>
      <c r="G438" s="101" t="str">
        <f t="shared" ref="G438" si="103">G437</f>
        <v xml:space="preserve">8th Floor  </v>
      </c>
      <c r="H438" s="102"/>
      <c r="I438" s="49"/>
      <c r="L438" s="103"/>
      <c r="M438" s="103"/>
      <c r="N438" s="49"/>
    </row>
    <row r="439" spans="1:14" s="56" customFormat="1" x14ac:dyDescent="0.25">
      <c r="A439" s="108" t="s">
        <v>210</v>
      </c>
      <c r="B439" s="109"/>
      <c r="C439" s="109"/>
      <c r="D439" s="109"/>
      <c r="E439" s="109"/>
      <c r="F439" s="109"/>
      <c r="G439" s="109"/>
      <c r="H439" s="110"/>
      <c r="J439" s="40"/>
    </row>
    <row r="440" spans="1:14" s="56" customFormat="1" x14ac:dyDescent="0.25">
      <c r="A440" s="101">
        <v>1</v>
      </c>
      <c r="B440" s="102"/>
      <c r="C440" s="50" t="s">
        <v>189</v>
      </c>
      <c r="D440" s="51">
        <f>(1.95*1.05+1.65*2+4.75*2.75+0.45*1.8+2.75*2.4+3.8*2.75+0.9*2.5+1.23*2.3+1.23*2.3+1.2*(1.25+2.75+2.4+2.75))*10.764</f>
        <v>593.72071199999993</v>
      </c>
      <c r="E440" s="50">
        <v>0</v>
      </c>
      <c r="F440" s="50">
        <f>D440*(($F$245)+1)+(IF(E440&lt;101,E440,IF(E440&lt;201,E440/2,IF(E440&lt;=301,E440/3,E440/4))))</f>
        <v>920.26710359999993</v>
      </c>
      <c r="G440" s="101" t="str">
        <f>A439</f>
        <v>11th Floor For Residential, Society Office &amp; Amenities</v>
      </c>
      <c r="H440" s="102"/>
      <c r="I440" s="40"/>
      <c r="L440" s="107"/>
      <c r="M440" s="107"/>
      <c r="N440" s="40"/>
    </row>
    <row r="441" spans="1:14" s="56" customFormat="1" x14ac:dyDescent="0.25">
      <c r="A441" s="101">
        <f t="shared" ref="A441:A442" si="104">A440+1</f>
        <v>2</v>
      </c>
      <c r="B441" s="102"/>
      <c r="C441" s="50" t="s">
        <v>189</v>
      </c>
      <c r="D441" s="51">
        <f t="shared" ref="D441:D442" si="105">(1.95*1.05+1.65*2+4.75*2.75+0.45*1.8+2.75*2.4+3.8*2.75+0.9*2.5+1.23*2.3+1.23*2.3+1.2*(1.25+2.75+2.4+2.75))*10.764</f>
        <v>593.72071199999993</v>
      </c>
      <c r="E441" s="50">
        <v>0</v>
      </c>
      <c r="F441" s="50">
        <f>D441*(($F$245)+1)+(IF(E441&lt;101,E441,IF(E441&lt;201,E441/2,IF(E441&lt;=301,E441/3,E441/4))))</f>
        <v>920.26710359999993</v>
      </c>
      <c r="G441" s="101" t="str">
        <f t="shared" ref="G441:G442" si="106">G440</f>
        <v>11th Floor For Residential, Society Office &amp; Amenities</v>
      </c>
      <c r="H441" s="102"/>
      <c r="I441" s="40"/>
      <c r="L441" s="107"/>
      <c r="M441" s="107"/>
      <c r="N441" s="40"/>
    </row>
    <row r="442" spans="1:14" s="56" customFormat="1" x14ac:dyDescent="0.25">
      <c r="A442" s="101">
        <f t="shared" si="104"/>
        <v>3</v>
      </c>
      <c r="B442" s="102"/>
      <c r="C442" s="50" t="s">
        <v>189</v>
      </c>
      <c r="D442" s="51">
        <f t="shared" si="105"/>
        <v>593.72071199999993</v>
      </c>
      <c r="E442" s="50">
        <v>0</v>
      </c>
      <c r="F442" s="50">
        <f>D442*(($F$245)+1)+(IF(E442&lt;101,E442,IF(E442&lt;201,E442/2,IF(E442&lt;=301,E442/3,E442/4))))</f>
        <v>920.26710359999993</v>
      </c>
      <c r="G442" s="101" t="str">
        <f t="shared" si="106"/>
        <v>11th Floor For Residential, Society Office &amp; Amenities</v>
      </c>
      <c r="H442" s="102"/>
      <c r="I442" s="40"/>
      <c r="L442" s="107"/>
      <c r="M442" s="107"/>
      <c r="N442" s="40"/>
    </row>
    <row r="443" spans="1:14" s="56" customFormat="1" x14ac:dyDescent="0.25">
      <c r="A443" s="101">
        <v>4</v>
      </c>
      <c r="B443" s="102"/>
      <c r="C443" s="50" t="s">
        <v>189</v>
      </c>
      <c r="D443" s="51">
        <f>(1.05*2.7+3.2*2.25+3*4.35+1.4*2.55+0.9*2.2+3.05*3.15+3*4.2+2*1.35+2.55*1.35+1.2*(3+2.25+3.05+3))*10.764</f>
        <v>759.34637999999995</v>
      </c>
      <c r="E443" s="50">
        <v>0</v>
      </c>
      <c r="F443" s="50">
        <f>D443*(($F$245)+1)+(IF(E443&lt;101,E443,IF(E443&lt;201,E443/2,IF(E443&lt;=301,E443/3,E443/4))))</f>
        <v>1176.986889</v>
      </c>
      <c r="G443" s="101" t="str">
        <f>G442</f>
        <v>11th Floor For Residential, Society Office &amp; Amenities</v>
      </c>
      <c r="H443" s="102"/>
      <c r="I443" s="40"/>
      <c r="L443" s="107"/>
      <c r="M443" s="107"/>
      <c r="N443" s="40"/>
    </row>
    <row r="444" spans="1:14" s="56" customFormat="1" x14ac:dyDescent="0.25">
      <c r="A444" s="101">
        <v>5</v>
      </c>
      <c r="B444" s="102"/>
      <c r="C444" s="50" t="s">
        <v>189</v>
      </c>
      <c r="D444" s="51">
        <f>(1.05*2.7+3.2*2.25+3*4.35+1.4*2.55+0.9*2.2+3.05*3.15+3*4.2+2*1.35+2.55*1.35+1.2*(3+2.25+3.05+3))*10.764</f>
        <v>759.34637999999995</v>
      </c>
      <c r="E444" s="50">
        <v>0</v>
      </c>
      <c r="F444" s="50">
        <f>D444*(($F$245)+1)+(IF(E444&lt;101,E444,IF(E444&lt;201,E444/2,IF(E444&lt;=301,E444/3,E444/4))))</f>
        <v>1176.986889</v>
      </c>
      <c r="G444" s="101" t="str">
        <f t="shared" ref="G444" si="107">G443</f>
        <v>11th Floor For Residential, Society Office &amp; Amenities</v>
      </c>
      <c r="H444" s="102"/>
      <c r="I444" s="40"/>
      <c r="L444" s="107"/>
      <c r="M444" s="107"/>
      <c r="N444" s="40"/>
    </row>
    <row r="445" spans="1:14" s="56" customFormat="1" x14ac:dyDescent="0.25">
      <c r="A445" s="108" t="s">
        <v>211</v>
      </c>
      <c r="B445" s="109"/>
      <c r="C445" s="109"/>
      <c r="D445" s="109"/>
      <c r="E445" s="109"/>
      <c r="F445" s="109"/>
      <c r="G445" s="109"/>
      <c r="H445" s="110"/>
      <c r="J445" s="40"/>
    </row>
    <row r="446" spans="1:14" s="56" customFormat="1" x14ac:dyDescent="0.25">
      <c r="A446" s="101">
        <v>1</v>
      </c>
      <c r="B446" s="102"/>
      <c r="C446" s="50" t="s">
        <v>189</v>
      </c>
      <c r="D446" s="51">
        <f>(1.95*1.05+1.65*2+4.75*2.75+0.45*1.8+2.75*2.4+3.8*2.75+0.9*2.5+1.23*2.3+1.23*2.3+1.2*(1.25+2.75+2.4+2.75))*10.764</f>
        <v>593.72071199999993</v>
      </c>
      <c r="E446" s="50">
        <v>0</v>
      </c>
      <c r="F446" s="50">
        <f t="shared" ref="F446:F453" si="108">D446*(($F$245)+1)+(IF(E446&lt;101,E446,IF(E446&lt;201,E446/2,IF(E446&lt;=301,E446/3,E446/4))))</f>
        <v>920.26710359999993</v>
      </c>
      <c r="G446" s="101" t="str">
        <f>A445</f>
        <v>12th Floor For Residential</v>
      </c>
      <c r="H446" s="102"/>
      <c r="I446" s="40"/>
      <c r="L446" s="107"/>
      <c r="M446" s="107"/>
      <c r="N446" s="40"/>
    </row>
    <row r="447" spans="1:14" s="56" customFormat="1" x14ac:dyDescent="0.25">
      <c r="A447" s="101">
        <f t="shared" ref="A447:A448" si="109">A446+1</f>
        <v>2</v>
      </c>
      <c r="B447" s="102"/>
      <c r="C447" s="50" t="s">
        <v>189</v>
      </c>
      <c r="D447" s="51">
        <f t="shared" ref="D447:D448" si="110">(1.95*1.05+1.65*2+4.75*2.75+0.45*1.8+2.75*2.4+3.8*2.75+0.9*2.5+1.23*2.3+1.23*2.3+1.2*(1.25+2.75+2.4+2.75))*10.764</f>
        <v>593.72071199999993</v>
      </c>
      <c r="E447" s="50">
        <v>0</v>
      </c>
      <c r="F447" s="50">
        <f t="shared" si="108"/>
        <v>920.26710359999993</v>
      </c>
      <c r="G447" s="101" t="str">
        <f t="shared" ref="G447:G448" si="111">G446</f>
        <v>12th Floor For Residential</v>
      </c>
      <c r="H447" s="102"/>
      <c r="I447" s="40"/>
      <c r="L447" s="107"/>
      <c r="M447" s="107"/>
      <c r="N447" s="40"/>
    </row>
    <row r="448" spans="1:14" s="56" customFormat="1" x14ac:dyDescent="0.25">
      <c r="A448" s="101">
        <f t="shared" si="109"/>
        <v>3</v>
      </c>
      <c r="B448" s="102"/>
      <c r="C448" s="50" t="s">
        <v>189</v>
      </c>
      <c r="D448" s="51">
        <f t="shared" si="110"/>
        <v>593.72071199999993</v>
      </c>
      <c r="E448" s="50">
        <v>0</v>
      </c>
      <c r="F448" s="50">
        <f t="shared" si="108"/>
        <v>920.26710359999993</v>
      </c>
      <c r="G448" s="101" t="str">
        <f t="shared" si="111"/>
        <v>12th Floor For Residential</v>
      </c>
      <c r="H448" s="102"/>
      <c r="I448" s="40"/>
      <c r="L448" s="107"/>
      <c r="M448" s="107"/>
      <c r="N448" s="40"/>
    </row>
    <row r="449" spans="1:14" s="56" customFormat="1" x14ac:dyDescent="0.25">
      <c r="A449" s="101">
        <v>4</v>
      </c>
      <c r="B449" s="102"/>
      <c r="C449" s="50" t="s">
        <v>189</v>
      </c>
      <c r="D449" s="51">
        <f>(1.05*2.7+3.2*2.25+3*4.35+1.4*2.55+0.9*2.2+3.05*3.15+3*4.2+2*1.35+2.55*1.35+1.2*(3+2.25+3.05+3))*10.764</f>
        <v>759.34637999999995</v>
      </c>
      <c r="E449" s="50">
        <v>0</v>
      </c>
      <c r="F449" s="50">
        <f t="shared" si="108"/>
        <v>1176.986889</v>
      </c>
      <c r="G449" s="101" t="str">
        <f>G448</f>
        <v>12th Floor For Residential</v>
      </c>
      <c r="H449" s="102"/>
      <c r="I449" s="40"/>
      <c r="L449" s="107"/>
      <c r="M449" s="107"/>
      <c r="N449" s="40"/>
    </row>
    <row r="450" spans="1:14" s="56" customFormat="1" x14ac:dyDescent="0.25">
      <c r="A450" s="101">
        <v>5</v>
      </c>
      <c r="B450" s="102"/>
      <c r="C450" s="50" t="s">
        <v>189</v>
      </c>
      <c r="D450" s="51">
        <f>(1.05*2.7+3.2*2.25+3*4.35+1.4*2.55+0.9*2.2+3.05*3.15+3*4.2+2*1.35+2.55*1.35+1.2*(3+2.25+3.05+3))*10.764</f>
        <v>759.34637999999995</v>
      </c>
      <c r="E450" s="50">
        <v>0</v>
      </c>
      <c r="F450" s="50">
        <f t="shared" si="108"/>
        <v>1176.986889</v>
      </c>
      <c r="G450" s="101" t="str">
        <f t="shared" ref="G450" si="112">G449</f>
        <v>12th Floor For Residential</v>
      </c>
      <c r="H450" s="102"/>
      <c r="I450" s="40"/>
      <c r="L450" s="107"/>
      <c r="M450" s="107"/>
      <c r="N450" s="40"/>
    </row>
    <row r="451" spans="1:14" s="56" customFormat="1" x14ac:dyDescent="0.25">
      <c r="A451" s="101">
        <v>6</v>
      </c>
      <c r="B451" s="102"/>
      <c r="C451" s="50" t="s">
        <v>189</v>
      </c>
      <c r="D451" s="51">
        <f>(1.95*1.05+1.65*2+4.75*2.75+0.45*1.8+2.75*2.4+3.8*2.75+0.9*2.5+1.23*2.3+1.23*2.3+1.2*(1.25+2.75+2.4+2.75))*10.764</f>
        <v>593.72071199999993</v>
      </c>
      <c r="E451" s="50">
        <v>0</v>
      </c>
      <c r="F451" s="50">
        <f t="shared" si="108"/>
        <v>920.26710359999993</v>
      </c>
      <c r="G451" s="101" t="str">
        <f>G450</f>
        <v>12th Floor For Residential</v>
      </c>
      <c r="H451" s="102"/>
      <c r="I451" s="40"/>
      <c r="L451" s="107"/>
      <c r="M451" s="107"/>
      <c r="N451" s="40"/>
    </row>
    <row r="452" spans="1:14" s="56" customFormat="1" x14ac:dyDescent="0.25">
      <c r="A452" s="101">
        <v>7</v>
      </c>
      <c r="B452" s="102"/>
      <c r="C452" s="50" t="s">
        <v>189</v>
      </c>
      <c r="D452" s="51">
        <f t="shared" ref="D452" si="113">(1.95*1.05+1.65*2+4.75*2.75+0.45*1.8+2.75*2.4+3.8*2.75+0.9*2.5+1.23*2.3+1.23*2.3+1.2*(1.25+2.75+2.4+2.75))*10.764</f>
        <v>593.72071199999993</v>
      </c>
      <c r="E452" s="50">
        <v>0</v>
      </c>
      <c r="F452" s="50">
        <f t="shared" si="108"/>
        <v>920.26710359999993</v>
      </c>
      <c r="G452" s="101" t="str">
        <f t="shared" ref="G452:G453" si="114">G451</f>
        <v>12th Floor For Residential</v>
      </c>
      <c r="H452" s="102"/>
      <c r="I452" s="40"/>
      <c r="L452" s="107"/>
      <c r="M452" s="107"/>
      <c r="N452" s="40"/>
    </row>
    <row r="453" spans="1:14" s="56" customFormat="1" x14ac:dyDescent="0.25">
      <c r="A453" s="101">
        <v>8</v>
      </c>
      <c r="B453" s="102"/>
      <c r="C453" s="50" t="s">
        <v>190</v>
      </c>
      <c r="D453" s="51">
        <f>(2.55*1.05+2.1*2.2+4.5*2.75+3.35*2.75+2.1*1.35+2.1*1.15+1.2*(2.1+2.75+2.75))*10.764</f>
        <v>465.59681999999992</v>
      </c>
      <c r="E453" s="50">
        <v>0</v>
      </c>
      <c r="F453" s="50">
        <f t="shared" si="108"/>
        <v>721.67507099999989</v>
      </c>
      <c r="G453" s="101" t="str">
        <f t="shared" si="114"/>
        <v>12th Floor For Residential</v>
      </c>
      <c r="H453" s="102"/>
      <c r="I453" s="40"/>
      <c r="L453" s="107"/>
      <c r="M453" s="107"/>
      <c r="N453" s="40"/>
    </row>
    <row r="454" spans="1:14" s="56" customFormat="1" x14ac:dyDescent="0.25">
      <c r="A454" s="108" t="s">
        <v>199</v>
      </c>
      <c r="B454" s="109"/>
      <c r="C454" s="109"/>
      <c r="D454" s="109"/>
      <c r="E454" s="109"/>
      <c r="F454" s="109"/>
      <c r="G454" s="109"/>
      <c r="H454" s="110"/>
      <c r="J454" s="40"/>
    </row>
    <row r="455" spans="1:14" s="56" customFormat="1" ht="15.75" customHeight="1" x14ac:dyDescent="0.25">
      <c r="A455" s="101">
        <v>1</v>
      </c>
      <c r="B455" s="102"/>
      <c r="C455" s="50" t="s">
        <v>189</v>
      </c>
      <c r="D455" s="51">
        <f>(1.95*1.05+1.65*2+4.75*2.75+0.45*1.8+2.75*2.4+3.8*2.75+0.9*2.5+1.23*2.3+1.23*2.3+1.2*(1.25+2.75+2.4+2.75))*10.764</f>
        <v>593.72071199999993</v>
      </c>
      <c r="E455" s="50">
        <v>0</v>
      </c>
      <c r="F455" s="50">
        <f t="shared" ref="F455:F462" si="115">D455*(($F$245)+1)+(IF(E455&lt;101,E455,IF(E455&lt;201,E455/2,IF(E455&lt;=301,E455/3,E455/4))))</f>
        <v>920.26710359999993</v>
      </c>
      <c r="G455" s="113" t="str">
        <f>A454</f>
        <v>14th to 17th, 19th to 22nd, 24th to 27th, 29th to 32nd, 34th to 37th, 39th &amp; 40th Floor</v>
      </c>
      <c r="H455" s="114"/>
      <c r="I455" s="40"/>
      <c r="L455" s="107"/>
      <c r="M455" s="107"/>
      <c r="N455" s="40"/>
    </row>
    <row r="456" spans="1:14" s="56" customFormat="1" ht="15.75" customHeight="1" x14ac:dyDescent="0.25">
      <c r="A456" s="101">
        <f t="shared" ref="A456:A457" si="116">A455+1</f>
        <v>2</v>
      </c>
      <c r="B456" s="102"/>
      <c r="C456" s="50" t="s">
        <v>189</v>
      </c>
      <c r="D456" s="51">
        <f t="shared" ref="D456:D457" si="117">(1.95*1.05+1.65*2+4.75*2.75+0.45*1.8+2.75*2.4+3.8*2.75+0.9*2.5+1.23*2.3+1.23*2.3+1.2*(1.25+2.75+2.4+2.75))*10.764</f>
        <v>593.72071199999993</v>
      </c>
      <c r="E456" s="50">
        <v>0</v>
      </c>
      <c r="F456" s="50">
        <f t="shared" si="115"/>
        <v>920.26710359999993</v>
      </c>
      <c r="G456" s="115"/>
      <c r="H456" s="116"/>
      <c r="I456" s="40"/>
      <c r="L456" s="107"/>
      <c r="M456" s="107"/>
      <c r="N456" s="40"/>
    </row>
    <row r="457" spans="1:14" s="56" customFormat="1" ht="15.75" customHeight="1" x14ac:dyDescent="0.25">
      <c r="A457" s="101">
        <f t="shared" si="116"/>
        <v>3</v>
      </c>
      <c r="B457" s="102"/>
      <c r="C457" s="50" t="s">
        <v>189</v>
      </c>
      <c r="D457" s="51">
        <f t="shared" si="117"/>
        <v>593.72071199999993</v>
      </c>
      <c r="E457" s="50">
        <v>0</v>
      </c>
      <c r="F457" s="50">
        <f t="shared" si="115"/>
        <v>920.26710359999993</v>
      </c>
      <c r="G457" s="115"/>
      <c r="H457" s="116"/>
      <c r="I457" s="40"/>
      <c r="L457" s="107"/>
      <c r="M457" s="107"/>
      <c r="N457" s="40"/>
    </row>
    <row r="458" spans="1:14" s="56" customFormat="1" ht="15.75" customHeight="1" x14ac:dyDescent="0.25">
      <c r="A458" s="101">
        <v>4</v>
      </c>
      <c r="B458" s="102"/>
      <c r="C458" s="50" t="s">
        <v>189</v>
      </c>
      <c r="D458" s="51">
        <f>(1.05*2.7+3.2*2.25+3*4.35+1.4*2.55+0.9*2.2+3.05*3.15+3*4.2+2*1.35+2.55*1.35+1.2*(3+2.25+3.05+3))*10.764</f>
        <v>759.34637999999995</v>
      </c>
      <c r="E458" s="50">
        <v>0</v>
      </c>
      <c r="F458" s="50">
        <f t="shared" si="115"/>
        <v>1176.986889</v>
      </c>
      <c r="G458" s="115"/>
      <c r="H458" s="116"/>
      <c r="I458" s="40"/>
      <c r="L458" s="107"/>
      <c r="M458" s="107"/>
      <c r="N458" s="40"/>
    </row>
    <row r="459" spans="1:14" s="56" customFormat="1" ht="15.75" customHeight="1" x14ac:dyDescent="0.25">
      <c r="A459" s="101">
        <v>5</v>
      </c>
      <c r="B459" s="102"/>
      <c r="C459" s="50" t="s">
        <v>189</v>
      </c>
      <c r="D459" s="51">
        <f>(1.05*2.7+3.2*2.25+3*4.35+1.4*2.55+0.9*2.2+3.05*3.15+3*4.2+2*1.35+2.55*1.35+1.2*(3+2.25+3.05+3))*10.764</f>
        <v>759.34637999999995</v>
      </c>
      <c r="E459" s="50">
        <v>0</v>
      </c>
      <c r="F459" s="50">
        <f t="shared" si="115"/>
        <v>1176.986889</v>
      </c>
      <c r="G459" s="115"/>
      <c r="H459" s="116"/>
      <c r="I459" s="40"/>
      <c r="L459" s="107"/>
      <c r="M459" s="107"/>
      <c r="N459" s="40"/>
    </row>
    <row r="460" spans="1:14" s="56" customFormat="1" ht="15.75" customHeight="1" x14ac:dyDescent="0.25">
      <c r="A460" s="101">
        <v>6</v>
      </c>
      <c r="B460" s="102"/>
      <c r="C460" s="50" t="s">
        <v>189</v>
      </c>
      <c r="D460" s="51">
        <f>(1.95*1.05+1.65*2+4.75*2.75+0.45*1.8+2.75*2.4+3.8*2.75+0.9*2.5+1.23*2.3+1.23*2.3+1.2*(1.25+2.75+2.4+2.75))*10.764</f>
        <v>593.72071199999993</v>
      </c>
      <c r="E460" s="50">
        <v>0</v>
      </c>
      <c r="F460" s="50">
        <f t="shared" si="115"/>
        <v>920.26710359999993</v>
      </c>
      <c r="G460" s="115"/>
      <c r="H460" s="116"/>
      <c r="I460" s="40"/>
      <c r="L460" s="107"/>
      <c r="M460" s="107"/>
      <c r="N460" s="40"/>
    </row>
    <row r="461" spans="1:14" s="56" customFormat="1" ht="15.75" customHeight="1" x14ac:dyDescent="0.25">
      <c r="A461" s="101">
        <v>7</v>
      </c>
      <c r="B461" s="102"/>
      <c r="C461" s="50" t="s">
        <v>189</v>
      </c>
      <c r="D461" s="51">
        <f t="shared" ref="D461" si="118">(1.95*1.05+1.65*2+4.75*2.75+0.45*1.8+2.75*2.4+3.8*2.75+0.9*2.5+1.23*2.3+1.23*2.3+1.2*(1.25+2.75+2.4+2.75))*10.764</f>
        <v>593.72071199999993</v>
      </c>
      <c r="E461" s="50">
        <v>0</v>
      </c>
      <c r="F461" s="50">
        <f t="shared" si="115"/>
        <v>920.26710359999993</v>
      </c>
      <c r="G461" s="115"/>
      <c r="H461" s="116"/>
      <c r="I461" s="40"/>
      <c r="L461" s="107"/>
      <c r="M461" s="107"/>
      <c r="N461" s="40"/>
    </row>
    <row r="462" spans="1:14" s="56" customFormat="1" ht="15.75" customHeight="1" x14ac:dyDescent="0.25">
      <c r="A462" s="101">
        <v>8</v>
      </c>
      <c r="B462" s="102"/>
      <c r="C462" s="50" t="s">
        <v>190</v>
      </c>
      <c r="D462" s="51">
        <f>(2.55*1.05+2.1*2.2+4.5*2.75+3.35*2.75+2.1*1.35+2.1*1.15+1.2*(2.1+2.75+2.75))*10.764</f>
        <v>465.59681999999992</v>
      </c>
      <c r="E462" s="50">
        <v>0</v>
      </c>
      <c r="F462" s="50">
        <f t="shared" si="115"/>
        <v>721.67507099999989</v>
      </c>
      <c r="G462" s="117"/>
      <c r="H462" s="118"/>
      <c r="I462" s="40"/>
      <c r="L462" s="107"/>
      <c r="M462" s="107"/>
      <c r="N462" s="40"/>
    </row>
    <row r="463" spans="1:14" s="56" customFormat="1" ht="15.75" customHeight="1" x14ac:dyDescent="0.25">
      <c r="A463" s="108" t="s">
        <v>200</v>
      </c>
      <c r="B463" s="109"/>
      <c r="C463" s="109"/>
      <c r="D463" s="109"/>
      <c r="E463" s="109"/>
      <c r="F463" s="109"/>
      <c r="G463" s="109"/>
      <c r="H463" s="110"/>
      <c r="J463" s="40"/>
    </row>
    <row r="464" spans="1:14" s="56" customFormat="1" ht="15.75" customHeight="1" x14ac:dyDescent="0.25">
      <c r="A464" s="101">
        <v>1</v>
      </c>
      <c r="B464" s="102"/>
      <c r="C464" s="50" t="s">
        <v>189</v>
      </c>
      <c r="D464" s="51">
        <f>(1.95*1.05+1.65*2+4.75*2.75+0.45*1.8+2.75*2.4+3.8*2.75+0.9*2.5+1.23*2.3+1.23*2.3+1.2*(1.25+2.75+2.4+2.75))*10.764</f>
        <v>593.72071199999993</v>
      </c>
      <c r="E464" s="50">
        <v>0</v>
      </c>
      <c r="F464" s="50">
        <f>D464*(($F$245)+1)+(IF(E464&lt;101,E464,IF(E464&lt;201,E464/2,IF(E464&lt;=301,E464/3,E464/4))))</f>
        <v>920.26710359999993</v>
      </c>
      <c r="G464" s="113" t="str">
        <f>A463</f>
        <v>13th, 18th, 23rd, 28th, 33th &amp; 38th Floor (Part Refuge Area)</v>
      </c>
      <c r="H464" s="114"/>
      <c r="I464" s="40"/>
      <c r="L464" s="107"/>
      <c r="M464" s="107"/>
      <c r="N464" s="40"/>
    </row>
    <row r="465" spans="1:14" s="56" customFormat="1" ht="15.75" customHeight="1" x14ac:dyDescent="0.25">
      <c r="A465" s="101">
        <f t="shared" ref="A465:A466" si="119">A464+1</f>
        <v>2</v>
      </c>
      <c r="B465" s="102"/>
      <c r="C465" s="50" t="s">
        <v>189</v>
      </c>
      <c r="D465" s="51">
        <f t="shared" ref="D465" si="120">(1.95*1.05+1.65*2+4.75*2.75+0.45*1.8+2.75*2.4+3.8*2.75+0.9*2.5+1.23*2.3+1.23*2.3+1.2*(1.25+2.75+2.4+2.75))*10.764</f>
        <v>593.72071199999993</v>
      </c>
      <c r="E465" s="50">
        <v>0</v>
      </c>
      <c r="F465" s="50">
        <f>D465*(($F$245)+1)+(IF(E465&lt;101,E465,IF(E465&lt;201,E465/2,IF(E465&lt;=301,E465/3,E465/4))))</f>
        <v>920.26710359999993</v>
      </c>
      <c r="G465" s="115"/>
      <c r="H465" s="116"/>
      <c r="I465" s="40"/>
      <c r="L465" s="107"/>
      <c r="M465" s="107"/>
      <c r="N465" s="40"/>
    </row>
    <row r="466" spans="1:14" s="56" customFormat="1" ht="15.75" customHeight="1" x14ac:dyDescent="0.25">
      <c r="A466" s="101">
        <f t="shared" si="119"/>
        <v>3</v>
      </c>
      <c r="B466" s="102"/>
      <c r="C466" s="101" t="s">
        <v>196</v>
      </c>
      <c r="D466" s="119"/>
      <c r="E466" s="119"/>
      <c r="F466" s="102"/>
      <c r="G466" s="115"/>
      <c r="H466" s="116"/>
      <c r="I466" s="40"/>
      <c r="L466" s="107"/>
      <c r="M466" s="107"/>
      <c r="N466" s="40"/>
    </row>
    <row r="467" spans="1:14" s="56" customFormat="1" ht="15.75" customHeight="1" x14ac:dyDescent="0.25">
      <c r="A467" s="101">
        <v>4</v>
      </c>
      <c r="B467" s="102"/>
      <c r="C467" s="50" t="s">
        <v>189</v>
      </c>
      <c r="D467" s="51">
        <f>(1.05*2.7+3.2*2.25+3*4.35+1.4*2.55+0.9*2.2+3.05*3.15+3*4.2+2*1.35+2.55*1.35+1.2*(3+2.25+3.05+3))*10.764</f>
        <v>759.34637999999995</v>
      </c>
      <c r="E467" s="50">
        <v>0</v>
      </c>
      <c r="F467" s="50">
        <f>D467*(($F$245)+1)+(IF(E467&lt;101,E467,IF(E467&lt;201,E467/2,IF(E467&lt;=301,E467/3,E467/4))))</f>
        <v>1176.986889</v>
      </c>
      <c r="G467" s="115"/>
      <c r="H467" s="116"/>
      <c r="I467" s="40"/>
      <c r="L467" s="107"/>
      <c r="M467" s="107"/>
      <c r="N467" s="40"/>
    </row>
    <row r="468" spans="1:14" s="56" customFormat="1" ht="15.75" customHeight="1" x14ac:dyDescent="0.25">
      <c r="A468" s="101">
        <v>5</v>
      </c>
      <c r="B468" s="102"/>
      <c r="C468" s="50" t="s">
        <v>189</v>
      </c>
      <c r="D468" s="51">
        <f>(1.05*2.7+3.2*2.25+3*4.35+1.4*2.55+0.9*2.2+3.05*3.15+3*4.2+2*1.35+2.55*1.35+1.2*(3+2.25+3.05+3))*10.764</f>
        <v>759.34637999999995</v>
      </c>
      <c r="E468" s="50">
        <v>0</v>
      </c>
      <c r="F468" s="50">
        <f>D468*(($F$245)+1)+(IF(E468&lt;101,E468,IF(E468&lt;201,E468/2,IF(E468&lt;=301,E468/3,E468/4))))</f>
        <v>1176.986889</v>
      </c>
      <c r="G468" s="115"/>
      <c r="H468" s="116"/>
      <c r="I468" s="40"/>
      <c r="L468" s="107"/>
      <c r="M468" s="107"/>
      <c r="N468" s="40"/>
    </row>
    <row r="469" spans="1:14" s="56" customFormat="1" ht="15.75" customHeight="1" x14ac:dyDescent="0.25">
      <c r="A469" s="101">
        <v>6</v>
      </c>
      <c r="B469" s="102"/>
      <c r="C469" s="50" t="s">
        <v>189</v>
      </c>
      <c r="D469" s="51">
        <f>(1.95*1.05+1.65*2+4.75*2.75+0.45*1.8+2.75*2.4+3.8*2.75+0.9*2.5+1.23*2.3+1.23*2.3+1.2*(1.25+2.75+2.4+2.75))*10.764</f>
        <v>593.72071199999993</v>
      </c>
      <c r="E469" s="50">
        <v>0</v>
      </c>
      <c r="F469" s="50">
        <f>D469*(($F$245)+1)+(IF(E469&lt;101,E469,IF(E469&lt;201,E469/2,IF(E469&lt;=301,E469/3,E469/4))))</f>
        <v>920.26710359999993</v>
      </c>
      <c r="G469" s="115"/>
      <c r="H469" s="116"/>
      <c r="I469" s="40"/>
      <c r="L469" s="107"/>
      <c r="M469" s="107"/>
      <c r="N469" s="40"/>
    </row>
    <row r="470" spans="1:14" s="56" customFormat="1" ht="15.75" customHeight="1" x14ac:dyDescent="0.25">
      <c r="A470" s="101">
        <v>7</v>
      </c>
      <c r="B470" s="102"/>
      <c r="C470" s="50" t="s">
        <v>189</v>
      </c>
      <c r="D470" s="51">
        <f t="shared" ref="D470" si="121">(1.95*1.05+1.65*2+4.75*2.75+0.45*1.8+2.75*2.4+3.8*2.75+0.9*2.5+1.23*2.3+1.23*2.3+1.2*(1.25+2.75+2.4+2.75))*10.764</f>
        <v>593.72071199999993</v>
      </c>
      <c r="E470" s="50">
        <v>0</v>
      </c>
      <c r="F470" s="50">
        <f>D470*(($F$245)+1)+(IF(E470&lt;101,E470,IF(E470&lt;201,E470/2,IF(E470&lt;=301,E470/3,E470/4))))</f>
        <v>920.26710359999993</v>
      </c>
      <c r="G470" s="115"/>
      <c r="H470" s="116"/>
      <c r="I470" s="40"/>
      <c r="L470" s="107"/>
      <c r="M470" s="107"/>
      <c r="N470" s="40"/>
    </row>
    <row r="471" spans="1:14" s="56" customFormat="1" ht="15.75" customHeight="1" x14ac:dyDescent="0.25">
      <c r="A471" s="101">
        <v>8</v>
      </c>
      <c r="B471" s="102"/>
      <c r="C471" s="50" t="s">
        <v>190</v>
      </c>
      <c r="D471" s="51">
        <f>(2.55*1.05+2.1*2.2+4.5*2.75+3.35*2.75+2.1*1.35+2.1*1.15+1.2*(2.1+2.75+2.75))*10.764</f>
        <v>465.59681999999992</v>
      </c>
      <c r="E471" s="50">
        <v>0</v>
      </c>
      <c r="F471" s="50">
        <f>D471*(($F$245)+1)+(IF(E471&lt;101,E471,IF(E471&lt;201,E471/2,IF(E471&lt;=301,E471/3,E471/4))))</f>
        <v>721.67507099999989</v>
      </c>
      <c r="G471" s="117"/>
      <c r="H471" s="118"/>
      <c r="I471" s="40"/>
      <c r="L471" s="107"/>
      <c r="M471" s="107"/>
      <c r="N471" s="40"/>
    </row>
    <row r="472" spans="1:14" s="56" customFormat="1" x14ac:dyDescent="0.25">
      <c r="A472" s="108" t="s">
        <v>187</v>
      </c>
      <c r="B472" s="109"/>
      <c r="C472" s="109"/>
      <c r="D472" s="109"/>
      <c r="E472" s="109"/>
      <c r="F472" s="109"/>
      <c r="G472" s="109"/>
      <c r="H472" s="110"/>
      <c r="J472" s="40"/>
    </row>
    <row r="473" spans="1:14" s="56" customFormat="1" x14ac:dyDescent="0.25">
      <c r="A473" s="108" t="s">
        <v>233</v>
      </c>
      <c r="B473" s="109"/>
      <c r="C473" s="109"/>
      <c r="D473" s="109"/>
      <c r="E473" s="109"/>
      <c r="F473" s="109"/>
      <c r="G473" s="109"/>
      <c r="H473" s="110"/>
      <c r="J473" s="40"/>
    </row>
    <row r="474" spans="1:14" s="58" customFormat="1" ht="15.75" customHeight="1" x14ac:dyDescent="0.25">
      <c r="A474" s="108" t="s">
        <v>207</v>
      </c>
      <c r="B474" s="109"/>
      <c r="C474" s="109"/>
      <c r="D474" s="109"/>
      <c r="E474" s="109"/>
      <c r="F474" s="109"/>
      <c r="G474" s="109"/>
      <c r="H474" s="110"/>
      <c r="J474" s="49"/>
    </row>
    <row r="475" spans="1:14" s="58" customFormat="1" x14ac:dyDescent="0.25">
      <c r="A475" s="101">
        <v>1</v>
      </c>
      <c r="B475" s="102"/>
      <c r="C475" s="50" t="s">
        <v>189</v>
      </c>
      <c r="D475" s="51">
        <f>(1.05*2.7+3.2*2.25+3*4.35+1.4*2.55+0.9*2.2+3.05*3.15+3*4.2+2*1.35+2.55*1.35+1.2*(2.25))*10.764</f>
        <v>642.44934000000001</v>
      </c>
      <c r="E475" s="50">
        <f>(1.5*3)*10.764</f>
        <v>48.437999999999995</v>
      </c>
      <c r="F475" s="50">
        <f>D475*(($F$245)+1)+(IF(E475&lt;101,E475,IF(E475&lt;201,E475/2,IF(E475&lt;=301,E475/3,E475/4))))</f>
        <v>1044.2344770000002</v>
      </c>
      <c r="G475" s="101" t="str">
        <f>A474</f>
        <v>5th Floor For Residential &amp; Parking</v>
      </c>
      <c r="H475" s="102"/>
      <c r="I475" s="49"/>
      <c r="L475" s="103"/>
      <c r="M475" s="103"/>
      <c r="N475" s="49"/>
    </row>
    <row r="476" spans="1:14" s="58" customFormat="1" x14ac:dyDescent="0.25">
      <c r="A476" s="101">
        <v>2</v>
      </c>
      <c r="B476" s="102"/>
      <c r="C476" s="50" t="s">
        <v>189</v>
      </c>
      <c r="D476" s="51">
        <f>(1.05*2.7+2*2.25+2.9*4.35+1.4*2.4+0.9*2.1+2.9*2.75+3*3.8+2.1*1.2+2.25*1.2+1.2*2.25)*10.764</f>
        <v>565.05618000000004</v>
      </c>
      <c r="E476" s="50">
        <f>(1.5*2.9)*10.764</f>
        <v>46.823399999999992</v>
      </c>
      <c r="F476" s="50">
        <f>D476*(($F$245)+1)+(IF(E476&lt;101,E476,IF(E476&lt;201,E476/2,IF(E476&lt;=301,E476/3,E476/4))))</f>
        <v>922.66047900000012</v>
      </c>
      <c r="G476" s="101" t="str">
        <f>G475</f>
        <v>5th Floor For Residential &amp; Parking</v>
      </c>
      <c r="H476" s="102"/>
      <c r="I476" s="49"/>
      <c r="L476" s="103"/>
      <c r="M476" s="103"/>
      <c r="N476" s="49"/>
    </row>
    <row r="477" spans="1:14" s="58" customFormat="1" x14ac:dyDescent="0.25">
      <c r="A477" s="101">
        <v>3</v>
      </c>
      <c r="B477" s="102"/>
      <c r="C477" s="50" t="s">
        <v>190</v>
      </c>
      <c r="D477" s="51">
        <f>(1.05*2.7+2.2*2.25+3*4.5+2.9*3.5+1.4*2.1+1.25*2.1+1.2*(1.75))*10.764</f>
        <v>420.87239999999997</v>
      </c>
      <c r="E477" s="50">
        <f>(1.35*3)*10.764</f>
        <v>43.594200000000008</v>
      </c>
      <c r="F477" s="50">
        <f>D477*(($F$245)+1)+(IF(E477&lt;101,E477,IF(E477&lt;201,E477/2,IF(E477&lt;=301,E477/3,E477/4))))</f>
        <v>695.94641999999999</v>
      </c>
      <c r="G477" s="101" t="str">
        <f t="shared" ref="G477" si="122">G475</f>
        <v>5th Floor For Residential &amp; Parking</v>
      </c>
      <c r="H477" s="102"/>
      <c r="I477" s="49"/>
      <c r="L477" s="103"/>
      <c r="M477" s="103"/>
      <c r="N477" s="49"/>
    </row>
    <row r="478" spans="1:14" s="58" customFormat="1" ht="15.75" customHeight="1" x14ac:dyDescent="0.25">
      <c r="A478" s="108" t="s">
        <v>208</v>
      </c>
      <c r="B478" s="109"/>
      <c r="C478" s="109"/>
      <c r="D478" s="109"/>
      <c r="E478" s="109"/>
      <c r="F478" s="109"/>
      <c r="G478" s="109"/>
      <c r="H478" s="110"/>
      <c r="J478" s="49"/>
    </row>
    <row r="479" spans="1:14" s="58" customFormat="1" x14ac:dyDescent="0.25">
      <c r="A479" s="101">
        <v>1</v>
      </c>
      <c r="B479" s="102"/>
      <c r="C479" s="50" t="s">
        <v>189</v>
      </c>
      <c r="D479" s="51">
        <f>(1.05*2.7+3.2*2.25+3*4.35+1.4*2.55+0.9*2.2+3.05*3.15+3*4.2+2*1.35+2.55*1.35+1.2*(3+2.25))*10.764</f>
        <v>681.19974000000002</v>
      </c>
      <c r="E479" s="50">
        <v>0</v>
      </c>
      <c r="F479" s="50">
        <f>D479*(($F$245)+1)+(IF(E479&lt;101,E479,IF(E479&lt;201,E479/2,IF(E479&lt;=301,E479/3,E479/4))))</f>
        <v>1055.8595970000001</v>
      </c>
      <c r="G479" s="101" t="str">
        <f>A478</f>
        <v>6th, 7th, 9th &amp; 10th Floor For Residential &amp; Parking</v>
      </c>
      <c r="H479" s="102"/>
      <c r="I479" s="49"/>
      <c r="L479" s="103"/>
      <c r="M479" s="103"/>
      <c r="N479" s="49"/>
    </row>
    <row r="480" spans="1:14" s="58" customFormat="1" x14ac:dyDescent="0.25">
      <c r="A480" s="101">
        <v>2</v>
      </c>
      <c r="B480" s="102"/>
      <c r="C480" s="50" t="s">
        <v>189</v>
      </c>
      <c r="D480" s="51">
        <f>(1.05*2.7+2*2.25+2.9*4.35+1.4*2.4+0.9*2.1+2.9*2.75+3*3.8+2.1*1.2+2.25*1.2+1.2*(2.25+2.9))*10.764</f>
        <v>602.51490000000001</v>
      </c>
      <c r="E480" s="50">
        <v>0</v>
      </c>
      <c r="F480" s="50">
        <f>D480*(($F$245)+1)+(IF(E480&lt;101,E480,IF(E480&lt;201,E480/2,IF(E480&lt;=301,E480/3,E480/4))))</f>
        <v>933.89809500000001</v>
      </c>
      <c r="G480" s="101" t="str">
        <f>G479</f>
        <v>6th, 7th, 9th &amp; 10th Floor For Residential &amp; Parking</v>
      </c>
      <c r="H480" s="102"/>
      <c r="I480" s="49"/>
      <c r="L480" s="103"/>
      <c r="M480" s="103"/>
      <c r="N480" s="49"/>
    </row>
    <row r="481" spans="1:14" s="58" customFormat="1" x14ac:dyDescent="0.25">
      <c r="A481" s="101">
        <v>3</v>
      </c>
      <c r="B481" s="102"/>
      <c r="C481" s="50" t="s">
        <v>190</v>
      </c>
      <c r="D481" s="51">
        <f>(1.05*2.7+2.2*2.25+3*4.5+2.9*3.5+1.4*2.1+1.25*2.1+1.2*(3+1.75))*10.764</f>
        <v>459.62279999999998</v>
      </c>
      <c r="E481" s="50">
        <v>0</v>
      </c>
      <c r="F481" s="50">
        <f>D481*(($F$245)+1)+(IF(E481&lt;101,E481,IF(E481&lt;201,E481/2,IF(E481&lt;=301,E481/3,E481/4))))</f>
        <v>712.41534000000001</v>
      </c>
      <c r="G481" s="101" t="str">
        <f t="shared" ref="G481" si="123">G479</f>
        <v>6th, 7th, 9th &amp; 10th Floor For Residential &amp; Parking</v>
      </c>
      <c r="H481" s="102"/>
      <c r="I481" s="49"/>
      <c r="L481" s="103"/>
      <c r="M481" s="103"/>
      <c r="N481" s="49"/>
    </row>
    <row r="482" spans="1:14" s="58" customFormat="1" ht="15.75" customHeight="1" x14ac:dyDescent="0.25">
      <c r="A482" s="108" t="s">
        <v>212</v>
      </c>
      <c r="B482" s="109"/>
      <c r="C482" s="109"/>
      <c r="D482" s="109"/>
      <c r="E482" s="109"/>
      <c r="F482" s="109"/>
      <c r="G482" s="109"/>
      <c r="H482" s="110"/>
      <c r="J482" s="49"/>
    </row>
    <row r="483" spans="1:14" s="58" customFormat="1" x14ac:dyDescent="0.25">
      <c r="A483" s="101">
        <v>1</v>
      </c>
      <c r="B483" s="102"/>
      <c r="C483" s="50" t="s">
        <v>189</v>
      </c>
      <c r="D483" s="51">
        <f>(1.05*2.7+3.2*2.25+3*4.35+1.4*2.55+0.9*2.2+3.05*3.15+3*4.2+2*1.35+2.55*1.35+1.2*(3+2.25))*10.764</f>
        <v>681.19974000000002</v>
      </c>
      <c r="E483" s="50">
        <v>0</v>
      </c>
      <c r="F483" s="50">
        <f>D483*(($F$245)+1)+(IF(E483&lt;101,E483,IF(E483&lt;201,E483/2,IF(E483&lt;=301,E483/3,E483/4))))</f>
        <v>1055.8595970000001</v>
      </c>
      <c r="G483" s="101" t="str">
        <f>A482</f>
        <v>8th Floor (Part Refuge Area)</v>
      </c>
      <c r="H483" s="102"/>
      <c r="I483" s="49"/>
      <c r="L483" s="103"/>
      <c r="M483" s="103"/>
      <c r="N483" s="49"/>
    </row>
    <row r="484" spans="1:14" s="58" customFormat="1" x14ac:dyDescent="0.25">
      <c r="A484" s="101">
        <v>2</v>
      </c>
      <c r="B484" s="102"/>
      <c r="C484" s="101" t="s">
        <v>196</v>
      </c>
      <c r="D484" s="119"/>
      <c r="E484" s="119"/>
      <c r="F484" s="102"/>
      <c r="G484" s="101" t="str">
        <f>G483</f>
        <v>8th Floor (Part Refuge Area)</v>
      </c>
      <c r="H484" s="102"/>
      <c r="I484" s="49"/>
      <c r="L484" s="103"/>
      <c r="M484" s="103"/>
      <c r="N484" s="49"/>
    </row>
    <row r="485" spans="1:14" s="58" customFormat="1" x14ac:dyDescent="0.25">
      <c r="A485" s="101">
        <v>3</v>
      </c>
      <c r="B485" s="102"/>
      <c r="C485" s="50" t="s">
        <v>190</v>
      </c>
      <c r="D485" s="51">
        <f>(1.05*2.7+2.2*2.25+3*4.5+2.9*3.5+1.4*2.1+1.25*2.1+1.2*(3+1.75))*10.764</f>
        <v>459.62279999999998</v>
      </c>
      <c r="E485" s="50">
        <v>0</v>
      </c>
      <c r="F485" s="50">
        <f>D485*(($F$245)+1)+(IF(E485&lt;101,E485,IF(E485&lt;201,E485/2,IF(E485&lt;=301,E485/3,E485/4))))</f>
        <v>712.41534000000001</v>
      </c>
      <c r="G485" s="101" t="str">
        <f t="shared" ref="G485" si="124">G483</f>
        <v>8th Floor (Part Refuge Area)</v>
      </c>
      <c r="H485" s="102"/>
      <c r="I485" s="49"/>
      <c r="L485" s="103"/>
      <c r="M485" s="103"/>
      <c r="N485" s="49"/>
    </row>
    <row r="486" spans="1:14" s="58" customFormat="1" x14ac:dyDescent="0.25">
      <c r="A486" s="108" t="s">
        <v>209</v>
      </c>
      <c r="B486" s="109"/>
      <c r="C486" s="109"/>
      <c r="D486" s="109"/>
      <c r="E486" s="109"/>
      <c r="F486" s="109"/>
      <c r="G486" s="109"/>
      <c r="H486" s="110"/>
      <c r="J486" s="49"/>
    </row>
    <row r="487" spans="1:14" s="58" customFormat="1" x14ac:dyDescent="0.25">
      <c r="A487" s="101">
        <v>1</v>
      </c>
      <c r="B487" s="102"/>
      <c r="C487" s="50" t="s">
        <v>189</v>
      </c>
      <c r="D487" s="51">
        <f>(1.05*2.7+3.2*2.25+3*4.35+1.4*2.55+0.9*2.2+3.05*3.15+3*4.2+2*1.35+2.55*1.35+1.2*(3+2.25))*10.764</f>
        <v>681.19974000000002</v>
      </c>
      <c r="E487" s="50">
        <v>0</v>
      </c>
      <c r="F487" s="50">
        <f>D487*(($F$245)+1)+(IF(E487&lt;101,E487,IF(E487&lt;201,E487/2,IF(E487&lt;=301,E487/3,E487/4))))</f>
        <v>1055.8595970000001</v>
      </c>
      <c r="G487" s="101" t="str">
        <f>A486</f>
        <v>11th Floor For Residential &amp; Amenities</v>
      </c>
      <c r="H487" s="102"/>
      <c r="I487" s="49"/>
      <c r="L487" s="103"/>
      <c r="M487" s="103"/>
      <c r="N487" s="49"/>
    </row>
    <row r="488" spans="1:14" s="58" customFormat="1" x14ac:dyDescent="0.25">
      <c r="A488" s="101">
        <v>2</v>
      </c>
      <c r="B488" s="102"/>
      <c r="C488" s="50" t="s">
        <v>189</v>
      </c>
      <c r="D488" s="51">
        <f>(1.05*2.7+2*2.25+2.9*4.35+1.4*2.4+0.9*2.1+2.9*2.75+3*3.8+2.1*1.2+2.25*1.2+1.2*(2.25+2.9))*10.764</f>
        <v>602.51490000000001</v>
      </c>
      <c r="E488" s="50">
        <v>0</v>
      </c>
      <c r="F488" s="50">
        <f>D488*(($F$245)+1)+(IF(E488&lt;101,E488,IF(E488&lt;201,E488/2,IF(E488&lt;=301,E488/3,E488/4))))</f>
        <v>933.89809500000001</v>
      </c>
      <c r="G488" s="101" t="str">
        <f>G487</f>
        <v>11th Floor For Residential &amp; Amenities</v>
      </c>
      <c r="H488" s="102"/>
      <c r="I488" s="49"/>
      <c r="L488" s="103"/>
      <c r="M488" s="103"/>
      <c r="N488" s="49"/>
    </row>
    <row r="489" spans="1:14" s="58" customFormat="1" x14ac:dyDescent="0.25">
      <c r="A489" s="101">
        <v>3</v>
      </c>
      <c r="B489" s="102"/>
      <c r="C489" s="50" t="s">
        <v>190</v>
      </c>
      <c r="D489" s="51">
        <f>(1.05*2.7+2.2*2.25+3*4.5+2.9*3.5+1.4*2.1+1.25*2.1+1.2*(3+1.75))*10.764</f>
        <v>459.62279999999998</v>
      </c>
      <c r="E489" s="50">
        <v>0</v>
      </c>
      <c r="F489" s="50">
        <f>D489*(($F$245)+1)+(IF(E489&lt;101,E489,IF(E489&lt;201,E489/2,IF(E489&lt;=301,E489/3,E489/4))))</f>
        <v>712.41534000000001</v>
      </c>
      <c r="G489" s="101" t="str">
        <f t="shared" ref="G489" si="125">G487</f>
        <v>11th Floor For Residential &amp; Amenities</v>
      </c>
      <c r="H489" s="102"/>
      <c r="I489" s="49"/>
      <c r="L489" s="103"/>
      <c r="M489" s="103"/>
      <c r="N489" s="49"/>
    </row>
    <row r="490" spans="1:14" s="58" customFormat="1" x14ac:dyDescent="0.25">
      <c r="A490" s="108" t="s">
        <v>213</v>
      </c>
      <c r="B490" s="109"/>
      <c r="C490" s="109"/>
      <c r="D490" s="109"/>
      <c r="E490" s="109"/>
      <c r="F490" s="109"/>
      <c r="G490" s="109"/>
      <c r="H490" s="110"/>
      <c r="J490" s="49"/>
    </row>
    <row r="491" spans="1:14" s="58" customFormat="1" x14ac:dyDescent="0.25">
      <c r="A491" s="101">
        <v>1</v>
      </c>
      <c r="B491" s="102"/>
      <c r="C491" s="50" t="s">
        <v>189</v>
      </c>
      <c r="D491" s="51">
        <f>(1.05*2.7+3.2*2.25+3*4.35+1.4*2.55+0.9*2.2+3.05*3.15+3*4.2+2*1.35+2.55*1.35+1.2*(3+2.25))*10.764</f>
        <v>681.19974000000002</v>
      </c>
      <c r="E491" s="50">
        <v>0</v>
      </c>
      <c r="F491" s="50">
        <f>D491*(($F$245)+1)+(IF(E491&lt;101,E491,IF(E491&lt;201,E491/2,IF(E491&lt;=301,E491/3,E491/4))))</f>
        <v>1055.8595970000001</v>
      </c>
      <c r="G491" s="101" t="str">
        <f>A490</f>
        <v xml:space="preserve">12th Floor For Residential </v>
      </c>
      <c r="H491" s="102"/>
      <c r="I491" s="49"/>
      <c r="L491" s="103"/>
      <c r="M491" s="103"/>
      <c r="N491" s="49"/>
    </row>
    <row r="492" spans="1:14" s="58" customFormat="1" ht="15.75" customHeight="1" x14ac:dyDescent="0.25">
      <c r="A492" s="101">
        <f t="shared" ref="A492:A493" si="126">A491+1</f>
        <v>2</v>
      </c>
      <c r="B492" s="102"/>
      <c r="C492" s="50" t="s">
        <v>189</v>
      </c>
      <c r="D492" s="51">
        <f>(1.05*2.7+2*2.25+2.9*4.35+1.4*2.4+0.9*2.1+2.9*2.75+3*3.8+2.1*1.2+2.25*1.2+1.2*(2.25+2.9))*10.764</f>
        <v>602.51490000000001</v>
      </c>
      <c r="E492" s="50">
        <v>0</v>
      </c>
      <c r="F492" s="50">
        <f>D492*(($F$245)+1)+(IF(E492&lt;101,E492,IF(E492&lt;201,E492/2,IF(E492&lt;=301,E492/3,E492/4))))</f>
        <v>933.89809500000001</v>
      </c>
      <c r="G492" s="101" t="str">
        <f>G491</f>
        <v xml:space="preserve">12th Floor For Residential </v>
      </c>
      <c r="H492" s="102"/>
      <c r="I492" s="49"/>
      <c r="L492" s="103"/>
      <c r="M492" s="103"/>
      <c r="N492" s="49"/>
    </row>
    <row r="493" spans="1:14" s="58" customFormat="1" ht="15.75" customHeight="1" x14ac:dyDescent="0.25">
      <c r="A493" s="101">
        <f t="shared" si="126"/>
        <v>3</v>
      </c>
      <c r="B493" s="102"/>
      <c r="C493" s="50" t="s">
        <v>190</v>
      </c>
      <c r="D493" s="51">
        <f>(1.05*2.7+2.2*2.25+3*4.5+2.9*3.5+1.4*2.1+1.25*2.1+1.2*(3+1.75))*10.764</f>
        <v>459.62279999999998</v>
      </c>
      <c r="E493" s="50">
        <v>0</v>
      </c>
      <c r="F493" s="50">
        <f>D493*(($F$245)+1)+(IF(E493&lt;101,E493,IF(E493&lt;201,E493/2,IF(E493&lt;=301,E493/3,E493/4))))</f>
        <v>712.41534000000001</v>
      </c>
      <c r="G493" s="101" t="str">
        <f t="shared" ref="G493:G495" si="127">G492</f>
        <v xml:space="preserve">12th Floor For Residential </v>
      </c>
      <c r="H493" s="102"/>
      <c r="I493" s="49"/>
      <c r="L493" s="103"/>
      <c r="M493" s="103"/>
      <c r="N493" s="49"/>
    </row>
    <row r="494" spans="1:14" s="58" customFormat="1" ht="15.75" customHeight="1" x14ac:dyDescent="0.25">
      <c r="A494" s="101">
        <v>6</v>
      </c>
      <c r="B494" s="102"/>
      <c r="C494" s="50" t="s">
        <v>189</v>
      </c>
      <c r="D494" s="51">
        <f>(1.05*2.7+2*2.25+2.9*4.35+1.4*2.4+0.9*2.1+2.9*2.75+3*3.8+2.1*1.2+2.25*1.2+1.2*(2.25+2.9))*10.764</f>
        <v>602.51490000000001</v>
      </c>
      <c r="E494" s="50">
        <v>0</v>
      </c>
      <c r="F494" s="50">
        <f>D494*(($F$245)+1)+(IF(E494&lt;101,E494,IF(E494&lt;201,E494/2,IF(E494&lt;=301,E494/3,E494/4))))</f>
        <v>933.89809500000001</v>
      </c>
      <c r="G494" s="101" t="str">
        <f t="shared" si="127"/>
        <v xml:space="preserve">12th Floor For Residential </v>
      </c>
      <c r="H494" s="102"/>
      <c r="I494" s="49"/>
      <c r="L494" s="103"/>
      <c r="M494" s="103"/>
      <c r="N494" s="49"/>
    </row>
    <row r="495" spans="1:14" s="58" customFormat="1" ht="15.75" customHeight="1" x14ac:dyDescent="0.25">
      <c r="A495" s="101">
        <v>7</v>
      </c>
      <c r="B495" s="102"/>
      <c r="C495" s="50" t="s">
        <v>189</v>
      </c>
      <c r="D495" s="51">
        <f>(1.05*2.7+3.2*2.25+3*4.35+1.4*2.55+0.9*2.2+3.05*3.15+3*4.2+2*1.35+2.55*1.35+1.2*(3+2.25))*10.764</f>
        <v>681.19974000000002</v>
      </c>
      <c r="E495" s="50">
        <v>0</v>
      </c>
      <c r="F495" s="50">
        <f>D495*(($F$245)+1)+(IF(E495&lt;101,E495,IF(E495&lt;201,E495/2,IF(E495&lt;=301,E495/3,E495/4))))</f>
        <v>1055.8595970000001</v>
      </c>
      <c r="G495" s="101" t="str">
        <f t="shared" si="127"/>
        <v xml:space="preserve">12th Floor For Residential </v>
      </c>
      <c r="H495" s="102"/>
      <c r="I495" s="49"/>
      <c r="L495" s="103"/>
      <c r="M495" s="103"/>
      <c r="N495" s="49"/>
    </row>
    <row r="496" spans="1:14" s="58" customFormat="1" x14ac:dyDescent="0.25">
      <c r="A496" s="108" t="s">
        <v>199</v>
      </c>
      <c r="B496" s="109"/>
      <c r="C496" s="109"/>
      <c r="D496" s="109"/>
      <c r="E496" s="109"/>
      <c r="F496" s="109"/>
      <c r="G496" s="109"/>
      <c r="H496" s="110"/>
      <c r="J496" s="49"/>
    </row>
    <row r="497" spans="1:14" s="58" customFormat="1" ht="15.75" customHeight="1" x14ac:dyDescent="0.25">
      <c r="A497" s="101">
        <v>1</v>
      </c>
      <c r="B497" s="102"/>
      <c r="C497" s="50" t="s">
        <v>189</v>
      </c>
      <c r="D497" s="51">
        <f>(1.05*2.7+3.2*2.25+3*4.35+1.4*2.55+0.9*2.2+3.05*3.15+3*4.2+2*1.35+2.55*1.35+1.2*(3+2.25))*10.764</f>
        <v>681.19974000000002</v>
      </c>
      <c r="E497" s="50">
        <v>0</v>
      </c>
      <c r="F497" s="50">
        <f>D497*(($F$245)+1)+(IF(E497&lt;101,E497,IF(E497&lt;201,E497/2,IF(E497&lt;=301,E497/3,E497/4))))</f>
        <v>1055.8595970000001</v>
      </c>
      <c r="G497" s="113" t="str">
        <f>A496</f>
        <v>14th to 17th, 19th to 22nd, 24th to 27th, 29th to 32nd, 34th to 37th, 39th &amp; 40th Floor</v>
      </c>
      <c r="H497" s="114"/>
      <c r="I497" s="49"/>
      <c r="L497" s="103"/>
      <c r="M497" s="103"/>
      <c r="N497" s="49"/>
    </row>
    <row r="498" spans="1:14" s="58" customFormat="1" ht="15.75" customHeight="1" x14ac:dyDescent="0.25">
      <c r="A498" s="101">
        <f t="shared" ref="A498:A499" si="128">A497+1</f>
        <v>2</v>
      </c>
      <c r="B498" s="102"/>
      <c r="C498" s="50" t="s">
        <v>189</v>
      </c>
      <c r="D498" s="51">
        <f>(1.05*2.7+2*2.25+2.9*4.35+1.4*2.4+0.9*2.1+2.9*2.75+3*3.8+2.1*1.2+2.25*1.2+1.2*(2.25+2.9))*10.764</f>
        <v>602.51490000000001</v>
      </c>
      <c r="E498" s="50">
        <v>0</v>
      </c>
      <c r="F498" s="50">
        <f>D498*(($F$245)+1)+(IF(E498&lt;101,E498,IF(E498&lt;201,E498/2,IF(E498&lt;=301,E498/3,E498/4))))</f>
        <v>933.89809500000001</v>
      </c>
      <c r="G498" s="115"/>
      <c r="H498" s="116"/>
      <c r="I498" s="49"/>
      <c r="L498" s="103"/>
      <c r="M498" s="103"/>
      <c r="N498" s="49"/>
    </row>
    <row r="499" spans="1:14" s="58" customFormat="1" ht="15.75" customHeight="1" x14ac:dyDescent="0.25">
      <c r="A499" s="101">
        <f t="shared" si="128"/>
        <v>3</v>
      </c>
      <c r="B499" s="102"/>
      <c r="C499" s="50" t="s">
        <v>190</v>
      </c>
      <c r="D499" s="51">
        <f>(1.05*2.7+2.2*2.25+3*4.5+2.9*3.5+1.4*2.1+1.25*2.1+1.2*(3+1.75))*10.764</f>
        <v>459.62279999999998</v>
      </c>
      <c r="E499" s="50">
        <v>0</v>
      </c>
      <c r="F499" s="50">
        <f>D499*(($F$245)+1)+(IF(E499&lt;101,E499,IF(E499&lt;201,E499/2,IF(E499&lt;=301,E499/3,E499/4))))</f>
        <v>712.41534000000001</v>
      </c>
      <c r="G499" s="115"/>
      <c r="H499" s="116"/>
      <c r="I499" s="49"/>
      <c r="L499" s="103"/>
      <c r="M499" s="103"/>
      <c r="N499" s="49"/>
    </row>
    <row r="500" spans="1:14" s="58" customFormat="1" ht="15.75" customHeight="1" x14ac:dyDescent="0.25">
      <c r="A500" s="101">
        <v>6</v>
      </c>
      <c r="B500" s="102"/>
      <c r="C500" s="50" t="s">
        <v>189</v>
      </c>
      <c r="D500" s="51">
        <f>(1.05*2.7+2*2.25+2.9*4.35+1.4*2.4+0.9*2.1+2.9*2.75+3*3.8+2.1*1.2+2.25*1.2+1.2*(2.25+2.9))*10.764</f>
        <v>602.51490000000001</v>
      </c>
      <c r="E500" s="50">
        <v>0</v>
      </c>
      <c r="F500" s="50">
        <f>D500*(($F$245)+1)+(IF(E500&lt;101,E500,IF(E500&lt;201,E500/2,IF(E500&lt;=301,E500/3,E500/4))))</f>
        <v>933.89809500000001</v>
      </c>
      <c r="G500" s="115"/>
      <c r="H500" s="116"/>
      <c r="I500" s="49"/>
      <c r="L500" s="103"/>
      <c r="M500" s="103"/>
      <c r="N500" s="49"/>
    </row>
    <row r="501" spans="1:14" s="58" customFormat="1" ht="15.75" customHeight="1" x14ac:dyDescent="0.25">
      <c r="A501" s="101">
        <v>7</v>
      </c>
      <c r="B501" s="102"/>
      <c r="C501" s="50" t="s">
        <v>189</v>
      </c>
      <c r="D501" s="51">
        <f>(1.05*2.7+3.2*2.25+3*4.35+1.4*2.55+0.9*2.2+3.05*3.15+3*4.2+2*1.35+2.55*1.35+1.2*(3+2.25))*10.764</f>
        <v>681.19974000000002</v>
      </c>
      <c r="E501" s="50">
        <v>0</v>
      </c>
      <c r="F501" s="50">
        <f>D501*(($F$245)+1)+(IF(E501&lt;101,E501,IF(E501&lt;201,E501/2,IF(E501&lt;=301,E501/3,E501/4))))</f>
        <v>1055.8595970000001</v>
      </c>
      <c r="G501" s="117"/>
      <c r="H501" s="118"/>
      <c r="I501" s="49"/>
      <c r="L501" s="103"/>
      <c r="M501" s="103"/>
      <c r="N501" s="49"/>
    </row>
    <row r="502" spans="1:14" s="58" customFormat="1" ht="15.75" customHeight="1" x14ac:dyDescent="0.25">
      <c r="A502" s="108" t="s">
        <v>200</v>
      </c>
      <c r="B502" s="109"/>
      <c r="C502" s="109"/>
      <c r="D502" s="109"/>
      <c r="E502" s="109"/>
      <c r="F502" s="109"/>
      <c r="G502" s="109"/>
      <c r="H502" s="110"/>
      <c r="J502" s="49"/>
    </row>
    <row r="503" spans="1:14" s="58" customFormat="1" ht="15.75" customHeight="1" x14ac:dyDescent="0.25">
      <c r="A503" s="101">
        <v>1</v>
      </c>
      <c r="B503" s="102"/>
      <c r="C503" s="50" t="s">
        <v>189</v>
      </c>
      <c r="D503" s="51">
        <f>(1.05*2.7+3.2*2.25+3*4.35+1.4*2.55+0.9*2.2+3.05*3.15+3*4.2+2*1.35+2.55*1.35+1.2*(3+2.25))*10.764</f>
        <v>681.19974000000002</v>
      </c>
      <c r="E503" s="50">
        <v>0</v>
      </c>
      <c r="F503" s="50">
        <f>D503*(($F$245)+1)+(IF(E503&lt;101,E503,IF(E503&lt;201,E503/2,IF(E503&lt;=301,E503/3,E503/4))))</f>
        <v>1055.8595970000001</v>
      </c>
      <c r="G503" s="113" t="str">
        <f>A502</f>
        <v>13th, 18th, 23rd, 28th, 33th &amp; 38th Floor (Part Refuge Area)</v>
      </c>
      <c r="H503" s="114"/>
      <c r="I503" s="49"/>
      <c r="L503" s="103"/>
      <c r="M503" s="103"/>
      <c r="N503" s="49"/>
    </row>
    <row r="504" spans="1:14" s="58" customFormat="1" ht="15.75" customHeight="1" x14ac:dyDescent="0.25">
      <c r="A504" s="101">
        <f t="shared" ref="A504:A505" si="129">A503+1</f>
        <v>2</v>
      </c>
      <c r="B504" s="102"/>
      <c r="C504" s="101" t="s">
        <v>196</v>
      </c>
      <c r="D504" s="119"/>
      <c r="E504" s="119"/>
      <c r="F504" s="102"/>
      <c r="G504" s="115"/>
      <c r="H504" s="116"/>
      <c r="I504" s="49"/>
      <c r="L504" s="103"/>
      <c r="M504" s="103"/>
      <c r="N504" s="49"/>
    </row>
    <row r="505" spans="1:14" s="58" customFormat="1" ht="15.75" customHeight="1" x14ac:dyDescent="0.25">
      <c r="A505" s="101">
        <f t="shared" si="129"/>
        <v>3</v>
      </c>
      <c r="B505" s="102"/>
      <c r="C505" s="50" t="s">
        <v>190</v>
      </c>
      <c r="D505" s="51">
        <f>(1.05*2.7+2.2*2.25+3*4.5+2.9*3.5+1.4*2.1+1.25*2.1+1.2*(3+1.75))*10.764</f>
        <v>459.62279999999998</v>
      </c>
      <c r="E505" s="50">
        <v>0</v>
      </c>
      <c r="F505" s="50">
        <f>D505*(($F$245)+1)+(IF(E505&lt;101,E505,IF(E505&lt;201,E505/2,IF(E505&lt;=301,E505/3,E505/4))))</f>
        <v>712.41534000000001</v>
      </c>
      <c r="G505" s="115"/>
      <c r="H505" s="116"/>
      <c r="I505" s="49"/>
      <c r="L505" s="103"/>
      <c r="M505" s="103"/>
      <c r="N505" s="49"/>
    </row>
    <row r="506" spans="1:14" s="58" customFormat="1" ht="15.75" customHeight="1" x14ac:dyDescent="0.25">
      <c r="A506" s="101">
        <v>6</v>
      </c>
      <c r="B506" s="102"/>
      <c r="C506" s="50" t="s">
        <v>189</v>
      </c>
      <c r="D506" s="51">
        <f>(1.05*2.7+2*2.25+2.9*4.35+1.4*2.4+0.9*2.1+2.9*2.75+3*3.8+2.1*1.2+2.25*1.2+1.2*(2.25+2.9))*10.764</f>
        <v>602.51490000000001</v>
      </c>
      <c r="E506" s="50">
        <v>0</v>
      </c>
      <c r="F506" s="50">
        <f>D506*(($F$245)+1)+(IF(E506&lt;101,E506,IF(E506&lt;201,E506/2,IF(E506&lt;=301,E506/3,E506/4))))</f>
        <v>933.89809500000001</v>
      </c>
      <c r="G506" s="115"/>
      <c r="H506" s="116"/>
      <c r="I506" s="49"/>
      <c r="L506" s="103"/>
      <c r="M506" s="103"/>
      <c r="N506" s="49"/>
    </row>
    <row r="507" spans="1:14" s="58" customFormat="1" ht="15.75" customHeight="1" x14ac:dyDescent="0.25">
      <c r="A507" s="101">
        <v>7</v>
      </c>
      <c r="B507" s="102"/>
      <c r="C507" s="50" t="s">
        <v>189</v>
      </c>
      <c r="D507" s="51">
        <f>(1.05*2.7+3.2*2.25+3*4.35+1.4*2.55+0.9*2.2+3.05*3.15+3*4.2+2*1.35+2.55*1.35+1.2*(3+2.25))*10.764</f>
        <v>681.19974000000002</v>
      </c>
      <c r="E507" s="50">
        <v>0</v>
      </c>
      <c r="F507" s="50">
        <f>D507*(($F$245)+1)+(IF(E507&lt;101,E507,IF(E507&lt;201,E507/2,IF(E507&lt;=301,E507/3,E507/4))))</f>
        <v>1055.8595970000001</v>
      </c>
      <c r="G507" s="117"/>
      <c r="H507" s="118"/>
      <c r="I507" s="49"/>
      <c r="L507" s="103"/>
      <c r="M507" s="103"/>
      <c r="N507" s="49"/>
    </row>
    <row r="508" spans="1:14" s="39" customFormat="1" x14ac:dyDescent="0.25">
      <c r="A508" s="204" t="s">
        <v>69</v>
      </c>
      <c r="B508" s="204"/>
      <c r="C508" s="204"/>
      <c r="D508" s="204"/>
      <c r="E508" s="204"/>
      <c r="F508" s="204"/>
      <c r="G508" s="204"/>
      <c r="H508" s="204"/>
    </row>
    <row r="509" spans="1:14" s="39" customFormat="1" ht="48.75" customHeight="1" x14ac:dyDescent="0.25">
      <c r="A509" s="57" t="s">
        <v>154</v>
      </c>
      <c r="B509" s="205" t="s">
        <v>264</v>
      </c>
      <c r="C509" s="206"/>
      <c r="D509" s="206"/>
      <c r="E509" s="206"/>
      <c r="F509" s="206"/>
      <c r="G509" s="206"/>
      <c r="H509" s="207"/>
    </row>
    <row r="510" spans="1:14" s="39" customFormat="1" x14ac:dyDescent="0.25">
      <c r="A510" s="57" t="s">
        <v>154</v>
      </c>
      <c r="B510" s="205" t="str">
        <f>(IF(F244="Saleable area Loading :","We have considered Saleable area of Flats as per our Calculation.","We considered Saleable area of Flat as per Builder area Sheet."))</f>
        <v>We have considered Saleable area of Flats as per our Calculation.</v>
      </c>
      <c r="C510" s="206"/>
      <c r="D510" s="206"/>
      <c r="E510" s="206"/>
      <c r="F510" s="206"/>
      <c r="G510" s="206"/>
      <c r="H510" s="207"/>
    </row>
    <row r="511" spans="1:14" s="39" customFormat="1" x14ac:dyDescent="0.25">
      <c r="A511" s="57" t="s">
        <v>154</v>
      </c>
      <c r="B511" s="205" t="str">
        <f>(IF(F157="Saleable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11" s="206"/>
      <c r="D511" s="206"/>
      <c r="E511" s="206"/>
      <c r="F511" s="206"/>
      <c r="G511" s="206"/>
      <c r="H511" s="207"/>
    </row>
    <row r="512" spans="1:14" s="39" customFormat="1" x14ac:dyDescent="0.25">
      <c r="A512" s="57" t="s">
        <v>154</v>
      </c>
      <c r="B512" s="104" t="s">
        <v>123</v>
      </c>
      <c r="C512" s="105"/>
      <c r="D512" s="105"/>
      <c r="E512" s="105"/>
      <c r="F512" s="105"/>
      <c r="G512" s="105"/>
      <c r="H512" s="106"/>
    </row>
    <row r="513" spans="1:8" s="39" customFormat="1" x14ac:dyDescent="0.25">
      <c r="A513" s="57" t="s">
        <v>154</v>
      </c>
      <c r="B513" s="104" t="s">
        <v>225</v>
      </c>
      <c r="C513" s="105"/>
      <c r="D513" s="105"/>
      <c r="E513" s="105"/>
      <c r="F513" s="105"/>
      <c r="G513" s="105"/>
      <c r="H513" s="106"/>
    </row>
    <row r="514" spans="1:8" s="39" customFormat="1" x14ac:dyDescent="0.25">
      <c r="A514" s="57" t="s">
        <v>154</v>
      </c>
      <c r="B514" s="104" t="s">
        <v>153</v>
      </c>
      <c r="C514" s="105"/>
      <c r="D514" s="105"/>
      <c r="E514" s="105"/>
      <c r="F514" s="105"/>
      <c r="G514" s="105"/>
      <c r="H514" s="106"/>
    </row>
    <row r="515" spans="1:8" s="39" customFormat="1" x14ac:dyDescent="0.25">
      <c r="A515" s="57" t="s">
        <v>154</v>
      </c>
      <c r="B515" s="104" t="s">
        <v>124</v>
      </c>
      <c r="C515" s="105"/>
      <c r="D515" s="105"/>
      <c r="E515" s="105"/>
      <c r="F515" s="105"/>
      <c r="G515" s="105"/>
      <c r="H515" s="106"/>
    </row>
    <row r="516" spans="1:8" s="39" customFormat="1" ht="34.5" customHeight="1" x14ac:dyDescent="0.25">
      <c r="A516" s="57" t="s">
        <v>154</v>
      </c>
      <c r="B516" s="104" t="s">
        <v>155</v>
      </c>
      <c r="C516" s="105"/>
      <c r="D516" s="105"/>
      <c r="E516" s="105"/>
      <c r="F516" s="105"/>
      <c r="G516" s="105"/>
      <c r="H516" s="106"/>
    </row>
    <row r="517" spans="1:8" s="39" customFormat="1" x14ac:dyDescent="0.25">
      <c r="A517" s="71" t="s">
        <v>154</v>
      </c>
      <c r="B517" s="104" t="s">
        <v>125</v>
      </c>
      <c r="C517" s="105"/>
      <c r="D517" s="105"/>
      <c r="E517" s="105"/>
      <c r="F517" s="105"/>
      <c r="G517" s="105"/>
      <c r="H517" s="106"/>
    </row>
    <row r="518" spans="1:8" s="39" customFormat="1" x14ac:dyDescent="0.25">
      <c r="A518" s="57" t="s">
        <v>154</v>
      </c>
      <c r="B518" s="104" t="s">
        <v>250</v>
      </c>
      <c r="C518" s="105"/>
      <c r="D518" s="105"/>
      <c r="E518" s="105"/>
      <c r="F518" s="105"/>
      <c r="G518" s="105"/>
      <c r="H518" s="106"/>
    </row>
    <row r="519" spans="1:8" s="39" customFormat="1" x14ac:dyDescent="0.25">
      <c r="A519" s="73" t="s">
        <v>154</v>
      </c>
      <c r="B519" s="104" t="s">
        <v>257</v>
      </c>
      <c r="C519" s="105"/>
      <c r="D519" s="105"/>
      <c r="E519" s="105"/>
      <c r="F519" s="105"/>
      <c r="G519" s="105"/>
      <c r="H519" s="106"/>
    </row>
    <row r="520" spans="1:8" x14ac:dyDescent="0.25">
      <c r="A520" s="209" t="s">
        <v>62</v>
      </c>
      <c r="B520" s="209"/>
      <c r="C520" s="209"/>
      <c r="D520" s="209"/>
      <c r="E520" s="209"/>
      <c r="F520" s="209"/>
      <c r="G520" s="209"/>
      <c r="H520" s="209"/>
    </row>
    <row r="521" spans="1:8" x14ac:dyDescent="0.25">
      <c r="A521" s="130" t="s">
        <v>63</v>
      </c>
      <c r="B521" s="130"/>
      <c r="C521" s="130"/>
      <c r="D521" s="130"/>
      <c r="E521" s="130"/>
      <c r="F521" s="130"/>
      <c r="G521" s="130"/>
      <c r="H521" s="130"/>
    </row>
    <row r="522" spans="1:8" ht="15.75" customHeight="1" x14ac:dyDescent="0.25">
      <c r="A522" s="208" t="s">
        <v>64</v>
      </c>
      <c r="B522" s="208"/>
      <c r="C522" s="208"/>
      <c r="D522" s="208"/>
      <c r="E522" s="208"/>
      <c r="F522" s="208"/>
      <c r="G522" s="208"/>
      <c r="H522" s="208"/>
    </row>
    <row r="523" spans="1:8" x14ac:dyDescent="0.25">
      <c r="A523" s="130" t="s">
        <v>65</v>
      </c>
      <c r="B523" s="130"/>
      <c r="C523" s="130"/>
      <c r="D523" s="130"/>
      <c r="E523" s="130"/>
      <c r="F523" s="130"/>
      <c r="G523" s="130"/>
      <c r="H523" s="130"/>
    </row>
    <row r="524" spans="1:8" x14ac:dyDescent="0.25">
      <c r="A524" s="130" t="s">
        <v>66</v>
      </c>
      <c r="B524" s="130"/>
      <c r="C524" s="130"/>
      <c r="D524" s="130"/>
      <c r="E524" s="130"/>
      <c r="F524" s="130"/>
      <c r="G524" s="130"/>
      <c r="H524" s="130"/>
    </row>
    <row r="525" spans="1:8" x14ac:dyDescent="0.25">
      <c r="A525" s="130" t="s">
        <v>126</v>
      </c>
      <c r="B525" s="130"/>
      <c r="C525" s="130"/>
      <c r="D525" s="130"/>
      <c r="E525" s="130"/>
      <c r="F525" s="130"/>
      <c r="G525" s="130"/>
      <c r="H525" s="130"/>
    </row>
    <row r="526" spans="1:8" x14ac:dyDescent="0.25">
      <c r="A526" s="168" t="s">
        <v>127</v>
      </c>
      <c r="B526" s="168"/>
      <c r="C526" s="168"/>
      <c r="D526" s="168"/>
      <c r="E526" s="168"/>
      <c r="F526" s="168"/>
      <c r="G526" s="168"/>
      <c r="H526" s="168"/>
    </row>
    <row r="527" spans="1:8" x14ac:dyDescent="0.25">
      <c r="A527" s="203" t="s">
        <v>77</v>
      </c>
      <c r="B527" s="203"/>
      <c r="C527" s="203" t="s">
        <v>260</v>
      </c>
      <c r="D527" s="203"/>
      <c r="E527" s="203" t="s">
        <v>106</v>
      </c>
      <c r="F527" s="203"/>
      <c r="G527" s="203" t="s">
        <v>263</v>
      </c>
      <c r="H527" s="203"/>
    </row>
    <row r="528" spans="1:8" x14ac:dyDescent="0.25">
      <c r="A528" s="202" t="s">
        <v>79</v>
      </c>
      <c r="B528" s="202"/>
      <c r="C528" s="202"/>
      <c r="D528" s="202"/>
      <c r="E528" s="202"/>
      <c r="F528" s="202"/>
      <c r="G528" s="202"/>
      <c r="H528" s="202"/>
    </row>
    <row r="529" spans="1:8" x14ac:dyDescent="0.25">
      <c r="A529" s="202"/>
      <c r="B529" s="202"/>
      <c r="C529" s="202"/>
      <c r="D529" s="202"/>
      <c r="E529" s="202"/>
      <c r="F529" s="202"/>
      <c r="G529" s="202"/>
      <c r="H529" s="202"/>
    </row>
    <row r="530" spans="1:8" x14ac:dyDescent="0.25">
      <c r="A530" s="202"/>
      <c r="B530" s="202"/>
      <c r="C530" s="202"/>
      <c r="D530" s="202"/>
      <c r="E530" s="202"/>
      <c r="F530" s="202"/>
      <c r="G530" s="202"/>
      <c r="H530" s="202"/>
    </row>
    <row r="531" spans="1:8" x14ac:dyDescent="0.25">
      <c r="A531" s="202"/>
      <c r="B531" s="202"/>
      <c r="C531" s="202"/>
      <c r="D531" s="202"/>
      <c r="E531" s="202"/>
      <c r="F531" s="202"/>
      <c r="G531" s="202"/>
      <c r="H531" s="202"/>
    </row>
    <row r="532" spans="1:8" x14ac:dyDescent="0.25">
      <c r="A532" s="41" t="s">
        <v>67</v>
      </c>
      <c r="B532" s="42"/>
      <c r="C532" s="42"/>
      <c r="D532" s="41" t="str">
        <f>E8</f>
        <v>Codename Dream Home</v>
      </c>
      <c r="F532" s="42"/>
      <c r="G532" s="42"/>
      <c r="H532" s="42"/>
    </row>
    <row r="533" spans="1:8" x14ac:dyDescent="0.25">
      <c r="A533" s="42"/>
      <c r="B533" s="42"/>
      <c r="C533" s="42"/>
      <c r="D533" s="42"/>
      <c r="E533" s="42"/>
      <c r="F533" s="42"/>
      <c r="G533" s="42"/>
      <c r="H533" s="42"/>
    </row>
    <row r="534" spans="1:8" x14ac:dyDescent="0.25">
      <c r="A534" s="42"/>
      <c r="B534" s="42"/>
      <c r="C534" s="42"/>
      <c r="D534" s="42"/>
      <c r="E534" s="42"/>
      <c r="F534" s="42"/>
      <c r="G534" s="42"/>
      <c r="H534" s="42"/>
    </row>
    <row r="535" spans="1:8" ht="15" customHeight="1" x14ac:dyDescent="0.25"/>
    <row r="576" spans="1:1" x14ac:dyDescent="0.25">
      <c r="A576" s="44" t="s">
        <v>226</v>
      </c>
    </row>
    <row r="620" spans="1:1" x14ac:dyDescent="0.25">
      <c r="A620" s="44" t="s">
        <v>68</v>
      </c>
    </row>
  </sheetData>
  <mergeCells count="1203">
    <mergeCell ref="A507:B507"/>
    <mergeCell ref="L507:M507"/>
    <mergeCell ref="C466:F466"/>
    <mergeCell ref="A502:H502"/>
    <mergeCell ref="L443:M443"/>
    <mergeCell ref="L468:M468"/>
    <mergeCell ref="A469:B469"/>
    <mergeCell ref="L383:M383"/>
    <mergeCell ref="A384:B384"/>
    <mergeCell ref="B517:H517"/>
    <mergeCell ref="A348:B348"/>
    <mergeCell ref="L348:M348"/>
    <mergeCell ref="A159:H159"/>
    <mergeCell ref="A205:H205"/>
    <mergeCell ref="A246:H246"/>
    <mergeCell ref="A400:H400"/>
    <mergeCell ref="A428:B428"/>
    <mergeCell ref="L428:M428"/>
    <mergeCell ref="A409:H409"/>
    <mergeCell ref="A238:B238"/>
    <mergeCell ref="G238:H238"/>
    <mergeCell ref="L238:M238"/>
    <mergeCell ref="L394:M394"/>
    <mergeCell ref="A395:B395"/>
    <mergeCell ref="L395:M395"/>
    <mergeCell ref="A396:B396"/>
    <mergeCell ref="L396:M396"/>
    <mergeCell ref="L366:M366"/>
    <mergeCell ref="A422:B422"/>
    <mergeCell ref="G422:H422"/>
    <mergeCell ref="L422:M422"/>
    <mergeCell ref="A423:B423"/>
    <mergeCell ref="G423:H423"/>
    <mergeCell ref="L423:M423"/>
    <mergeCell ref="A424:B424"/>
    <mergeCell ref="G424:H424"/>
    <mergeCell ref="A365:B365"/>
    <mergeCell ref="L365:M365"/>
    <mergeCell ref="A366:B366"/>
    <mergeCell ref="L397:M397"/>
    <mergeCell ref="L384:M384"/>
    <mergeCell ref="A385:B385"/>
    <mergeCell ref="L385:M385"/>
    <mergeCell ref="A386:B386"/>
    <mergeCell ref="L386:M386"/>
    <mergeCell ref="A429:B429"/>
    <mergeCell ref="L429:M429"/>
    <mergeCell ref="A430:B430"/>
    <mergeCell ref="L430:M430"/>
    <mergeCell ref="L417:M417"/>
    <mergeCell ref="A418:B418"/>
    <mergeCell ref="G418:H418"/>
    <mergeCell ref="L418:M418"/>
    <mergeCell ref="A419:B419"/>
    <mergeCell ref="G419:H419"/>
    <mergeCell ref="L416:M416"/>
    <mergeCell ref="A417:B417"/>
    <mergeCell ref="G420:H420"/>
    <mergeCell ref="L424:M424"/>
    <mergeCell ref="L229:M229"/>
    <mergeCell ref="A230:B230"/>
    <mergeCell ref="G230:H230"/>
    <mergeCell ref="L230:M230"/>
    <mergeCell ref="A231:B231"/>
    <mergeCell ref="G231:H231"/>
    <mergeCell ref="L231:M231"/>
    <mergeCell ref="A232:B232"/>
    <mergeCell ref="G232:H232"/>
    <mergeCell ref="L232:M232"/>
    <mergeCell ref="A354:B354"/>
    <mergeCell ref="L354:M354"/>
    <mergeCell ref="A361:B361"/>
    <mergeCell ref="L361:M361"/>
    <mergeCell ref="A362:B362"/>
    <mergeCell ref="L362:M362"/>
    <mergeCell ref="A363:B363"/>
    <mergeCell ref="L363:M363"/>
    <mergeCell ref="A239:B239"/>
    <mergeCell ref="G239:H239"/>
    <mergeCell ref="A314:B314"/>
    <mergeCell ref="G314:H314"/>
    <mergeCell ref="L314:M314"/>
    <mergeCell ref="G321:H321"/>
    <mergeCell ref="L321:M321"/>
    <mergeCell ref="A322:B322"/>
    <mergeCell ref="G322:H322"/>
    <mergeCell ref="L322:M322"/>
    <mergeCell ref="A323:B323"/>
    <mergeCell ref="G323:H323"/>
    <mergeCell ref="L323:M323"/>
    <mergeCell ref="A324:B324"/>
    <mergeCell ref="A416:B416"/>
    <mergeCell ref="G416:H416"/>
    <mergeCell ref="A443:B443"/>
    <mergeCell ref="G442:H442"/>
    <mergeCell ref="L442:M442"/>
    <mergeCell ref="L412:M412"/>
    <mergeCell ref="A415:H415"/>
    <mergeCell ref="A382:B382"/>
    <mergeCell ref="A505:B505"/>
    <mergeCell ref="L505:M505"/>
    <mergeCell ref="A506:B506"/>
    <mergeCell ref="L506:M506"/>
    <mergeCell ref="A405:B405"/>
    <mergeCell ref="G405:H405"/>
    <mergeCell ref="L405:M405"/>
    <mergeCell ref="A404:B404"/>
    <mergeCell ref="G404:H404"/>
    <mergeCell ref="L404:M404"/>
    <mergeCell ref="L399:M399"/>
    <mergeCell ref="C391:F391"/>
    <mergeCell ref="L458:M458"/>
    <mergeCell ref="A459:B459"/>
    <mergeCell ref="L459:M459"/>
    <mergeCell ref="A460:B460"/>
    <mergeCell ref="L460:M460"/>
    <mergeCell ref="A461:B461"/>
    <mergeCell ref="L420:M420"/>
    <mergeCell ref="A503:B503"/>
    <mergeCell ref="L503:M503"/>
    <mergeCell ref="A504:B504"/>
    <mergeCell ref="L504:M504"/>
    <mergeCell ref="C504:F504"/>
    <mergeCell ref="A432:B432"/>
    <mergeCell ref="G443:H443"/>
    <mergeCell ref="A387:B387"/>
    <mergeCell ref="L387:M387"/>
    <mergeCell ref="A388:B388"/>
    <mergeCell ref="L379:M379"/>
    <mergeCell ref="A380:B380"/>
    <mergeCell ref="L380:M380"/>
    <mergeCell ref="A381:B381"/>
    <mergeCell ref="A427:H427"/>
    <mergeCell ref="L413:M413"/>
    <mergeCell ref="A374:B374"/>
    <mergeCell ref="A421:H421"/>
    <mergeCell ref="A425:B425"/>
    <mergeCell ref="A406:B406"/>
    <mergeCell ref="G406:H406"/>
    <mergeCell ref="L382:M382"/>
    <mergeCell ref="A383:B383"/>
    <mergeCell ref="A375:H375"/>
    <mergeCell ref="A376:B376"/>
    <mergeCell ref="G376:H376"/>
    <mergeCell ref="L376:M376"/>
    <mergeCell ref="A377:B377"/>
    <mergeCell ref="G377:H377"/>
    <mergeCell ref="L377:M377"/>
    <mergeCell ref="A410:B410"/>
    <mergeCell ref="G410:H410"/>
    <mergeCell ref="L410:M410"/>
    <mergeCell ref="A411:B411"/>
    <mergeCell ref="G417:H417"/>
    <mergeCell ref="L441:M441"/>
    <mergeCell ref="A442:B442"/>
    <mergeCell ref="A420:B420"/>
    <mergeCell ref="A397:B397"/>
    <mergeCell ref="L381:M381"/>
    <mergeCell ref="A501:B501"/>
    <mergeCell ref="L501:M501"/>
    <mergeCell ref="A462:B462"/>
    <mergeCell ref="L462:M462"/>
    <mergeCell ref="A496:H496"/>
    <mergeCell ref="A497:B497"/>
    <mergeCell ref="L497:M497"/>
    <mergeCell ref="A498:B498"/>
    <mergeCell ref="L498:M498"/>
    <mergeCell ref="A463:H463"/>
    <mergeCell ref="A464:B464"/>
    <mergeCell ref="L464:M464"/>
    <mergeCell ref="A465:B465"/>
    <mergeCell ref="A493:B493"/>
    <mergeCell ref="G493:H493"/>
    <mergeCell ref="L493:M493"/>
    <mergeCell ref="A414:B414"/>
    <mergeCell ref="G414:H414"/>
    <mergeCell ref="L414:M414"/>
    <mergeCell ref="A438:B438"/>
    <mergeCell ref="G438:H438"/>
    <mergeCell ref="G451:H451"/>
    <mergeCell ref="L451:M451"/>
    <mergeCell ref="A452:B452"/>
    <mergeCell ref="G452:H452"/>
    <mergeCell ref="L452:M452"/>
    <mergeCell ref="L461:M461"/>
    <mergeCell ref="A431:B431"/>
    <mergeCell ref="L431:M431"/>
    <mergeCell ref="L453:M453"/>
    <mergeCell ref="L448:M448"/>
    <mergeCell ref="A499:B499"/>
    <mergeCell ref="L499:M499"/>
    <mergeCell ref="L466:M466"/>
    <mergeCell ref="G487:H487"/>
    <mergeCell ref="A444:B444"/>
    <mergeCell ref="G444:H444"/>
    <mergeCell ref="A441:B441"/>
    <mergeCell ref="G441:H441"/>
    <mergeCell ref="A500:B500"/>
    <mergeCell ref="L500:M500"/>
    <mergeCell ref="L476:M476"/>
    <mergeCell ref="L469:M469"/>
    <mergeCell ref="A454:H454"/>
    <mergeCell ref="A470:B470"/>
    <mergeCell ref="L470:M470"/>
    <mergeCell ref="A467:B467"/>
    <mergeCell ref="L467:M467"/>
    <mergeCell ref="A468:B468"/>
    <mergeCell ref="A471:B471"/>
    <mergeCell ref="L471:M471"/>
    <mergeCell ref="A448:B448"/>
    <mergeCell ref="G448:H448"/>
    <mergeCell ref="A490:H490"/>
    <mergeCell ref="A487:B487"/>
    <mergeCell ref="L444:M444"/>
    <mergeCell ref="G491:H491"/>
    <mergeCell ref="L491:M491"/>
    <mergeCell ref="A492:B492"/>
    <mergeCell ref="G492:H492"/>
    <mergeCell ref="L492:M492"/>
    <mergeCell ref="A456:B456"/>
    <mergeCell ref="L456:M456"/>
    <mergeCell ref="A457:B457"/>
    <mergeCell ref="L457:M457"/>
    <mergeCell ref="A458:B458"/>
    <mergeCell ref="L465:M465"/>
    <mergeCell ref="G494:H494"/>
    <mergeCell ref="L489:M489"/>
    <mergeCell ref="A357:B357"/>
    <mergeCell ref="A358:B358"/>
    <mergeCell ref="L487:M487"/>
    <mergeCell ref="A474:H474"/>
    <mergeCell ref="G489:H489"/>
    <mergeCell ref="L483:M483"/>
    <mergeCell ref="A484:B484"/>
    <mergeCell ref="G455:H462"/>
    <mergeCell ref="G464:H471"/>
    <mergeCell ref="A477:B477"/>
    <mergeCell ref="A486:H486"/>
    <mergeCell ref="A491:B491"/>
    <mergeCell ref="A466:B466"/>
    <mergeCell ref="G476:H476"/>
    <mergeCell ref="A455:B455"/>
    <mergeCell ref="L455:M455"/>
    <mergeCell ref="A389:H389"/>
    <mergeCell ref="A390:B390"/>
    <mergeCell ref="L390:M390"/>
    <mergeCell ref="A391:B391"/>
    <mergeCell ref="L391:M391"/>
    <mergeCell ref="A392:B392"/>
    <mergeCell ref="L392:M392"/>
    <mergeCell ref="A393:B393"/>
    <mergeCell ref="A433:H433"/>
    <mergeCell ref="A437:B437"/>
    <mergeCell ref="A398:B398"/>
    <mergeCell ref="L338:M338"/>
    <mergeCell ref="A339:B339"/>
    <mergeCell ref="L339:M339"/>
    <mergeCell ref="L325:M325"/>
    <mergeCell ref="L337:M337"/>
    <mergeCell ref="L398:M398"/>
    <mergeCell ref="A399:B399"/>
    <mergeCell ref="A343:B343"/>
    <mergeCell ref="A344:B344"/>
    <mergeCell ref="G437:H437"/>
    <mergeCell ref="L437:M437"/>
    <mergeCell ref="L326:M326"/>
    <mergeCell ref="A327:B327"/>
    <mergeCell ref="G327:H327"/>
    <mergeCell ref="L327:M327"/>
    <mergeCell ref="A352:B352"/>
    <mergeCell ref="L352:M352"/>
    <mergeCell ref="A353:B353"/>
    <mergeCell ref="A355:B355"/>
    <mergeCell ref="L355:M355"/>
    <mergeCell ref="A351:H351"/>
    <mergeCell ref="A325:B325"/>
    <mergeCell ref="G325:H325"/>
    <mergeCell ref="A328:B328"/>
    <mergeCell ref="G328:H328"/>
    <mergeCell ref="L328:M328"/>
    <mergeCell ref="G411:H411"/>
    <mergeCell ref="L411:M411"/>
    <mergeCell ref="L419:M419"/>
    <mergeCell ref="L446:M446"/>
    <mergeCell ref="A447:B447"/>
    <mergeCell ref="G447:H447"/>
    <mergeCell ref="L447:M447"/>
    <mergeCell ref="A436:B436"/>
    <mergeCell ref="A330:B330"/>
    <mergeCell ref="G330:H330"/>
    <mergeCell ref="L330:M330"/>
    <mergeCell ref="A331:B331"/>
    <mergeCell ref="G331:H331"/>
    <mergeCell ref="L331:M331"/>
    <mergeCell ref="L374:M374"/>
    <mergeCell ref="A335:H335"/>
    <mergeCell ref="A336:B336"/>
    <mergeCell ref="L336:M336"/>
    <mergeCell ref="A337:B337"/>
    <mergeCell ref="A340:B340"/>
    <mergeCell ref="L340:M340"/>
    <mergeCell ref="L343:M343"/>
    <mergeCell ref="G374:H374"/>
    <mergeCell ref="L353:M353"/>
    <mergeCell ref="A332:B332"/>
    <mergeCell ref="G332:H332"/>
    <mergeCell ref="L332:M332"/>
    <mergeCell ref="A333:B333"/>
    <mergeCell ref="G333:H333"/>
    <mergeCell ref="L333:M333"/>
    <mergeCell ref="A334:B334"/>
    <mergeCell ref="G334:H334"/>
    <mergeCell ref="L334:M334"/>
    <mergeCell ref="A342:B342"/>
    <mergeCell ref="L342:M342"/>
    <mergeCell ref="L438:M438"/>
    <mergeCell ref="G425:H425"/>
    <mergeCell ref="L425:M425"/>
    <mergeCell ref="A426:B426"/>
    <mergeCell ref="G426:H426"/>
    <mergeCell ref="L426:M426"/>
    <mergeCell ref="A373:B373"/>
    <mergeCell ref="G373:H373"/>
    <mergeCell ref="L435:M435"/>
    <mergeCell ref="A435:B435"/>
    <mergeCell ref="L358:M358"/>
    <mergeCell ref="A359:B359"/>
    <mergeCell ref="L359:M359"/>
    <mergeCell ref="L357:M357"/>
    <mergeCell ref="C356:F356"/>
    <mergeCell ref="A364:B364"/>
    <mergeCell ref="L373:M373"/>
    <mergeCell ref="A356:B356"/>
    <mergeCell ref="L356:M356"/>
    <mergeCell ref="A412:B412"/>
    <mergeCell ref="G412:H412"/>
    <mergeCell ref="L388:M388"/>
    <mergeCell ref="L406:M406"/>
    <mergeCell ref="A378:H378"/>
    <mergeCell ref="A379:B379"/>
    <mergeCell ref="A372:H372"/>
    <mergeCell ref="A368:H368"/>
    <mergeCell ref="A434:B434"/>
    <mergeCell ref="L434:M434"/>
    <mergeCell ref="L393:M393"/>
    <mergeCell ref="A394:B394"/>
    <mergeCell ref="L432:M432"/>
    <mergeCell ref="A329:B329"/>
    <mergeCell ref="G329:H329"/>
    <mergeCell ref="L329:M329"/>
    <mergeCell ref="A318:B318"/>
    <mergeCell ref="G318:H318"/>
    <mergeCell ref="L318:M318"/>
    <mergeCell ref="A313:B313"/>
    <mergeCell ref="G313:H313"/>
    <mergeCell ref="L313:M313"/>
    <mergeCell ref="A338:B338"/>
    <mergeCell ref="A319:H319"/>
    <mergeCell ref="A320:B320"/>
    <mergeCell ref="G320:H320"/>
    <mergeCell ref="L320:M320"/>
    <mergeCell ref="A321:B321"/>
    <mergeCell ref="L364:M364"/>
    <mergeCell ref="A341:B341"/>
    <mergeCell ref="A345:B345"/>
    <mergeCell ref="L345:M345"/>
    <mergeCell ref="A346:B346"/>
    <mergeCell ref="L346:M346"/>
    <mergeCell ref="A347:B347"/>
    <mergeCell ref="L347:M347"/>
    <mergeCell ref="L341:M341"/>
    <mergeCell ref="A315:B315"/>
    <mergeCell ref="G315:H315"/>
    <mergeCell ref="A360:B360"/>
    <mergeCell ref="L360:M360"/>
    <mergeCell ref="A290:B290"/>
    <mergeCell ref="G290:H290"/>
    <mergeCell ref="L290:M290"/>
    <mergeCell ref="A291:B291"/>
    <mergeCell ref="G291:H291"/>
    <mergeCell ref="A309:H309"/>
    <mergeCell ref="A310:B310"/>
    <mergeCell ref="G310:H310"/>
    <mergeCell ref="L310:M310"/>
    <mergeCell ref="L291:M291"/>
    <mergeCell ref="A292:B292"/>
    <mergeCell ref="L301:M301"/>
    <mergeCell ref="A302:B302"/>
    <mergeCell ref="G302:H302"/>
    <mergeCell ref="L302:M302"/>
    <mergeCell ref="A306:B306"/>
    <mergeCell ref="G306:H306"/>
    <mergeCell ref="L306:M306"/>
    <mergeCell ref="L308:M308"/>
    <mergeCell ref="G303:H303"/>
    <mergeCell ref="L303:M303"/>
    <mergeCell ref="A304:B304"/>
    <mergeCell ref="A440:B440"/>
    <mergeCell ref="G440:H440"/>
    <mergeCell ref="L440:M440"/>
    <mergeCell ref="A316:B316"/>
    <mergeCell ref="G316:H316"/>
    <mergeCell ref="L316:M316"/>
    <mergeCell ref="A317:B317"/>
    <mergeCell ref="G317:H317"/>
    <mergeCell ref="L317:M317"/>
    <mergeCell ref="G408:H408"/>
    <mergeCell ref="L408:M408"/>
    <mergeCell ref="A287:B287"/>
    <mergeCell ref="G287:H287"/>
    <mergeCell ref="A279:H279"/>
    <mergeCell ref="A280:B280"/>
    <mergeCell ref="G280:H280"/>
    <mergeCell ref="L280:M280"/>
    <mergeCell ref="A281:B281"/>
    <mergeCell ref="G281:H281"/>
    <mergeCell ref="L281:M281"/>
    <mergeCell ref="A282:B282"/>
    <mergeCell ref="G282:H282"/>
    <mergeCell ref="L282:M282"/>
    <mergeCell ref="A283:B283"/>
    <mergeCell ref="G283:H283"/>
    <mergeCell ref="A308:B308"/>
    <mergeCell ref="G308:H308"/>
    <mergeCell ref="L315:M315"/>
    <mergeCell ref="A326:B326"/>
    <mergeCell ref="G326:H326"/>
    <mergeCell ref="A293:B293"/>
    <mergeCell ref="G435:H435"/>
    <mergeCell ref="G307:H307"/>
    <mergeCell ref="L307:M307"/>
    <mergeCell ref="G293:H293"/>
    <mergeCell ref="L293:M293"/>
    <mergeCell ref="A294:B294"/>
    <mergeCell ref="G294:H294"/>
    <mergeCell ref="L294:M294"/>
    <mergeCell ref="A295:B295"/>
    <mergeCell ref="G295:H295"/>
    <mergeCell ref="A300:B300"/>
    <mergeCell ref="G300:H300"/>
    <mergeCell ref="L300:M300"/>
    <mergeCell ref="A301:B301"/>
    <mergeCell ref="A288:B288"/>
    <mergeCell ref="G288:H288"/>
    <mergeCell ref="L288:M288"/>
    <mergeCell ref="L295:M295"/>
    <mergeCell ref="A296:B296"/>
    <mergeCell ref="A305:B305"/>
    <mergeCell ref="G305:H305"/>
    <mergeCell ref="L305:M305"/>
    <mergeCell ref="C304:F304"/>
    <mergeCell ref="G296:H296"/>
    <mergeCell ref="L296:M296"/>
    <mergeCell ref="A297:B297"/>
    <mergeCell ref="G297:H297"/>
    <mergeCell ref="L297:M297"/>
    <mergeCell ref="A298:B298"/>
    <mergeCell ref="G298:H298"/>
    <mergeCell ref="L298:M298"/>
    <mergeCell ref="A299:H299"/>
    <mergeCell ref="A289:H289"/>
    <mergeCell ref="A258:B258"/>
    <mergeCell ref="G258:H258"/>
    <mergeCell ref="L258:M258"/>
    <mergeCell ref="G284:H284"/>
    <mergeCell ref="L284:M284"/>
    <mergeCell ref="A285:B285"/>
    <mergeCell ref="G285:H285"/>
    <mergeCell ref="L285:M285"/>
    <mergeCell ref="A265:B265"/>
    <mergeCell ref="G265:H265"/>
    <mergeCell ref="L265:M265"/>
    <mergeCell ref="A266:B266"/>
    <mergeCell ref="G266:H266"/>
    <mergeCell ref="L266:M266"/>
    <mergeCell ref="A267:B267"/>
    <mergeCell ref="A268:B268"/>
    <mergeCell ref="A286:B286"/>
    <mergeCell ref="G286:H286"/>
    <mergeCell ref="L286:M286"/>
    <mergeCell ref="L277:M277"/>
    <mergeCell ref="L274:M274"/>
    <mergeCell ref="G271:H271"/>
    <mergeCell ref="L271:M271"/>
    <mergeCell ref="A272:B272"/>
    <mergeCell ref="G272:H272"/>
    <mergeCell ref="L272:M272"/>
    <mergeCell ref="A273:B273"/>
    <mergeCell ref="G273:H273"/>
    <mergeCell ref="L273:M273"/>
    <mergeCell ref="A274:B274"/>
    <mergeCell ref="G274:H274"/>
    <mergeCell ref="D59:H59"/>
    <mergeCell ref="C50:E50"/>
    <mergeCell ref="A53:B53"/>
    <mergeCell ref="C53:E53"/>
    <mergeCell ref="L163:M163"/>
    <mergeCell ref="A164:B164"/>
    <mergeCell ref="G164:H164"/>
    <mergeCell ref="L164:M164"/>
    <mergeCell ref="A171:B171"/>
    <mergeCell ref="G171:H171"/>
    <mergeCell ref="L171:M171"/>
    <mergeCell ref="A210:B210"/>
    <mergeCell ref="G210:H210"/>
    <mergeCell ref="L210:M210"/>
    <mergeCell ref="A168:B168"/>
    <mergeCell ref="G168:H168"/>
    <mergeCell ref="L168:M168"/>
    <mergeCell ref="A169:B169"/>
    <mergeCell ref="G169:H169"/>
    <mergeCell ref="L169:M169"/>
    <mergeCell ref="A170:B170"/>
    <mergeCell ref="G170:H170"/>
    <mergeCell ref="L170:M170"/>
    <mergeCell ref="A165:B165"/>
    <mergeCell ref="G165:H165"/>
    <mergeCell ref="L165:M165"/>
    <mergeCell ref="A166:B166"/>
    <mergeCell ref="G166:H166"/>
    <mergeCell ref="A201:B201"/>
    <mergeCell ref="G201:H201"/>
    <mergeCell ref="A172:H172"/>
    <mergeCell ref="L167:M167"/>
    <mergeCell ref="A521:H521"/>
    <mergeCell ref="B518:H518"/>
    <mergeCell ref="G209:H209"/>
    <mergeCell ref="G212:H212"/>
    <mergeCell ref="B515:H515"/>
    <mergeCell ref="B511:H511"/>
    <mergeCell ref="G162:H162"/>
    <mergeCell ref="L162:M162"/>
    <mergeCell ref="A160:H160"/>
    <mergeCell ref="A161:H161"/>
    <mergeCell ref="A225:B225"/>
    <mergeCell ref="G225:H225"/>
    <mergeCell ref="L225:M225"/>
    <mergeCell ref="A226:B226"/>
    <mergeCell ref="G226:H226"/>
    <mergeCell ref="L226:M226"/>
    <mergeCell ref="A227:H227"/>
    <mergeCell ref="A228:B228"/>
    <mergeCell ref="G228:H228"/>
    <mergeCell ref="L228:M228"/>
    <mergeCell ref="A229:B229"/>
    <mergeCell ref="G229:H229"/>
    <mergeCell ref="G215:H215"/>
    <mergeCell ref="L215:M215"/>
    <mergeCell ref="A216:B216"/>
    <mergeCell ref="G216:H216"/>
    <mergeCell ref="L216:M216"/>
    <mergeCell ref="A162:B162"/>
    <mergeCell ref="L166:M166"/>
    <mergeCell ref="A167:B167"/>
    <mergeCell ref="L239:M239"/>
    <mergeCell ref="G167:H167"/>
    <mergeCell ref="E149:F149"/>
    <mergeCell ref="G211:H211"/>
    <mergeCell ref="G208:H208"/>
    <mergeCell ref="A149:B149"/>
    <mergeCell ref="D244:D245"/>
    <mergeCell ref="E244:E245"/>
    <mergeCell ref="G244:H245"/>
    <mergeCell ref="G140:H140"/>
    <mergeCell ref="F134:H134"/>
    <mergeCell ref="E139:F139"/>
    <mergeCell ref="A139:B139"/>
    <mergeCell ref="A141:B141"/>
    <mergeCell ref="A413:B413"/>
    <mergeCell ref="G413:H413"/>
    <mergeCell ref="A271:B271"/>
    <mergeCell ref="A215:B215"/>
    <mergeCell ref="G275:H275"/>
    <mergeCell ref="A276:B276"/>
    <mergeCell ref="G276:H276"/>
    <mergeCell ref="A277:B277"/>
    <mergeCell ref="G277:H277"/>
    <mergeCell ref="A204:B204"/>
    <mergeCell ref="G204:H204"/>
    <mergeCell ref="A307:B307"/>
    <mergeCell ref="G301:H301"/>
    <mergeCell ref="A278:B278"/>
    <mergeCell ref="G278:H278"/>
    <mergeCell ref="G177:H177"/>
    <mergeCell ref="A178:B178"/>
    <mergeCell ref="G178:H178"/>
    <mergeCell ref="C152:D152"/>
    <mergeCell ref="E152:F152"/>
    <mergeCell ref="F130:H130"/>
    <mergeCell ref="A131:E131"/>
    <mergeCell ref="A133:E133"/>
    <mergeCell ref="F127:H127"/>
    <mergeCell ref="A132:E132"/>
    <mergeCell ref="A117:B117"/>
    <mergeCell ref="A118:B118"/>
    <mergeCell ref="A119:B119"/>
    <mergeCell ref="A121:B121"/>
    <mergeCell ref="A122:B122"/>
    <mergeCell ref="A127:E127"/>
    <mergeCell ref="A50:B50"/>
    <mergeCell ref="A54:H54"/>
    <mergeCell ref="A55:C55"/>
    <mergeCell ref="A56:C56"/>
    <mergeCell ref="D56:H56"/>
    <mergeCell ref="G53:H53"/>
    <mergeCell ref="D60:H60"/>
    <mergeCell ref="C52:H52"/>
    <mergeCell ref="A104:B104"/>
    <mergeCell ref="A105:B105"/>
    <mergeCell ref="A106:B106"/>
    <mergeCell ref="A96:B96"/>
    <mergeCell ref="C96:H96"/>
    <mergeCell ref="A120:B120"/>
    <mergeCell ref="A91:B91"/>
    <mergeCell ref="F125:H125"/>
    <mergeCell ref="A123:B123"/>
    <mergeCell ref="G51:H51"/>
    <mergeCell ref="D55:H55"/>
    <mergeCell ref="A58:C60"/>
    <mergeCell ref="D58:H58"/>
    <mergeCell ref="A528:H531"/>
    <mergeCell ref="A527:B527"/>
    <mergeCell ref="E527:F527"/>
    <mergeCell ref="C527:D527"/>
    <mergeCell ref="G527:H527"/>
    <mergeCell ref="A138:H138"/>
    <mergeCell ref="A136:E136"/>
    <mergeCell ref="F136:H136"/>
    <mergeCell ref="A137:E137"/>
    <mergeCell ref="F137:H137"/>
    <mergeCell ref="A152:B152"/>
    <mergeCell ref="A140:B140"/>
    <mergeCell ref="A523:H523"/>
    <mergeCell ref="A148:H148"/>
    <mergeCell ref="A526:H526"/>
    <mergeCell ref="A524:H524"/>
    <mergeCell ref="B512:H512"/>
    <mergeCell ref="B513:H513"/>
    <mergeCell ref="A508:H508"/>
    <mergeCell ref="A367:H367"/>
    <mergeCell ref="A369:H369"/>
    <mergeCell ref="A401:H401"/>
    <mergeCell ref="A402:H402"/>
    <mergeCell ref="A472:H472"/>
    <mergeCell ref="A155:H155"/>
    <mergeCell ref="B509:H509"/>
    <mergeCell ref="B510:H510"/>
    <mergeCell ref="A156:H156"/>
    <mergeCell ref="G139:H139"/>
    <mergeCell ref="A525:H525"/>
    <mergeCell ref="A522:H522"/>
    <mergeCell ref="A520:H520"/>
    <mergeCell ref="A47:H47"/>
    <mergeCell ref="D57:H57"/>
    <mergeCell ref="A57:C57"/>
    <mergeCell ref="G50:H50"/>
    <mergeCell ref="A51:B52"/>
    <mergeCell ref="A92:B92"/>
    <mergeCell ref="A85:B85"/>
    <mergeCell ref="A88:B88"/>
    <mergeCell ref="A84:B84"/>
    <mergeCell ref="A82:B82"/>
    <mergeCell ref="C82:H82"/>
    <mergeCell ref="A90:B90"/>
    <mergeCell ref="A63:C63"/>
    <mergeCell ref="D63:H63"/>
    <mergeCell ref="C84:H84"/>
    <mergeCell ref="A87:B87"/>
    <mergeCell ref="A89:B89"/>
    <mergeCell ref="E85:F85"/>
    <mergeCell ref="A64:C64"/>
    <mergeCell ref="D64:H64"/>
    <mergeCell ref="A67:C67"/>
    <mergeCell ref="D67:H67"/>
    <mergeCell ref="A65:C65"/>
    <mergeCell ref="D65:H65"/>
    <mergeCell ref="A66:C66"/>
    <mergeCell ref="D66:H66"/>
    <mergeCell ref="A86:B86"/>
    <mergeCell ref="G85:H85"/>
    <mergeCell ref="A49:B49"/>
    <mergeCell ref="C49:E49"/>
    <mergeCell ref="G49:H49"/>
    <mergeCell ref="C51:E51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9:D9"/>
    <mergeCell ref="E9:H9"/>
    <mergeCell ref="A16:B16"/>
    <mergeCell ref="A13:D13"/>
    <mergeCell ref="E13:H13"/>
    <mergeCell ref="A14:D14"/>
    <mergeCell ref="A11:D11"/>
    <mergeCell ref="E11:H11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A21:B21"/>
    <mergeCell ref="C21:D21"/>
    <mergeCell ref="E21:F21"/>
    <mergeCell ref="G21:H21"/>
    <mergeCell ref="A17:B17"/>
    <mergeCell ref="C17:H17"/>
    <mergeCell ref="G20:H20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8:D28"/>
    <mergeCell ref="E28:H28"/>
    <mergeCell ref="A25:D25"/>
    <mergeCell ref="A45:D45"/>
    <mergeCell ref="A46:D46"/>
    <mergeCell ref="A37:H37"/>
    <mergeCell ref="A36:B36"/>
    <mergeCell ref="C36:E36"/>
    <mergeCell ref="E42:H42"/>
    <mergeCell ref="A42:D42"/>
    <mergeCell ref="G114:H123"/>
    <mergeCell ref="A41:D41"/>
    <mergeCell ref="E41:H41"/>
    <mergeCell ref="F33:H33"/>
    <mergeCell ref="F34:H34"/>
    <mergeCell ref="A40:H40"/>
    <mergeCell ref="A61:C61"/>
    <mergeCell ref="A62:C62"/>
    <mergeCell ref="D61:H61"/>
    <mergeCell ref="E86:F95"/>
    <mergeCell ref="G86:H95"/>
    <mergeCell ref="A94:B94"/>
    <mergeCell ref="A95:B95"/>
    <mergeCell ref="D62:H62"/>
    <mergeCell ref="A43:D43"/>
    <mergeCell ref="E43:H43"/>
    <mergeCell ref="E44:H44"/>
    <mergeCell ref="E45:H45"/>
    <mergeCell ref="E46:H46"/>
    <mergeCell ref="A44:D44"/>
    <mergeCell ref="F36:H36"/>
    <mergeCell ref="A38:B38"/>
    <mergeCell ref="A93:B93"/>
    <mergeCell ref="A98:B98"/>
    <mergeCell ref="C98:H98"/>
    <mergeCell ref="A99:B99"/>
    <mergeCell ref="E99:F99"/>
    <mergeCell ref="G99:H99"/>
    <mergeCell ref="A114:B114"/>
    <mergeCell ref="E114:F123"/>
    <mergeCell ref="G113:H113"/>
    <mergeCell ref="C38:H38"/>
    <mergeCell ref="G152:H152"/>
    <mergeCell ref="F131:H131"/>
    <mergeCell ref="A125:E125"/>
    <mergeCell ref="A110:B110"/>
    <mergeCell ref="C110:H110"/>
    <mergeCell ref="A207:H207"/>
    <mergeCell ref="E157:E158"/>
    <mergeCell ref="G157:H158"/>
    <mergeCell ref="A100:B100"/>
    <mergeCell ref="E100:F109"/>
    <mergeCell ref="A107:B107"/>
    <mergeCell ref="A108:B108"/>
    <mergeCell ref="A109:B109"/>
    <mergeCell ref="A112:B112"/>
    <mergeCell ref="C112:H112"/>
    <mergeCell ref="A113:B113"/>
    <mergeCell ref="E113:F113"/>
    <mergeCell ref="F129:H129"/>
    <mergeCell ref="C157:C158"/>
    <mergeCell ref="A206:H206"/>
    <mergeCell ref="F133:H133"/>
    <mergeCell ref="A143:H143"/>
    <mergeCell ref="A144:B144"/>
    <mergeCell ref="A130:E130"/>
    <mergeCell ref="B157:B158"/>
    <mergeCell ref="A157:A158"/>
    <mergeCell ref="C141:D141"/>
    <mergeCell ref="E141:F141"/>
    <mergeCell ref="G141:H141"/>
    <mergeCell ref="A142:B142"/>
    <mergeCell ref="C154:D154"/>
    <mergeCell ref="C142:D142"/>
    <mergeCell ref="A163:B163"/>
    <mergeCell ref="G163:H163"/>
    <mergeCell ref="L214:M214"/>
    <mergeCell ref="L275:M275"/>
    <mergeCell ref="L276:M276"/>
    <mergeCell ref="A211:B211"/>
    <mergeCell ref="A212:B212"/>
    <mergeCell ref="A173:B173"/>
    <mergeCell ref="L211:M211"/>
    <mergeCell ref="L209:M209"/>
    <mergeCell ref="L208:M208"/>
    <mergeCell ref="A196:B196"/>
    <mergeCell ref="G196:H196"/>
    <mergeCell ref="A200:B200"/>
    <mergeCell ref="L173:M173"/>
    <mergeCell ref="L174:M174"/>
    <mergeCell ref="L175:M175"/>
    <mergeCell ref="L176:M176"/>
    <mergeCell ref="L177:M177"/>
    <mergeCell ref="L178:M178"/>
    <mergeCell ref="L195:M195"/>
    <mergeCell ref="A269:H269"/>
    <mergeCell ref="A270:B270"/>
    <mergeCell ref="G270:H270"/>
    <mergeCell ref="A243:H243"/>
    <mergeCell ref="A253:B253"/>
    <mergeCell ref="G253:H253"/>
    <mergeCell ref="A195:B195"/>
    <mergeCell ref="L180:M180"/>
    <mergeCell ref="G224:H224"/>
    <mergeCell ref="L224:M224"/>
    <mergeCell ref="G234:H234"/>
    <mergeCell ref="E142:F142"/>
    <mergeCell ref="G142:H142"/>
    <mergeCell ref="A153:B153"/>
    <mergeCell ref="C153:D153"/>
    <mergeCell ref="E153:F153"/>
    <mergeCell ref="G153:H153"/>
    <mergeCell ref="C149:D149"/>
    <mergeCell ref="G149:H149"/>
    <mergeCell ref="A154:B154"/>
    <mergeCell ref="E154:F154"/>
    <mergeCell ref="F132:H132"/>
    <mergeCell ref="C139:D139"/>
    <mergeCell ref="F135:H135"/>
    <mergeCell ref="E144:F144"/>
    <mergeCell ref="G144:H144"/>
    <mergeCell ref="A145:B145"/>
    <mergeCell ref="C144:D144"/>
    <mergeCell ref="A150:B150"/>
    <mergeCell ref="C150:D150"/>
    <mergeCell ref="E150:F150"/>
    <mergeCell ref="G150:H150"/>
    <mergeCell ref="A151:B151"/>
    <mergeCell ref="C151:D151"/>
    <mergeCell ref="E151:F151"/>
    <mergeCell ref="A134:E134"/>
    <mergeCell ref="C140:D140"/>
    <mergeCell ref="E140:F140"/>
    <mergeCell ref="C145:D145"/>
    <mergeCell ref="E145:F145"/>
    <mergeCell ref="G145:H145"/>
    <mergeCell ref="A146:B146"/>
    <mergeCell ref="C146:D146"/>
    <mergeCell ref="F124:H124"/>
    <mergeCell ref="A39:B39"/>
    <mergeCell ref="C39:H39"/>
    <mergeCell ref="B516:H516"/>
    <mergeCell ref="A48:B48"/>
    <mergeCell ref="C48:H48"/>
    <mergeCell ref="B514:H514"/>
    <mergeCell ref="A115:B115"/>
    <mergeCell ref="A116:B116"/>
    <mergeCell ref="G100:H109"/>
    <mergeCell ref="A101:B101"/>
    <mergeCell ref="A102:B102"/>
    <mergeCell ref="A103:B103"/>
    <mergeCell ref="F126:H126"/>
    <mergeCell ref="A126:E126"/>
    <mergeCell ref="D157:D158"/>
    <mergeCell ref="A128:E128"/>
    <mergeCell ref="A208:B208"/>
    <mergeCell ref="A209:B209"/>
    <mergeCell ref="G173:H173"/>
    <mergeCell ref="A174:B174"/>
    <mergeCell ref="G174:H174"/>
    <mergeCell ref="A175:B175"/>
    <mergeCell ref="G175:H175"/>
    <mergeCell ref="A176:B176"/>
    <mergeCell ref="G176:H176"/>
    <mergeCell ref="A177:B177"/>
    <mergeCell ref="A129:E129"/>
    <mergeCell ref="A135:E135"/>
    <mergeCell ref="G154:H154"/>
    <mergeCell ref="A124:E124"/>
    <mergeCell ref="F128:H128"/>
    <mergeCell ref="A181:B181"/>
    <mergeCell ref="G181:H181"/>
    <mergeCell ref="L181:M181"/>
    <mergeCell ref="A403:H403"/>
    <mergeCell ref="G267:H267"/>
    <mergeCell ref="L267:M267"/>
    <mergeCell ref="A259:H259"/>
    <mergeCell ref="A260:B260"/>
    <mergeCell ref="G260:H260"/>
    <mergeCell ref="L260:M260"/>
    <mergeCell ref="A261:B261"/>
    <mergeCell ref="G261:H261"/>
    <mergeCell ref="L261:M261"/>
    <mergeCell ref="A262:B262"/>
    <mergeCell ref="G262:H262"/>
    <mergeCell ref="L262:M262"/>
    <mergeCell ref="A263:B263"/>
    <mergeCell ref="G263:H263"/>
    <mergeCell ref="L263:M263"/>
    <mergeCell ref="A264:B264"/>
    <mergeCell ref="L270:M270"/>
    <mergeCell ref="L253:M253"/>
    <mergeCell ref="A248:H248"/>
    <mergeCell ref="A254:B254"/>
    <mergeCell ref="G254:H254"/>
    <mergeCell ref="L254:M254"/>
    <mergeCell ref="A255:B255"/>
    <mergeCell ref="G255:H255"/>
    <mergeCell ref="L255:M255"/>
    <mergeCell ref="A250:B250"/>
    <mergeCell ref="G250:H250"/>
    <mergeCell ref="G190:H190"/>
    <mergeCell ref="L250:M250"/>
    <mergeCell ref="A251:B251"/>
    <mergeCell ref="G251:H251"/>
    <mergeCell ref="L251:M251"/>
    <mergeCell ref="A252:B252"/>
    <mergeCell ref="G252:H252"/>
    <mergeCell ref="L252:M252"/>
    <mergeCell ref="C244:C245"/>
    <mergeCell ref="G195:H195"/>
    <mergeCell ref="A194:H194"/>
    <mergeCell ref="G220:H220"/>
    <mergeCell ref="A234:B234"/>
    <mergeCell ref="A223:B223"/>
    <mergeCell ref="G223:H223"/>
    <mergeCell ref="L223:M223"/>
    <mergeCell ref="A224:B224"/>
    <mergeCell ref="A189:B189"/>
    <mergeCell ref="A249:H249"/>
    <mergeCell ref="A214:B214"/>
    <mergeCell ref="G214:H214"/>
    <mergeCell ref="L234:M234"/>
    <mergeCell ref="A235:H235"/>
    <mergeCell ref="A219:B219"/>
    <mergeCell ref="G219:H219"/>
    <mergeCell ref="L219:M219"/>
    <mergeCell ref="A220:B220"/>
    <mergeCell ref="L220:M220"/>
    <mergeCell ref="A221:B221"/>
    <mergeCell ref="G221:H221"/>
    <mergeCell ref="L221:M221"/>
    <mergeCell ref="A222:B222"/>
    <mergeCell ref="G222:H222"/>
    <mergeCell ref="G202:H202"/>
    <mergeCell ref="L202:M202"/>
    <mergeCell ref="A203:B203"/>
    <mergeCell ref="G203:H203"/>
    <mergeCell ref="L203:M203"/>
    <mergeCell ref="L196:M196"/>
    <mergeCell ref="A197:B197"/>
    <mergeCell ref="G189:H189"/>
    <mergeCell ref="L189:M189"/>
    <mergeCell ref="A193:B193"/>
    <mergeCell ref="G193:H193"/>
    <mergeCell ref="A213:B213"/>
    <mergeCell ref="G213:H213"/>
    <mergeCell ref="L213:M213"/>
    <mergeCell ref="A240:B240"/>
    <mergeCell ref="G240:H240"/>
    <mergeCell ref="L240:M240"/>
    <mergeCell ref="L222:M222"/>
    <mergeCell ref="A191:B191"/>
    <mergeCell ref="G191:H191"/>
    <mergeCell ref="G233:H233"/>
    <mergeCell ref="L233:M233"/>
    <mergeCell ref="A217:H217"/>
    <mergeCell ref="A218:B218"/>
    <mergeCell ref="G218:H218"/>
    <mergeCell ref="L218:M218"/>
    <mergeCell ref="L191:M191"/>
    <mergeCell ref="A192:B192"/>
    <mergeCell ref="G192:H192"/>
    <mergeCell ref="L192:M192"/>
    <mergeCell ref="A199:B199"/>
    <mergeCell ref="G199:H199"/>
    <mergeCell ref="G304:H304"/>
    <mergeCell ref="L304:M304"/>
    <mergeCell ref="A303:B303"/>
    <mergeCell ref="G324:H324"/>
    <mergeCell ref="L324:M324"/>
    <mergeCell ref="A311:B311"/>
    <mergeCell ref="G311:H311"/>
    <mergeCell ref="L311:M311"/>
    <mergeCell ref="A312:B312"/>
    <mergeCell ref="G312:H312"/>
    <mergeCell ref="L312:M312"/>
    <mergeCell ref="L344:M344"/>
    <mergeCell ref="A349:B349"/>
    <mergeCell ref="L349:M349"/>
    <mergeCell ref="A350:B350"/>
    <mergeCell ref="L350:M350"/>
    <mergeCell ref="G197:H197"/>
    <mergeCell ref="L197:M197"/>
    <mergeCell ref="A198:B198"/>
    <mergeCell ref="G198:H198"/>
    <mergeCell ref="L198:M198"/>
    <mergeCell ref="G264:H264"/>
    <mergeCell ref="L264:M264"/>
    <mergeCell ref="L204:M204"/>
    <mergeCell ref="L257:M257"/>
    <mergeCell ref="A236:B236"/>
    <mergeCell ref="G236:H236"/>
    <mergeCell ref="L236:M236"/>
    <mergeCell ref="A237:B237"/>
    <mergeCell ref="G237:H237"/>
    <mergeCell ref="L237:M237"/>
    <mergeCell ref="A233:B233"/>
    <mergeCell ref="L199:M199"/>
    <mergeCell ref="A244:A245"/>
    <mergeCell ref="A476:B476"/>
    <mergeCell ref="A247:H247"/>
    <mergeCell ref="A480:B480"/>
    <mergeCell ref="G480:H480"/>
    <mergeCell ref="A446:B446"/>
    <mergeCell ref="G446:H446"/>
    <mergeCell ref="L278:M278"/>
    <mergeCell ref="G495:H495"/>
    <mergeCell ref="A485:B485"/>
    <mergeCell ref="G485:H485"/>
    <mergeCell ref="L485:M485"/>
    <mergeCell ref="A475:B475"/>
    <mergeCell ref="G475:H475"/>
    <mergeCell ref="L475:M475"/>
    <mergeCell ref="A478:H478"/>
    <mergeCell ref="A479:B479"/>
    <mergeCell ref="G479:H479"/>
    <mergeCell ref="L479:M479"/>
    <mergeCell ref="L480:M480"/>
    <mergeCell ref="A481:B481"/>
    <mergeCell ref="G481:H481"/>
    <mergeCell ref="L481:M481"/>
    <mergeCell ref="A482:H482"/>
    <mergeCell ref="A473:H473"/>
    <mergeCell ref="A483:B483"/>
    <mergeCell ref="G483:H483"/>
    <mergeCell ref="G268:H268"/>
    <mergeCell ref="L268:M268"/>
    <mergeCell ref="G434:H434"/>
    <mergeCell ref="A275:B275"/>
    <mergeCell ref="E146:F146"/>
    <mergeCell ref="G146:H146"/>
    <mergeCell ref="A147:B147"/>
    <mergeCell ref="C147:D147"/>
    <mergeCell ref="E147:F147"/>
    <mergeCell ref="G147:H147"/>
    <mergeCell ref="L190:M190"/>
    <mergeCell ref="G151:H151"/>
    <mergeCell ref="G182:H182"/>
    <mergeCell ref="L182:M182"/>
    <mergeCell ref="A179:B179"/>
    <mergeCell ref="G179:H179"/>
    <mergeCell ref="L179:M179"/>
    <mergeCell ref="A180:B180"/>
    <mergeCell ref="G180:H180"/>
    <mergeCell ref="A241:B241"/>
    <mergeCell ref="A184:B184"/>
    <mergeCell ref="G184:H184"/>
    <mergeCell ref="L184:M184"/>
    <mergeCell ref="A185:B185"/>
    <mergeCell ref="G185:H185"/>
    <mergeCell ref="L185:M185"/>
    <mergeCell ref="A186:B186"/>
    <mergeCell ref="G186:H186"/>
    <mergeCell ref="L186:M186"/>
    <mergeCell ref="A187:B187"/>
    <mergeCell ref="G187:H187"/>
    <mergeCell ref="L187:M187"/>
    <mergeCell ref="A188:B188"/>
    <mergeCell ref="G188:H188"/>
    <mergeCell ref="L188:M188"/>
    <mergeCell ref="A182:B182"/>
    <mergeCell ref="G449:H449"/>
    <mergeCell ref="L449:M449"/>
    <mergeCell ref="A450:B450"/>
    <mergeCell ref="G450:H450"/>
    <mergeCell ref="L450:M450"/>
    <mergeCell ref="A451:B451"/>
    <mergeCell ref="G497:H501"/>
    <mergeCell ref="G503:H507"/>
    <mergeCell ref="A183:H183"/>
    <mergeCell ref="L193:M193"/>
    <mergeCell ref="A256:B256"/>
    <mergeCell ref="G256:H256"/>
    <mergeCell ref="L256:M256"/>
    <mergeCell ref="A257:B257"/>
    <mergeCell ref="G257:H257"/>
    <mergeCell ref="G200:H200"/>
    <mergeCell ref="L200:M200"/>
    <mergeCell ref="L212:M212"/>
    <mergeCell ref="L201:M201"/>
    <mergeCell ref="A202:B202"/>
    <mergeCell ref="G336:H350"/>
    <mergeCell ref="G352:H366"/>
    <mergeCell ref="G379:H388"/>
    <mergeCell ref="G390:H399"/>
    <mergeCell ref="G428:H432"/>
    <mergeCell ref="L283:M283"/>
    <mergeCell ref="A284:B284"/>
    <mergeCell ref="A408:B408"/>
    <mergeCell ref="A407:B407"/>
    <mergeCell ref="L287:M287"/>
    <mergeCell ref="C484:F484"/>
    <mergeCell ref="A190:B190"/>
    <mergeCell ref="G484:H484"/>
    <mergeCell ref="L484:M484"/>
    <mergeCell ref="A494:B494"/>
    <mergeCell ref="L494:M494"/>
    <mergeCell ref="A495:B495"/>
    <mergeCell ref="L495:M495"/>
    <mergeCell ref="A488:B488"/>
    <mergeCell ref="G488:H488"/>
    <mergeCell ref="L488:M488"/>
    <mergeCell ref="A489:B489"/>
    <mergeCell ref="A453:B453"/>
    <mergeCell ref="G453:H453"/>
    <mergeCell ref="B519:H519"/>
    <mergeCell ref="G241:H241"/>
    <mergeCell ref="L241:M241"/>
    <mergeCell ref="A242:B242"/>
    <mergeCell ref="G242:H242"/>
    <mergeCell ref="L242:M242"/>
    <mergeCell ref="G407:H407"/>
    <mergeCell ref="L407:M407"/>
    <mergeCell ref="G292:H292"/>
    <mergeCell ref="L292:M292"/>
    <mergeCell ref="A370:H370"/>
    <mergeCell ref="A371:H371"/>
    <mergeCell ref="G436:H436"/>
    <mergeCell ref="L436:M436"/>
    <mergeCell ref="A445:H445"/>
    <mergeCell ref="A439:H439"/>
    <mergeCell ref="G477:H477"/>
    <mergeCell ref="L477:M477"/>
    <mergeCell ref="B244:B245"/>
    <mergeCell ref="A449:B449"/>
    <mergeCell ref="I11:L11"/>
    <mergeCell ref="A68:B68"/>
    <mergeCell ref="C68:H68"/>
    <mergeCell ref="A70:B70"/>
    <mergeCell ref="C70:H70"/>
    <mergeCell ref="A71:B71"/>
    <mergeCell ref="E71:F71"/>
    <mergeCell ref="G71:H71"/>
    <mergeCell ref="A72:B72"/>
    <mergeCell ref="E72:F81"/>
    <mergeCell ref="G72:H81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E26:H26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</mergeCell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8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7" max="16383" man="1"/>
    <brk id="438" max="7" man="1"/>
    <brk id="481" max="7" man="1"/>
    <brk id="531" max="16383" man="1"/>
    <brk id="575" max="16383" man="1"/>
    <brk id="61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225" t="s">
        <v>107</v>
      </c>
      <c r="C3" s="225"/>
      <c r="D3" s="225"/>
      <c r="E3" s="225"/>
      <c r="F3" s="225"/>
      <c r="G3" s="225"/>
      <c r="H3" s="225"/>
    </row>
    <row r="4" spans="1:9" x14ac:dyDescent="0.25">
      <c r="A4" s="3"/>
      <c r="B4" s="4" t="s">
        <v>108</v>
      </c>
      <c r="C4" s="4" t="s">
        <v>109</v>
      </c>
      <c r="D4" s="4" t="s">
        <v>70</v>
      </c>
      <c r="E4" s="4" t="s">
        <v>110</v>
      </c>
      <c r="F4" s="4" t="s">
        <v>116</v>
      </c>
      <c r="G4" s="4" t="s">
        <v>117</v>
      </c>
      <c r="H4" s="4" t="s">
        <v>111</v>
      </c>
    </row>
    <row r="5" spans="1:9" ht="15" customHeight="1" x14ac:dyDescent="0.25">
      <c r="A5" s="3"/>
      <c r="B5" s="6" t="s">
        <v>112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25">
      <c r="A6" s="3"/>
      <c r="B6" s="6" t="s">
        <v>112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112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112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112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113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113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114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115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M21" sqref="M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2025-07-07T07:49:46Z</cp:lastPrinted>
  <dcterms:created xsi:type="dcterms:W3CDTF">2019-07-16T09:29:46Z</dcterms:created>
  <dcterms:modified xsi:type="dcterms:W3CDTF">2025-07-07T07:54:52Z</dcterms:modified>
</cp:coreProperties>
</file>