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July 2025\Old\08-07\"/>
    </mc:Choice>
  </mc:AlternateContent>
  <bookViews>
    <workbookView xWindow="0" yWindow="0" windowWidth="20490" windowHeight="6555" tabRatio="725"/>
  </bookViews>
  <sheets>
    <sheet name="Report" sheetId="1" r:id="rId1"/>
    <sheet name="Highway NOC &amp; Valuation" sheetId="5" r:id="rId2"/>
    <sheet name="Note" sheetId="4" r:id="rId3"/>
  </sheets>
  <definedNames>
    <definedName name="_xlnm.Print_Area" localSheetId="0">Report!$A$1:$H$332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" l="1"/>
  <c r="J101" i="1"/>
  <c r="D60" i="1"/>
  <c r="E3" i="1"/>
  <c r="J108" i="1" l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07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35" i="1"/>
  <c r="I135" i="1"/>
  <c r="I142" i="1"/>
  <c r="I147" i="1" l="1"/>
  <c r="I141" i="1"/>
  <c r="I172" i="1"/>
  <c r="I176" i="1"/>
  <c r="I150" i="1"/>
  <c r="I157" i="1"/>
  <c r="I155" i="1"/>
  <c r="I168" i="1"/>
  <c r="I108" i="1"/>
  <c r="I107" i="1"/>
  <c r="G99" i="1" l="1"/>
  <c r="G100" i="1"/>
  <c r="E179" i="1"/>
  <c r="D179" i="1"/>
  <c r="D178" i="1"/>
  <c r="F178" i="1" s="1"/>
  <c r="J178" i="1" s="1"/>
  <c r="D177" i="1"/>
  <c r="G176" i="1"/>
  <c r="G177" i="1" s="1"/>
  <c r="G178" i="1" s="1"/>
  <c r="G179" i="1" s="1"/>
  <c r="D176" i="1"/>
  <c r="A176" i="1"/>
  <c r="A177" i="1" s="1"/>
  <c r="A178" i="1" s="1"/>
  <c r="A179" i="1" s="1"/>
  <c r="E157" i="1"/>
  <c r="D157" i="1"/>
  <c r="E153" i="1"/>
  <c r="D156" i="1"/>
  <c r="D155" i="1"/>
  <c r="D154" i="1"/>
  <c r="G153" i="1"/>
  <c r="G154" i="1" s="1"/>
  <c r="G155" i="1" s="1"/>
  <c r="G156" i="1" s="1"/>
  <c r="G157" i="1" s="1"/>
  <c r="D153" i="1"/>
  <c r="A153" i="1"/>
  <c r="A154" i="1" s="1"/>
  <c r="A155" i="1" s="1"/>
  <c r="A156" i="1" s="1"/>
  <c r="A157" i="1" s="1"/>
  <c r="E174" i="1"/>
  <c r="D174" i="1"/>
  <c r="E173" i="1"/>
  <c r="D173" i="1"/>
  <c r="E172" i="1"/>
  <c r="D172" i="1"/>
  <c r="G171" i="1"/>
  <c r="G172" i="1" s="1"/>
  <c r="G173" i="1" s="1"/>
  <c r="G174" i="1" s="1"/>
  <c r="E171" i="1"/>
  <c r="D171" i="1"/>
  <c r="A171" i="1"/>
  <c r="A172" i="1" s="1"/>
  <c r="A173" i="1" s="1"/>
  <c r="A174" i="1" s="1"/>
  <c r="D151" i="1"/>
  <c r="D150" i="1"/>
  <c r="E149" i="1"/>
  <c r="D149" i="1"/>
  <c r="E148" i="1"/>
  <c r="D148" i="1"/>
  <c r="G147" i="1"/>
  <c r="G148" i="1" s="1"/>
  <c r="G149" i="1" s="1"/>
  <c r="G150" i="1" s="1"/>
  <c r="G151" i="1" s="1"/>
  <c r="D147" i="1"/>
  <c r="A147" i="1"/>
  <c r="A148" i="1" s="1"/>
  <c r="A149" i="1" s="1"/>
  <c r="A150" i="1" s="1"/>
  <c r="A151" i="1" s="1"/>
  <c r="D169" i="1"/>
  <c r="D168" i="1"/>
  <c r="D167" i="1"/>
  <c r="G166" i="1"/>
  <c r="G167" i="1" s="1"/>
  <c r="G168" i="1" s="1"/>
  <c r="G169" i="1" s="1"/>
  <c r="D166" i="1"/>
  <c r="A166" i="1"/>
  <c r="A167" i="1" s="1"/>
  <c r="A168" i="1" s="1"/>
  <c r="A169" i="1" s="1"/>
  <c r="D145" i="1"/>
  <c r="D144" i="1"/>
  <c r="D143" i="1"/>
  <c r="D142" i="1"/>
  <c r="G141" i="1"/>
  <c r="G142" i="1" s="1"/>
  <c r="G143" i="1" s="1"/>
  <c r="G144" i="1" s="1"/>
  <c r="G145" i="1" s="1"/>
  <c r="D141" i="1"/>
  <c r="A141" i="1"/>
  <c r="A142" i="1" s="1"/>
  <c r="A143" i="1" s="1"/>
  <c r="A144" i="1" s="1"/>
  <c r="A145" i="1" s="1"/>
  <c r="E164" i="1"/>
  <c r="D164" i="1"/>
  <c r="E163" i="1"/>
  <c r="D163" i="1"/>
  <c r="E162" i="1"/>
  <c r="D162" i="1"/>
  <c r="E161" i="1"/>
  <c r="D161" i="1"/>
  <c r="G161" i="1"/>
  <c r="G162" i="1" s="1"/>
  <c r="G163" i="1" s="1"/>
  <c r="G164" i="1" s="1"/>
  <c r="A161" i="1"/>
  <c r="A162" i="1" s="1"/>
  <c r="A163" i="1" s="1"/>
  <c r="A164" i="1" s="1"/>
  <c r="D139" i="1"/>
  <c r="D138" i="1"/>
  <c r="E137" i="1"/>
  <c r="D137" i="1"/>
  <c r="E136" i="1"/>
  <c r="D136" i="1"/>
  <c r="D135" i="1"/>
  <c r="G135" i="1"/>
  <c r="G136" i="1" s="1"/>
  <c r="G137" i="1" s="1"/>
  <c r="G138" i="1" s="1"/>
  <c r="G139" i="1" s="1"/>
  <c r="A135" i="1"/>
  <c r="A136" i="1" s="1"/>
  <c r="A137" i="1" s="1"/>
  <c r="A138" i="1" s="1"/>
  <c r="A139" i="1" s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E96" i="1" l="1"/>
  <c r="E100" i="1"/>
  <c r="E99" i="1"/>
  <c r="C100" i="1"/>
  <c r="F129" i="1"/>
  <c r="C96" i="1"/>
  <c r="C99" i="1"/>
  <c r="E41" i="1"/>
  <c r="E42" i="1" s="1"/>
  <c r="C101" i="1" l="1"/>
  <c r="G96" i="1"/>
  <c r="J129" i="1"/>
  <c r="E101" i="1"/>
  <c r="G101" i="1"/>
  <c r="B182" i="1"/>
  <c r="B183" i="1"/>
  <c r="C13" i="1" l="1"/>
  <c r="E28" i="1" l="1"/>
  <c r="F9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4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G107" i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J77" i="1"/>
  <c r="J76" i="1"/>
  <c r="J75" i="1"/>
  <c r="J74" i="1"/>
  <c r="C66" i="1"/>
  <c r="D55" i="1"/>
  <c r="G48" i="1"/>
  <c r="G49" i="1" s="1"/>
  <c r="C48" i="1"/>
  <c r="C49" i="1" s="1"/>
  <c r="E25" i="1"/>
  <c r="E23" i="1"/>
  <c r="E7" i="1"/>
  <c r="H67" i="1"/>
  <c r="D79" i="1" l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D72" i="1" l="1"/>
  <c r="J68" i="1"/>
  <c r="E70" i="1"/>
  <c r="D71" i="1"/>
  <c r="G70" i="1"/>
  <c r="D64" i="1" s="1"/>
  <c r="D70" i="1"/>
  <c r="J67" i="1" s="1"/>
  <c r="D65" i="1" l="1"/>
  <c r="I67" i="1"/>
  <c r="F65" i="1" l="1"/>
  <c r="I68" i="1"/>
  <c r="I66" i="1" s="1"/>
  <c r="C68" i="1" s="1"/>
</calcChain>
</file>

<file path=xl/sharedStrings.xml><?xml version="1.0" encoding="utf-8"?>
<sst xmlns="http://schemas.openxmlformats.org/spreadsheetml/2006/main" count="304" uniqueCount="226">
  <si>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</si>
  <si>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</si>
  <si>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</si>
  <si>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</si>
  <si>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</si>
  <si>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</si>
  <si>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</si>
  <si>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</si>
  <si>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</si>
  <si>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</si>
  <si>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</si>
  <si>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</si>
  <si>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</si>
  <si>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</si>
  <si>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</si>
  <si>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</si>
  <si>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</si>
  <si>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</si>
  <si>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</si>
  <si>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</si>
  <si>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</si>
  <si>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</si>
  <si>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</si>
  <si>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</si>
  <si>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</si>
  <si>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</si>
  <si>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</si>
  <si>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</si>
  <si>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</si>
  <si>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</si>
  <si>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</si>
  <si>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</si>
  <si>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</si>
  <si>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</si>
  <si>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</si>
  <si>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</si>
  <si>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</si>
  <si>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</si>
  <si>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</si>
  <si>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</si>
  <si>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</si>
  <si>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</si>
  <si>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</si>
  <si>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</si>
  <si>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</si>
  <si>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</si>
  <si>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</si>
  <si>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</si>
  <si>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</si>
  <si>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</si>
  <si>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</si>
  <si>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</si>
  <si>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</si>
  <si>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</si>
  <si>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</si>
  <si>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</si>
  <si>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</si>
  <si>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</si>
  <si>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</si>
  <si>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</si>
  <si>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</si>
  <si>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</si>
  <si>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</si>
  <si>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</si>
  <si>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</si>
  <si>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</si>
  <si>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</si>
  <si>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</si>
  <si>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</si>
  <si>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</si>
  <si>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</si>
  <si>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</si>
  <si>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</si>
  <si>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</si>
  <si>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</si>
  <si>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</si>
  <si>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</si>
  <si>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</si>
  <si>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</si>
  <si>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</si>
  <si>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</si>
  <si>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</si>
  <si>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</si>
  <si>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</si>
  <si>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</si>
  <si>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</si>
  <si>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</si>
  <si>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</si>
  <si>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</si>
  <si>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</si>
  <si>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</si>
  <si>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</si>
  <si>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</si>
  <si>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</si>
  <si>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</si>
  <si>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</si>
  <si>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</si>
  <si>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</si>
  <si>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</si>
  <si>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</si>
  <si>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</si>
  <si>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</si>
  <si>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</si>
  <si>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</si>
  <si>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</si>
  <si>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</si>
  <si>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</si>
  <si>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</si>
  <si>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</si>
  <si>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</si>
  <si>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</si>
  <si>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</si>
  <si>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</si>
  <si>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</si>
  <si>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</si>
  <si>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</si>
  <si>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</si>
  <si>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</si>
  <si>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</si>
  <si>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</si>
  <si>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</si>
  <si>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</si>
  <si>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</si>
  <si>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</si>
  <si>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</si>
  <si>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</si>
  <si>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</si>
  <si>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</si>
  <si>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</si>
  <si>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</si>
  <si>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</si>
  <si>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</si>
  <si>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</si>
  <si>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</si>
  <si>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</si>
  <si>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</si>
  <si>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</si>
  <si>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</si>
  <si>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</si>
  <si>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</si>
  <si>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</si>
  <si>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</si>
  <si>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</si>
  <si>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</si>
  <si>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</si>
  <si>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</si>
  <si>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</si>
  <si>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</si>
  <si>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</si>
  <si>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</si>
  <si>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</si>
  <si>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</si>
  <si>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</si>
  <si>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</si>
  <si>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</si>
  <si>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</si>
  <si>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</si>
  <si>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</si>
  <si>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</si>
  <si>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</si>
  <si>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</si>
  <si>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</si>
  <si>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</si>
  <si>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</si>
  <si>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</si>
  <si>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</si>
  <si>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</si>
  <si>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</si>
  <si>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</si>
  <si>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</si>
  <si>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</si>
  <si>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</si>
  <si>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</si>
  <si>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2 Wings</t>
  </si>
  <si>
    <t>Navi Mumbai Airport Influence Notified Area (NAINA)</t>
  </si>
  <si>
    <t>CIDCO/NAINA/Panvel/Palaspe/BP-00514/CC/2021/0078</t>
  </si>
  <si>
    <t>Ground Floor for Commercial &amp; Parking</t>
  </si>
  <si>
    <t>Shop</t>
  </si>
  <si>
    <t>Wing A &amp; B</t>
  </si>
  <si>
    <t>Wing A + B</t>
  </si>
  <si>
    <t>Wing A</t>
  </si>
  <si>
    <t>Wing B</t>
  </si>
  <si>
    <t>1st Floor for Residential</t>
  </si>
  <si>
    <t>3rd Floor</t>
  </si>
  <si>
    <t>4th Floor</t>
  </si>
  <si>
    <t>Axis Sanpada</t>
  </si>
  <si>
    <t>M/s. Vision Realtors</t>
  </si>
  <si>
    <t>Rachana</t>
  </si>
  <si>
    <t xml:space="preserve">Builder Saleable Area </t>
  </si>
  <si>
    <t>Flats - 35, Shops - 23</t>
  </si>
  <si>
    <t>Approved Plans, CC, Sale Plans, Builder Saleable Area.</t>
  </si>
  <si>
    <t>P52000030741</t>
  </si>
  <si>
    <t>Survey No</t>
  </si>
  <si>
    <t>5/1/A</t>
  </si>
  <si>
    <t>Palaspe</t>
  </si>
  <si>
    <t>Raigad</t>
  </si>
  <si>
    <t>Panvel</t>
  </si>
  <si>
    <t>Panvel - Kanyakumari highway</t>
  </si>
  <si>
    <t>Gram Panchayat Palaspe</t>
  </si>
  <si>
    <t>3.2 KM from Somatne Railway Station</t>
  </si>
  <si>
    <t>Palaspe Gaon</t>
  </si>
  <si>
    <t>Chattrapati Shivaji Vidyalay, Palaspe</t>
  </si>
  <si>
    <t>https://goo.gl/maps/C3p6KLKvjzXx8ZxD8</t>
  </si>
  <si>
    <t>Wing A &amp; B  = G/St + 1st to 4th Floor</t>
  </si>
  <si>
    <t>We considered Gross carpet area = Net carpet + Enclose balcony + Open balcony.</t>
  </si>
  <si>
    <t>rate sheet</t>
  </si>
  <si>
    <t>builder</t>
  </si>
  <si>
    <t>flat</t>
  </si>
  <si>
    <t>shop</t>
  </si>
  <si>
    <t>visitor</t>
  </si>
  <si>
    <t>market</t>
  </si>
  <si>
    <t>Layout Plan :</t>
  </si>
  <si>
    <t>Mumbai - Goa highway</t>
  </si>
  <si>
    <t xml:space="preserve">Highway NOC No
Valid Up to: </t>
  </si>
  <si>
    <t>NHAI/RO/MUM/PNVL/NH-17/NOC/Palaspe/2021/E-3375</t>
  </si>
  <si>
    <t>Highway NOC</t>
  </si>
  <si>
    <t>Office No. 1031, Wing J, Akshar Business Park, Plot No. 03 Sector 25, Near APMC Market,
Vashi, Navi Mumbai, Maharashtra 400703 TEL: 022-46090378/79/8
E mail : vsjcapf@gmail.com. Web site : www.vsjadon.com</t>
  </si>
  <si>
    <t>Completed</t>
  </si>
  <si>
    <t>Vitrified tiles flooring, Kitchen Platform, Decorative Entrance</t>
  </si>
  <si>
    <t>All work Completed. Please provide OC.</t>
  </si>
  <si>
    <t>On Site, we meet Mr. Kumar : 9919042263.</t>
  </si>
  <si>
    <t>Ravindra vishwakarma</t>
  </si>
  <si>
    <t>Shruti</t>
  </si>
  <si>
    <t>890 to 900 by smith sir</t>
  </si>
  <si>
    <t>Salable area is changed A401 from 890 to 900 on 24/07/2025 by smith sir</t>
  </si>
  <si>
    <t>Recommended Rates/Other Charges of the Property have been revised on 24/07/2025.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</si>
</sst>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5" fillId="0" borderId="25" xfId="0" applyFont="1" applyFill="1" applyBorder="1"/>
    <xf numFmtId="0" fontId="25" fillId="0" borderId="4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 applyProtection="1">
      <protection locked="0"/>
    </xf>
    <xf numFmtId="0" fontId="7" fillId="0" borderId="0" xfId="1" applyFont="1" applyFill="1" applyAlignment="1"/>
    <xf numFmtId="2" fontId="7" fillId="0" borderId="0" xfId="1" applyNumberFormat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4" fontId="7" fillId="0" borderId="0" xfId="1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7" fillId="0" borderId="0" xfId="0" applyNumberFormat="1" applyFont="1" applyFill="1" applyAlignment="1">
      <alignment horizontal="center" vertical="center"/>
    </xf>
    <xf numFmtId="0" fontId="24" fillId="2" borderId="12" xfId="0" applyFont="1" applyFill="1" applyBorder="1"/>
    <xf numFmtId="0" fontId="25" fillId="0" borderId="8" xfId="0" applyFont="1" applyFill="1" applyBorder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4" fontId="8" fillId="0" borderId="7" xfId="1" applyNumberFormat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675513</xdr:colOff>
      <xdr:row>248</xdr:row>
      <xdr:rowOff>9525</xdr:rowOff>
    </xdr:from>
    <xdr:to>
      <xdr:col>7</xdr:col>
      <xdr:colOff>284607</xdr:colOff>
      <xdr:row>267</xdr:row>
      <xdr:rowOff>31242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5513" y="60064650"/>
          <a:ext cx="5724144" cy="38221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657225</xdr:colOff>
      <xdr:row>268</xdr:row>
      <xdr:rowOff>33278</xdr:rowOff>
    </xdr:from>
    <xdr:to>
      <xdr:col>7</xdr:col>
      <xdr:colOff>284607</xdr:colOff>
      <xdr:row>287</xdr:row>
      <xdr:rowOff>91571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225" y="64088903"/>
          <a:ext cx="5742432" cy="38587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292</xdr:row>
      <xdr:rowOff>47625</xdr:rowOff>
    </xdr:from>
    <xdr:to>
      <xdr:col>7</xdr:col>
      <xdr:colOff>21206</xdr:colOff>
      <xdr:row>322</xdr:row>
      <xdr:rowOff>188882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9693175"/>
          <a:ext cx="5374256" cy="61420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921694</xdr:colOff>
      <xdr:row>307</xdr:row>
      <xdr:rowOff>131189</xdr:rowOff>
    </xdr:from>
    <xdr:to>
      <xdr:col>4</xdr:col>
      <xdr:colOff>286185</xdr:colOff>
      <xdr:row>319</xdr:row>
      <xdr:rowOff>178647</xdr:rowOff>
    </xdr:to>
    <xdr:sp macro="" textlink="">
      <xdr:nvSpPr>
        <xdr:cNvPr id="17" name="TextBox 5"/>
        <xdr:cNvSpPr txBox="1"/>
      </xdr:nvSpPr>
      <xdr:spPr>
        <a:xfrm rot="4752774">
          <a:off x="2475686" y="63813922"/>
          <a:ext cx="244775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Service road</a:t>
          </a:r>
          <a:endParaRPr lang="en-IN"/>
        </a:p>
      </xdr:txBody>
    </xdr:sp>
    <xdr:clientData/>
  </xdr:twoCellAnchor>
  <xdr:twoCellAnchor>
    <xdr:from>
      <xdr:col>2</xdr:col>
      <xdr:colOff>432344</xdr:colOff>
      <xdr:row>304</xdr:row>
      <xdr:rowOff>99461</xdr:rowOff>
    </xdr:from>
    <xdr:to>
      <xdr:col>2</xdr:col>
      <xdr:colOff>806485</xdr:colOff>
      <xdr:row>318</xdr:row>
      <xdr:rowOff>143718</xdr:rowOff>
    </xdr:to>
    <xdr:sp macro="" textlink="">
      <xdr:nvSpPr>
        <xdr:cNvPr id="18" name="TextBox 18"/>
        <xdr:cNvSpPr txBox="1"/>
      </xdr:nvSpPr>
      <xdr:spPr>
        <a:xfrm rot="4775801">
          <a:off x="873511" y="63380544"/>
          <a:ext cx="284460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Highway center line</a:t>
          </a:r>
          <a:endParaRPr lang="en-IN"/>
        </a:p>
      </xdr:txBody>
    </xdr:sp>
    <xdr:clientData/>
  </xdr:twoCellAnchor>
  <xdr:twoCellAnchor>
    <xdr:from>
      <xdr:col>2</xdr:col>
      <xdr:colOff>546397</xdr:colOff>
      <xdr:row>314</xdr:row>
      <xdr:rowOff>133350</xdr:rowOff>
    </xdr:from>
    <xdr:to>
      <xdr:col>5</xdr:col>
      <xdr:colOff>152400</xdr:colOff>
      <xdr:row>317</xdr:row>
      <xdr:rowOff>15815</xdr:rowOff>
    </xdr:to>
    <xdr:cxnSp macro="">
      <xdr:nvCxnSpPr>
        <xdr:cNvPr id="19" name="Straight Arrow Connector 18"/>
        <xdr:cNvCxnSpPr/>
      </xdr:nvCxnSpPr>
      <xdr:spPr>
        <a:xfrm flipV="1">
          <a:off x="2222797" y="64179450"/>
          <a:ext cx="2368253" cy="4825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861908</xdr:colOff>
      <xdr:row>314</xdr:row>
      <xdr:rowOff>16843</xdr:rowOff>
    </xdr:from>
    <xdr:to>
      <xdr:col>4</xdr:col>
      <xdr:colOff>9525</xdr:colOff>
      <xdr:row>315</xdr:row>
      <xdr:rowOff>190959</xdr:rowOff>
    </xdr:to>
    <xdr:sp macro="" textlink="">
      <xdr:nvSpPr>
        <xdr:cNvPr id="20" name="TextBox 10"/>
        <xdr:cNvSpPr txBox="1"/>
      </xdr:nvSpPr>
      <xdr:spPr>
        <a:xfrm>
          <a:off x="2538308" y="64062943"/>
          <a:ext cx="107166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40 M</a:t>
          </a:r>
          <a:endParaRPr lang="en-IN"/>
        </a:p>
      </xdr:txBody>
    </xdr:sp>
    <xdr:clientData/>
  </xdr:twoCellAnchor>
  <xdr:twoCellAnchor editAs="oneCell">
    <xdr:from>
      <xdr:col>8</xdr:col>
      <xdr:colOff>809625</xdr:colOff>
      <xdr:row>45</xdr:row>
      <xdr:rowOff>180975</xdr:rowOff>
    </xdr:from>
    <xdr:to>
      <xdr:col>12</xdr:col>
      <xdr:colOff>136071</xdr:colOff>
      <xdr:row>59</xdr:row>
      <xdr:rowOff>130869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10106025"/>
          <a:ext cx="2898321" cy="37884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385928</xdr:colOff>
      <xdr:row>45</xdr:row>
      <xdr:rowOff>180975</xdr:rowOff>
    </xdr:from>
    <xdr:to>
      <xdr:col>18</xdr:col>
      <xdr:colOff>226567</xdr:colOff>
      <xdr:row>54</xdr:row>
      <xdr:rowOff>48575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8678" y="10106025"/>
          <a:ext cx="4450739" cy="27060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203</xdr:row>
      <xdr:rowOff>0</xdr:rowOff>
    </xdr:from>
    <xdr:to>
      <xdr:col>10</xdr:col>
      <xdr:colOff>56411</xdr:colOff>
      <xdr:row>204</xdr:row>
      <xdr:rowOff>169306</xdr:rowOff>
    </xdr:to>
    <xdr:sp macro="" textlink="">
      <xdr:nvSpPr>
        <xdr:cNvPr id="23" name="TextBox 1"/>
        <xdr:cNvSpPr txBox="1"/>
      </xdr:nvSpPr>
      <xdr:spPr>
        <a:xfrm>
          <a:off x="8070273" y="41205727"/>
          <a:ext cx="858820" cy="3655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A</a:t>
          </a:r>
          <a:endParaRPr lang="en-IN" b="1"/>
        </a:p>
      </xdr:txBody>
    </xdr:sp>
    <xdr:clientData/>
  </xdr:twoCellAnchor>
  <xdr:twoCellAnchor>
    <xdr:from>
      <xdr:col>8</xdr:col>
      <xdr:colOff>339725</xdr:colOff>
      <xdr:row>206</xdr:row>
      <xdr:rowOff>133350</xdr:rowOff>
    </xdr:from>
    <xdr:to>
      <xdr:col>16</xdr:col>
      <xdr:colOff>90594</xdr:colOff>
      <xdr:row>243</xdr:row>
      <xdr:rowOff>172721</xdr:rowOff>
    </xdr:to>
    <xdr:grpSp>
      <xdr:nvGrpSpPr>
        <xdr:cNvPr id="4" name="Group 3"/>
        <xdr:cNvGrpSpPr/>
      </xdr:nvGrpSpPr>
      <xdr:grpSpPr>
        <a:xfrm>
          <a:off x="6864350" y="42519600"/>
          <a:ext cx="6151669" cy="7430771"/>
          <a:chOff x="234950" y="41586150"/>
          <a:chExt cx="6431069" cy="7316471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95283" y="4673226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4444720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47706" y="4444720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71064" y="4444720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6156" y="41586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8189" y="4674262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41586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5553" y="41586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133350</xdr:colOff>
      <xdr:row>204</xdr:row>
      <xdr:rowOff>180975</xdr:rowOff>
    </xdr:from>
    <xdr:to>
      <xdr:col>7</xdr:col>
      <xdr:colOff>738000</xdr:colOff>
      <xdr:row>242</xdr:row>
      <xdr:rowOff>10904</xdr:rowOff>
    </xdr:to>
    <xdr:grpSp>
      <xdr:nvGrpSpPr>
        <xdr:cNvPr id="5" name="Group 4"/>
        <xdr:cNvGrpSpPr/>
      </xdr:nvGrpSpPr>
      <xdr:grpSpPr>
        <a:xfrm>
          <a:off x="133350" y="42167175"/>
          <a:ext cx="6300600" cy="7421354"/>
          <a:chOff x="133350" y="42262425"/>
          <a:chExt cx="6300600" cy="7421354"/>
        </a:xfrm>
      </xdr:grpSpPr>
      <xdr:pic>
        <xdr:nvPicPr>
          <xdr:cNvPr id="24" name="Picture 23" descr="insp-239560-1525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6617" y="47523779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insp-239560-843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250" y="45270355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insp-239560-847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5444" y="45270355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insp-239560-88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47523779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insp-239560-916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44983" y="47523779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insp-239560-9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5443" y="42286216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insp-239560-151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56833" y="42262425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3</xdr:col>
      <xdr:colOff>217561</xdr:colOff>
      <xdr:row>29</xdr:row>
      <xdr:rowOff>54000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249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8</xdr:col>
      <xdr:colOff>514425</xdr:colOff>
      <xdr:row>43</xdr:row>
      <xdr:rowOff>113667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76" y="3249706"/>
          <a:ext cx="3876190" cy="50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100854</xdr:colOff>
      <xdr:row>16</xdr:row>
      <xdr:rowOff>134470</xdr:rowOff>
    </xdr:from>
    <xdr:to>
      <xdr:col>19</xdr:col>
      <xdr:colOff>226176</xdr:colOff>
      <xdr:row>35</xdr:row>
      <xdr:rowOff>134018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1" y="3193676"/>
          <a:ext cx="5952381" cy="3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3p6KLKvjzXx8ZxD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1"/>
  <sheetViews>
    <sheetView tabSelected="1" view="pageBreakPreview" zoomScaleNormal="100" zoomScaleSheetLayoutView="100" workbookViewId="0">
      <selection activeCell="K8" sqref="K8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27" t="s">
        <v>216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25">
      <c r="A3" s="103" t="s">
        <v>1</v>
      </c>
      <c r="B3" s="103"/>
      <c r="C3" s="103"/>
      <c r="D3" s="103"/>
      <c r="E3" s="128" t="str">
        <f ca="1">TEXT(TODAY(),"DD/MM/YYYY")</f>
        <v>24/07/2025</v>
      </c>
      <c r="F3" s="103"/>
      <c r="G3" s="103"/>
      <c r="H3" s="103"/>
    </row>
    <row r="4" spans="1:8" ht="15" customHeight="1" x14ac:dyDescent="0.25">
      <c r="A4" s="103" t="s">
        <v>2</v>
      </c>
      <c r="B4" s="103"/>
      <c r="C4" s="103"/>
      <c r="D4" s="103"/>
      <c r="E4" s="103" t="s">
        <v>185</v>
      </c>
      <c r="F4" s="103"/>
      <c r="G4" s="103"/>
      <c r="H4" s="103"/>
    </row>
    <row r="5" spans="1:8" x14ac:dyDescent="0.25">
      <c r="A5" s="103" t="s">
        <v>3</v>
      </c>
      <c r="B5" s="103"/>
      <c r="C5" s="103"/>
      <c r="D5" s="103"/>
      <c r="E5" s="128">
        <v>45845</v>
      </c>
      <c r="F5" s="103"/>
      <c r="G5" s="103"/>
      <c r="H5" s="103"/>
    </row>
    <row r="6" spans="1:8" ht="16.5" customHeight="1" x14ac:dyDescent="0.25">
      <c r="A6" s="103" t="s">
        <v>4</v>
      </c>
      <c r="B6" s="103"/>
      <c r="C6" s="103"/>
      <c r="D6" s="103"/>
      <c r="E6" s="103" t="s">
        <v>186</v>
      </c>
      <c r="F6" s="103"/>
      <c r="G6" s="103"/>
      <c r="H6" s="103"/>
    </row>
    <row r="7" spans="1:8" ht="15" customHeight="1" x14ac:dyDescent="0.25">
      <c r="A7" s="103" t="s">
        <v>5</v>
      </c>
      <c r="B7" s="103"/>
      <c r="C7" s="103"/>
      <c r="D7" s="103"/>
      <c r="E7" s="103" t="str">
        <f>E6</f>
        <v>M/s. Vision Realtors</v>
      </c>
      <c r="F7" s="103"/>
      <c r="G7" s="103"/>
      <c r="H7" s="103"/>
    </row>
    <row r="8" spans="1:8" x14ac:dyDescent="0.25">
      <c r="A8" s="103" t="s">
        <v>6</v>
      </c>
      <c r="B8" s="103"/>
      <c r="C8" s="103"/>
      <c r="D8" s="103"/>
      <c r="E8" s="129" t="s">
        <v>187</v>
      </c>
      <c r="F8" s="129"/>
      <c r="G8" s="129"/>
      <c r="H8" s="129"/>
    </row>
    <row r="9" spans="1:8" x14ac:dyDescent="0.25">
      <c r="A9" s="103" t="s">
        <v>127</v>
      </c>
      <c r="B9" s="103"/>
      <c r="C9" s="103"/>
      <c r="D9" s="103"/>
      <c r="E9" s="103">
        <v>9323102792</v>
      </c>
      <c r="F9" s="103"/>
      <c r="G9" s="103"/>
      <c r="H9" s="103"/>
    </row>
    <row r="10" spans="1:8" x14ac:dyDescent="0.25">
      <c r="A10" s="103" t="s">
        <v>7</v>
      </c>
      <c r="B10" s="103"/>
      <c r="C10" s="103"/>
      <c r="D10" s="103"/>
      <c r="E10" s="103" t="s">
        <v>178</v>
      </c>
      <c r="F10" s="103"/>
      <c r="G10" s="103"/>
      <c r="H10" s="103"/>
    </row>
    <row r="11" spans="1:8" x14ac:dyDescent="0.25">
      <c r="A11" s="80" t="s">
        <v>8</v>
      </c>
      <c r="B11" s="80"/>
      <c r="C11" s="80"/>
      <c r="D11" s="80"/>
      <c r="E11" s="95" t="s">
        <v>190</v>
      </c>
      <c r="F11" s="95"/>
      <c r="G11" s="95"/>
      <c r="H11" s="95"/>
    </row>
    <row r="12" spans="1:8" x14ac:dyDescent="0.25">
      <c r="A12" s="80" t="s">
        <v>9</v>
      </c>
      <c r="B12" s="80"/>
      <c r="C12" s="80"/>
      <c r="D12" s="80"/>
      <c r="E12" s="95" t="s">
        <v>191</v>
      </c>
      <c r="F12" s="103"/>
      <c r="G12" s="103"/>
      <c r="H12" s="103"/>
    </row>
    <row r="13" spans="1:8" ht="33.75" customHeight="1" x14ac:dyDescent="0.25">
      <c r="A13" s="95" t="s">
        <v>10</v>
      </c>
      <c r="B13" s="95"/>
      <c r="C13" s="9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Rachana, Survey No.5/1/A, near Gram Panchayat Palaspe, Panvel - Kanyakumari highway, Palaspe, Palaspe, Panvel, Panvel, Raigad - 410206.</v>
      </c>
      <c r="D13" s="95"/>
      <c r="E13" s="95"/>
      <c r="F13" s="95"/>
      <c r="G13" s="95"/>
      <c r="H13" s="95"/>
    </row>
    <row r="14" spans="1:8" x14ac:dyDescent="0.25">
      <c r="A14" s="95" t="s">
        <v>192</v>
      </c>
      <c r="B14" s="95"/>
      <c r="C14" s="95" t="s">
        <v>193</v>
      </c>
      <c r="D14" s="95"/>
      <c r="E14" s="95"/>
      <c r="F14" s="95"/>
      <c r="G14" s="95"/>
      <c r="H14" s="95"/>
    </row>
    <row r="15" spans="1:8" ht="15.75" customHeight="1" x14ac:dyDescent="0.25">
      <c r="A15" s="160" t="s">
        <v>170</v>
      </c>
      <c r="B15" s="161"/>
      <c r="C15" s="160" t="s">
        <v>194</v>
      </c>
      <c r="D15" s="162"/>
      <c r="E15" s="162"/>
      <c r="F15" s="162"/>
      <c r="G15" s="162"/>
      <c r="H15" s="161"/>
    </row>
    <row r="16" spans="1:8" ht="15.75" customHeight="1" x14ac:dyDescent="0.25">
      <c r="A16" s="118" t="s">
        <v>11</v>
      </c>
      <c r="B16" s="118"/>
      <c r="C16" s="103" t="s">
        <v>197</v>
      </c>
      <c r="D16" s="103"/>
      <c r="E16" s="118" t="s">
        <v>171</v>
      </c>
      <c r="F16" s="118"/>
      <c r="G16" s="95" t="s">
        <v>194</v>
      </c>
      <c r="H16" s="95"/>
    </row>
    <row r="17" spans="1:8" x14ac:dyDescent="0.25">
      <c r="A17" s="80" t="s">
        <v>13</v>
      </c>
      <c r="B17" s="80"/>
      <c r="C17" s="95" t="s">
        <v>196</v>
      </c>
      <c r="D17" s="95"/>
      <c r="E17" s="118" t="s">
        <v>12</v>
      </c>
      <c r="F17" s="118"/>
      <c r="G17" s="130" t="s">
        <v>195</v>
      </c>
      <c r="H17" s="130"/>
    </row>
    <row r="18" spans="1:8" x14ac:dyDescent="0.25">
      <c r="A18" s="80" t="s">
        <v>76</v>
      </c>
      <c r="B18" s="80"/>
      <c r="C18" s="95" t="s">
        <v>196</v>
      </c>
      <c r="D18" s="95"/>
      <c r="E18" s="118" t="s">
        <v>14</v>
      </c>
      <c r="F18" s="118"/>
      <c r="G18" s="95">
        <v>410206</v>
      </c>
      <c r="H18" s="95"/>
    </row>
    <row r="19" spans="1:8" ht="32.25" customHeight="1" x14ac:dyDescent="0.25">
      <c r="A19" s="80" t="s">
        <v>128</v>
      </c>
      <c r="B19" s="80"/>
      <c r="C19" s="95" t="s">
        <v>198</v>
      </c>
      <c r="D19" s="95"/>
      <c r="E19" s="118" t="s">
        <v>15</v>
      </c>
      <c r="F19" s="118"/>
      <c r="G19" s="95" t="s">
        <v>199</v>
      </c>
      <c r="H19" s="95"/>
    </row>
    <row r="20" spans="1:8" ht="15" customHeight="1" x14ac:dyDescent="0.25">
      <c r="A20" s="118" t="s">
        <v>79</v>
      </c>
      <c r="B20" s="118"/>
      <c r="C20" s="118"/>
      <c r="D20" s="118"/>
      <c r="E20" s="103" t="s">
        <v>16</v>
      </c>
      <c r="F20" s="103"/>
      <c r="G20" s="103"/>
      <c r="H20" s="103"/>
    </row>
    <row r="21" spans="1:8" ht="18.75" customHeight="1" x14ac:dyDescent="0.25">
      <c r="A21" s="118"/>
      <c r="B21" s="118"/>
      <c r="C21" s="118"/>
      <c r="D21" s="118"/>
      <c r="E21" s="103"/>
      <c r="F21" s="103"/>
      <c r="G21" s="103"/>
      <c r="H21" s="103"/>
    </row>
    <row r="22" spans="1:8" ht="15" customHeight="1" x14ac:dyDescent="0.25">
      <c r="A22" s="118" t="s">
        <v>17</v>
      </c>
      <c r="B22" s="118"/>
      <c r="C22" s="118"/>
      <c r="D22" s="118"/>
      <c r="E22" s="95" t="s">
        <v>18</v>
      </c>
      <c r="F22" s="95"/>
      <c r="G22" s="95"/>
      <c r="H22" s="95"/>
    </row>
    <row r="23" spans="1:8" ht="15" customHeight="1" x14ac:dyDescent="0.25">
      <c r="A23" s="80" t="s">
        <v>19</v>
      </c>
      <c r="B23" s="80"/>
      <c r="C23" s="80"/>
      <c r="D23" s="80"/>
      <c r="E23" s="95" t="str">
        <f>IF(AND(G17="Mumbai"),"Upper Class","Middle Class")</f>
        <v>Middle Class</v>
      </c>
      <c r="F23" s="95"/>
      <c r="G23" s="95"/>
      <c r="H23" s="95"/>
    </row>
    <row r="24" spans="1:8" x14ac:dyDescent="0.25">
      <c r="A24" s="80" t="s">
        <v>20</v>
      </c>
      <c r="B24" s="80"/>
      <c r="C24" s="80"/>
      <c r="D24" s="80"/>
      <c r="E24" s="95" t="s">
        <v>21</v>
      </c>
      <c r="F24" s="95"/>
      <c r="G24" s="95"/>
      <c r="H24" s="95"/>
    </row>
    <row r="25" spans="1:8" ht="15.75" customHeight="1" x14ac:dyDescent="0.25">
      <c r="A25" s="80" t="s">
        <v>22</v>
      </c>
      <c r="B25" s="80"/>
      <c r="C25" s="80"/>
      <c r="D25" s="80"/>
      <c r="E25" s="95" t="str">
        <f>IF(AND(G17="Mumbai"),"Developed","Developing")</f>
        <v>Developing</v>
      </c>
      <c r="F25" s="95"/>
      <c r="G25" s="95"/>
      <c r="H25" s="95"/>
    </row>
    <row r="26" spans="1:8" x14ac:dyDescent="0.25">
      <c r="A26" s="80" t="s">
        <v>23</v>
      </c>
      <c r="B26" s="80"/>
      <c r="C26" s="80"/>
      <c r="D26" s="80"/>
      <c r="E26" s="95" t="s">
        <v>24</v>
      </c>
      <c r="F26" s="95"/>
      <c r="G26" s="95"/>
      <c r="H26" s="95"/>
    </row>
    <row r="27" spans="1:8" ht="15.75" customHeight="1" x14ac:dyDescent="0.25">
      <c r="A27" s="80" t="s">
        <v>84</v>
      </c>
      <c r="B27" s="80"/>
      <c r="C27" s="80"/>
      <c r="D27" s="80"/>
      <c r="E27" s="95" t="s">
        <v>85</v>
      </c>
      <c r="F27" s="95"/>
      <c r="G27" s="95"/>
      <c r="H27" s="95"/>
    </row>
    <row r="28" spans="1:8" ht="15" customHeight="1" x14ac:dyDescent="0.25">
      <c r="A28" s="80" t="s">
        <v>35</v>
      </c>
      <c r="B28" s="80"/>
      <c r="C28" s="80"/>
      <c r="D28" s="80"/>
      <c r="E28" s="9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8" s="95"/>
      <c r="G28" s="95"/>
      <c r="H28" s="95"/>
    </row>
    <row r="29" spans="1:8" ht="15.75" customHeight="1" x14ac:dyDescent="0.25">
      <c r="A29" s="80" t="s">
        <v>96</v>
      </c>
      <c r="B29" s="80"/>
      <c r="C29" s="80"/>
      <c r="D29" s="80"/>
      <c r="E29" s="95" t="s">
        <v>36</v>
      </c>
      <c r="F29" s="95"/>
      <c r="G29" s="95"/>
      <c r="H29" s="95"/>
    </row>
    <row r="30" spans="1:8" s="19" customFormat="1" x14ac:dyDescent="0.25">
      <c r="A30" s="134" t="s">
        <v>97</v>
      </c>
      <c r="B30" s="134"/>
      <c r="C30" s="133" t="s">
        <v>29</v>
      </c>
      <c r="D30" s="133"/>
      <c r="E30" s="133"/>
      <c r="F30" s="133" t="s">
        <v>31</v>
      </c>
      <c r="G30" s="133"/>
      <c r="H30" s="133"/>
    </row>
    <row r="31" spans="1:8" s="19" customFormat="1" x14ac:dyDescent="0.25">
      <c r="A31" s="131" t="s">
        <v>25</v>
      </c>
      <c r="B31" s="131" t="s">
        <v>30</v>
      </c>
      <c r="C31" s="132" t="s">
        <v>30</v>
      </c>
      <c r="D31" s="132"/>
      <c r="E31" s="132"/>
      <c r="F31" s="132" t="s">
        <v>200</v>
      </c>
      <c r="G31" s="132"/>
      <c r="H31" s="132"/>
    </row>
    <row r="32" spans="1:8" x14ac:dyDescent="0.25">
      <c r="A32" s="131" t="s">
        <v>26</v>
      </c>
      <c r="B32" s="131" t="s">
        <v>30</v>
      </c>
      <c r="C32" s="132" t="s">
        <v>30</v>
      </c>
      <c r="D32" s="132"/>
      <c r="E32" s="132"/>
      <c r="F32" s="132" t="s">
        <v>212</v>
      </c>
      <c r="G32" s="132"/>
      <c r="H32" s="132"/>
    </row>
    <row r="33" spans="1:10" s="19" customFormat="1" x14ac:dyDescent="0.25">
      <c r="A33" s="131" t="s">
        <v>28</v>
      </c>
      <c r="B33" s="131" t="s">
        <v>30</v>
      </c>
      <c r="C33" s="132" t="s">
        <v>30</v>
      </c>
      <c r="D33" s="132"/>
      <c r="E33" s="132"/>
      <c r="F33" s="132" t="s">
        <v>201</v>
      </c>
      <c r="G33" s="132"/>
      <c r="H33" s="132"/>
    </row>
    <row r="34" spans="1:10" x14ac:dyDescent="0.25">
      <c r="A34" s="131" t="s">
        <v>27</v>
      </c>
      <c r="B34" s="131" t="s">
        <v>30</v>
      </c>
      <c r="C34" s="132" t="s">
        <v>30</v>
      </c>
      <c r="D34" s="132"/>
      <c r="E34" s="132"/>
      <c r="F34" s="132" t="s">
        <v>198</v>
      </c>
      <c r="G34" s="132"/>
      <c r="H34" s="132"/>
    </row>
    <row r="35" spans="1:10" x14ac:dyDescent="0.25">
      <c r="A35" s="80" t="s">
        <v>32</v>
      </c>
      <c r="B35" s="80"/>
      <c r="C35" s="80"/>
      <c r="D35" s="80"/>
      <c r="E35" s="80"/>
      <c r="F35" s="80"/>
      <c r="G35" s="80"/>
      <c r="H35" s="80"/>
    </row>
    <row r="36" spans="1:10" ht="15.75" customHeight="1" x14ac:dyDescent="0.25">
      <c r="A36" s="117" t="s">
        <v>33</v>
      </c>
      <c r="B36" s="117"/>
      <c r="C36" s="136">
        <v>18.960152999999998</v>
      </c>
      <c r="D36" s="136"/>
      <c r="E36" s="117" t="s">
        <v>34</v>
      </c>
      <c r="F36" s="117"/>
      <c r="G36" s="137">
        <v>73.131379999999993</v>
      </c>
      <c r="H36" s="137"/>
    </row>
    <row r="37" spans="1:10" x14ac:dyDescent="0.25">
      <c r="A37" s="117" t="s">
        <v>169</v>
      </c>
      <c r="B37" s="117"/>
      <c r="C37" s="163" t="s">
        <v>202</v>
      </c>
      <c r="D37" s="95"/>
      <c r="E37" s="95"/>
      <c r="F37" s="95"/>
      <c r="G37" s="95"/>
      <c r="H37" s="95"/>
    </row>
    <row r="38" spans="1:10" x14ac:dyDescent="0.25">
      <c r="A38" s="125" t="s">
        <v>37</v>
      </c>
      <c r="B38" s="125"/>
      <c r="C38" s="125"/>
      <c r="D38" s="125"/>
      <c r="E38" s="125"/>
      <c r="F38" s="125"/>
      <c r="G38" s="125"/>
      <c r="H38" s="125"/>
    </row>
    <row r="39" spans="1:10" x14ac:dyDescent="0.25">
      <c r="A39" s="80" t="s">
        <v>38</v>
      </c>
      <c r="B39" s="80"/>
      <c r="C39" s="80"/>
      <c r="D39" s="80"/>
      <c r="E39" s="135">
        <v>1620</v>
      </c>
      <c r="F39" s="135"/>
      <c r="G39" s="135"/>
      <c r="H39" s="135"/>
    </row>
    <row r="40" spans="1:10" x14ac:dyDescent="0.25">
      <c r="A40" s="80" t="s">
        <v>39</v>
      </c>
      <c r="B40" s="80"/>
      <c r="C40" s="80"/>
      <c r="D40" s="80"/>
      <c r="E40" s="79">
        <v>1</v>
      </c>
      <c r="F40" s="79"/>
      <c r="G40" s="79"/>
      <c r="H40" s="79"/>
    </row>
    <row r="41" spans="1:10" x14ac:dyDescent="0.25">
      <c r="A41" s="80" t="s">
        <v>40</v>
      </c>
      <c r="B41" s="80"/>
      <c r="C41" s="80"/>
      <c r="D41" s="80"/>
      <c r="E41" s="79">
        <f>E43/E39-E40</f>
        <v>0</v>
      </c>
      <c r="F41" s="79"/>
      <c r="G41" s="79"/>
      <c r="H41" s="79"/>
    </row>
    <row r="42" spans="1:10" x14ac:dyDescent="0.25">
      <c r="A42" s="80" t="s">
        <v>41</v>
      </c>
      <c r="B42" s="80"/>
      <c r="C42" s="80"/>
      <c r="D42" s="80"/>
      <c r="E42" s="79">
        <f>E40+E41</f>
        <v>1</v>
      </c>
      <c r="F42" s="79"/>
      <c r="G42" s="79"/>
      <c r="H42" s="79"/>
    </row>
    <row r="43" spans="1:10" x14ac:dyDescent="0.25">
      <c r="A43" s="80" t="s">
        <v>95</v>
      </c>
      <c r="B43" s="80"/>
      <c r="C43" s="80"/>
      <c r="D43" s="80"/>
      <c r="E43" s="148">
        <v>1620</v>
      </c>
      <c r="F43" s="148"/>
      <c r="G43" s="148"/>
      <c r="H43" s="148"/>
    </row>
    <row r="44" spans="1:10" x14ac:dyDescent="0.25">
      <c r="A44" s="103" t="s">
        <v>42</v>
      </c>
      <c r="B44" s="103"/>
      <c r="C44" s="103"/>
      <c r="D44" s="103"/>
      <c r="E44" s="103" t="s">
        <v>173</v>
      </c>
      <c r="F44" s="103"/>
      <c r="G44" s="103"/>
      <c r="H44" s="103"/>
    </row>
    <row r="45" spans="1:10" x14ac:dyDescent="0.25">
      <c r="A45" s="125" t="s">
        <v>43</v>
      </c>
      <c r="B45" s="125"/>
      <c r="C45" s="125"/>
      <c r="D45" s="125"/>
      <c r="E45" s="125"/>
      <c r="F45" s="125"/>
      <c r="G45" s="125"/>
      <c r="H45" s="125"/>
      <c r="J45" s="65" t="s">
        <v>215</v>
      </c>
    </row>
    <row r="46" spans="1:10" ht="33.75" customHeight="1" x14ac:dyDescent="0.25">
      <c r="A46" s="90" t="s">
        <v>156</v>
      </c>
      <c r="B46" s="91"/>
      <c r="C46" s="164" t="s">
        <v>174</v>
      </c>
      <c r="D46" s="165"/>
      <c r="E46" s="165"/>
      <c r="F46" s="165"/>
      <c r="G46" s="165"/>
      <c r="H46" s="166"/>
    </row>
    <row r="47" spans="1:10" ht="31.5" customHeight="1" x14ac:dyDescent="0.25">
      <c r="A47" s="90" t="s">
        <v>44</v>
      </c>
      <c r="B47" s="91"/>
      <c r="C47" s="90" t="s">
        <v>175</v>
      </c>
      <c r="D47" s="92"/>
      <c r="E47" s="91"/>
      <c r="F47" s="17" t="s">
        <v>45</v>
      </c>
      <c r="G47" s="93">
        <v>44232</v>
      </c>
      <c r="H47" s="91"/>
    </row>
    <row r="48" spans="1:10" ht="31.5" customHeight="1" x14ac:dyDescent="0.25">
      <c r="A48" s="90" t="s">
        <v>46</v>
      </c>
      <c r="B48" s="91"/>
      <c r="C48" s="90" t="str">
        <f>C47</f>
        <v>CIDCO/NAINA/Panvel/Palaspe/BP-00514/CC/2021/0078</v>
      </c>
      <c r="D48" s="92"/>
      <c r="E48" s="91"/>
      <c r="F48" s="17" t="s">
        <v>45</v>
      </c>
      <c r="G48" s="93">
        <f>G47</f>
        <v>44232</v>
      </c>
      <c r="H48" s="94"/>
    </row>
    <row r="49" spans="1:14" s="20" customFormat="1" ht="30.75" customHeight="1" x14ac:dyDescent="0.25">
      <c r="A49" s="141" t="s">
        <v>160</v>
      </c>
      <c r="B49" s="142"/>
      <c r="C49" s="90" t="str">
        <f>C48</f>
        <v>CIDCO/NAINA/Panvel/Palaspe/BP-00514/CC/2021/0078</v>
      </c>
      <c r="D49" s="92"/>
      <c r="E49" s="91"/>
      <c r="F49" s="17" t="s">
        <v>45</v>
      </c>
      <c r="G49" s="93">
        <f>G48</f>
        <v>44232</v>
      </c>
      <c r="H49" s="94"/>
    </row>
    <row r="50" spans="1:14" s="20" customFormat="1" x14ac:dyDescent="0.25">
      <c r="A50" s="143"/>
      <c r="B50" s="144"/>
      <c r="C50" s="90" t="s">
        <v>203</v>
      </c>
      <c r="D50" s="92"/>
      <c r="E50" s="92"/>
      <c r="F50" s="92"/>
      <c r="G50" s="92"/>
      <c r="H50" s="91"/>
    </row>
    <row r="51" spans="1:14" s="20" customFormat="1" ht="33" customHeight="1" x14ac:dyDescent="0.25">
      <c r="A51" s="141" t="s">
        <v>213</v>
      </c>
      <c r="B51" s="142"/>
      <c r="C51" s="90" t="s">
        <v>214</v>
      </c>
      <c r="D51" s="92"/>
      <c r="E51" s="91"/>
      <c r="F51" s="17" t="s">
        <v>45</v>
      </c>
      <c r="G51" s="93">
        <v>44517</v>
      </c>
      <c r="H51" s="94"/>
    </row>
    <row r="52" spans="1:14" x14ac:dyDescent="0.25">
      <c r="A52" s="106" t="s">
        <v>172</v>
      </c>
      <c r="B52" s="107"/>
      <c r="C52" s="98" t="s">
        <v>30</v>
      </c>
      <c r="D52" s="99"/>
      <c r="E52" s="100"/>
      <c r="F52" s="44" t="s">
        <v>45</v>
      </c>
      <c r="G52" s="104" t="s">
        <v>30</v>
      </c>
      <c r="H52" s="105"/>
    </row>
    <row r="53" spans="1:14" x14ac:dyDescent="0.25">
      <c r="A53" s="108"/>
      <c r="B53" s="109"/>
      <c r="C53" s="98" t="s">
        <v>30</v>
      </c>
      <c r="D53" s="99"/>
      <c r="E53" s="99"/>
      <c r="F53" s="99"/>
      <c r="G53" s="99"/>
      <c r="H53" s="100"/>
    </row>
    <row r="54" spans="1:14" x14ac:dyDescent="0.25">
      <c r="A54" s="101" t="s">
        <v>48</v>
      </c>
      <c r="B54" s="101"/>
      <c r="C54" s="101"/>
      <c r="D54" s="101"/>
      <c r="E54" s="101"/>
      <c r="F54" s="101"/>
      <c r="G54" s="101"/>
      <c r="H54" s="101"/>
    </row>
    <row r="55" spans="1:14" x14ac:dyDescent="0.25">
      <c r="A55" s="118" t="s">
        <v>94</v>
      </c>
      <c r="B55" s="118"/>
      <c r="C55" s="118"/>
      <c r="D55" s="80">
        <f>E43</f>
        <v>1620</v>
      </c>
      <c r="E55" s="80"/>
      <c r="F55" s="80"/>
      <c r="G55" s="80"/>
      <c r="H55" s="80"/>
    </row>
    <row r="56" spans="1:14" x14ac:dyDescent="0.25">
      <c r="A56" s="95" t="s">
        <v>49</v>
      </c>
      <c r="B56" s="103"/>
      <c r="C56" s="103"/>
      <c r="D56" s="103" t="s">
        <v>189</v>
      </c>
      <c r="E56" s="103"/>
      <c r="F56" s="103"/>
      <c r="G56" s="103"/>
      <c r="H56" s="103"/>
      <c r="I56" s="21"/>
    </row>
    <row r="57" spans="1:14" x14ac:dyDescent="0.25">
      <c r="A57" s="138" t="s">
        <v>50</v>
      </c>
      <c r="B57" s="139"/>
      <c r="C57" s="140"/>
      <c r="D57" s="96" t="s">
        <v>203</v>
      </c>
      <c r="E57" s="97"/>
      <c r="F57" s="97"/>
      <c r="G57" s="97"/>
      <c r="H57" s="97"/>
      <c r="I57" s="22"/>
    </row>
    <row r="58" spans="1:14" ht="15.75" customHeight="1" x14ac:dyDescent="0.25">
      <c r="A58" s="95" t="s">
        <v>92</v>
      </c>
      <c r="B58" s="95"/>
      <c r="C58" s="95"/>
      <c r="D58" s="96" t="s">
        <v>203</v>
      </c>
      <c r="E58" s="97"/>
      <c r="F58" s="97"/>
      <c r="G58" s="97"/>
      <c r="H58" s="97"/>
      <c r="I58" s="22"/>
    </row>
    <row r="59" spans="1:14" ht="15.75" customHeight="1" x14ac:dyDescent="0.25">
      <c r="A59" s="103" t="s">
        <v>47</v>
      </c>
      <c r="B59" s="103"/>
      <c r="C59" s="103"/>
      <c r="D59" s="95" t="s">
        <v>217</v>
      </c>
      <c r="E59" s="95"/>
      <c r="F59" s="95"/>
      <c r="G59" s="95"/>
      <c r="H59" s="95"/>
      <c r="J59" s="23"/>
      <c r="K59" s="21"/>
      <c r="N59" s="21"/>
    </row>
    <row r="60" spans="1:14" ht="15.75" customHeight="1" x14ac:dyDescent="0.25">
      <c r="A60" s="103" t="s">
        <v>90</v>
      </c>
      <c r="B60" s="103"/>
      <c r="C60" s="103"/>
      <c r="D60" s="147" t="str">
        <f>(IF(G52="NA","60 Years",IF(G52&lt;&gt;"NA",""&amp;60-ROUNDDOWN((E3-G52)/360,0)&amp;" Years"," ")))</f>
        <v>60 Years</v>
      </c>
      <c r="E60" s="147"/>
      <c r="F60" s="147"/>
      <c r="G60" s="147"/>
      <c r="H60" s="147"/>
      <c r="N60" s="21"/>
    </row>
    <row r="61" spans="1:14" ht="15.75" customHeight="1" x14ac:dyDescent="0.25">
      <c r="A61" s="103" t="s">
        <v>91</v>
      </c>
      <c r="B61" s="103"/>
      <c r="C61" s="103"/>
      <c r="D61" s="95" t="s">
        <v>24</v>
      </c>
      <c r="E61" s="95"/>
      <c r="F61" s="95"/>
      <c r="G61" s="95"/>
      <c r="H61" s="95"/>
      <c r="J61" s="24"/>
      <c r="K61" s="24"/>
    </row>
    <row r="62" spans="1:14" x14ac:dyDescent="0.25">
      <c r="A62" s="80" t="s">
        <v>77</v>
      </c>
      <c r="B62" s="80"/>
      <c r="C62" s="80"/>
      <c r="D62" s="95" t="s">
        <v>218</v>
      </c>
      <c r="E62" s="118"/>
      <c r="F62" s="118"/>
      <c r="G62" s="118"/>
      <c r="H62" s="118"/>
    </row>
    <row r="63" spans="1:14" x14ac:dyDescent="0.25">
      <c r="A63" s="118" t="s">
        <v>154</v>
      </c>
      <c r="B63" s="118"/>
      <c r="C63" s="118"/>
      <c r="D63" s="118" t="s">
        <v>30</v>
      </c>
      <c r="E63" s="118"/>
      <c r="F63" s="118"/>
      <c r="G63" s="118"/>
      <c r="H63" s="118"/>
      <c r="I63" s="25"/>
      <c r="J63" s="25"/>
      <c r="K63" s="25"/>
      <c r="L63" s="25"/>
      <c r="M63" s="25"/>
      <c r="N63" s="25"/>
    </row>
    <row r="64" spans="1:14" ht="15.75" customHeight="1" x14ac:dyDescent="0.25">
      <c r="A64" s="80" t="s">
        <v>89</v>
      </c>
      <c r="B64" s="80"/>
      <c r="C64" s="80"/>
      <c r="D64" s="95" t="str">
        <f ca="1">(IF(G70&gt;95%,"Nothing",IF(G70&gt;0%,"Cement, Aggregate, Steel, etc",IF(G70=0%,"Work not yet Started"))))</f>
        <v>Nothing</v>
      </c>
      <c r="E64" s="95"/>
      <c r="F64" s="95"/>
      <c r="G64" s="95"/>
      <c r="H64" s="95"/>
      <c r="J64" s="24"/>
    </row>
    <row r="65" spans="1:10" ht="33.75" customHeight="1" thickBot="1" x14ac:dyDescent="0.3">
      <c r="A65" s="118" t="s">
        <v>121</v>
      </c>
      <c r="B65" s="118"/>
      <c r="C65" s="118"/>
      <c r="D65" s="95" t="str">
        <f ca="1">(IF(D64="Nothing","Yes",IF(D64="Cement, Aggregate, Steel, etc","Under Construction",IF(D64="Work not yet Started","Work not yet Started"))))</f>
        <v>Yes</v>
      </c>
      <c r="E65" s="95"/>
      <c r="F65" s="95" t="str">
        <f ca="1">(IF(D64="Nothing","Yes",IF(D64="Cement, Aggregate, Steel, etc","Under Construction",IF(D64="Work not yet Started","Work not yet Started"))))</f>
        <v>Yes</v>
      </c>
      <c r="G65" s="95"/>
      <c r="H65" s="95"/>
    </row>
    <row r="66" spans="1:10" ht="15.75" customHeight="1" x14ac:dyDescent="0.25">
      <c r="A66" s="149" t="s">
        <v>146</v>
      </c>
      <c r="B66" s="149"/>
      <c r="C66" s="149" t="str">
        <f>D58</f>
        <v>Wing A &amp; B  = G/St + 1st to 4th Floor</v>
      </c>
      <c r="D66" s="149"/>
      <c r="E66" s="149"/>
      <c r="F66" s="149"/>
      <c r="G66" s="149"/>
      <c r="H66" s="149"/>
      <c r="I66" s="70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68" t="s">
        <v>148</v>
      </c>
      <c r="B67" s="68">
        <v>0</v>
      </c>
      <c r="C67" s="68" t="s">
        <v>75</v>
      </c>
      <c r="D67" s="68">
        <v>1</v>
      </c>
      <c r="E67" s="68" t="s">
        <v>74</v>
      </c>
      <c r="F67" s="68">
        <v>0</v>
      </c>
      <c r="G67" s="68" t="s">
        <v>83</v>
      </c>
      <c r="H67" s="68">
        <f ca="1">--TRIM(RIGHT(SUBSTITUTE(LEFT(C66,_xlfn.AGGREGATE(16,6,FIND({0,1,2,3,4,5,6,7,8,9},C66,ROW(INDIRECT("1:"&amp;LEN(C66)))),1))," ",REPT(" ",LEN(C66))),LEN(C66)))</f>
        <v>4</v>
      </c>
      <c r="I67" s="7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29" t="s">
        <v>93</v>
      </c>
      <c r="B68" s="129"/>
      <c r="C68" s="149" t="str">
        <f ca="1">(IF($C$53=C66,"All work Completed. OC Received.",I66))</f>
        <v>All work Completed. Possession granted to the Building.</v>
      </c>
      <c r="D68" s="149"/>
      <c r="E68" s="149"/>
      <c r="F68" s="149"/>
      <c r="G68" s="149"/>
      <c r="H68" s="149"/>
      <c r="I68" s="71" t="str">
        <f ca="1">IF(I67&lt;&gt;""," Completed","")</f>
        <v xml:space="preserve"> Completed</v>
      </c>
      <c r="J68" s="43" t="str">
        <f ca="1">IF(J66&lt;&gt;"","Completed","")</f>
        <v/>
      </c>
    </row>
    <row r="69" spans="1:10" ht="15.75" customHeight="1" x14ac:dyDescent="0.25">
      <c r="A69" s="86" t="s">
        <v>51</v>
      </c>
      <c r="B69" s="86"/>
      <c r="C69" s="67" t="s">
        <v>145</v>
      </c>
      <c r="D69" s="67" t="s">
        <v>86</v>
      </c>
      <c r="E69" s="86" t="s">
        <v>88</v>
      </c>
      <c r="F69" s="86"/>
      <c r="G69" s="86" t="s">
        <v>87</v>
      </c>
      <c r="H69" s="86"/>
      <c r="I69" s="15" t="s">
        <v>147</v>
      </c>
      <c r="J69" s="26">
        <f ca="1">H67*25%</f>
        <v>1</v>
      </c>
    </row>
    <row r="70" spans="1:10" x14ac:dyDescent="0.25">
      <c r="A70" s="85" t="s">
        <v>134</v>
      </c>
      <c r="B70" s="86"/>
      <c r="C70" s="59">
        <f ca="1">J71</f>
        <v>4</v>
      </c>
      <c r="D70" s="60">
        <f ca="1">((100/H67)*C70)/100</f>
        <v>1</v>
      </c>
      <c r="E70" s="73">
        <f ca="1">(((C71/H67*10)+(40/(D67+F67+H67)*C72)+(7.5/(H67)*C73)+(7.5/(H67)*C74)+(10/H67*C75)+(10/H67*C76)+(5/H67*C77)+(5/H67*C78)+(5/H67*C79))/100)</f>
        <v>1</v>
      </c>
      <c r="F70" s="119"/>
      <c r="G70" s="73">
        <f ca="1">((((C70/H67)*20)+((C71/H67)*25)+(30/(H67+F67+D67)*C72)+(5/H67*C73)+(5/H67*C74)+(5/H67*C75)+(5/H67*C76)+(0/H67*C77)+(0/H67*C78)+(5/H67*C79))/100)</f>
        <v>1</v>
      </c>
      <c r="H70" s="74"/>
      <c r="I70" s="15" t="s">
        <v>104</v>
      </c>
      <c r="J70" s="27">
        <f ca="1">H67*50%</f>
        <v>2</v>
      </c>
    </row>
    <row r="71" spans="1:10" x14ac:dyDescent="0.25">
      <c r="A71" s="85" t="s">
        <v>52</v>
      </c>
      <c r="B71" s="86"/>
      <c r="C71" s="59">
        <f ca="1">J79</f>
        <v>4</v>
      </c>
      <c r="D71" s="60">
        <f ca="1">((100/H67)*C71)/100</f>
        <v>1</v>
      </c>
      <c r="E71" s="75"/>
      <c r="F71" s="120"/>
      <c r="G71" s="75"/>
      <c r="H71" s="76"/>
      <c r="I71" s="15" t="s">
        <v>105</v>
      </c>
      <c r="J71" s="27">
        <f ca="1">H67</f>
        <v>4</v>
      </c>
    </row>
    <row r="72" spans="1:10" ht="15.75" customHeight="1" x14ac:dyDescent="0.25">
      <c r="A72" s="85" t="s">
        <v>135</v>
      </c>
      <c r="B72" s="86"/>
      <c r="C72" s="59">
        <v>5</v>
      </c>
      <c r="D72" s="60">
        <f ca="1">((100/(D67+F67+H67))*C72)/100</f>
        <v>1</v>
      </c>
      <c r="E72" s="75"/>
      <c r="F72" s="120"/>
      <c r="G72" s="75"/>
      <c r="H72" s="76"/>
      <c r="I72" s="15" t="s">
        <v>106</v>
      </c>
      <c r="J72" s="28">
        <f ca="1">(IF(B67&gt;1,(H67/(B67+2)),H67/4))</f>
        <v>1</v>
      </c>
    </row>
    <row r="73" spans="1:10" ht="15.75" customHeight="1" x14ac:dyDescent="0.25">
      <c r="A73" s="85" t="s">
        <v>142</v>
      </c>
      <c r="B73" s="86" t="s">
        <v>136</v>
      </c>
      <c r="C73" s="59">
        <v>4</v>
      </c>
      <c r="D73" s="60">
        <f ca="1">((100/H67)*C73)/100</f>
        <v>1</v>
      </c>
      <c r="E73" s="75"/>
      <c r="F73" s="120"/>
      <c r="G73" s="75"/>
      <c r="H73" s="76"/>
      <c r="I73" s="15" t="s">
        <v>107</v>
      </c>
      <c r="J73" s="28">
        <f ca="1">(IF(B67&gt;1,(H67/(B67+2)+J72),H67/4+J72))</f>
        <v>2</v>
      </c>
    </row>
    <row r="74" spans="1:10" ht="15.75" customHeight="1" x14ac:dyDescent="0.25">
      <c r="A74" s="85" t="s">
        <v>143</v>
      </c>
      <c r="B74" s="86" t="s">
        <v>136</v>
      </c>
      <c r="C74" s="64">
        <v>4</v>
      </c>
      <c r="D74" s="60">
        <f ca="1">((100/H67)*C74)/100</f>
        <v>1</v>
      </c>
      <c r="E74" s="75"/>
      <c r="F74" s="120"/>
      <c r="G74" s="75"/>
      <c r="H74" s="76"/>
      <c r="I74" s="15" t="s">
        <v>152</v>
      </c>
      <c r="J74" s="28">
        <f>(IF(B67&gt;1,(H67/(B67+2)+J73),0))</f>
        <v>0</v>
      </c>
    </row>
    <row r="75" spans="1:10" ht="15" customHeight="1" x14ac:dyDescent="0.25">
      <c r="A75" s="85" t="s">
        <v>141</v>
      </c>
      <c r="B75" s="86" t="s">
        <v>138</v>
      </c>
      <c r="C75" s="64">
        <v>4</v>
      </c>
      <c r="D75" s="60">
        <f ca="1">((100/(H67))*C75)/100</f>
        <v>1</v>
      </c>
      <c r="E75" s="75"/>
      <c r="F75" s="120"/>
      <c r="G75" s="75"/>
      <c r="H75" s="76"/>
      <c r="I75" s="15" t="s">
        <v>149</v>
      </c>
      <c r="J75" s="28">
        <f>(IF(B67&gt;2,(H67/(B67+2)+J74),0))</f>
        <v>0</v>
      </c>
    </row>
    <row r="76" spans="1:10" ht="15.75" customHeight="1" x14ac:dyDescent="0.25">
      <c r="A76" s="85" t="s">
        <v>137</v>
      </c>
      <c r="B76" s="86" t="s">
        <v>137</v>
      </c>
      <c r="C76" s="64">
        <v>4</v>
      </c>
      <c r="D76" s="60">
        <f ca="1">((100/H67)*C76)/100</f>
        <v>1</v>
      </c>
      <c r="E76" s="75"/>
      <c r="F76" s="120"/>
      <c r="G76" s="75"/>
      <c r="H76" s="76"/>
      <c r="I76" s="15" t="s">
        <v>150</v>
      </c>
      <c r="J76" s="29">
        <f>(IF(B67&gt;3,(H67/(B67+2)+J75),0))</f>
        <v>0</v>
      </c>
    </row>
    <row r="77" spans="1:10" ht="15.75" customHeight="1" x14ac:dyDescent="0.25">
      <c r="A77" s="85" t="s">
        <v>144</v>
      </c>
      <c r="B77" s="86"/>
      <c r="C77" s="64">
        <v>4</v>
      </c>
      <c r="D77" s="60">
        <f ca="1">((100/H67)*C77)/100</f>
        <v>1</v>
      </c>
      <c r="E77" s="75"/>
      <c r="F77" s="120"/>
      <c r="G77" s="75"/>
      <c r="H77" s="76"/>
      <c r="I77" s="15" t="s">
        <v>151</v>
      </c>
      <c r="J77" s="28">
        <f>(IF(B67&gt;4,(H67/(B67+2)+J76),0))</f>
        <v>0</v>
      </c>
    </row>
    <row r="78" spans="1:10" ht="15.75" customHeight="1" x14ac:dyDescent="0.25">
      <c r="A78" s="85" t="s">
        <v>139</v>
      </c>
      <c r="B78" s="86" t="s">
        <v>139</v>
      </c>
      <c r="C78" s="64">
        <v>4</v>
      </c>
      <c r="D78" s="60">
        <f ca="1">((100/(H67))*C78)/100</f>
        <v>1</v>
      </c>
      <c r="E78" s="75"/>
      <c r="F78" s="120"/>
      <c r="G78" s="75"/>
      <c r="H78" s="76"/>
      <c r="I78" s="15" t="s">
        <v>153</v>
      </c>
      <c r="J78" s="28">
        <f ca="1">(IF(B67=1,(H67/(B67+3)+J73),IF(B67=0,(H67/4+J73),IF(B67&gt;1,0))))</f>
        <v>3</v>
      </c>
    </row>
    <row r="79" spans="1:10" ht="16.5" thickBot="1" x14ac:dyDescent="0.3">
      <c r="A79" s="145" t="s">
        <v>140</v>
      </c>
      <c r="B79" s="146"/>
      <c r="C79" s="61">
        <v>4</v>
      </c>
      <c r="D79" s="62">
        <f ca="1">((100/(H67))*C79)/100</f>
        <v>1</v>
      </c>
      <c r="E79" s="77"/>
      <c r="F79" s="121"/>
      <c r="G79" s="77"/>
      <c r="H79" s="78"/>
      <c r="I79" s="16" t="s">
        <v>108</v>
      </c>
      <c r="J79" s="30">
        <f ca="1">(IF(B67&gt;1.5,(H67/(B67+2)+J73+MAX(0,J74-J73)+MAX(0,J75-J74)+MAX(0,J76-J75)+MAX(0,J77-J76)+MAX(0,J78-J77)),IF(B67=1,(H67/(B67+3)+J78),IF(B67=0,H67/4+J78))))</f>
        <v>4</v>
      </c>
    </row>
    <row r="80" spans="1:10" x14ac:dyDescent="0.25">
      <c r="A80" s="159" t="s">
        <v>162</v>
      </c>
      <c r="B80" s="159"/>
      <c r="C80" s="159"/>
      <c r="D80" s="159"/>
      <c r="E80" s="159"/>
      <c r="F80" s="156" t="s">
        <v>167</v>
      </c>
      <c r="G80" s="156"/>
      <c r="H80" s="156"/>
    </row>
    <row r="81" spans="1:12" x14ac:dyDescent="0.25">
      <c r="A81" s="80" t="s">
        <v>165</v>
      </c>
      <c r="B81" s="80"/>
      <c r="C81" s="80"/>
      <c r="D81" s="80"/>
      <c r="E81" s="80"/>
      <c r="F81" s="87">
        <v>5800</v>
      </c>
      <c r="G81" s="87"/>
      <c r="H81" s="87"/>
      <c r="I81" s="18" t="s">
        <v>224</v>
      </c>
    </row>
    <row r="82" spans="1:12" x14ac:dyDescent="0.25">
      <c r="A82" s="80" t="s">
        <v>164</v>
      </c>
      <c r="B82" s="80"/>
      <c r="C82" s="80"/>
      <c r="D82" s="80"/>
      <c r="E82" s="80"/>
      <c r="F82" s="87">
        <v>10500</v>
      </c>
      <c r="G82" s="87"/>
      <c r="H82" s="87"/>
    </row>
    <row r="83" spans="1:12" hidden="1" x14ac:dyDescent="0.25">
      <c r="A83" s="80" t="s">
        <v>166</v>
      </c>
      <c r="B83" s="80"/>
      <c r="C83" s="80"/>
      <c r="D83" s="80"/>
      <c r="E83" s="80"/>
      <c r="F83" s="87"/>
      <c r="G83" s="87"/>
      <c r="H83" s="87"/>
    </row>
    <row r="84" spans="1:12" s="31" customFormat="1" hidden="1" x14ac:dyDescent="0.25">
      <c r="A84" s="80" t="s">
        <v>163</v>
      </c>
      <c r="B84" s="80"/>
      <c r="C84" s="80"/>
      <c r="D84" s="80"/>
      <c r="E84" s="80"/>
      <c r="F84" s="87"/>
      <c r="G84" s="87"/>
      <c r="H84" s="87"/>
    </row>
    <row r="85" spans="1:12" s="31" customFormat="1" hidden="1" x14ac:dyDescent="0.25">
      <c r="A85" s="80" t="s">
        <v>98</v>
      </c>
      <c r="B85" s="80"/>
      <c r="C85" s="80"/>
      <c r="D85" s="80"/>
      <c r="E85" s="80"/>
      <c r="F85" s="87"/>
      <c r="G85" s="87"/>
      <c r="H85" s="87"/>
    </row>
    <row r="86" spans="1:12" s="31" customFormat="1" hidden="1" x14ac:dyDescent="0.25">
      <c r="A86" s="80" t="s">
        <v>99</v>
      </c>
      <c r="B86" s="80"/>
      <c r="C86" s="80"/>
      <c r="D86" s="80"/>
      <c r="E86" s="80"/>
      <c r="F86" s="87"/>
      <c r="G86" s="87"/>
      <c r="H86" s="87"/>
    </row>
    <row r="87" spans="1:12" s="31" customFormat="1" hidden="1" x14ac:dyDescent="0.25">
      <c r="A87" s="80" t="s">
        <v>168</v>
      </c>
      <c r="B87" s="80"/>
      <c r="C87" s="80"/>
      <c r="D87" s="80"/>
      <c r="E87" s="80"/>
      <c r="F87" s="87"/>
      <c r="G87" s="87"/>
      <c r="H87" s="87"/>
    </row>
    <row r="88" spans="1:12" s="31" customFormat="1" hidden="1" x14ac:dyDescent="0.25">
      <c r="A88" s="80" t="s">
        <v>100</v>
      </c>
      <c r="B88" s="80"/>
      <c r="C88" s="80"/>
      <c r="D88" s="80"/>
      <c r="E88" s="80"/>
      <c r="F88" s="87"/>
      <c r="G88" s="87"/>
      <c r="H88" s="87"/>
    </row>
    <row r="89" spans="1:12" s="31" customFormat="1" hidden="1" x14ac:dyDescent="0.25">
      <c r="A89" s="80" t="s">
        <v>101</v>
      </c>
      <c r="B89" s="80"/>
      <c r="C89" s="80"/>
      <c r="D89" s="80"/>
      <c r="E89" s="80"/>
      <c r="F89" s="87"/>
      <c r="G89" s="87"/>
      <c r="H89" s="87"/>
    </row>
    <row r="90" spans="1:12" s="31" customFormat="1" hidden="1" x14ac:dyDescent="0.25">
      <c r="A90" s="80" t="s">
        <v>102</v>
      </c>
      <c r="B90" s="80"/>
      <c r="C90" s="80"/>
      <c r="D90" s="80"/>
      <c r="E90" s="80"/>
      <c r="F90" s="87"/>
      <c r="G90" s="87"/>
      <c r="H90" s="87"/>
    </row>
    <row r="91" spans="1:12" s="31" customFormat="1" hidden="1" x14ac:dyDescent="0.25">
      <c r="A91" s="80" t="s">
        <v>103</v>
      </c>
      <c r="B91" s="80"/>
      <c r="C91" s="80"/>
      <c r="D91" s="80"/>
      <c r="E91" s="80"/>
      <c r="F91" s="87"/>
      <c r="G91" s="87"/>
      <c r="H91" s="87"/>
    </row>
    <row r="92" spans="1:12" x14ac:dyDescent="0.25">
      <c r="A92" s="80" t="s">
        <v>53</v>
      </c>
      <c r="B92" s="80"/>
      <c r="C92" s="80"/>
      <c r="D92" s="80"/>
      <c r="E92" s="80"/>
      <c r="F92" s="87">
        <v>200000</v>
      </c>
      <c r="G92" s="87"/>
      <c r="H92" s="87"/>
    </row>
    <row r="93" spans="1:12" s="32" customFormat="1" x14ac:dyDescent="0.25">
      <c r="A93" s="125" t="s">
        <v>54</v>
      </c>
      <c r="B93" s="125"/>
      <c r="C93" s="125"/>
      <c r="D93" s="125"/>
      <c r="E93" s="125"/>
      <c r="F93" s="87">
        <f>F81*0.8</f>
        <v>4640</v>
      </c>
      <c r="G93" s="87"/>
      <c r="H93" s="87"/>
    </row>
    <row r="94" spans="1:12" s="33" customFormat="1" ht="15.75" customHeight="1" x14ac:dyDescent="0.25">
      <c r="A94" s="124" t="s">
        <v>78</v>
      </c>
      <c r="B94" s="124"/>
      <c r="C94" s="124"/>
      <c r="D94" s="124"/>
      <c r="E94" s="124"/>
      <c r="F94" s="124"/>
      <c r="G94" s="124"/>
      <c r="H94" s="124"/>
    </row>
    <row r="95" spans="1:12" s="33" customFormat="1" ht="15.75" customHeight="1" x14ac:dyDescent="0.25">
      <c r="A95" s="82" t="s">
        <v>55</v>
      </c>
      <c r="B95" s="82"/>
      <c r="C95" s="158" t="s">
        <v>81</v>
      </c>
      <c r="D95" s="158"/>
      <c r="E95" s="157" t="s">
        <v>56</v>
      </c>
      <c r="F95" s="157"/>
      <c r="G95" s="82" t="s">
        <v>57</v>
      </c>
      <c r="H95" s="82"/>
      <c r="J95" s="33" t="s">
        <v>205</v>
      </c>
    </row>
    <row r="96" spans="1:12" s="33" customFormat="1" x14ac:dyDescent="0.25">
      <c r="A96" s="126" t="s">
        <v>179</v>
      </c>
      <c r="B96" s="126"/>
      <c r="C96" s="153">
        <f>COUNT(D107:D129)</f>
        <v>23</v>
      </c>
      <c r="D96" s="154"/>
      <c r="E96" s="88">
        <f>SUM(D107:D129)</f>
        <v>2102.6935800000001</v>
      </c>
      <c r="F96" s="89"/>
      <c r="G96" s="88">
        <f>SUM(F107:F129)</f>
        <v>4211.3133600000001</v>
      </c>
      <c r="H96" s="89"/>
      <c r="J96" s="33" t="s">
        <v>206</v>
      </c>
      <c r="K96" s="33" t="s">
        <v>209</v>
      </c>
      <c r="L96" s="33" t="s">
        <v>210</v>
      </c>
    </row>
    <row r="97" spans="1:14" s="33" customFormat="1" x14ac:dyDescent="0.25">
      <c r="A97" s="124" t="s">
        <v>73</v>
      </c>
      <c r="B97" s="124"/>
      <c r="C97" s="124"/>
      <c r="D97" s="124"/>
      <c r="E97" s="124"/>
      <c r="F97" s="124"/>
      <c r="G97" s="124"/>
      <c r="H97" s="124"/>
      <c r="I97" s="33" t="s">
        <v>207</v>
      </c>
      <c r="J97" s="33">
        <v>4300</v>
      </c>
      <c r="K97" s="33">
        <v>5000</v>
      </c>
      <c r="L97" s="33">
        <v>4300</v>
      </c>
    </row>
    <row r="98" spans="1:14" s="33" customFormat="1" ht="15.75" customHeight="1" x14ac:dyDescent="0.25">
      <c r="A98" s="82" t="s">
        <v>55</v>
      </c>
      <c r="B98" s="82"/>
      <c r="C98" s="158" t="s">
        <v>81</v>
      </c>
      <c r="D98" s="158"/>
      <c r="E98" s="157" t="s">
        <v>56</v>
      </c>
      <c r="F98" s="157"/>
      <c r="G98" s="82" t="s">
        <v>57</v>
      </c>
      <c r="H98" s="82"/>
      <c r="I98" s="33" t="s">
        <v>208</v>
      </c>
      <c r="J98" s="33">
        <v>12500</v>
      </c>
    </row>
    <row r="99" spans="1:14" s="33" customFormat="1" x14ac:dyDescent="0.25">
      <c r="A99" s="126" t="s">
        <v>180</v>
      </c>
      <c r="B99" s="126"/>
      <c r="C99" s="153">
        <f>COUNT(D135:D139)+COUNT(D141:D145)+COUNT(D147:D151)+COUNT(D153:D157)</f>
        <v>20</v>
      </c>
      <c r="D99" s="154"/>
      <c r="E99" s="88">
        <f>SUM(D135:D139)+SUM(D141:D145)+SUM(D147:D151)+SUM(D153:D157)</f>
        <v>7360.1971559999984</v>
      </c>
      <c r="F99" s="89"/>
      <c r="G99" s="88">
        <f>SUM(F135:F139)+SUM(F141:F145)+SUM(F147:F151)+SUM(F153:F157)</f>
        <v>12457</v>
      </c>
      <c r="H99" s="89"/>
    </row>
    <row r="100" spans="1:14" s="33" customFormat="1" x14ac:dyDescent="0.25">
      <c r="A100" s="126" t="s">
        <v>181</v>
      </c>
      <c r="B100" s="126"/>
      <c r="C100" s="153">
        <f>COUNT(D161:D164)+COUNT(D166:D169)+COUNT(D171:D174)+COUNT(D176:D177,D179)</f>
        <v>15</v>
      </c>
      <c r="D100" s="154"/>
      <c r="E100" s="88">
        <f>SUM(D161:D164)+SUM(D166:D169)+SUM(D171:D174)+SUM(D176:D177,D179)</f>
        <v>6004.3314239999982</v>
      </c>
      <c r="F100" s="89"/>
      <c r="G100" s="88">
        <f>SUM(F161:F164)+SUM(F166:F169)+SUM(F171:F174)+SUM(F176:F177,F179)</f>
        <v>10581</v>
      </c>
      <c r="H100" s="89"/>
    </row>
    <row r="101" spans="1:14" s="33" customFormat="1" x14ac:dyDescent="0.25">
      <c r="A101" s="124" t="s">
        <v>155</v>
      </c>
      <c r="B101" s="124"/>
      <c r="C101" s="170">
        <f>SUM(C99:C100)</f>
        <v>35</v>
      </c>
      <c r="D101" s="158"/>
      <c r="E101" s="171">
        <f>SUM(E99:E100)</f>
        <v>13364.528579999997</v>
      </c>
      <c r="F101" s="157"/>
      <c r="G101" s="82">
        <f>SUM(G99:G100)</f>
        <v>23038</v>
      </c>
      <c r="H101" s="82"/>
      <c r="J101" s="69">
        <f>E96+E101</f>
        <v>15467.222159999998</v>
      </c>
    </row>
    <row r="102" spans="1:14" s="32" customFormat="1" x14ac:dyDescent="0.25">
      <c r="A102" s="117" t="s">
        <v>58</v>
      </c>
      <c r="B102" s="117"/>
      <c r="C102" s="117"/>
      <c r="D102" s="117"/>
      <c r="E102" s="117"/>
      <c r="F102" s="117"/>
      <c r="G102" s="117"/>
      <c r="H102" s="117"/>
    </row>
    <row r="103" spans="1:14" x14ac:dyDescent="0.25">
      <c r="A103" s="117" t="s">
        <v>59</v>
      </c>
      <c r="B103" s="117"/>
      <c r="C103" s="117"/>
      <c r="D103" s="117"/>
      <c r="E103" s="117"/>
      <c r="F103" s="117"/>
      <c r="G103" s="117"/>
      <c r="H103" s="117"/>
    </row>
    <row r="104" spans="1:14" ht="47.25" customHeight="1" x14ac:dyDescent="0.25">
      <c r="A104" s="51" t="s">
        <v>124</v>
      </c>
      <c r="B104" s="51" t="s">
        <v>123</v>
      </c>
      <c r="C104" s="51" t="s">
        <v>60</v>
      </c>
      <c r="D104" s="51" t="s">
        <v>61</v>
      </c>
      <c r="E104" s="53" t="s">
        <v>161</v>
      </c>
      <c r="F104" s="39" t="s">
        <v>188</v>
      </c>
      <c r="G104" s="83" t="s">
        <v>63</v>
      </c>
      <c r="H104" s="84"/>
    </row>
    <row r="105" spans="1:14" x14ac:dyDescent="0.25">
      <c r="A105" s="117" t="s">
        <v>179</v>
      </c>
      <c r="B105" s="117"/>
      <c r="C105" s="117"/>
      <c r="D105" s="117"/>
      <c r="E105" s="117"/>
      <c r="F105" s="117"/>
      <c r="G105" s="117"/>
      <c r="H105" s="117"/>
    </row>
    <row r="106" spans="1:14" s="41" customFormat="1" x14ac:dyDescent="0.25">
      <c r="A106" s="155" t="s">
        <v>176</v>
      </c>
      <c r="B106" s="155"/>
      <c r="C106" s="155"/>
      <c r="D106" s="155"/>
      <c r="E106" s="155"/>
      <c r="F106" s="155"/>
      <c r="G106" s="155"/>
      <c r="H106" s="155"/>
      <c r="J106" s="34"/>
    </row>
    <row r="107" spans="1:14" s="41" customFormat="1" x14ac:dyDescent="0.25">
      <c r="A107" s="116">
        <v>1</v>
      </c>
      <c r="B107" s="116"/>
      <c r="C107" s="66" t="s">
        <v>177</v>
      </c>
      <c r="D107" s="66">
        <f>(2.55*2.95)*10.764</f>
        <v>80.972189999999998</v>
      </c>
      <c r="E107" s="66">
        <v>0</v>
      </c>
      <c r="F107" s="57">
        <v>162</v>
      </c>
      <c r="G107" s="116" t="str">
        <f>A106</f>
        <v>Ground Floor for Commercial &amp; Parking</v>
      </c>
      <c r="H107" s="116"/>
      <c r="I107" s="56">
        <f>2025000/F107</f>
        <v>12500</v>
      </c>
      <c r="J107" s="34">
        <f>F107*10500</f>
        <v>1701000</v>
      </c>
      <c r="K107" s="56"/>
      <c r="L107" s="152"/>
      <c r="M107" s="152"/>
      <c r="N107" s="34"/>
    </row>
    <row r="108" spans="1:14" s="41" customFormat="1" x14ac:dyDescent="0.25">
      <c r="A108" s="116">
        <f t="shared" ref="A108:A129" si="0">A107+1</f>
        <v>2</v>
      </c>
      <c r="B108" s="116"/>
      <c r="C108" s="66" t="s">
        <v>177</v>
      </c>
      <c r="D108" s="66">
        <f>(2.55*3.25+0.95*0.85)*10.764</f>
        <v>97.898579999999981</v>
      </c>
      <c r="E108" s="66">
        <v>0</v>
      </c>
      <c r="F108" s="57">
        <v>196</v>
      </c>
      <c r="G108" s="116" t="str">
        <f t="shared" ref="G108:G129" si="1">G107</f>
        <v>Ground Floor for Commercial &amp; Parking</v>
      </c>
      <c r="H108" s="116"/>
      <c r="I108" s="56">
        <f>2450000/F108</f>
        <v>12500</v>
      </c>
      <c r="J108" s="34">
        <f t="shared" ref="J108:J129" si="2">F108*10500</f>
        <v>2058000</v>
      </c>
      <c r="K108" s="56"/>
      <c r="L108" s="152"/>
      <c r="M108" s="152"/>
      <c r="N108" s="34"/>
    </row>
    <row r="109" spans="1:14" s="41" customFormat="1" x14ac:dyDescent="0.25">
      <c r="A109" s="116">
        <f t="shared" si="0"/>
        <v>3</v>
      </c>
      <c r="B109" s="116"/>
      <c r="C109" s="66" t="s">
        <v>177</v>
      </c>
      <c r="D109" s="66">
        <f>(1.8*4.35)*10.764</f>
        <v>84.282119999999992</v>
      </c>
      <c r="E109" s="66">
        <v>0</v>
      </c>
      <c r="F109" s="57">
        <v>168</v>
      </c>
      <c r="G109" s="116" t="str">
        <f t="shared" si="1"/>
        <v>Ground Floor for Commercial &amp; Parking</v>
      </c>
      <c r="H109" s="116"/>
      <c r="I109" s="56"/>
      <c r="J109" s="34">
        <f t="shared" si="2"/>
        <v>1764000</v>
      </c>
      <c r="K109" s="56"/>
      <c r="L109" s="152"/>
      <c r="M109" s="152"/>
      <c r="N109" s="34"/>
    </row>
    <row r="110" spans="1:14" s="41" customFormat="1" x14ac:dyDescent="0.25">
      <c r="A110" s="116">
        <f t="shared" si="0"/>
        <v>4</v>
      </c>
      <c r="B110" s="116"/>
      <c r="C110" s="66" t="s">
        <v>177</v>
      </c>
      <c r="D110" s="66">
        <f>(1.9*4.35)*10.764</f>
        <v>88.964459999999988</v>
      </c>
      <c r="E110" s="66">
        <v>0</v>
      </c>
      <c r="F110" s="57">
        <v>178</v>
      </c>
      <c r="G110" s="116" t="str">
        <f t="shared" si="1"/>
        <v>Ground Floor for Commercial &amp; Parking</v>
      </c>
      <c r="H110" s="116"/>
      <c r="I110" s="56"/>
      <c r="J110" s="34">
        <f t="shared" si="2"/>
        <v>1869000</v>
      </c>
      <c r="K110" s="56"/>
      <c r="L110" s="152"/>
      <c r="M110" s="152"/>
      <c r="N110" s="34"/>
    </row>
    <row r="111" spans="1:14" s="48" customFormat="1" x14ac:dyDescent="0.25">
      <c r="A111" s="116">
        <f t="shared" si="0"/>
        <v>5</v>
      </c>
      <c r="B111" s="116"/>
      <c r="C111" s="66" t="s">
        <v>177</v>
      </c>
      <c r="D111" s="66">
        <f>(1.8*4.35)*10.764</f>
        <v>84.282119999999992</v>
      </c>
      <c r="E111" s="66">
        <v>0</v>
      </c>
      <c r="F111" s="57">
        <v>168</v>
      </c>
      <c r="G111" s="116" t="str">
        <f t="shared" si="1"/>
        <v>Ground Floor for Commercial &amp; Parking</v>
      </c>
      <c r="H111" s="116"/>
      <c r="I111" s="56"/>
      <c r="J111" s="34">
        <f t="shared" si="2"/>
        <v>1764000</v>
      </c>
      <c r="K111" s="56"/>
      <c r="L111" s="152"/>
      <c r="M111" s="152"/>
      <c r="N111" s="34"/>
    </row>
    <row r="112" spans="1:14" s="48" customFormat="1" x14ac:dyDescent="0.25">
      <c r="A112" s="116">
        <f t="shared" si="0"/>
        <v>6</v>
      </c>
      <c r="B112" s="116"/>
      <c r="C112" s="66" t="s">
        <v>177</v>
      </c>
      <c r="D112" s="66">
        <f>(2.1*4.7)*10.764</f>
        <v>106.24068</v>
      </c>
      <c r="E112" s="66">
        <v>0</v>
      </c>
      <c r="F112" s="57">
        <v>212</v>
      </c>
      <c r="G112" s="116" t="str">
        <f t="shared" si="1"/>
        <v>Ground Floor for Commercial &amp; Parking</v>
      </c>
      <c r="H112" s="116"/>
      <c r="I112" s="56"/>
      <c r="J112" s="34">
        <f t="shared" si="2"/>
        <v>2226000</v>
      </c>
      <c r="K112" s="56"/>
      <c r="L112" s="152"/>
      <c r="M112" s="152"/>
      <c r="N112" s="34"/>
    </row>
    <row r="113" spans="1:14" s="48" customFormat="1" x14ac:dyDescent="0.25">
      <c r="A113" s="116">
        <f t="shared" si="0"/>
        <v>7</v>
      </c>
      <c r="B113" s="116"/>
      <c r="C113" s="66" t="s">
        <v>177</v>
      </c>
      <c r="D113" s="66">
        <f>(2.1*3.4)*10.764</f>
        <v>76.854959999999991</v>
      </c>
      <c r="E113" s="66">
        <v>0</v>
      </c>
      <c r="F113" s="57">
        <v>154</v>
      </c>
      <c r="G113" s="116" t="str">
        <f t="shared" si="1"/>
        <v>Ground Floor for Commercial &amp; Parking</v>
      </c>
      <c r="H113" s="116"/>
      <c r="I113" s="56"/>
      <c r="J113" s="34">
        <f t="shared" si="2"/>
        <v>1617000</v>
      </c>
      <c r="K113" s="56"/>
      <c r="L113" s="152"/>
      <c r="M113" s="152"/>
      <c r="N113" s="34"/>
    </row>
    <row r="114" spans="1:14" s="48" customFormat="1" x14ac:dyDescent="0.25">
      <c r="A114" s="116">
        <f t="shared" si="0"/>
        <v>8</v>
      </c>
      <c r="B114" s="116"/>
      <c r="C114" s="66" t="s">
        <v>177</v>
      </c>
      <c r="D114" s="66">
        <f>(2.05*4.6)*10.764</f>
        <v>101.50451999999997</v>
      </c>
      <c r="E114" s="66">
        <v>0</v>
      </c>
      <c r="F114" s="57">
        <v>204</v>
      </c>
      <c r="G114" s="116" t="str">
        <f t="shared" si="1"/>
        <v>Ground Floor for Commercial &amp; Parking</v>
      </c>
      <c r="H114" s="116"/>
      <c r="I114" s="56"/>
      <c r="J114" s="34">
        <f t="shared" si="2"/>
        <v>2142000</v>
      </c>
      <c r="K114" s="56"/>
      <c r="L114" s="152"/>
      <c r="M114" s="152"/>
      <c r="N114" s="34"/>
    </row>
    <row r="115" spans="1:14" s="48" customFormat="1" x14ac:dyDescent="0.25">
      <c r="A115" s="116">
        <f t="shared" si="0"/>
        <v>9</v>
      </c>
      <c r="B115" s="116"/>
      <c r="C115" s="66" t="s">
        <v>177</v>
      </c>
      <c r="D115" s="66">
        <f>(1.75*5.4)*10.764</f>
        <v>101.71980000000001</v>
      </c>
      <c r="E115" s="66">
        <v>0</v>
      </c>
      <c r="F115" s="57">
        <v>204</v>
      </c>
      <c r="G115" s="116" t="str">
        <f t="shared" si="1"/>
        <v>Ground Floor for Commercial &amp; Parking</v>
      </c>
      <c r="H115" s="116"/>
      <c r="I115" s="56"/>
      <c r="J115" s="34">
        <f t="shared" si="2"/>
        <v>2142000</v>
      </c>
      <c r="K115" s="56"/>
      <c r="L115" s="152"/>
      <c r="M115" s="152"/>
      <c r="N115" s="34"/>
    </row>
    <row r="116" spans="1:14" s="48" customFormat="1" x14ac:dyDescent="0.25">
      <c r="A116" s="116">
        <f t="shared" si="0"/>
        <v>10</v>
      </c>
      <c r="B116" s="116"/>
      <c r="C116" s="66" t="s">
        <v>177</v>
      </c>
      <c r="D116" s="66">
        <f>(1.85*5.4)*10.764</f>
        <v>107.53236000000001</v>
      </c>
      <c r="E116" s="66">
        <v>0</v>
      </c>
      <c r="F116" s="57">
        <v>216</v>
      </c>
      <c r="G116" s="116" t="str">
        <f t="shared" si="1"/>
        <v>Ground Floor for Commercial &amp; Parking</v>
      </c>
      <c r="H116" s="116"/>
      <c r="I116" s="56"/>
      <c r="J116" s="34">
        <f t="shared" si="2"/>
        <v>2268000</v>
      </c>
      <c r="K116" s="56"/>
      <c r="L116" s="152"/>
      <c r="M116" s="152"/>
      <c r="N116" s="34"/>
    </row>
    <row r="117" spans="1:14" s="48" customFormat="1" x14ac:dyDescent="0.25">
      <c r="A117" s="116">
        <f t="shared" si="0"/>
        <v>11</v>
      </c>
      <c r="B117" s="116"/>
      <c r="C117" s="66" t="s">
        <v>177</v>
      </c>
      <c r="D117" s="66">
        <f>(1.8*5.4)*10.764</f>
        <v>104.62608</v>
      </c>
      <c r="E117" s="66">
        <v>0</v>
      </c>
      <c r="F117" s="57">
        <v>210</v>
      </c>
      <c r="G117" s="116" t="str">
        <f t="shared" si="1"/>
        <v>Ground Floor for Commercial &amp; Parking</v>
      </c>
      <c r="H117" s="116"/>
      <c r="I117" s="56"/>
      <c r="J117" s="34">
        <f t="shared" si="2"/>
        <v>2205000</v>
      </c>
      <c r="K117" s="56"/>
      <c r="L117" s="152"/>
      <c r="M117" s="152"/>
      <c r="N117" s="34"/>
    </row>
    <row r="118" spans="1:14" s="48" customFormat="1" x14ac:dyDescent="0.25">
      <c r="A118" s="150">
        <f t="shared" si="0"/>
        <v>12</v>
      </c>
      <c r="B118" s="151"/>
      <c r="C118" s="50" t="s">
        <v>177</v>
      </c>
      <c r="D118" s="47">
        <f>(2.1*4.65)*10.764</f>
        <v>105.11046</v>
      </c>
      <c r="E118" s="47">
        <v>0</v>
      </c>
      <c r="F118" s="57">
        <v>210</v>
      </c>
      <c r="G118" s="150" t="str">
        <f t="shared" si="1"/>
        <v>Ground Floor for Commercial &amp; Parking</v>
      </c>
      <c r="H118" s="151"/>
      <c r="I118" s="56"/>
      <c r="J118" s="34">
        <f t="shared" si="2"/>
        <v>2205000</v>
      </c>
      <c r="K118" s="56"/>
      <c r="L118" s="152"/>
      <c r="M118" s="152"/>
      <c r="N118" s="34"/>
    </row>
    <row r="119" spans="1:14" s="49" customFormat="1" x14ac:dyDescent="0.25">
      <c r="A119" s="150">
        <f t="shared" si="0"/>
        <v>13</v>
      </c>
      <c r="B119" s="151"/>
      <c r="C119" s="50" t="s">
        <v>177</v>
      </c>
      <c r="D119" s="50">
        <f>(1.8*3.4)*10.764</f>
        <v>65.875680000000003</v>
      </c>
      <c r="E119" s="50">
        <v>0</v>
      </c>
      <c r="F119" s="57">
        <v>132</v>
      </c>
      <c r="G119" s="150" t="str">
        <f t="shared" si="1"/>
        <v>Ground Floor for Commercial &amp; Parking</v>
      </c>
      <c r="H119" s="151"/>
      <c r="I119" s="56"/>
      <c r="J119" s="34">
        <f t="shared" si="2"/>
        <v>1386000</v>
      </c>
      <c r="K119" s="56"/>
      <c r="L119" s="152"/>
      <c r="M119" s="152"/>
      <c r="N119" s="34"/>
    </row>
    <row r="120" spans="1:14" s="49" customFormat="1" x14ac:dyDescent="0.25">
      <c r="A120" s="150">
        <f t="shared" si="0"/>
        <v>14</v>
      </c>
      <c r="B120" s="151"/>
      <c r="C120" s="50" t="s">
        <v>177</v>
      </c>
      <c r="D120" s="50">
        <f>(1.85*3.4)*10.764</f>
        <v>67.705559999999991</v>
      </c>
      <c r="E120" s="50">
        <v>0</v>
      </c>
      <c r="F120" s="57">
        <v>136</v>
      </c>
      <c r="G120" s="150" t="str">
        <f t="shared" si="1"/>
        <v>Ground Floor for Commercial &amp; Parking</v>
      </c>
      <c r="H120" s="151"/>
      <c r="I120" s="56"/>
      <c r="J120" s="34">
        <f t="shared" si="2"/>
        <v>1428000</v>
      </c>
      <c r="K120" s="56"/>
      <c r="L120" s="152"/>
      <c r="M120" s="152"/>
      <c r="N120" s="34"/>
    </row>
    <row r="121" spans="1:14" s="49" customFormat="1" x14ac:dyDescent="0.25">
      <c r="A121" s="150">
        <f t="shared" si="0"/>
        <v>15</v>
      </c>
      <c r="B121" s="151"/>
      <c r="C121" s="50" t="s">
        <v>177</v>
      </c>
      <c r="D121" s="50">
        <f>(1.8*3.4)*10.764</f>
        <v>65.875680000000003</v>
      </c>
      <c r="E121" s="50">
        <v>0</v>
      </c>
      <c r="F121" s="57">
        <v>132</v>
      </c>
      <c r="G121" s="150" t="str">
        <f t="shared" si="1"/>
        <v>Ground Floor for Commercial &amp; Parking</v>
      </c>
      <c r="H121" s="151"/>
      <c r="I121" s="56"/>
      <c r="J121" s="34">
        <f t="shared" si="2"/>
        <v>1386000</v>
      </c>
      <c r="K121" s="56"/>
      <c r="L121" s="152"/>
      <c r="M121" s="152"/>
      <c r="N121" s="34"/>
    </row>
    <row r="122" spans="1:14" s="49" customFormat="1" x14ac:dyDescent="0.25">
      <c r="A122" s="150">
        <f t="shared" si="0"/>
        <v>16</v>
      </c>
      <c r="B122" s="151"/>
      <c r="C122" s="50" t="s">
        <v>177</v>
      </c>
      <c r="D122" s="50">
        <f>(2.1*4.75)*10.764</f>
        <v>107.37089999999999</v>
      </c>
      <c r="E122" s="50">
        <v>0</v>
      </c>
      <c r="F122" s="57">
        <v>214</v>
      </c>
      <c r="G122" s="150" t="str">
        <f t="shared" si="1"/>
        <v>Ground Floor for Commercial &amp; Parking</v>
      </c>
      <c r="H122" s="151"/>
      <c r="I122" s="56"/>
      <c r="J122" s="34">
        <f t="shared" si="2"/>
        <v>2247000</v>
      </c>
      <c r="K122" s="56"/>
      <c r="L122" s="152"/>
      <c r="M122" s="152"/>
      <c r="N122" s="34"/>
    </row>
    <row r="123" spans="1:14" s="49" customFormat="1" x14ac:dyDescent="0.25">
      <c r="A123" s="150">
        <f t="shared" si="0"/>
        <v>17</v>
      </c>
      <c r="B123" s="151"/>
      <c r="C123" s="50" t="s">
        <v>177</v>
      </c>
      <c r="D123" s="50">
        <f>(1.8*5.35)*10.764</f>
        <v>103.65731999999998</v>
      </c>
      <c r="E123" s="50">
        <v>0</v>
      </c>
      <c r="F123" s="57">
        <v>208</v>
      </c>
      <c r="G123" s="150" t="str">
        <f t="shared" si="1"/>
        <v>Ground Floor for Commercial &amp; Parking</v>
      </c>
      <c r="H123" s="151"/>
      <c r="I123" s="56"/>
      <c r="J123" s="34">
        <f t="shared" si="2"/>
        <v>2184000</v>
      </c>
      <c r="K123" s="56"/>
      <c r="L123" s="152"/>
      <c r="M123" s="152"/>
      <c r="N123" s="34"/>
    </row>
    <row r="124" spans="1:14" s="49" customFormat="1" x14ac:dyDescent="0.25">
      <c r="A124" s="150">
        <f t="shared" si="0"/>
        <v>18</v>
      </c>
      <c r="B124" s="151"/>
      <c r="C124" s="50" t="s">
        <v>177</v>
      </c>
      <c r="D124" s="50">
        <f>(1.85*5.35)*10.764</f>
        <v>106.53668999999998</v>
      </c>
      <c r="E124" s="50">
        <v>0</v>
      </c>
      <c r="F124" s="57">
        <v>214</v>
      </c>
      <c r="G124" s="150" t="str">
        <f t="shared" si="1"/>
        <v>Ground Floor for Commercial &amp; Parking</v>
      </c>
      <c r="H124" s="151"/>
      <c r="I124" s="56"/>
      <c r="J124" s="34">
        <f t="shared" si="2"/>
        <v>2247000</v>
      </c>
      <c r="K124" s="56"/>
      <c r="L124" s="152"/>
      <c r="M124" s="152"/>
      <c r="N124" s="34"/>
    </row>
    <row r="125" spans="1:14" s="49" customFormat="1" x14ac:dyDescent="0.25">
      <c r="A125" s="150">
        <f t="shared" si="0"/>
        <v>19</v>
      </c>
      <c r="B125" s="151"/>
      <c r="C125" s="50" t="s">
        <v>177</v>
      </c>
      <c r="D125" s="50">
        <f>(1.8*5.35)*10.764</f>
        <v>103.65731999999998</v>
      </c>
      <c r="E125" s="50">
        <v>0</v>
      </c>
      <c r="F125" s="57">
        <v>208</v>
      </c>
      <c r="G125" s="150" t="str">
        <f t="shared" si="1"/>
        <v>Ground Floor for Commercial &amp; Parking</v>
      </c>
      <c r="H125" s="151"/>
      <c r="I125" s="56"/>
      <c r="J125" s="34">
        <f t="shared" si="2"/>
        <v>2184000</v>
      </c>
      <c r="K125" s="56"/>
      <c r="L125" s="152"/>
      <c r="M125" s="152"/>
      <c r="N125" s="34"/>
    </row>
    <row r="126" spans="1:14" s="49" customFormat="1" x14ac:dyDescent="0.25">
      <c r="A126" s="150">
        <f t="shared" si="0"/>
        <v>20</v>
      </c>
      <c r="B126" s="151"/>
      <c r="C126" s="50" t="s">
        <v>177</v>
      </c>
      <c r="D126" s="50">
        <f>(1.8*5.35)*10.764</f>
        <v>103.65731999999998</v>
      </c>
      <c r="E126" s="50">
        <v>0</v>
      </c>
      <c r="F126" s="57">
        <v>208</v>
      </c>
      <c r="G126" s="150" t="str">
        <f t="shared" si="1"/>
        <v>Ground Floor for Commercial &amp; Parking</v>
      </c>
      <c r="H126" s="151"/>
      <c r="I126" s="56"/>
      <c r="J126" s="34">
        <f t="shared" si="2"/>
        <v>2184000</v>
      </c>
      <c r="K126" s="56"/>
      <c r="L126" s="152"/>
      <c r="M126" s="152"/>
      <c r="N126" s="34"/>
    </row>
    <row r="127" spans="1:14" s="49" customFormat="1" x14ac:dyDescent="0.25">
      <c r="A127" s="150">
        <f t="shared" si="0"/>
        <v>21</v>
      </c>
      <c r="B127" s="151"/>
      <c r="C127" s="50" t="s">
        <v>177</v>
      </c>
      <c r="D127" s="50">
        <f>(1.8*5.35)*10.764</f>
        <v>103.65731999999998</v>
      </c>
      <c r="E127" s="50">
        <v>0</v>
      </c>
      <c r="F127" s="57">
        <v>208</v>
      </c>
      <c r="G127" s="150" t="str">
        <f t="shared" si="1"/>
        <v>Ground Floor for Commercial &amp; Parking</v>
      </c>
      <c r="H127" s="151"/>
      <c r="I127" s="56"/>
      <c r="J127" s="34">
        <f t="shared" si="2"/>
        <v>2184000</v>
      </c>
      <c r="K127" s="56"/>
      <c r="L127" s="152"/>
      <c r="M127" s="152"/>
      <c r="N127" s="34"/>
    </row>
    <row r="128" spans="1:14" s="49" customFormat="1" x14ac:dyDescent="0.25">
      <c r="A128" s="150">
        <f t="shared" si="0"/>
        <v>22</v>
      </c>
      <c r="B128" s="151"/>
      <c r="C128" s="50" t="s">
        <v>177</v>
      </c>
      <c r="D128" s="50">
        <f>(1.9*4.55)*10.764</f>
        <v>93.054779999999994</v>
      </c>
      <c r="E128" s="50">
        <v>0</v>
      </c>
      <c r="F128" s="57">
        <v>186</v>
      </c>
      <c r="G128" s="150" t="str">
        <f t="shared" si="1"/>
        <v>Ground Floor for Commercial &amp; Parking</v>
      </c>
      <c r="H128" s="151"/>
      <c r="I128" s="56"/>
      <c r="J128" s="34">
        <f t="shared" si="2"/>
        <v>1953000</v>
      </c>
      <c r="K128" s="56"/>
      <c r="L128" s="152"/>
      <c r="M128" s="152"/>
      <c r="N128" s="34"/>
    </row>
    <row r="129" spans="1:14" s="49" customFormat="1" x14ac:dyDescent="0.25">
      <c r="A129" s="150">
        <f t="shared" si="0"/>
        <v>23</v>
      </c>
      <c r="B129" s="151"/>
      <c r="C129" s="50" t="s">
        <v>177</v>
      </c>
      <c r="D129" s="50">
        <f>(1.8*2.15)*10.764</f>
        <v>41.656680000000001</v>
      </c>
      <c r="E129" s="50">
        <v>0</v>
      </c>
      <c r="F129" s="58">
        <f>2*(D129+E129)</f>
        <v>83.313360000000003</v>
      </c>
      <c r="G129" s="150" t="str">
        <f t="shared" si="1"/>
        <v>Ground Floor for Commercial &amp; Parking</v>
      </c>
      <c r="H129" s="151"/>
      <c r="I129" s="56"/>
      <c r="J129" s="34">
        <f t="shared" si="2"/>
        <v>874790.28</v>
      </c>
      <c r="K129" s="56"/>
      <c r="L129" s="152"/>
      <c r="M129" s="152"/>
      <c r="N129" s="34"/>
    </row>
    <row r="130" spans="1:14" s="41" customFormat="1" x14ac:dyDescent="0.25">
      <c r="A130" s="150"/>
      <c r="B130" s="172"/>
      <c r="C130" s="172"/>
      <c r="D130" s="172"/>
      <c r="E130" s="172"/>
      <c r="F130" s="172"/>
      <c r="G130" s="172"/>
      <c r="H130" s="151"/>
      <c r="I130" s="34"/>
      <c r="N130" s="34"/>
    </row>
    <row r="131" spans="1:14" ht="47.25" customHeight="1" x14ac:dyDescent="0.25">
      <c r="A131" s="52" t="s">
        <v>125</v>
      </c>
      <c r="B131" s="52" t="s">
        <v>126</v>
      </c>
      <c r="C131" s="51" t="s">
        <v>60</v>
      </c>
      <c r="D131" s="51" t="s">
        <v>61</v>
      </c>
      <c r="E131" s="53" t="s">
        <v>62</v>
      </c>
      <c r="F131" s="51" t="s">
        <v>188</v>
      </c>
      <c r="G131" s="83" t="s">
        <v>63</v>
      </c>
      <c r="H131" s="84"/>
      <c r="I131" s="34"/>
    </row>
    <row r="132" spans="1:14" s="49" customFormat="1" x14ac:dyDescent="0.25">
      <c r="A132" s="167" t="s">
        <v>180</v>
      </c>
      <c r="B132" s="168"/>
      <c r="C132" s="168"/>
      <c r="D132" s="168"/>
      <c r="E132" s="168"/>
      <c r="F132" s="168"/>
      <c r="G132" s="168"/>
      <c r="H132" s="169"/>
      <c r="I132" s="34"/>
      <c r="N132" s="34"/>
    </row>
    <row r="133" spans="1:14" s="49" customFormat="1" x14ac:dyDescent="0.25">
      <c r="A133" s="167" t="s">
        <v>176</v>
      </c>
      <c r="B133" s="168"/>
      <c r="C133" s="168"/>
      <c r="D133" s="168"/>
      <c r="E133" s="168"/>
      <c r="F133" s="168"/>
      <c r="G133" s="168"/>
      <c r="H133" s="169"/>
      <c r="J133" s="34"/>
    </row>
    <row r="134" spans="1:14" s="49" customFormat="1" x14ac:dyDescent="0.25">
      <c r="A134" s="155" t="s">
        <v>182</v>
      </c>
      <c r="B134" s="155"/>
      <c r="C134" s="155"/>
      <c r="D134" s="155"/>
      <c r="E134" s="155"/>
      <c r="F134" s="155"/>
      <c r="G134" s="155"/>
      <c r="H134" s="155"/>
      <c r="I134" s="34"/>
      <c r="L134" s="152"/>
      <c r="M134" s="152"/>
    </row>
    <row r="135" spans="1:14" s="49" customFormat="1" x14ac:dyDescent="0.25">
      <c r="A135" s="116">
        <f>LEFT(A134,SUM(LEN(A134)-LEN(SUBSTITUTE(A134,{"0","1","2","3","4","5","6","7","8","9"},""))))*100+1</f>
        <v>101</v>
      </c>
      <c r="B135" s="116"/>
      <c r="C135" s="45">
        <v>1</v>
      </c>
      <c r="D135" s="50">
        <f>(2.75*3.3+1.85*2.45+2.85*2.4+2.1*1.25+2.45*0.9+2.85*1.65+3.07*1.3)*10.764</f>
        <v>365.66384399999993</v>
      </c>
      <c r="E135" s="50">
        <v>0</v>
      </c>
      <c r="F135" s="58">
        <v>582</v>
      </c>
      <c r="G135" s="116" t="str">
        <f>A134</f>
        <v>1st Floor for Residential</v>
      </c>
      <c r="H135" s="116"/>
      <c r="I135" s="56">
        <f>3500000/F135</f>
        <v>6013.7457044673538</v>
      </c>
      <c r="J135" s="63">
        <f>5800*F135</f>
        <v>3375600</v>
      </c>
      <c r="N135" s="34"/>
    </row>
    <row r="136" spans="1:14" s="49" customFormat="1" x14ac:dyDescent="0.25">
      <c r="A136" s="116">
        <f>A135+1</f>
        <v>102</v>
      </c>
      <c r="B136" s="116"/>
      <c r="C136" s="45">
        <v>1</v>
      </c>
      <c r="D136" s="50">
        <f>(2.85*4.2+2.1*2.25+2.85*3.25+1.8*1.2+1.2*1.15+1.2*0.9+2.1*0.9+2.3*1+2.97*1)*10.764</f>
        <v>406.20644999999996</v>
      </c>
      <c r="E136" s="50">
        <f>(2.875*1.6)*10.764</f>
        <v>49.514400000000002</v>
      </c>
      <c r="F136" s="58">
        <v>715</v>
      </c>
      <c r="G136" s="116" t="str">
        <f>G135</f>
        <v>1st Floor for Residential</v>
      </c>
      <c r="H136" s="116"/>
      <c r="I136" s="56"/>
      <c r="J136" s="63">
        <f t="shared" ref="J136:J179" si="3">5800*F136</f>
        <v>4147000</v>
      </c>
      <c r="L136" s="46"/>
      <c r="N136" s="34"/>
    </row>
    <row r="137" spans="1:14" s="49" customFormat="1" x14ac:dyDescent="0.25">
      <c r="A137" s="116">
        <f>A136+1</f>
        <v>103</v>
      </c>
      <c r="B137" s="116"/>
      <c r="C137" s="45">
        <v>0</v>
      </c>
      <c r="D137" s="50">
        <f>(2.75*4.2+2.05*2.35+1.2*1.15+2.1*1.2+2.05*0.6+1.2*0.8+2.2*1)*10.764</f>
        <v>265.41332999999997</v>
      </c>
      <c r="E137" s="50">
        <f>(2.325*1.6)*10.764</f>
        <v>40.042080000000006</v>
      </c>
      <c r="F137" s="58">
        <v>478</v>
      </c>
      <c r="G137" s="116" t="str">
        <f>G136</f>
        <v>1st Floor for Residential</v>
      </c>
      <c r="H137" s="116"/>
      <c r="I137" s="56"/>
      <c r="J137" s="63">
        <f t="shared" si="3"/>
        <v>2772400</v>
      </c>
      <c r="N137" s="34"/>
    </row>
    <row r="138" spans="1:14" s="49" customFormat="1" x14ac:dyDescent="0.25">
      <c r="A138" s="116">
        <f>A137+1</f>
        <v>104</v>
      </c>
      <c r="B138" s="116"/>
      <c r="C138" s="45">
        <v>1</v>
      </c>
      <c r="D138" s="50">
        <f>(2.85*4.2+2.05*2.25+2.7*3.25+2.1*1.2+1.2*1.15+2.05*0.9+1.2*0.9+1*(2.875+2.25+2.9))*10.764</f>
        <v>432.79352999999992</v>
      </c>
      <c r="E138" s="50">
        <v>0</v>
      </c>
      <c r="F138" s="58">
        <v>680</v>
      </c>
      <c r="G138" s="116" t="str">
        <f>G137</f>
        <v>1st Floor for Residential</v>
      </c>
      <c r="H138" s="116"/>
      <c r="I138" s="56"/>
      <c r="J138" s="63">
        <f t="shared" si="3"/>
        <v>3944000</v>
      </c>
      <c r="K138" s="49">
        <f>F138/D138</f>
        <v>1.5711879981200276</v>
      </c>
      <c r="N138" s="34"/>
    </row>
    <row r="139" spans="1:14" s="49" customFormat="1" x14ac:dyDescent="0.25">
      <c r="A139" s="116">
        <f>A138+1</f>
        <v>105</v>
      </c>
      <c r="B139" s="116"/>
      <c r="C139" s="45">
        <v>1</v>
      </c>
      <c r="D139" s="50">
        <f>(2.85*4.2+2.65*1.8+2.4*2.8+1.5*1.2+1*0.95+0.9*2.65+1*0.75+0.6*2.1+3.1*1.2+2.87*1)*10.764</f>
        <v>400.36697999999996</v>
      </c>
      <c r="E139" s="50">
        <v>0</v>
      </c>
      <c r="F139" s="58">
        <v>643</v>
      </c>
      <c r="G139" s="116" t="str">
        <f>G138</f>
        <v>1st Floor for Residential</v>
      </c>
      <c r="H139" s="116"/>
      <c r="I139" s="56"/>
      <c r="J139" s="63">
        <f t="shared" si="3"/>
        <v>3729400</v>
      </c>
      <c r="N139" s="34"/>
    </row>
    <row r="140" spans="1:14" s="49" customFormat="1" x14ac:dyDescent="0.25">
      <c r="A140" s="155" t="s">
        <v>122</v>
      </c>
      <c r="B140" s="155"/>
      <c r="C140" s="155"/>
      <c r="D140" s="155"/>
      <c r="E140" s="155"/>
      <c r="F140" s="155"/>
      <c r="G140" s="155"/>
      <c r="H140" s="155"/>
      <c r="I140" s="56"/>
      <c r="J140" s="63">
        <f t="shared" si="3"/>
        <v>0</v>
      </c>
      <c r="L140" s="152"/>
      <c r="M140" s="152"/>
    </row>
    <row r="141" spans="1:14" s="49" customFormat="1" x14ac:dyDescent="0.25">
      <c r="A141" s="116">
        <f>LEFT(A140,SUM(LEN(A140)-LEN(SUBSTITUTE(A140,{"0","1","2","3","4","5","6","7","8","9"},""))))*100+1</f>
        <v>201</v>
      </c>
      <c r="B141" s="116"/>
      <c r="C141" s="45">
        <v>1</v>
      </c>
      <c r="D141" s="50">
        <f>(2.75*3.3+1.85*2.45+2.85*2.4+2.1*1.25+2.45*0.9+2.85*1.65+3.07*1.3)*10.764</f>
        <v>365.66384399999993</v>
      </c>
      <c r="E141" s="50">
        <v>0</v>
      </c>
      <c r="F141" s="50">
        <v>582</v>
      </c>
      <c r="G141" s="116" t="str">
        <f>A140</f>
        <v>2nd Floor</v>
      </c>
      <c r="H141" s="116"/>
      <c r="I141" s="56">
        <f>3500000/F141</f>
        <v>6013.7457044673538</v>
      </c>
      <c r="J141" s="63">
        <f t="shared" si="3"/>
        <v>3375600</v>
      </c>
      <c r="N141" s="34"/>
    </row>
    <row r="142" spans="1:14" s="49" customFormat="1" x14ac:dyDescent="0.25">
      <c r="A142" s="116">
        <f>A141+1</f>
        <v>202</v>
      </c>
      <c r="B142" s="116"/>
      <c r="C142" s="45">
        <v>1</v>
      </c>
      <c r="D142" s="50">
        <f>(2.85*4.2+2.1*2.25+2.85*3.25+1.8*1.2+1.2*1.15+1.2*0.9+2.1*0.9+2.3*1+2.97*1)*10.764</f>
        <v>406.20644999999996</v>
      </c>
      <c r="E142" s="50">
        <v>0</v>
      </c>
      <c r="F142" s="50">
        <v>645</v>
      </c>
      <c r="G142" s="116" t="str">
        <f>G141</f>
        <v>2nd Floor</v>
      </c>
      <c r="H142" s="116"/>
      <c r="I142" s="56">
        <f>6500*F142</f>
        <v>4192500</v>
      </c>
      <c r="J142" s="63">
        <f t="shared" si="3"/>
        <v>3741000</v>
      </c>
      <c r="L142" s="46"/>
      <c r="N142" s="34"/>
    </row>
    <row r="143" spans="1:14" s="49" customFormat="1" x14ac:dyDescent="0.25">
      <c r="A143" s="116">
        <f>A142+1</f>
        <v>203</v>
      </c>
      <c r="B143" s="116"/>
      <c r="C143" s="45">
        <v>0</v>
      </c>
      <c r="D143" s="50">
        <f>(2.75*4.2+2.05*2.35+1.2*1.15+2.1*1.2+2.05*0.6+1.2*0.8+2.2*1)*10.764</f>
        <v>265.41332999999997</v>
      </c>
      <c r="E143" s="50">
        <v>0</v>
      </c>
      <c r="F143" s="50">
        <v>422</v>
      </c>
      <c r="G143" s="116" t="str">
        <f>G142</f>
        <v>2nd Floor</v>
      </c>
      <c r="H143" s="116"/>
      <c r="I143" s="56"/>
      <c r="J143" s="63">
        <f t="shared" si="3"/>
        <v>2447600</v>
      </c>
      <c r="N143" s="34"/>
    </row>
    <row r="144" spans="1:14" s="49" customFormat="1" x14ac:dyDescent="0.25">
      <c r="A144" s="116">
        <f>A143+1</f>
        <v>204</v>
      </c>
      <c r="B144" s="116"/>
      <c r="C144" s="45">
        <v>1</v>
      </c>
      <c r="D144" s="50">
        <f>(2.85*4.2+2.05*2.25+2.7*3.25+2.1*1.2+1.2*1.15+2.05*0.9+1.2*0.9+1*(2.875+2.25+2.9))*10.764</f>
        <v>432.79352999999992</v>
      </c>
      <c r="E144" s="50">
        <v>0</v>
      </c>
      <c r="F144" s="50">
        <v>680</v>
      </c>
      <c r="G144" s="116" t="str">
        <f>G143</f>
        <v>2nd Floor</v>
      </c>
      <c r="H144" s="116"/>
      <c r="I144" s="56"/>
      <c r="J144" s="63">
        <f t="shared" si="3"/>
        <v>3944000</v>
      </c>
      <c r="N144" s="34"/>
    </row>
    <row r="145" spans="1:14" s="49" customFormat="1" x14ac:dyDescent="0.25">
      <c r="A145" s="116">
        <f>A144+1</f>
        <v>205</v>
      </c>
      <c r="B145" s="116"/>
      <c r="C145" s="45">
        <v>1</v>
      </c>
      <c r="D145" s="50">
        <f>(2.85*4.2+2.65*1.8+2.4*2.8+1.5*1.2+1*0.95+0.9*2.65+1*0.75+0.6*2.1+3.1*1.2+2.87*1)*10.764</f>
        <v>400.36697999999996</v>
      </c>
      <c r="E145" s="50">
        <v>0</v>
      </c>
      <c r="F145" s="50">
        <v>643</v>
      </c>
      <c r="G145" s="116" t="str">
        <f>G144</f>
        <v>2nd Floor</v>
      </c>
      <c r="H145" s="116"/>
      <c r="I145" s="56"/>
      <c r="J145" s="63">
        <f t="shared" si="3"/>
        <v>3729400</v>
      </c>
      <c r="N145" s="34"/>
    </row>
    <row r="146" spans="1:14" s="49" customFormat="1" x14ac:dyDescent="0.25">
      <c r="A146" s="155" t="s">
        <v>183</v>
      </c>
      <c r="B146" s="155"/>
      <c r="C146" s="155"/>
      <c r="D146" s="155"/>
      <c r="E146" s="155"/>
      <c r="F146" s="155"/>
      <c r="G146" s="155"/>
      <c r="H146" s="155"/>
      <c r="I146" s="56"/>
      <c r="J146" s="63">
        <f t="shared" si="3"/>
        <v>0</v>
      </c>
      <c r="L146" s="152"/>
      <c r="M146" s="152"/>
    </row>
    <row r="147" spans="1:14" s="49" customFormat="1" x14ac:dyDescent="0.25">
      <c r="A147" s="116">
        <f>LEFT(A146,SUM(LEN(A146)-LEN(SUBSTITUTE(A146,{"0","1","2","3","4","5","6","7","8","9"},""))))*100+1</f>
        <v>301</v>
      </c>
      <c r="B147" s="116"/>
      <c r="C147" s="45">
        <v>1</v>
      </c>
      <c r="D147" s="50">
        <f>(2.75*3.3+1.85*2.45+2.85*2.4+2.1*1.25+2.45*0.9+2.85*1.65+3.07*1.3)*10.764</f>
        <v>365.66384399999993</v>
      </c>
      <c r="E147" s="50">
        <v>0</v>
      </c>
      <c r="F147" s="50">
        <v>582</v>
      </c>
      <c r="G147" s="116" t="str">
        <f>A146</f>
        <v>3rd Floor</v>
      </c>
      <c r="H147" s="116"/>
      <c r="I147" s="56">
        <f>3500000/F147</f>
        <v>6013.7457044673538</v>
      </c>
      <c r="J147" s="63">
        <f t="shared" si="3"/>
        <v>3375600</v>
      </c>
      <c r="N147" s="34"/>
    </row>
    <row r="148" spans="1:14" s="49" customFormat="1" x14ac:dyDescent="0.25">
      <c r="A148" s="116">
        <f>A147+1</f>
        <v>302</v>
      </c>
      <c r="B148" s="116"/>
      <c r="C148" s="45">
        <v>1</v>
      </c>
      <c r="D148" s="50">
        <f>(2.85*4.2+2.1*2.25+2.85*3.25+1.8*1.2+1.2*1.15+1.2*0.9+2.1*0.9+2.3*1+2.97*1)*10.764</f>
        <v>406.20644999999996</v>
      </c>
      <c r="E148" s="50">
        <f>(2.875*1.6)*10.764</f>
        <v>49.514400000000002</v>
      </c>
      <c r="F148" s="50">
        <v>715</v>
      </c>
      <c r="G148" s="116" t="str">
        <f>G147</f>
        <v>3rd Floor</v>
      </c>
      <c r="H148" s="116"/>
      <c r="I148" s="56"/>
      <c r="J148" s="63">
        <f t="shared" si="3"/>
        <v>4147000</v>
      </c>
      <c r="L148" s="46"/>
      <c r="N148" s="34"/>
    </row>
    <row r="149" spans="1:14" s="49" customFormat="1" x14ac:dyDescent="0.25">
      <c r="A149" s="116">
        <f>A148+1</f>
        <v>303</v>
      </c>
      <c r="B149" s="116"/>
      <c r="C149" s="45">
        <v>0</v>
      </c>
      <c r="D149" s="50">
        <f>(2.75*4.2+2.05*2.35+1.2*1.15+2.1*1.2+2.05*0.6+1.2*0.8+2.2*1)*10.764</f>
        <v>265.41332999999997</v>
      </c>
      <c r="E149" s="50">
        <f>(2.325*1.6)*10.764</f>
        <v>40.042080000000006</v>
      </c>
      <c r="F149" s="50">
        <v>478</v>
      </c>
      <c r="G149" s="116" t="str">
        <f>G148</f>
        <v>3rd Floor</v>
      </c>
      <c r="H149" s="116"/>
      <c r="I149" s="56"/>
      <c r="J149" s="63">
        <f t="shared" si="3"/>
        <v>2772400</v>
      </c>
      <c r="N149" s="34"/>
    </row>
    <row r="150" spans="1:14" s="49" customFormat="1" x14ac:dyDescent="0.25">
      <c r="A150" s="116">
        <f>A149+1</f>
        <v>304</v>
      </c>
      <c r="B150" s="116"/>
      <c r="C150" s="45">
        <v>1</v>
      </c>
      <c r="D150" s="50">
        <f>(2.85*4.2+2.05*2.25+2.7*3.25+2.1*1.2+1.2*1.15+2.05*0.9+1.2*0.9+1*(2.875+2.25+2.9))*10.764</f>
        <v>432.79352999999992</v>
      </c>
      <c r="E150" s="50">
        <v>0</v>
      </c>
      <c r="F150" s="50">
        <v>680</v>
      </c>
      <c r="G150" s="116" t="str">
        <f>G149</f>
        <v>3rd Floor</v>
      </c>
      <c r="H150" s="116"/>
      <c r="I150" s="56">
        <f>2794500/F150</f>
        <v>4109.5588235294117</v>
      </c>
      <c r="J150" s="63">
        <f t="shared" si="3"/>
        <v>3944000</v>
      </c>
      <c r="N150" s="34"/>
    </row>
    <row r="151" spans="1:14" s="49" customFormat="1" x14ac:dyDescent="0.25">
      <c r="A151" s="116">
        <f>A150+1</f>
        <v>305</v>
      </c>
      <c r="B151" s="116"/>
      <c r="C151" s="45">
        <v>1</v>
      </c>
      <c r="D151" s="50">
        <f>(2.85*4.2+2.65*1.8+2.4*2.8+1.5*1.2+1*0.95+0.9*2.65+1*0.75+0.6*2.1+3.1*1.2+2.87*1)*10.764</f>
        <v>400.36697999999996</v>
      </c>
      <c r="E151" s="50">
        <v>0</v>
      </c>
      <c r="F151" s="50">
        <v>643</v>
      </c>
      <c r="G151" s="116" t="str">
        <f>G150</f>
        <v>3rd Floor</v>
      </c>
      <c r="H151" s="116"/>
      <c r="I151" s="56"/>
      <c r="J151" s="63">
        <f t="shared" si="3"/>
        <v>3729400</v>
      </c>
      <c r="N151" s="34"/>
    </row>
    <row r="152" spans="1:14" s="49" customFormat="1" x14ac:dyDescent="0.25">
      <c r="A152" s="155" t="s">
        <v>184</v>
      </c>
      <c r="B152" s="155"/>
      <c r="C152" s="155"/>
      <c r="D152" s="155"/>
      <c r="E152" s="155"/>
      <c r="F152" s="155"/>
      <c r="G152" s="155"/>
      <c r="H152" s="155"/>
      <c r="I152" s="56"/>
      <c r="J152" s="63">
        <f t="shared" si="3"/>
        <v>0</v>
      </c>
      <c r="L152" s="152"/>
      <c r="M152" s="152"/>
    </row>
    <row r="153" spans="1:14" s="49" customFormat="1" x14ac:dyDescent="0.25">
      <c r="A153" s="116">
        <f>LEFT(A152,SUM(LEN(A152)-LEN(SUBSTITUTE(A152,{"0","1","2","3","4","5","6","7","8","9"},""))))*100+1</f>
        <v>401</v>
      </c>
      <c r="B153" s="116"/>
      <c r="C153" s="45">
        <v>1</v>
      </c>
      <c r="D153" s="66">
        <f>(2.75*3.3+1.85*2.45+2.85*2.4+2.1*1.25+2.45*0.9+2.85*1.65+3.07*1.3)*10.764</f>
        <v>365.66384399999993</v>
      </c>
      <c r="E153" s="66">
        <f>(2.85*6.55)*10.764</f>
        <v>200.93697</v>
      </c>
      <c r="F153" s="66">
        <v>900</v>
      </c>
      <c r="G153" s="116" t="str">
        <f>A152</f>
        <v>4th Floor</v>
      </c>
      <c r="H153" s="116"/>
      <c r="I153" s="56" t="s">
        <v>223</v>
      </c>
      <c r="J153" s="63"/>
      <c r="N153" s="34"/>
    </row>
    <row r="154" spans="1:14" s="49" customFormat="1" x14ac:dyDescent="0.25">
      <c r="A154" s="116">
        <f>A153+1</f>
        <v>402</v>
      </c>
      <c r="B154" s="116"/>
      <c r="C154" s="45">
        <v>1</v>
      </c>
      <c r="D154" s="66">
        <f>(2.85*4.2+2.1*2.25+2.85*3.25+1.8*1.2+1.2*1.15+1.2*0.9+2.1*0.9+2.3*1+2.97*1)*10.764</f>
        <v>406.20644999999996</v>
      </c>
      <c r="E154" s="66">
        <v>0</v>
      </c>
      <c r="F154" s="66">
        <v>645</v>
      </c>
      <c r="G154" s="116" t="str">
        <f>G153</f>
        <v>4th Floor</v>
      </c>
      <c r="H154" s="116"/>
      <c r="I154" s="56"/>
      <c r="J154" s="63">
        <f t="shared" si="3"/>
        <v>3741000</v>
      </c>
      <c r="L154" s="46"/>
      <c r="N154" s="34"/>
    </row>
    <row r="155" spans="1:14" s="49" customFormat="1" x14ac:dyDescent="0.25">
      <c r="A155" s="116">
        <f>A154+1</f>
        <v>403</v>
      </c>
      <c r="B155" s="116"/>
      <c r="C155" s="45">
        <v>0</v>
      </c>
      <c r="D155" s="66">
        <f>(2.75*4.2+2.05*2.35+1.2*1.15+2.1*1.2+2.05*0.6+1.2*0.8+2.2*1)*10.764</f>
        <v>265.41332999999997</v>
      </c>
      <c r="E155" s="66">
        <v>0</v>
      </c>
      <c r="F155" s="66">
        <v>422</v>
      </c>
      <c r="G155" s="116" t="str">
        <f>G154</f>
        <v>4th Floor</v>
      </c>
      <c r="H155" s="116"/>
      <c r="I155" s="56">
        <f>1894500/F155</f>
        <v>4489.336492890995</v>
      </c>
      <c r="J155" s="63">
        <f t="shared" si="3"/>
        <v>2447600</v>
      </c>
      <c r="N155" s="34"/>
    </row>
    <row r="156" spans="1:14" s="49" customFormat="1" x14ac:dyDescent="0.25">
      <c r="A156" s="116">
        <f>A155+1</f>
        <v>404</v>
      </c>
      <c r="B156" s="116"/>
      <c r="C156" s="45">
        <v>1</v>
      </c>
      <c r="D156" s="66">
        <f>(2.85*4.2+2.05*2.25+2.7*3.25+2.1*1.2+1.2*1.15+2.05*0.9+1.2*0.9+1*(2.875+2.25+2.9))*10.764</f>
        <v>432.79352999999992</v>
      </c>
      <c r="E156" s="66">
        <v>0</v>
      </c>
      <c r="F156" s="66">
        <v>680</v>
      </c>
      <c r="G156" s="116" t="str">
        <f>G155</f>
        <v>4th Floor</v>
      </c>
      <c r="H156" s="116"/>
      <c r="I156" s="56"/>
      <c r="J156" s="63">
        <f t="shared" si="3"/>
        <v>3944000</v>
      </c>
      <c r="N156" s="34"/>
    </row>
    <row r="157" spans="1:14" s="49" customFormat="1" x14ac:dyDescent="0.25">
      <c r="A157" s="116">
        <f>A156+1</f>
        <v>405</v>
      </c>
      <c r="B157" s="116"/>
      <c r="C157" s="45">
        <v>1</v>
      </c>
      <c r="D157" s="66">
        <f>(2.85*4.2+2.875*1+2.65*1.8+1.5*1.2+1*1.2+2.65*0.9+1*0.9)*10.764</f>
        <v>278.78759999999994</v>
      </c>
      <c r="E157" s="66">
        <f>(3.75*3.1)*10.764</f>
        <v>125.13149999999999</v>
      </c>
      <c r="F157" s="66">
        <v>642</v>
      </c>
      <c r="G157" s="116" t="str">
        <f>G156</f>
        <v>4th Floor</v>
      </c>
      <c r="H157" s="116"/>
      <c r="I157" s="56">
        <f>1894500/F157</f>
        <v>2950.9345794392525</v>
      </c>
      <c r="J157" s="63">
        <f t="shared" si="3"/>
        <v>3723600</v>
      </c>
      <c r="N157" s="34"/>
    </row>
    <row r="158" spans="1:14" s="49" customFormat="1" x14ac:dyDescent="0.25">
      <c r="A158" s="155" t="s">
        <v>181</v>
      </c>
      <c r="B158" s="155"/>
      <c r="C158" s="155"/>
      <c r="D158" s="155"/>
      <c r="E158" s="155"/>
      <c r="F158" s="155"/>
      <c r="G158" s="155"/>
      <c r="H158" s="155"/>
      <c r="I158" s="56"/>
      <c r="J158" s="63">
        <f t="shared" si="3"/>
        <v>0</v>
      </c>
      <c r="N158" s="34"/>
    </row>
    <row r="159" spans="1:14" s="49" customFormat="1" x14ac:dyDescent="0.25">
      <c r="A159" s="155" t="s">
        <v>176</v>
      </c>
      <c r="B159" s="155"/>
      <c r="C159" s="155"/>
      <c r="D159" s="155"/>
      <c r="E159" s="155"/>
      <c r="F159" s="155"/>
      <c r="G159" s="155"/>
      <c r="H159" s="155"/>
      <c r="I159" s="56"/>
      <c r="J159" s="63">
        <f t="shared" si="3"/>
        <v>0</v>
      </c>
    </row>
    <row r="160" spans="1:14" s="49" customFormat="1" x14ac:dyDescent="0.25">
      <c r="A160" s="155" t="s">
        <v>182</v>
      </c>
      <c r="B160" s="155"/>
      <c r="C160" s="155"/>
      <c r="D160" s="155"/>
      <c r="E160" s="155"/>
      <c r="F160" s="155"/>
      <c r="G160" s="155"/>
      <c r="H160" s="155"/>
      <c r="I160" s="56"/>
      <c r="J160" s="63">
        <f t="shared" si="3"/>
        <v>0</v>
      </c>
      <c r="L160" s="152"/>
      <c r="M160" s="152"/>
    </row>
    <row r="161" spans="1:14" s="49" customFormat="1" x14ac:dyDescent="0.25">
      <c r="A161" s="116">
        <f>LEFT(A160,SUM(LEN(A160)-LEN(SUBSTITUTE(A160,{"0","1","2","3","4","5","6","7","8","9"},""))))*100+1</f>
        <v>101</v>
      </c>
      <c r="B161" s="116"/>
      <c r="C161" s="45">
        <v>2</v>
      </c>
      <c r="D161" s="66">
        <f>(2.85*3.9+2.85*3.2+2.85*2.9+2.8*1.8+1.7*2+1.8*1.2+2.85*0.9+1.2*0.9)*10.764</f>
        <v>460.10717999999986</v>
      </c>
      <c r="E161" s="66">
        <f>(2.875*1.3+0.95*1.9+2.05*1.1+0.5*1.1*1.2)*10.764</f>
        <v>91.036529999999985</v>
      </c>
      <c r="F161" s="66">
        <v>875</v>
      </c>
      <c r="G161" s="116" t="str">
        <f>A160</f>
        <v>1st Floor for Residential</v>
      </c>
      <c r="H161" s="116"/>
      <c r="I161" s="56"/>
      <c r="J161" s="63">
        <f t="shared" si="3"/>
        <v>5075000</v>
      </c>
      <c r="N161" s="34"/>
    </row>
    <row r="162" spans="1:14" s="49" customFormat="1" x14ac:dyDescent="0.25">
      <c r="A162" s="116">
        <f>A161+1</f>
        <v>102</v>
      </c>
      <c r="B162" s="116"/>
      <c r="C162" s="45">
        <v>1</v>
      </c>
      <c r="D162" s="50">
        <f>(2.85*4.5+2.1*2.25+2.85*3.25+1.2*1.15+2.1*1.2+2.1*0.9+1.2*0.9+1*(2.975+2.3))*10.764</f>
        <v>419.33852999999993</v>
      </c>
      <c r="E162" s="50">
        <f>(2.875*1.3)*10.764</f>
        <v>40.230449999999998</v>
      </c>
      <c r="F162" s="50">
        <v>722</v>
      </c>
      <c r="G162" s="116" t="str">
        <f>G161</f>
        <v>1st Floor for Residential</v>
      </c>
      <c r="H162" s="116"/>
      <c r="I162" s="56"/>
      <c r="J162" s="63">
        <f t="shared" si="3"/>
        <v>4187600</v>
      </c>
      <c r="L162" s="46"/>
      <c r="N162" s="34"/>
    </row>
    <row r="163" spans="1:14" s="49" customFormat="1" x14ac:dyDescent="0.25">
      <c r="A163" s="116">
        <f>A162+1</f>
        <v>103</v>
      </c>
      <c r="B163" s="116"/>
      <c r="C163" s="45">
        <v>1</v>
      </c>
      <c r="D163" s="50">
        <f>(2.75*3.4+1.1*1.3+1.85*2.45+2.85*2.4+2.15*1.2+0.9*1.2+3.075*1.3)*10.764</f>
        <v>320.87484000000001</v>
      </c>
      <c r="E163" s="50">
        <f>(2.77*1.85)*10.764</f>
        <v>55.160117999999997</v>
      </c>
      <c r="F163" s="50">
        <v>597</v>
      </c>
      <c r="G163" s="116" t="str">
        <f>G162</f>
        <v>1st Floor for Residential</v>
      </c>
      <c r="H163" s="116"/>
      <c r="I163" s="56"/>
      <c r="J163" s="63">
        <f t="shared" si="3"/>
        <v>3462600</v>
      </c>
      <c r="N163" s="34"/>
    </row>
    <row r="164" spans="1:14" s="49" customFormat="1" x14ac:dyDescent="0.25">
      <c r="A164" s="116">
        <f>A163+1</f>
        <v>104</v>
      </c>
      <c r="B164" s="116"/>
      <c r="C164" s="45">
        <v>1</v>
      </c>
      <c r="D164" s="50">
        <f>(2.9*4.45+2.4*1.9+2.4*2.75+1.2*2.15+2.9*1.35+2.56*1.15+0.6*1.55+0.8*1.2)*10.764</f>
        <v>380.98101599999995</v>
      </c>
      <c r="E164" s="50">
        <f>(2.575*1.85)*10.764</f>
        <v>51.277005000000003</v>
      </c>
      <c r="F164" s="50">
        <v>712</v>
      </c>
      <c r="G164" s="116" t="str">
        <f>G163</f>
        <v>1st Floor for Residential</v>
      </c>
      <c r="H164" s="116"/>
      <c r="I164" s="56"/>
      <c r="J164" s="63">
        <f t="shared" si="3"/>
        <v>4129600</v>
      </c>
      <c r="N164" s="34"/>
    </row>
    <row r="165" spans="1:14" s="49" customFormat="1" x14ac:dyDescent="0.25">
      <c r="A165" s="155" t="s">
        <v>122</v>
      </c>
      <c r="B165" s="155"/>
      <c r="C165" s="155"/>
      <c r="D165" s="155"/>
      <c r="E165" s="155"/>
      <c r="F165" s="155"/>
      <c r="G165" s="155"/>
      <c r="H165" s="155"/>
      <c r="I165" s="56"/>
      <c r="J165" s="63">
        <f t="shared" si="3"/>
        <v>0</v>
      </c>
      <c r="L165" s="152"/>
      <c r="M165" s="152"/>
    </row>
    <row r="166" spans="1:14" s="49" customFormat="1" x14ac:dyDescent="0.25">
      <c r="A166" s="116">
        <f>LEFT(A165,SUM(LEN(A165)-LEN(SUBSTITUTE(A165,{"0","1","2","3","4","5","6","7","8","9"},""))))*100+1</f>
        <v>201</v>
      </c>
      <c r="B166" s="116"/>
      <c r="C166" s="45">
        <v>2</v>
      </c>
      <c r="D166" s="50">
        <f>(2.85*3.9+2.85*3.2+2.85*2.9+2.8*1.8+1.7*2+1.8*1.2+2.85*0.9+1.2*0.9)*10.764</f>
        <v>460.10717999999986</v>
      </c>
      <c r="E166" s="50">
        <v>0</v>
      </c>
      <c r="F166" s="50">
        <v>750</v>
      </c>
      <c r="G166" s="116" t="str">
        <f>A165</f>
        <v>2nd Floor</v>
      </c>
      <c r="H166" s="116"/>
      <c r="I166" s="56"/>
      <c r="J166" s="63">
        <f t="shared" si="3"/>
        <v>4350000</v>
      </c>
      <c r="N166" s="34"/>
    </row>
    <row r="167" spans="1:14" s="49" customFormat="1" x14ac:dyDescent="0.25">
      <c r="A167" s="116">
        <f>A166+1</f>
        <v>202</v>
      </c>
      <c r="B167" s="116"/>
      <c r="C167" s="45">
        <v>1</v>
      </c>
      <c r="D167" s="50">
        <f>(2.85*4.5+2.1*2.25+2.85*3.25+1.2*1.15+2.1*1.2+2.1*0.9+1.2*0.9+1*(2.975+2.3))*10.764</f>
        <v>419.33852999999993</v>
      </c>
      <c r="E167" s="50">
        <v>0</v>
      </c>
      <c r="F167" s="50">
        <v>666</v>
      </c>
      <c r="G167" s="116" t="str">
        <f>G166</f>
        <v>2nd Floor</v>
      </c>
      <c r="H167" s="116"/>
      <c r="I167" s="56"/>
      <c r="J167" s="63">
        <f t="shared" si="3"/>
        <v>3862800</v>
      </c>
      <c r="L167" s="46"/>
      <c r="N167" s="34"/>
    </row>
    <row r="168" spans="1:14" s="49" customFormat="1" x14ac:dyDescent="0.25">
      <c r="A168" s="116">
        <f>A167+1</f>
        <v>203</v>
      </c>
      <c r="B168" s="116"/>
      <c r="C168" s="45">
        <v>1</v>
      </c>
      <c r="D168" s="50">
        <f>(2.75*3.4+1.1*1.3+1.85*2.45+2.85*2.4+2.15*1.2+0.9*1.2+3.075*1.3)*10.764</f>
        <v>320.87484000000001</v>
      </c>
      <c r="E168" s="50">
        <v>0</v>
      </c>
      <c r="F168" s="50">
        <v>518</v>
      </c>
      <c r="G168" s="116" t="str">
        <f>G167</f>
        <v>2nd Floor</v>
      </c>
      <c r="H168" s="116"/>
      <c r="I168" s="56">
        <f>2160000/F168</f>
        <v>4169.8841698841698</v>
      </c>
      <c r="J168" s="63">
        <f t="shared" si="3"/>
        <v>3004400</v>
      </c>
      <c r="N168" s="34"/>
    </row>
    <row r="169" spans="1:14" s="49" customFormat="1" x14ac:dyDescent="0.25">
      <c r="A169" s="116">
        <f>A168+1</f>
        <v>204</v>
      </c>
      <c r="B169" s="116"/>
      <c r="C169" s="45">
        <v>1</v>
      </c>
      <c r="D169" s="50">
        <f>(2.9*4.45+2.4*1.9+2.4*2.75+1.2*2.15+2.9*1.35+2.56*1.15+0.6*1.55+0.8*1.2)*10.764</f>
        <v>380.98101599999995</v>
      </c>
      <c r="E169" s="50">
        <v>0</v>
      </c>
      <c r="F169" s="50">
        <v>638</v>
      </c>
      <c r="G169" s="116" t="str">
        <f>G168</f>
        <v>2nd Floor</v>
      </c>
      <c r="H169" s="116"/>
      <c r="I169" s="56"/>
      <c r="J169" s="63">
        <f t="shared" si="3"/>
        <v>3700400</v>
      </c>
      <c r="N169" s="34"/>
    </row>
    <row r="170" spans="1:14" s="49" customFormat="1" x14ac:dyDescent="0.25">
      <c r="A170" s="155" t="s">
        <v>183</v>
      </c>
      <c r="B170" s="155"/>
      <c r="C170" s="155"/>
      <c r="D170" s="155"/>
      <c r="E170" s="155"/>
      <c r="F170" s="155"/>
      <c r="G170" s="155"/>
      <c r="H170" s="155"/>
      <c r="I170" s="56"/>
      <c r="J170" s="63">
        <f t="shared" si="3"/>
        <v>0</v>
      </c>
      <c r="L170" s="152"/>
      <c r="M170" s="152"/>
    </row>
    <row r="171" spans="1:14" s="49" customFormat="1" x14ac:dyDescent="0.25">
      <c r="A171" s="116">
        <f>LEFT(A170,SUM(LEN(A170)-LEN(SUBSTITUTE(A170,{"0","1","2","3","4","5","6","7","8","9"},""))))*100+1</f>
        <v>301</v>
      </c>
      <c r="B171" s="116"/>
      <c r="C171" s="45">
        <v>2</v>
      </c>
      <c r="D171" s="50">
        <f>(2.85*3.9+2.85*3.2+2.85*2.9+2.8*1.8+1.7*2+1.8*1.2+2.85*0.9+1.2*0.9)*10.764</f>
        <v>460.10717999999986</v>
      </c>
      <c r="E171" s="50">
        <f>(2.875*1.3+0.95*1.9+2.05*1.1+0.5*1.1*1.2)*10.764</f>
        <v>91.036529999999985</v>
      </c>
      <c r="F171" s="50">
        <v>806</v>
      </c>
      <c r="G171" s="116" t="str">
        <f>A170</f>
        <v>3rd Floor</v>
      </c>
      <c r="H171" s="116"/>
      <c r="I171" s="56"/>
      <c r="J171" s="63">
        <f t="shared" si="3"/>
        <v>4674800</v>
      </c>
      <c r="N171" s="34"/>
    </row>
    <row r="172" spans="1:14" s="49" customFormat="1" x14ac:dyDescent="0.25">
      <c r="A172" s="116">
        <f>A171+1</f>
        <v>302</v>
      </c>
      <c r="B172" s="116"/>
      <c r="C172" s="45">
        <v>1</v>
      </c>
      <c r="D172" s="50">
        <f>(2.85*4.5+2.1*2.25+2.85*3.25+1.2*1.15+2.1*1.2+2.1*0.9+1.2*0.9+1*(2.975+2.3))*10.764</f>
        <v>419.33852999999993</v>
      </c>
      <c r="E172" s="50">
        <f>(2.875*1.3)*10.764</f>
        <v>40.230449999999998</v>
      </c>
      <c r="F172" s="50">
        <v>722</v>
      </c>
      <c r="G172" s="116" t="str">
        <f>G171</f>
        <v>3rd Floor</v>
      </c>
      <c r="H172" s="116"/>
      <c r="I172" s="56">
        <f>3500000/F172</f>
        <v>4847.6454293628813</v>
      </c>
      <c r="J172" s="63">
        <f t="shared" si="3"/>
        <v>4187600</v>
      </c>
      <c r="L172" s="46"/>
      <c r="N172" s="34"/>
    </row>
    <row r="173" spans="1:14" s="49" customFormat="1" x14ac:dyDescent="0.25">
      <c r="A173" s="116">
        <f>A172+1</f>
        <v>303</v>
      </c>
      <c r="B173" s="116"/>
      <c r="C173" s="45">
        <v>1</v>
      </c>
      <c r="D173" s="50">
        <f>(2.75*3.4+1.1*1.3+1.85*2.45+2.85*2.4+2.15*1.2+0.9*1.2+3.075*1.3)*10.764</f>
        <v>320.87484000000001</v>
      </c>
      <c r="E173" s="50">
        <f>(2.77*1.85)*10.764</f>
        <v>55.160117999999997</v>
      </c>
      <c r="F173" s="50">
        <v>597</v>
      </c>
      <c r="G173" s="116" t="str">
        <f>G172</f>
        <v>3rd Floor</v>
      </c>
      <c r="H173" s="116"/>
      <c r="I173" s="56"/>
      <c r="J173" s="63">
        <f t="shared" si="3"/>
        <v>3462600</v>
      </c>
      <c r="N173" s="34"/>
    </row>
    <row r="174" spans="1:14" s="49" customFormat="1" x14ac:dyDescent="0.25">
      <c r="A174" s="116">
        <f>A173+1</f>
        <v>304</v>
      </c>
      <c r="B174" s="116"/>
      <c r="C174" s="45">
        <v>1</v>
      </c>
      <c r="D174" s="50">
        <f>(2.9*4.45+2.4*1.9+2.4*2.75+1.2*2.15+2.9*1.35+2.56*1.15+0.6*1.55+0.8*1.2)*10.764</f>
        <v>380.98101599999995</v>
      </c>
      <c r="E174" s="50">
        <f>(2.575*1.85)*10.764</f>
        <v>51.277005000000003</v>
      </c>
      <c r="F174" s="50">
        <v>712</v>
      </c>
      <c r="G174" s="116" t="str">
        <f>G173</f>
        <v>3rd Floor</v>
      </c>
      <c r="H174" s="116"/>
      <c r="I174" s="56"/>
      <c r="J174" s="63">
        <f t="shared" si="3"/>
        <v>4129600</v>
      </c>
      <c r="N174" s="34"/>
    </row>
    <row r="175" spans="1:14" s="49" customFormat="1" x14ac:dyDescent="0.25">
      <c r="A175" s="155" t="s">
        <v>184</v>
      </c>
      <c r="B175" s="155"/>
      <c r="C175" s="155"/>
      <c r="D175" s="155"/>
      <c r="E175" s="155"/>
      <c r="F175" s="155"/>
      <c r="G175" s="155"/>
      <c r="H175" s="155"/>
      <c r="I175" s="56"/>
      <c r="J175" s="63">
        <f t="shared" si="3"/>
        <v>0</v>
      </c>
      <c r="L175" s="152"/>
      <c r="M175" s="152"/>
    </row>
    <row r="176" spans="1:14" s="49" customFormat="1" x14ac:dyDescent="0.25">
      <c r="A176" s="116">
        <f>LEFT(A175,SUM(LEN(A175)-LEN(SUBSTITUTE(A175,{"0","1","2","3","4","5","6","7","8","9"},""))))*100+1</f>
        <v>401</v>
      </c>
      <c r="B176" s="116"/>
      <c r="C176" s="45">
        <v>2</v>
      </c>
      <c r="D176" s="50">
        <f>(2.85*3.9+2.85*3.2+2.85*2.9+2.8*1.8+1.7*2+1.8*1.2+2.85*0.9+1.2*0.9)*10.764</f>
        <v>460.10717999999986</v>
      </c>
      <c r="E176" s="50">
        <v>0</v>
      </c>
      <c r="F176" s="50">
        <v>750</v>
      </c>
      <c r="G176" s="116" t="str">
        <f>A175</f>
        <v>4th Floor</v>
      </c>
      <c r="H176" s="116"/>
      <c r="I176" s="56">
        <f>3500000/F176</f>
        <v>4666.666666666667</v>
      </c>
      <c r="J176" s="63">
        <f t="shared" si="3"/>
        <v>4350000</v>
      </c>
      <c r="N176" s="34"/>
    </row>
    <row r="177" spans="1:14" s="49" customFormat="1" x14ac:dyDescent="0.25">
      <c r="A177" s="116">
        <f>A176+1</f>
        <v>402</v>
      </c>
      <c r="B177" s="116"/>
      <c r="C177" s="45">
        <v>1</v>
      </c>
      <c r="D177" s="50">
        <f>(2.85*4.5+2.1*2.25+2.85*3.25+1.2*1.15+2.1*1.2+2.1*0.9+1.2*0.9+1*(2.975+2.3))*10.764</f>
        <v>419.33852999999993</v>
      </c>
      <c r="E177" s="50">
        <v>0</v>
      </c>
      <c r="F177" s="50">
        <v>666</v>
      </c>
      <c r="G177" s="116" t="str">
        <f>G176</f>
        <v>4th Floor</v>
      </c>
      <c r="H177" s="116"/>
      <c r="I177" s="56"/>
      <c r="J177" s="63">
        <f t="shared" si="3"/>
        <v>3862800</v>
      </c>
      <c r="L177" s="46"/>
      <c r="N177" s="34"/>
    </row>
    <row r="178" spans="1:14" s="49" customFormat="1" hidden="1" x14ac:dyDescent="0.25">
      <c r="A178" s="116">
        <f>A177+1</f>
        <v>403</v>
      </c>
      <c r="B178" s="116"/>
      <c r="C178" s="45">
        <v>1</v>
      </c>
      <c r="D178" s="50">
        <f>(2.75*3.4+1.1*1.3+1.85*2.45+2.85*2.4+2.15*1.2+0.9*1.2+3.075*1.3)*10.764</f>
        <v>320.87484000000001</v>
      </c>
      <c r="E178" s="50">
        <v>0</v>
      </c>
      <c r="F178" s="50" t="e">
        <f>D178*((#REF!)+1)+(IF(E178&lt;101,E178,IF(E178&lt;201,E178/2,IF(E178&lt;=301,E178/3,E178/4))))</f>
        <v>#REF!</v>
      </c>
      <c r="G178" s="116" t="str">
        <f>G177</f>
        <v>4th Floor</v>
      </c>
      <c r="H178" s="116"/>
      <c r="I178" s="56"/>
      <c r="J178" s="63" t="e">
        <f t="shared" si="3"/>
        <v>#REF!</v>
      </c>
      <c r="N178" s="34"/>
    </row>
    <row r="179" spans="1:14" s="49" customFormat="1" x14ac:dyDescent="0.25">
      <c r="A179" s="116">
        <f>A178+1</f>
        <v>404</v>
      </c>
      <c r="B179" s="116"/>
      <c r="C179" s="45">
        <v>1</v>
      </c>
      <c r="D179" s="50">
        <f>(2.9*4.45+2.4*1.9+2.4*2.75+1.2*2.15+2.9*1.35+2.56*1.15+0.6*1.55+0.8*1.2)*10.764</f>
        <v>380.98101599999995</v>
      </c>
      <c r="E179" s="50">
        <f>(2.7*4.6)*10.764</f>
        <v>133.68887999999998</v>
      </c>
      <c r="F179" s="50">
        <v>850</v>
      </c>
      <c r="G179" s="116" t="str">
        <f>G178</f>
        <v>4th Floor</v>
      </c>
      <c r="H179" s="116"/>
      <c r="I179" s="56"/>
      <c r="J179" s="63">
        <f t="shared" si="3"/>
        <v>4930000</v>
      </c>
      <c r="N179" s="34"/>
    </row>
    <row r="180" spans="1:14" s="33" customFormat="1" x14ac:dyDescent="0.25">
      <c r="A180" s="102" t="s">
        <v>71</v>
      </c>
      <c r="B180" s="102"/>
      <c r="C180" s="102"/>
      <c r="D180" s="102"/>
      <c r="E180" s="102"/>
      <c r="F180" s="102"/>
      <c r="G180" s="102"/>
      <c r="H180" s="102"/>
    </row>
    <row r="181" spans="1:14" s="33" customFormat="1" x14ac:dyDescent="0.25">
      <c r="A181" s="40" t="s">
        <v>158</v>
      </c>
      <c r="B181" s="113" t="s">
        <v>219</v>
      </c>
      <c r="C181" s="114"/>
      <c r="D181" s="114"/>
      <c r="E181" s="114"/>
      <c r="F181" s="114"/>
      <c r="G181" s="114"/>
      <c r="H181" s="115"/>
    </row>
    <row r="182" spans="1:14" s="33" customFormat="1" x14ac:dyDescent="0.25">
      <c r="A182" s="40" t="s">
        <v>158</v>
      </c>
      <c r="B182" s="113" t="str">
        <f>(IF(F131="Saleable area Loading :","We have considered Saleable area of Flats as per our Calculation.","We considered Saleable area of Flat as per Builder area Sheet."))</f>
        <v>We considered Saleable area of Flat as per Builder area Sheet.</v>
      </c>
      <c r="C182" s="114"/>
      <c r="D182" s="114"/>
      <c r="E182" s="114"/>
      <c r="F182" s="114"/>
      <c r="G182" s="114"/>
      <c r="H182" s="115"/>
    </row>
    <row r="183" spans="1:14" s="33" customFormat="1" x14ac:dyDescent="0.25">
      <c r="A183" s="40" t="s">
        <v>158</v>
      </c>
      <c r="B183" s="113" t="str">
        <f>(IF(F104="Saleable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3" s="114"/>
      <c r="D183" s="114"/>
      <c r="E183" s="114"/>
      <c r="F183" s="114"/>
      <c r="G183" s="114"/>
      <c r="H183" s="115"/>
    </row>
    <row r="184" spans="1:14" s="33" customFormat="1" x14ac:dyDescent="0.25">
      <c r="A184" s="40" t="s">
        <v>158</v>
      </c>
      <c r="B184" s="110" t="s">
        <v>129</v>
      </c>
      <c r="C184" s="111"/>
      <c r="D184" s="111"/>
      <c r="E184" s="111"/>
      <c r="F184" s="111"/>
      <c r="G184" s="111"/>
      <c r="H184" s="112"/>
    </row>
    <row r="185" spans="1:14" s="33" customFormat="1" x14ac:dyDescent="0.25">
      <c r="A185" s="40" t="s">
        <v>158</v>
      </c>
      <c r="B185" s="110" t="s">
        <v>204</v>
      </c>
      <c r="C185" s="111"/>
      <c r="D185" s="111"/>
      <c r="E185" s="111"/>
      <c r="F185" s="111"/>
      <c r="G185" s="111"/>
      <c r="H185" s="112"/>
    </row>
    <row r="186" spans="1:14" s="33" customFormat="1" x14ac:dyDescent="0.25">
      <c r="A186" s="40" t="s">
        <v>158</v>
      </c>
      <c r="B186" s="110" t="s">
        <v>157</v>
      </c>
      <c r="C186" s="111"/>
      <c r="D186" s="111"/>
      <c r="E186" s="111"/>
      <c r="F186" s="111"/>
      <c r="G186" s="111"/>
      <c r="H186" s="112"/>
    </row>
    <row r="187" spans="1:14" s="33" customFormat="1" x14ac:dyDescent="0.25">
      <c r="A187" s="40" t="s">
        <v>158</v>
      </c>
      <c r="B187" s="110" t="s">
        <v>130</v>
      </c>
      <c r="C187" s="111"/>
      <c r="D187" s="111"/>
      <c r="E187" s="111"/>
      <c r="F187" s="111"/>
      <c r="G187" s="111"/>
      <c r="H187" s="112"/>
    </row>
    <row r="188" spans="1:14" s="33" customFormat="1" ht="34.5" customHeight="1" x14ac:dyDescent="0.25">
      <c r="A188" s="40" t="s">
        <v>158</v>
      </c>
      <c r="B188" s="110" t="s">
        <v>159</v>
      </c>
      <c r="C188" s="111"/>
      <c r="D188" s="111"/>
      <c r="E188" s="111"/>
      <c r="F188" s="111"/>
      <c r="G188" s="111"/>
      <c r="H188" s="112"/>
    </row>
    <row r="189" spans="1:14" s="33" customFormat="1" x14ac:dyDescent="0.25">
      <c r="A189" s="72" t="s">
        <v>158</v>
      </c>
      <c r="B189" s="110" t="s">
        <v>131</v>
      </c>
      <c r="C189" s="111"/>
      <c r="D189" s="111"/>
      <c r="E189" s="111"/>
      <c r="F189" s="111"/>
      <c r="G189" s="111"/>
      <c r="H189" s="112"/>
    </row>
    <row r="190" spans="1:14" s="33" customFormat="1" x14ac:dyDescent="0.25">
      <c r="A190" s="40" t="s">
        <v>158</v>
      </c>
      <c r="B190" s="110" t="s">
        <v>225</v>
      </c>
      <c r="C190" s="111"/>
      <c r="D190" s="111"/>
      <c r="E190" s="111"/>
      <c r="F190" s="111"/>
      <c r="G190" s="111"/>
      <c r="H190" s="112"/>
    </row>
    <row r="191" spans="1:14" s="33" customFormat="1" hidden="1" x14ac:dyDescent="0.25">
      <c r="A191" s="40" t="s">
        <v>158</v>
      </c>
      <c r="B191" s="113" t="s">
        <v>220</v>
      </c>
      <c r="C191" s="114"/>
      <c r="D191" s="114"/>
      <c r="E191" s="114"/>
      <c r="F191" s="114"/>
      <c r="G191" s="114"/>
      <c r="H191" s="115"/>
    </row>
    <row r="192" spans="1:14" x14ac:dyDescent="0.25">
      <c r="A192" s="101" t="s">
        <v>64</v>
      </c>
      <c r="B192" s="101"/>
      <c r="C192" s="101"/>
      <c r="D192" s="101"/>
      <c r="E192" s="101"/>
      <c r="F192" s="101"/>
      <c r="G192" s="101"/>
      <c r="H192" s="101"/>
    </row>
    <row r="193" spans="1:8" x14ac:dyDescent="0.25">
      <c r="A193" s="80" t="s">
        <v>65</v>
      </c>
      <c r="B193" s="80"/>
      <c r="C193" s="80"/>
      <c r="D193" s="80"/>
      <c r="E193" s="80"/>
      <c r="F193" s="80"/>
      <c r="G193" s="80"/>
      <c r="H193" s="80"/>
    </row>
    <row r="194" spans="1:8" ht="15.75" customHeight="1" x14ac:dyDescent="0.25">
      <c r="A194" s="81" t="s">
        <v>66</v>
      </c>
      <c r="B194" s="81"/>
      <c r="C194" s="81"/>
      <c r="D194" s="81"/>
      <c r="E194" s="81"/>
      <c r="F194" s="81"/>
      <c r="G194" s="81"/>
      <c r="H194" s="81"/>
    </row>
    <row r="195" spans="1:8" x14ac:dyDescent="0.25">
      <c r="A195" s="80" t="s">
        <v>67</v>
      </c>
      <c r="B195" s="80"/>
      <c r="C195" s="80"/>
      <c r="D195" s="80"/>
      <c r="E195" s="80"/>
      <c r="F195" s="80"/>
      <c r="G195" s="80"/>
      <c r="H195" s="80"/>
    </row>
    <row r="196" spans="1:8" x14ac:dyDescent="0.25">
      <c r="A196" s="80" t="s">
        <v>68</v>
      </c>
      <c r="B196" s="80"/>
      <c r="C196" s="80"/>
      <c r="D196" s="80"/>
      <c r="E196" s="80"/>
      <c r="F196" s="80"/>
      <c r="G196" s="80"/>
      <c r="H196" s="80"/>
    </row>
    <row r="197" spans="1:8" x14ac:dyDescent="0.25">
      <c r="A197" s="80" t="s">
        <v>132</v>
      </c>
      <c r="B197" s="80"/>
      <c r="C197" s="80"/>
      <c r="D197" s="80"/>
      <c r="E197" s="80"/>
      <c r="F197" s="80"/>
      <c r="G197" s="80"/>
      <c r="H197" s="80"/>
    </row>
    <row r="198" spans="1:8" ht="35.25" customHeight="1" x14ac:dyDescent="0.25">
      <c r="A198" s="118" t="s">
        <v>133</v>
      </c>
      <c r="B198" s="118"/>
      <c r="C198" s="118"/>
      <c r="D198" s="118"/>
      <c r="E198" s="118"/>
      <c r="F198" s="118"/>
      <c r="G198" s="118"/>
      <c r="H198" s="118"/>
    </row>
    <row r="199" spans="1:8" x14ac:dyDescent="0.25">
      <c r="A199" s="123" t="s">
        <v>80</v>
      </c>
      <c r="B199" s="123"/>
      <c r="C199" s="123" t="s">
        <v>221</v>
      </c>
      <c r="D199" s="123"/>
      <c r="E199" s="123" t="s">
        <v>109</v>
      </c>
      <c r="F199" s="123"/>
      <c r="G199" s="123" t="s">
        <v>222</v>
      </c>
      <c r="H199" s="123"/>
    </row>
    <row r="200" spans="1:8" x14ac:dyDescent="0.25">
      <c r="A200" s="122" t="s">
        <v>82</v>
      </c>
      <c r="B200" s="122"/>
      <c r="C200" s="122"/>
      <c r="D200" s="122"/>
      <c r="E200" s="122"/>
      <c r="F200" s="122"/>
      <c r="G200" s="122"/>
      <c r="H200" s="122"/>
    </row>
    <row r="201" spans="1:8" x14ac:dyDescent="0.25">
      <c r="A201" s="122"/>
      <c r="B201" s="122"/>
      <c r="C201" s="122"/>
      <c r="D201" s="122"/>
      <c r="E201" s="122"/>
      <c r="F201" s="122"/>
      <c r="G201" s="122"/>
      <c r="H201" s="122"/>
    </row>
    <row r="202" spans="1:8" x14ac:dyDescent="0.25">
      <c r="A202" s="122"/>
      <c r="B202" s="122"/>
      <c r="C202" s="122"/>
      <c r="D202" s="122"/>
      <c r="E202" s="122"/>
      <c r="F202" s="122"/>
      <c r="G202" s="122"/>
      <c r="H202" s="122"/>
    </row>
    <row r="203" spans="1:8" x14ac:dyDescent="0.25">
      <c r="A203" s="122"/>
      <c r="B203" s="122"/>
      <c r="C203" s="122"/>
      <c r="D203" s="122"/>
      <c r="E203" s="122"/>
      <c r="F203" s="122"/>
      <c r="G203" s="122"/>
      <c r="H203" s="122"/>
    </row>
    <row r="204" spans="1:8" s="55" customFormat="1" x14ac:dyDescent="0.25">
      <c r="A204" s="35" t="s">
        <v>69</v>
      </c>
      <c r="B204" s="35"/>
      <c r="C204" s="35"/>
      <c r="D204" s="35" t="str">
        <f>E8</f>
        <v>Rachana</v>
      </c>
      <c r="E204" s="54"/>
      <c r="F204" s="35"/>
      <c r="G204" s="35"/>
      <c r="H204" s="35"/>
    </row>
    <row r="205" spans="1:8" x14ac:dyDescent="0.25">
      <c r="A205" s="36"/>
      <c r="B205" s="36"/>
      <c r="C205" s="36"/>
      <c r="D205" s="36"/>
      <c r="E205" s="36"/>
      <c r="F205" s="36"/>
      <c r="G205" s="36"/>
      <c r="H205" s="36"/>
    </row>
    <row r="206" spans="1:8" x14ac:dyDescent="0.25">
      <c r="A206" s="36"/>
      <c r="B206" s="36"/>
      <c r="C206" s="36"/>
      <c r="D206" s="36"/>
      <c r="E206" s="36"/>
      <c r="F206" s="36"/>
      <c r="G206" s="36"/>
      <c r="H206" s="36"/>
    </row>
    <row r="207" spans="1:8" ht="15" customHeight="1" x14ac:dyDescent="0.25"/>
    <row r="247" spans="1:1" x14ac:dyDescent="0.25">
      <c r="A247" s="38" t="s">
        <v>70</v>
      </c>
    </row>
    <row r="291" spans="1:1" x14ac:dyDescent="0.25">
      <c r="A291" s="38" t="s">
        <v>211</v>
      </c>
    </row>
  </sheetData>
  <mergeCells count="405">
    <mergeCell ref="B189:H189"/>
    <mergeCell ref="C51:E51"/>
    <mergeCell ref="G51:H51"/>
    <mergeCell ref="A176:B176"/>
    <mergeCell ref="G176:H176"/>
    <mergeCell ref="A177:B177"/>
    <mergeCell ref="G177:H177"/>
    <mergeCell ref="A178:B178"/>
    <mergeCell ref="G178:H178"/>
    <mergeCell ref="G142:H142"/>
    <mergeCell ref="A143:B143"/>
    <mergeCell ref="G143:H143"/>
    <mergeCell ref="A144:B144"/>
    <mergeCell ref="G144:H144"/>
    <mergeCell ref="A149:B149"/>
    <mergeCell ref="G149:H149"/>
    <mergeCell ref="A105:H105"/>
    <mergeCell ref="A138:B138"/>
    <mergeCell ref="G138:H138"/>
    <mergeCell ref="A139:B139"/>
    <mergeCell ref="G139:H139"/>
    <mergeCell ref="E96:F96"/>
    <mergeCell ref="C101:D101"/>
    <mergeCell ref="E101:F101"/>
    <mergeCell ref="A130:H130"/>
    <mergeCell ref="G179:H179"/>
    <mergeCell ref="G154:H154"/>
    <mergeCell ref="A155:B155"/>
    <mergeCell ref="G155:H155"/>
    <mergeCell ref="A156:B156"/>
    <mergeCell ref="G156:H156"/>
    <mergeCell ref="A157:B157"/>
    <mergeCell ref="G157:H157"/>
    <mergeCell ref="A175:H175"/>
    <mergeCell ref="A165:H165"/>
    <mergeCell ref="A164:B164"/>
    <mergeCell ref="G164:H164"/>
    <mergeCell ref="A163:B163"/>
    <mergeCell ref="G163:H163"/>
    <mergeCell ref="A154:B154"/>
    <mergeCell ref="A168:B168"/>
    <mergeCell ref="G168:H168"/>
    <mergeCell ref="A169:B169"/>
    <mergeCell ref="G169:H169"/>
    <mergeCell ref="L175:M175"/>
    <mergeCell ref="A170:H170"/>
    <mergeCell ref="L170:M170"/>
    <mergeCell ref="A171:B171"/>
    <mergeCell ref="G171:H171"/>
    <mergeCell ref="A172:B172"/>
    <mergeCell ref="G172:H172"/>
    <mergeCell ref="A173:B173"/>
    <mergeCell ref="G173:H173"/>
    <mergeCell ref="A174:B174"/>
    <mergeCell ref="G174:H174"/>
    <mergeCell ref="L165:M165"/>
    <mergeCell ref="A166:B166"/>
    <mergeCell ref="G166:H166"/>
    <mergeCell ref="A167:B167"/>
    <mergeCell ref="G167:H167"/>
    <mergeCell ref="A150:B150"/>
    <mergeCell ref="G150:H150"/>
    <mergeCell ref="A160:H160"/>
    <mergeCell ref="L160:M160"/>
    <mergeCell ref="A161:B161"/>
    <mergeCell ref="G161:H161"/>
    <mergeCell ref="A162:B162"/>
    <mergeCell ref="G162:H162"/>
    <mergeCell ref="A158:H158"/>
    <mergeCell ref="A159:H159"/>
    <mergeCell ref="A151:B151"/>
    <mergeCell ref="G151:H151"/>
    <mergeCell ref="A152:H152"/>
    <mergeCell ref="L152:M152"/>
    <mergeCell ref="A153:B153"/>
    <mergeCell ref="G153:H153"/>
    <mergeCell ref="L129:M129"/>
    <mergeCell ref="A145:B145"/>
    <mergeCell ref="G145:H145"/>
    <mergeCell ref="A146:H146"/>
    <mergeCell ref="L146:M146"/>
    <mergeCell ref="A147:B147"/>
    <mergeCell ref="G147:H147"/>
    <mergeCell ref="A148:B148"/>
    <mergeCell ref="G148:H148"/>
    <mergeCell ref="A140:H140"/>
    <mergeCell ref="L140:M140"/>
    <mergeCell ref="A141:B141"/>
    <mergeCell ref="G141:H141"/>
    <mergeCell ref="A142:B142"/>
    <mergeCell ref="A132:H132"/>
    <mergeCell ref="A133:H133"/>
    <mergeCell ref="A134:H134"/>
    <mergeCell ref="L134:M134"/>
    <mergeCell ref="A135:B135"/>
    <mergeCell ref="G135:H135"/>
    <mergeCell ref="A136:B136"/>
    <mergeCell ref="G136:H136"/>
    <mergeCell ref="A137:B137"/>
    <mergeCell ref="G137:H137"/>
    <mergeCell ref="L125:M125"/>
    <mergeCell ref="A126:B126"/>
    <mergeCell ref="G126:H126"/>
    <mergeCell ref="L126:M126"/>
    <mergeCell ref="A127:B127"/>
    <mergeCell ref="G127:H127"/>
    <mergeCell ref="L127:M127"/>
    <mergeCell ref="A128:B128"/>
    <mergeCell ref="G128:H128"/>
    <mergeCell ref="L128:M128"/>
    <mergeCell ref="A125:B125"/>
    <mergeCell ref="G125:H125"/>
    <mergeCell ref="L121:M121"/>
    <mergeCell ref="A122:B122"/>
    <mergeCell ref="G122:H122"/>
    <mergeCell ref="L122:M122"/>
    <mergeCell ref="A123:B123"/>
    <mergeCell ref="G123:H123"/>
    <mergeCell ref="L123:M123"/>
    <mergeCell ref="A124:B124"/>
    <mergeCell ref="G124:H124"/>
    <mergeCell ref="L124:M124"/>
    <mergeCell ref="A121:B121"/>
    <mergeCell ref="G121:H121"/>
    <mergeCell ref="L118:M118"/>
    <mergeCell ref="A119:B119"/>
    <mergeCell ref="G119:H119"/>
    <mergeCell ref="L119:M119"/>
    <mergeCell ref="A120:B120"/>
    <mergeCell ref="G120:H120"/>
    <mergeCell ref="L120:M120"/>
    <mergeCell ref="A115:B115"/>
    <mergeCell ref="G115:H115"/>
    <mergeCell ref="L115:M115"/>
    <mergeCell ref="A116:B116"/>
    <mergeCell ref="G116:H116"/>
    <mergeCell ref="L116:M116"/>
    <mergeCell ref="A117:B117"/>
    <mergeCell ref="G117:H117"/>
    <mergeCell ref="L117:M117"/>
    <mergeCell ref="A118:B118"/>
    <mergeCell ref="G118:H118"/>
    <mergeCell ref="L111:M111"/>
    <mergeCell ref="A112:B112"/>
    <mergeCell ref="G112:H112"/>
    <mergeCell ref="L112:M112"/>
    <mergeCell ref="A113:B113"/>
    <mergeCell ref="G113:H113"/>
    <mergeCell ref="L113:M113"/>
    <mergeCell ref="A114:B114"/>
    <mergeCell ref="G114:H114"/>
    <mergeCell ref="L114:M114"/>
    <mergeCell ref="A111:B111"/>
    <mergeCell ref="G111:H111"/>
    <mergeCell ref="C15:H15"/>
    <mergeCell ref="A37:B37"/>
    <mergeCell ref="C37:H37"/>
    <mergeCell ref="B188:H188"/>
    <mergeCell ref="A46:B46"/>
    <mergeCell ref="C46:H46"/>
    <mergeCell ref="B186:H186"/>
    <mergeCell ref="F82:H82"/>
    <mergeCell ref="A82:E82"/>
    <mergeCell ref="A84:E84"/>
    <mergeCell ref="A107:B107"/>
    <mergeCell ref="A108:B108"/>
    <mergeCell ref="A109:B109"/>
    <mergeCell ref="F84:H84"/>
    <mergeCell ref="F90:H90"/>
    <mergeCell ref="A91:E91"/>
    <mergeCell ref="G101:H101"/>
    <mergeCell ref="A100:B100"/>
    <mergeCell ref="C100:D100"/>
    <mergeCell ref="E100:F100"/>
    <mergeCell ref="G100:H100"/>
    <mergeCell ref="C98:D98"/>
    <mergeCell ref="G98:H98"/>
    <mergeCell ref="A179:B179"/>
    <mergeCell ref="A86:E86"/>
    <mergeCell ref="F86:H86"/>
    <mergeCell ref="A87:E87"/>
    <mergeCell ref="A89:E89"/>
    <mergeCell ref="F83:H83"/>
    <mergeCell ref="A88:E88"/>
    <mergeCell ref="A110:B110"/>
    <mergeCell ref="A85:E85"/>
    <mergeCell ref="G95:H95"/>
    <mergeCell ref="A90:E90"/>
    <mergeCell ref="C96:D96"/>
    <mergeCell ref="L110:M110"/>
    <mergeCell ref="L109:M109"/>
    <mergeCell ref="L108:M108"/>
    <mergeCell ref="L107:M107"/>
    <mergeCell ref="A77:B77"/>
    <mergeCell ref="C99:D99"/>
    <mergeCell ref="E99:F99"/>
    <mergeCell ref="G99:H99"/>
    <mergeCell ref="F87:H87"/>
    <mergeCell ref="A81:E81"/>
    <mergeCell ref="A106:H106"/>
    <mergeCell ref="G104:H104"/>
    <mergeCell ref="F80:H80"/>
    <mergeCell ref="F85:H85"/>
    <mergeCell ref="E98:F98"/>
    <mergeCell ref="A101:B101"/>
    <mergeCell ref="E95:F95"/>
    <mergeCell ref="A95:B95"/>
    <mergeCell ref="F88:H88"/>
    <mergeCell ref="C95:D95"/>
    <mergeCell ref="F91:H91"/>
    <mergeCell ref="F89:H89"/>
    <mergeCell ref="A83:E83"/>
    <mergeCell ref="A80:E80"/>
    <mergeCell ref="A79:B79"/>
    <mergeCell ref="D60:H60"/>
    <mergeCell ref="A41:D41"/>
    <mergeCell ref="E41:H41"/>
    <mergeCell ref="E42:H42"/>
    <mergeCell ref="E43:H43"/>
    <mergeCell ref="E44:H44"/>
    <mergeCell ref="A42:D4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51:B51"/>
    <mergeCell ref="A35:H35"/>
    <mergeCell ref="A34:B34"/>
    <mergeCell ref="C34:E34"/>
    <mergeCell ref="A39:D39"/>
    <mergeCell ref="E39:H39"/>
    <mergeCell ref="F31:H31"/>
    <mergeCell ref="F32:H32"/>
    <mergeCell ref="A38:H38"/>
    <mergeCell ref="A59:C59"/>
    <mergeCell ref="D59:H59"/>
    <mergeCell ref="F34:H34"/>
    <mergeCell ref="A36:B36"/>
    <mergeCell ref="E36:F36"/>
    <mergeCell ref="C36:D36"/>
    <mergeCell ref="G36:H36"/>
    <mergeCell ref="A43:D43"/>
    <mergeCell ref="A44:D44"/>
    <mergeCell ref="A45:H45"/>
    <mergeCell ref="D57:H57"/>
    <mergeCell ref="A57:C57"/>
    <mergeCell ref="G48:H48"/>
    <mergeCell ref="A49:B50"/>
    <mergeCell ref="A55:C55"/>
    <mergeCell ref="A56:C5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A78:B7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A200:H203"/>
    <mergeCell ref="A199:B199"/>
    <mergeCell ref="E199:F199"/>
    <mergeCell ref="C199:D199"/>
    <mergeCell ref="G199:H199"/>
    <mergeCell ref="A94:H94"/>
    <mergeCell ref="A92:E92"/>
    <mergeCell ref="F92:H92"/>
    <mergeCell ref="A93:E93"/>
    <mergeCell ref="F93:H93"/>
    <mergeCell ref="A99:B99"/>
    <mergeCell ref="A96:B96"/>
    <mergeCell ref="A195:H195"/>
    <mergeCell ref="A97:H97"/>
    <mergeCell ref="A198:H198"/>
    <mergeCell ref="A196:H196"/>
    <mergeCell ref="A192:H192"/>
    <mergeCell ref="A193:H193"/>
    <mergeCell ref="B181:H181"/>
    <mergeCell ref="B182:H182"/>
    <mergeCell ref="B184:H184"/>
    <mergeCell ref="B185:H185"/>
    <mergeCell ref="A129:B129"/>
    <mergeCell ref="G129:H129"/>
    <mergeCell ref="G52:H52"/>
    <mergeCell ref="A52:B53"/>
    <mergeCell ref="C53:H53"/>
    <mergeCell ref="C50:H50"/>
    <mergeCell ref="B190:H190"/>
    <mergeCell ref="B191:H191"/>
    <mergeCell ref="G109:H109"/>
    <mergeCell ref="G107:H107"/>
    <mergeCell ref="G108:H108"/>
    <mergeCell ref="G110:H110"/>
    <mergeCell ref="B187:H187"/>
    <mergeCell ref="B183:H183"/>
    <mergeCell ref="A102:H102"/>
    <mergeCell ref="A103:H103"/>
    <mergeCell ref="A63:C63"/>
    <mergeCell ref="D63:H63"/>
    <mergeCell ref="A64:C64"/>
    <mergeCell ref="D64:H64"/>
    <mergeCell ref="A70:B70"/>
    <mergeCell ref="G69:H69"/>
    <mergeCell ref="A60:C60"/>
    <mergeCell ref="A65:C65"/>
    <mergeCell ref="E70:F79"/>
    <mergeCell ref="D65:H65"/>
    <mergeCell ref="G70:H79"/>
    <mergeCell ref="E40:H40"/>
    <mergeCell ref="A40:D40"/>
    <mergeCell ref="A197:H197"/>
    <mergeCell ref="A194:H194"/>
    <mergeCell ref="A98:B98"/>
    <mergeCell ref="G131:H131"/>
    <mergeCell ref="A75:B75"/>
    <mergeCell ref="F81:H81"/>
    <mergeCell ref="G96:H96"/>
    <mergeCell ref="A47:B47"/>
    <mergeCell ref="C47:E47"/>
    <mergeCell ref="G47:H47"/>
    <mergeCell ref="G49:H49"/>
    <mergeCell ref="D55:H55"/>
    <mergeCell ref="C49:E49"/>
    <mergeCell ref="A58:C58"/>
    <mergeCell ref="D58:H58"/>
    <mergeCell ref="C48:E48"/>
    <mergeCell ref="C52:E52"/>
    <mergeCell ref="A48:B48"/>
    <mergeCell ref="A54:H54"/>
    <mergeCell ref="A180:H180"/>
    <mergeCell ref="D56:H56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3" max="16383" man="1"/>
    <brk id="246" max="16383" man="1"/>
    <brk id="28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K18" sqref="K18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73" t="s">
        <v>110</v>
      </c>
      <c r="C3" s="173"/>
      <c r="D3" s="173"/>
      <c r="E3" s="173"/>
      <c r="F3" s="173"/>
      <c r="G3" s="173"/>
      <c r="H3" s="173"/>
    </row>
    <row r="4" spans="1:9" x14ac:dyDescent="0.25">
      <c r="A4" s="3"/>
      <c r="B4" s="4" t="s">
        <v>111</v>
      </c>
      <c r="C4" s="4" t="s">
        <v>112</v>
      </c>
      <c r="D4" s="4" t="s">
        <v>72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2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Highway NOC &amp; 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2025-07-24T11:51:18Z</cp:lastPrinted>
  <dcterms:created xsi:type="dcterms:W3CDTF">2019-07-16T09:29:46Z</dcterms:created>
  <dcterms:modified xsi:type="dcterms:W3CDTF">2025-07-24T11:53:17Z</dcterms:modified>
</cp:coreProperties>
</file>