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July 2025\AXIS\Update\Pranita\"/>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Report!$A$1:$H$429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6" i="1" l="1"/>
  <c r="G135" i="1"/>
  <c r="J135" i="1"/>
  <c r="J136" i="1"/>
  <c r="K136" i="1"/>
  <c r="I136" i="1" l="1"/>
  <c r="I135" i="1"/>
  <c r="E191" i="1"/>
  <c r="D191" i="1"/>
  <c r="E190" i="1"/>
  <c r="D190" i="1"/>
  <c r="E189" i="1"/>
  <c r="D189" i="1"/>
  <c r="E188" i="1"/>
  <c r="D188" i="1"/>
  <c r="E187" i="1"/>
  <c r="D187" i="1"/>
  <c r="E186" i="1"/>
  <c r="D186" i="1"/>
  <c r="E184" i="1"/>
  <c r="D184" i="1"/>
  <c r="E183" i="1"/>
  <c r="D183" i="1"/>
  <c r="E182" i="1"/>
  <c r="D182" i="1"/>
  <c r="E181" i="1"/>
  <c r="D181" i="1"/>
  <c r="E180" i="1"/>
  <c r="D180" i="1"/>
  <c r="E176" i="1"/>
  <c r="E175" i="1"/>
  <c r="E174" i="1"/>
  <c r="E173" i="1"/>
  <c r="E172" i="1"/>
  <c r="E171" i="1"/>
  <c r="E160" i="1"/>
  <c r="D160" i="1"/>
  <c r="E159" i="1"/>
  <c r="D159" i="1"/>
  <c r="E158" i="1"/>
  <c r="D158" i="1"/>
  <c r="E157" i="1"/>
  <c r="D157" i="1"/>
  <c r="E169" i="1"/>
  <c r="E168" i="1"/>
  <c r="E167" i="1"/>
  <c r="E166" i="1"/>
  <c r="E165" i="1"/>
  <c r="E164" i="1"/>
  <c r="E272" i="1"/>
  <c r="D272" i="1"/>
  <c r="E271" i="1"/>
  <c r="D271" i="1"/>
  <c r="E270" i="1"/>
  <c r="D270" i="1"/>
  <c r="E269" i="1"/>
  <c r="D269" i="1"/>
  <c r="E268" i="1"/>
  <c r="D268" i="1"/>
  <c r="E267" i="1"/>
  <c r="D267" i="1"/>
  <c r="E266" i="1"/>
  <c r="D266" i="1"/>
  <c r="F266" i="1" s="1"/>
  <c r="H266" i="1" s="1"/>
  <c r="E265" i="1"/>
  <c r="D265" i="1"/>
  <c r="E264" i="1"/>
  <c r="D264" i="1"/>
  <c r="E263" i="1"/>
  <c r="D263" i="1"/>
  <c r="E262" i="1"/>
  <c r="D262" i="1"/>
  <c r="F262" i="1" s="1"/>
  <c r="H262" i="1" s="1"/>
  <c r="A262" i="1"/>
  <c r="A263" i="1" s="1"/>
  <c r="A264" i="1" s="1"/>
  <c r="A265" i="1" s="1"/>
  <c r="A266" i="1" s="1"/>
  <c r="A267" i="1" s="1"/>
  <c r="A268" i="1" s="1"/>
  <c r="A269" i="1" s="1"/>
  <c r="A270" i="1" s="1"/>
  <c r="A271" i="1" s="1"/>
  <c r="A272" i="1" s="1"/>
  <c r="E261" i="1"/>
  <c r="D261" i="1"/>
  <c r="E259" i="1"/>
  <c r="D259" i="1"/>
  <c r="E258" i="1"/>
  <c r="D258" i="1"/>
  <c r="E257" i="1"/>
  <c r="D257" i="1"/>
  <c r="E256" i="1"/>
  <c r="D256" i="1"/>
  <c r="E255" i="1"/>
  <c r="D255" i="1"/>
  <c r="E254" i="1"/>
  <c r="D254" i="1"/>
  <c r="E253" i="1"/>
  <c r="D253" i="1"/>
  <c r="E252" i="1"/>
  <c r="D252" i="1"/>
  <c r="E251" i="1"/>
  <c r="D251" i="1"/>
  <c r="E250" i="1"/>
  <c r="D250" i="1"/>
  <c r="A250" i="1"/>
  <c r="A251" i="1" s="1"/>
  <c r="A252" i="1" s="1"/>
  <c r="A253" i="1" s="1"/>
  <c r="A254" i="1" s="1"/>
  <c r="A255" i="1" s="1"/>
  <c r="A256" i="1" s="1"/>
  <c r="A257" i="1" s="1"/>
  <c r="A258" i="1" s="1"/>
  <c r="A259" i="1" s="1"/>
  <c r="E249" i="1"/>
  <c r="D249" i="1"/>
  <c r="A249" i="1"/>
  <c r="E248" i="1"/>
  <c r="D248" i="1"/>
  <c r="E246" i="1"/>
  <c r="D246" i="1"/>
  <c r="E245" i="1"/>
  <c r="D245" i="1"/>
  <c r="E244" i="1"/>
  <c r="D244" i="1"/>
  <c r="E243" i="1"/>
  <c r="D243" i="1"/>
  <c r="E242" i="1"/>
  <c r="D242" i="1"/>
  <c r="E241" i="1"/>
  <c r="D241" i="1"/>
  <c r="E240" i="1"/>
  <c r="D240" i="1"/>
  <c r="E239" i="1"/>
  <c r="D239" i="1"/>
  <c r="E238" i="1"/>
  <c r="D238" i="1"/>
  <c r="E237" i="1"/>
  <c r="D237" i="1"/>
  <c r="A236" i="1"/>
  <c r="A237" i="1" s="1"/>
  <c r="A238" i="1" s="1"/>
  <c r="A239" i="1" s="1"/>
  <c r="A240" i="1" s="1"/>
  <c r="A241" i="1" s="1"/>
  <c r="A242" i="1" s="1"/>
  <c r="A243" i="1" s="1"/>
  <c r="A244" i="1" s="1"/>
  <c r="A245" i="1" s="1"/>
  <c r="A246" i="1" s="1"/>
  <c r="E235" i="1"/>
  <c r="D235" i="1"/>
  <c r="F235" i="1" s="1"/>
  <c r="H235" i="1" s="1"/>
  <c r="E233" i="1"/>
  <c r="E204" i="1"/>
  <c r="E203" i="1"/>
  <c r="E217" i="1"/>
  <c r="E216" i="1"/>
  <c r="E230" i="1"/>
  <c r="E207" i="1"/>
  <c r="D207" i="1"/>
  <c r="E206" i="1"/>
  <c r="D206" i="1"/>
  <c r="E205" i="1"/>
  <c r="D205" i="1"/>
  <c r="D204" i="1"/>
  <c r="D203" i="1"/>
  <c r="E220" i="1"/>
  <c r="D220" i="1"/>
  <c r="F220" i="1" s="1"/>
  <c r="E219" i="1"/>
  <c r="D219" i="1"/>
  <c r="E218" i="1"/>
  <c r="D218" i="1"/>
  <c r="D217" i="1"/>
  <c r="D216" i="1"/>
  <c r="E229" i="1"/>
  <c r="E197" i="1"/>
  <c r="E223" i="1"/>
  <c r="E222" i="1"/>
  <c r="D222" i="1"/>
  <c r="D223" i="1"/>
  <c r="D233" i="1"/>
  <c r="F233" i="1" s="1"/>
  <c r="H233" i="1" s="1"/>
  <c r="E232" i="1"/>
  <c r="D232" i="1"/>
  <c r="E231" i="1"/>
  <c r="D231" i="1"/>
  <c r="D230" i="1"/>
  <c r="D229" i="1"/>
  <c r="F229" i="1" s="1"/>
  <c r="H229" i="1" s="1"/>
  <c r="K229" i="1" s="1"/>
  <c r="E228" i="1"/>
  <c r="D228" i="1"/>
  <c r="E227" i="1"/>
  <c r="D227" i="1"/>
  <c r="E226" i="1"/>
  <c r="D226" i="1"/>
  <c r="E225" i="1"/>
  <c r="D225" i="1"/>
  <c r="E224" i="1"/>
  <c r="D224" i="1"/>
  <c r="A223" i="1"/>
  <c r="A224" i="1" s="1"/>
  <c r="A225" i="1" s="1"/>
  <c r="A226" i="1" s="1"/>
  <c r="A227" i="1" s="1"/>
  <c r="A228" i="1" s="1"/>
  <c r="A229" i="1" s="1"/>
  <c r="A230" i="1" s="1"/>
  <c r="A231" i="1" s="1"/>
  <c r="A232" i="1" s="1"/>
  <c r="A233" i="1" s="1"/>
  <c r="E202" i="1"/>
  <c r="D202" i="1"/>
  <c r="F202" i="1" s="1"/>
  <c r="H202" i="1" s="1"/>
  <c r="E201" i="1"/>
  <c r="D201" i="1"/>
  <c r="E200" i="1"/>
  <c r="D200" i="1"/>
  <c r="F200" i="1" s="1"/>
  <c r="H200" i="1" s="1"/>
  <c r="E199" i="1"/>
  <c r="D199" i="1"/>
  <c r="E198" i="1"/>
  <c r="D198" i="1"/>
  <c r="F198" i="1" s="1"/>
  <c r="H198" i="1" s="1"/>
  <c r="D197" i="1"/>
  <c r="G220" i="1"/>
  <c r="E215" i="1"/>
  <c r="E214" i="1"/>
  <c r="E213" i="1"/>
  <c r="E212" i="1"/>
  <c r="E211" i="1"/>
  <c r="E210" i="1"/>
  <c r="G210" i="1"/>
  <c r="G209" i="1"/>
  <c r="E209" i="1"/>
  <c r="A197" i="1"/>
  <c r="A198" i="1" s="1"/>
  <c r="A199" i="1" s="1"/>
  <c r="A200" i="1" s="1"/>
  <c r="A201" i="1" s="1"/>
  <c r="A202" i="1" s="1"/>
  <c r="A203" i="1" s="1"/>
  <c r="A204" i="1" s="1"/>
  <c r="A205" i="1" s="1"/>
  <c r="A206" i="1" s="1"/>
  <c r="A207" i="1" s="1"/>
  <c r="D215" i="1"/>
  <c r="F215" i="1" s="1"/>
  <c r="H215" i="1" s="1"/>
  <c r="D214" i="1"/>
  <c r="D213" i="1"/>
  <c r="D212" i="1"/>
  <c r="D211" i="1"/>
  <c r="D210" i="1"/>
  <c r="D209" i="1"/>
  <c r="A210" i="1"/>
  <c r="A211" i="1" s="1"/>
  <c r="A212" i="1" s="1"/>
  <c r="A213" i="1" s="1"/>
  <c r="A214" i="1" s="1"/>
  <c r="A215" i="1" s="1"/>
  <c r="A216" i="1" s="1"/>
  <c r="A217" i="1" s="1"/>
  <c r="A218" i="1" s="1"/>
  <c r="A219" i="1" s="1"/>
  <c r="A220" i="1" s="1"/>
  <c r="I182" i="1"/>
  <c r="A187" i="1"/>
  <c r="A188" i="1" s="1"/>
  <c r="A189" i="1" s="1"/>
  <c r="A190" i="1" s="1"/>
  <c r="A191" i="1" s="1"/>
  <c r="D169" i="1"/>
  <c r="D168" i="1"/>
  <c r="D167" i="1"/>
  <c r="D166" i="1"/>
  <c r="D165" i="1"/>
  <c r="D176" i="1"/>
  <c r="D175" i="1"/>
  <c r="D174" i="1"/>
  <c r="D173" i="1"/>
  <c r="D172" i="1"/>
  <c r="D179" i="1"/>
  <c r="D164" i="1"/>
  <c r="E179" i="1"/>
  <c r="A180" i="1"/>
  <c r="A181" i="1" s="1"/>
  <c r="A182" i="1" s="1"/>
  <c r="A183" i="1" s="1"/>
  <c r="A184" i="1" s="1"/>
  <c r="A172" i="1"/>
  <c r="A173" i="1" s="1"/>
  <c r="A174" i="1" s="1"/>
  <c r="A175" i="1" s="1"/>
  <c r="A176" i="1" s="1"/>
  <c r="D171" i="1"/>
  <c r="A158" i="1"/>
  <c r="A159" i="1" s="1"/>
  <c r="A160" i="1" s="1"/>
  <c r="A161" i="1" s="1"/>
  <c r="A162" i="1" s="1"/>
  <c r="I161" i="1"/>
  <c r="I156" i="1"/>
  <c r="F259" i="1" l="1"/>
  <c r="H259" i="1" s="1"/>
  <c r="F271" i="1"/>
  <c r="H271" i="1" s="1"/>
  <c r="F182" i="1"/>
  <c r="H182" i="1" s="1"/>
  <c r="F174" i="1"/>
  <c r="H174" i="1" s="1"/>
  <c r="F265" i="1"/>
  <c r="H265" i="1" s="1"/>
  <c r="F225" i="1"/>
  <c r="H225" i="1" s="1"/>
  <c r="K225" i="1" s="1"/>
  <c r="F227" i="1"/>
  <c r="H227" i="1" s="1"/>
  <c r="F242" i="1"/>
  <c r="H242" i="1" s="1"/>
  <c r="F244" i="1"/>
  <c r="H244" i="1" s="1"/>
  <c r="F246" i="1"/>
  <c r="H246" i="1" s="1"/>
  <c r="F250" i="1"/>
  <c r="H250" i="1" s="1"/>
  <c r="F258" i="1"/>
  <c r="H258" i="1" s="1"/>
  <c r="F270" i="1"/>
  <c r="H270" i="1" s="1"/>
  <c r="F272" i="1"/>
  <c r="H272" i="1" s="1"/>
  <c r="L233" i="1"/>
  <c r="K233" i="1"/>
  <c r="F269" i="1"/>
  <c r="H269" i="1" s="1"/>
  <c r="F263" i="1"/>
  <c r="H263" i="1" s="1"/>
  <c r="F252" i="1"/>
  <c r="H252" i="1" s="1"/>
  <c r="F261" i="1"/>
  <c r="H261" i="1" s="1"/>
  <c r="F264" i="1"/>
  <c r="H264" i="1" s="1"/>
  <c r="F267" i="1"/>
  <c r="H267" i="1" s="1"/>
  <c r="F197" i="1"/>
  <c r="F224" i="1"/>
  <c r="H224" i="1" s="1"/>
  <c r="F226" i="1"/>
  <c r="H226" i="1" s="1"/>
  <c r="K226" i="1" s="1"/>
  <c r="F228" i="1"/>
  <c r="H228" i="1" s="1"/>
  <c r="K228" i="1" s="1"/>
  <c r="F239" i="1"/>
  <c r="H239" i="1" s="1"/>
  <c r="F243" i="1"/>
  <c r="H243" i="1" s="1"/>
  <c r="F251" i="1"/>
  <c r="H251" i="1" s="1"/>
  <c r="F253" i="1"/>
  <c r="H253" i="1" s="1"/>
  <c r="F255" i="1"/>
  <c r="H255" i="1" s="1"/>
  <c r="F257" i="1"/>
  <c r="H257" i="1" s="1"/>
  <c r="F268" i="1"/>
  <c r="H268" i="1" s="1"/>
  <c r="F213" i="1"/>
  <c r="H213" i="1" s="1"/>
  <c r="F245" i="1"/>
  <c r="H245" i="1" s="1"/>
  <c r="F248" i="1"/>
  <c r="H248" i="1" s="1"/>
  <c r="F256" i="1"/>
  <c r="H256" i="1" s="1"/>
  <c r="F159" i="1"/>
  <c r="H159" i="1" s="1"/>
  <c r="F240" i="1"/>
  <c r="H240" i="1" s="1"/>
  <c r="F249" i="1"/>
  <c r="H249" i="1" s="1"/>
  <c r="F254" i="1"/>
  <c r="H254" i="1" s="1"/>
  <c r="F176" i="1"/>
  <c r="H176" i="1" s="1"/>
  <c r="F231" i="1"/>
  <c r="H231" i="1" s="1"/>
  <c r="K231" i="1" s="1"/>
  <c r="F237" i="1"/>
  <c r="H237" i="1" s="1"/>
  <c r="F232" i="1"/>
  <c r="H232" i="1" s="1"/>
  <c r="K232" i="1" s="1"/>
  <c r="F222" i="1"/>
  <c r="H222" i="1" s="1"/>
  <c r="F238" i="1"/>
  <c r="H238" i="1" s="1"/>
  <c r="F241" i="1"/>
  <c r="H241" i="1" s="1"/>
  <c r="F223" i="1"/>
  <c r="H223" i="1" s="1"/>
  <c r="K223" i="1" s="1"/>
  <c r="H220" i="1"/>
  <c r="F205" i="1"/>
  <c r="H205" i="1" s="1"/>
  <c r="F188" i="1"/>
  <c r="H188" i="1" s="1"/>
  <c r="F209" i="1"/>
  <c r="F206" i="1"/>
  <c r="H206" i="1" s="1"/>
  <c r="F204" i="1"/>
  <c r="H204" i="1" s="1"/>
  <c r="F230" i="1"/>
  <c r="H230" i="1" s="1"/>
  <c r="K230" i="1" s="1"/>
  <c r="F199" i="1"/>
  <c r="H199" i="1" s="1"/>
  <c r="F201" i="1"/>
  <c r="H201" i="1" s="1"/>
  <c r="F203" i="1"/>
  <c r="H203" i="1" s="1"/>
  <c r="F207" i="1"/>
  <c r="H207" i="1" s="1"/>
  <c r="F219" i="1"/>
  <c r="H219" i="1" s="1"/>
  <c r="F218" i="1"/>
  <c r="H218" i="1" s="1"/>
  <c r="F216" i="1"/>
  <c r="H216" i="1" s="1"/>
  <c r="F214" i="1"/>
  <c r="H214" i="1" s="1"/>
  <c r="H209" i="1"/>
  <c r="F217" i="1"/>
  <c r="H217" i="1" s="1"/>
  <c r="F189" i="1"/>
  <c r="H189" i="1" s="1"/>
  <c r="F191" i="1"/>
  <c r="H191" i="1" s="1"/>
  <c r="F210" i="1"/>
  <c r="H210" i="1" s="1"/>
  <c r="F190" i="1"/>
  <c r="H190" i="1" s="1"/>
  <c r="F211" i="1"/>
  <c r="H211" i="1" s="1"/>
  <c r="F212" i="1"/>
  <c r="H212" i="1" s="1"/>
  <c r="F187" i="1"/>
  <c r="H187" i="1" s="1"/>
  <c r="F186" i="1"/>
  <c r="H186" i="1" s="1"/>
  <c r="F181" i="1"/>
  <c r="H181" i="1" s="1"/>
  <c r="F180" i="1"/>
  <c r="H180" i="1" s="1"/>
  <c r="F184" i="1"/>
  <c r="H184" i="1" s="1"/>
  <c r="F179" i="1"/>
  <c r="H179" i="1" s="1"/>
  <c r="F175" i="1"/>
  <c r="H175" i="1" s="1"/>
  <c r="F160" i="1"/>
  <c r="H160" i="1" s="1"/>
  <c r="F173" i="1"/>
  <c r="H173" i="1" s="1"/>
  <c r="F183" i="1"/>
  <c r="H183" i="1" s="1"/>
  <c r="F171" i="1"/>
  <c r="H171" i="1" s="1"/>
  <c r="F172" i="1"/>
  <c r="H172" i="1" s="1"/>
  <c r="F157" i="1"/>
  <c r="F158" i="1"/>
  <c r="H158" i="1" s="1"/>
  <c r="I166" i="1"/>
  <c r="C102" i="1"/>
  <c r="D62" i="1"/>
  <c r="E43" i="1"/>
  <c r="H157" i="1" l="1"/>
  <c r="L224" i="1"/>
  <c r="K224" i="1"/>
  <c r="H197" i="1"/>
  <c r="E136" i="1"/>
  <c r="C136" i="1"/>
  <c r="L227" i="1"/>
  <c r="K227" i="1"/>
  <c r="K222" i="1"/>
  <c r="J222" i="1"/>
  <c r="I222" i="1"/>
  <c r="D149" i="1"/>
  <c r="D148" i="1"/>
  <c r="D147" i="1"/>
  <c r="D146" i="1"/>
  <c r="D145" i="1"/>
  <c r="J169" i="1" l="1"/>
  <c r="L168" i="1"/>
  <c r="J166" i="1"/>
  <c r="C131" i="1"/>
  <c r="J170" i="1"/>
  <c r="J167" i="1"/>
  <c r="J171" i="1"/>
  <c r="J172" i="1"/>
  <c r="F168" i="1"/>
  <c r="J160" i="1"/>
  <c r="J156" i="1"/>
  <c r="J145" i="1"/>
  <c r="F149" i="1"/>
  <c r="H149" i="1" s="1"/>
  <c r="I45" i="1"/>
  <c r="J168" i="1" l="1"/>
  <c r="H168" i="1"/>
  <c r="N160" i="1"/>
  <c r="F169" i="1"/>
  <c r="H169" i="1" s="1"/>
  <c r="F164" i="1"/>
  <c r="B275" i="1"/>
  <c r="N156" i="1" l="1"/>
  <c r="F146" i="1"/>
  <c r="H146" i="1" s="1"/>
  <c r="F147" i="1"/>
  <c r="H147" i="1" s="1"/>
  <c r="F148" i="1"/>
  <c r="H148" i="1" s="1"/>
  <c r="F145" i="1"/>
  <c r="H145" i="1" l="1"/>
  <c r="G131" i="1" s="1"/>
  <c r="E131" i="1"/>
  <c r="G58" i="1"/>
  <c r="C58" i="1"/>
  <c r="G56" i="1"/>
  <c r="C56" i="1"/>
  <c r="C54" i="1"/>
  <c r="S33" i="1" l="1"/>
  <c r="F11" i="5" l="1"/>
  <c r="G11" i="5" s="1"/>
  <c r="F10" i="5"/>
  <c r="G10" i="5" s="1"/>
  <c r="F9" i="5"/>
  <c r="G9" i="5" s="1"/>
  <c r="G8" i="5"/>
  <c r="F8" i="5"/>
  <c r="F7" i="5"/>
  <c r="G7" i="5" s="1"/>
  <c r="F6" i="5"/>
  <c r="G6" i="5" s="1"/>
  <c r="F5" i="5"/>
  <c r="G5" i="5" s="1"/>
  <c r="G12" i="5" s="1"/>
  <c r="D298" i="1"/>
  <c r="B276" i="1"/>
  <c r="F167" i="1"/>
  <c r="F166" i="1"/>
  <c r="F165" i="1"/>
  <c r="A165" i="1"/>
  <c r="A166" i="1" s="1"/>
  <c r="A167" i="1" s="1"/>
  <c r="A168" i="1" s="1"/>
  <c r="A169" i="1" s="1"/>
  <c r="H164" i="1"/>
  <c r="A146" i="1"/>
  <c r="A147" i="1" s="1"/>
  <c r="A148" i="1" s="1"/>
  <c r="A149" i="1" s="1"/>
  <c r="F128" i="1"/>
  <c r="C88" i="1"/>
  <c r="C74" i="1"/>
  <c r="D68" i="1"/>
  <c r="G51" i="1"/>
  <c r="G52" i="1" s="1"/>
  <c r="C51" i="1"/>
  <c r="C52" i="1" s="1"/>
  <c r="E44" i="1"/>
  <c r="E45" i="1" s="1"/>
  <c r="E31" i="1"/>
  <c r="E28" i="1"/>
  <c r="E26" i="1"/>
  <c r="C16" i="1"/>
  <c r="I15" i="1"/>
  <c r="Z13" i="1"/>
  <c r="E8" i="1"/>
  <c r="E3" i="1"/>
  <c r="H103" i="1"/>
  <c r="H75" i="1"/>
  <c r="H89" i="1"/>
  <c r="E135" i="1" l="1"/>
  <c r="C135" i="1"/>
  <c r="C137" i="1" s="1"/>
  <c r="H167" i="1"/>
  <c r="N159" i="1"/>
  <c r="H166" i="1"/>
  <c r="N158" i="1"/>
  <c r="H165" i="1"/>
  <c r="N157" i="1"/>
  <c r="E137" i="1"/>
  <c r="J74" i="1"/>
  <c r="J76" i="1" s="1"/>
  <c r="J77" i="1"/>
  <c r="J78" i="1"/>
  <c r="J79" i="1"/>
  <c r="C78" i="1" s="1"/>
  <c r="J93" i="1"/>
  <c r="E92" i="1"/>
  <c r="D97" i="1"/>
  <c r="D99" i="1"/>
  <c r="D93" i="1"/>
  <c r="J92" i="1"/>
  <c r="D98" i="1"/>
  <c r="J88" i="1"/>
  <c r="J90" i="1" s="1"/>
  <c r="D96" i="1"/>
  <c r="J91" i="1"/>
  <c r="D95" i="1"/>
  <c r="D101" i="1"/>
  <c r="D100" i="1"/>
  <c r="D94" i="1"/>
  <c r="D82" i="1"/>
  <c r="D84" i="1"/>
  <c r="D83" i="1"/>
  <c r="D87" i="1"/>
  <c r="D81" i="1"/>
  <c r="D86" i="1"/>
  <c r="D80" i="1"/>
  <c r="D85" i="1"/>
  <c r="J102" i="1"/>
  <c r="J104" i="1" s="1"/>
  <c r="D111" i="1"/>
  <c r="D113" i="1"/>
  <c r="J107" i="1"/>
  <c r="D112" i="1"/>
  <c r="J106" i="1"/>
  <c r="D110" i="1"/>
  <c r="J105" i="1"/>
  <c r="D109" i="1"/>
  <c r="D115" i="1"/>
  <c r="D114" i="1"/>
  <c r="B103" i="1"/>
  <c r="B89" i="1"/>
  <c r="B75" i="1"/>
  <c r="J80" i="1" s="1"/>
  <c r="G137" i="1" l="1"/>
  <c r="C106" i="1"/>
  <c r="D106" i="1" s="1"/>
  <c r="C92" i="1"/>
  <c r="D92" i="1" s="1"/>
  <c r="I89" i="1" s="1"/>
  <c r="I90" i="1" s="1"/>
  <c r="D78" i="1"/>
  <c r="D108" i="1"/>
  <c r="J113" i="1"/>
  <c r="J110" i="1"/>
  <c r="J112" i="1"/>
  <c r="J111" i="1"/>
  <c r="J108" i="1"/>
  <c r="J109" i="1" s="1"/>
  <c r="J114" i="1" s="1"/>
  <c r="J115" i="1" s="1"/>
  <c r="J99" i="1"/>
  <c r="J96" i="1"/>
  <c r="J98" i="1"/>
  <c r="J97" i="1"/>
  <c r="J94" i="1"/>
  <c r="J95" i="1" s="1"/>
  <c r="J84" i="1"/>
  <c r="J82" i="1"/>
  <c r="J83" i="1"/>
  <c r="J81" i="1"/>
  <c r="J86" i="1" s="1"/>
  <c r="J87" i="1" s="1"/>
  <c r="C79" i="1" s="1"/>
  <c r="J85" i="1"/>
  <c r="C107" i="1" l="1"/>
  <c r="E106" i="1" s="1"/>
  <c r="G92" i="1"/>
  <c r="J75" i="1"/>
  <c r="J100" i="1"/>
  <c r="J101" i="1" s="1"/>
  <c r="J89" i="1" s="1"/>
  <c r="I88" i="1" s="1"/>
  <c r="C90" i="1" s="1"/>
  <c r="E78" i="1"/>
  <c r="D79" i="1"/>
  <c r="I75" i="1" s="1"/>
  <c r="G78" i="1"/>
  <c r="D72" i="1" s="1"/>
  <c r="D107" i="1" l="1"/>
  <c r="I103" i="1" s="1"/>
  <c r="I104" i="1" s="1"/>
  <c r="J103" i="1"/>
  <c r="G106" i="1"/>
  <c r="F73" i="1"/>
  <c r="D73" i="1"/>
  <c r="I76" i="1"/>
  <c r="I74" i="1" s="1"/>
  <c r="C76" i="1" s="1"/>
  <c r="I102" i="1" l="1"/>
  <c r="C10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<sst xmlns="http://schemas.openxmlformats.org/spreadsheetml/2006/main" count="724" uniqueCount="363">
  <si>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</si>
  <si>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</si>
  <si>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</si>
  <si>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</si>
  <si>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</si>
  <si>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</si>
  <si>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</si>
  <si>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</si>
  <si>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</si>
  <si>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</si>
  <si>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</si>
  <si>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</si>
  <si>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</si>
  <si>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</si>
  <si>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</si>
  <si>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</si>
  <si>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</si>
  <si>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</si>
  <si>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</si>
  <si>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</si>
  <si>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</si>
  <si>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</si>
  <si>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</si>
  <si>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</si>
  <si>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</si>
  <si>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</si>
  <si>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</si>
  <si>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</si>
  <si>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</si>
  <si>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</si>
  <si>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</si>
  <si>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</si>
  <si>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</si>
  <si>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</si>
  <si>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</si>
  <si>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</si>
  <si>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</si>
  <si>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</si>
  <si>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</si>
  <si>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</si>
  <si>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</si>
  <si>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</si>
  <si>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</si>
  <si>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</si>
  <si>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</si>
  <si>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</si>
  <si>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</si>
  <si>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</si>
  <si>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</si>
  <si>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</si>
  <si>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</si>
  <si>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</si>
  <si>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</si>
  <si>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</si>
  <si>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</si>
  <si>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</si>
  <si>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</si>
  <si>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</si>
  <si>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</si>
  <si>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</si>
  <si>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</si>
  <si>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</si>
  <si>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</si>
  <si>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</si>
  <si>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</si>
  <si>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</si>
  <si>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</si>
  <si>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</si>
  <si>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</si>
  <si>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</si>
  <si>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</si>
  <si>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</si>
  <si>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</si>
  <si>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</si>
  <si>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</si>
  <si>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</si>
  <si>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</si>
  <si>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</si>
  <si>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</si>
  <si>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</si>
  <si>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</si>
  <si>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</si>
  <si>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</si>
  <si>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</si>
  <si>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</si>
  <si>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</si>
  <si>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</si>
  <si>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</si>
  <si>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</si>
  <si>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</si>
  <si>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</si>
  <si>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</si>
  <si>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</si>
  <si>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</si>
  <si>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</si>
  <si>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</si>
  <si>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</si>
  <si>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</si>
  <si>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</si>
  <si>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</si>
  <si>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</si>
  <si>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</si>
  <si>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</si>
  <si>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</si>
  <si>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</si>
  <si>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</si>
  <si>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</si>
  <si>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</si>
  <si>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</si>
  <si>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</si>
  <si>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</si>
  <si>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</si>
  <si>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</si>
  <si>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</si>
  <si>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</si>
  <si>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</si>
  <si>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</si>
  <si>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</si>
  <si>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</si>
  <si>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</si>
  <si>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</si>
  <si>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</si>
  <si>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</si>
  <si>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</si>
  <si>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</si>
  <si>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</si>
  <si>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</si>
  <si>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</si>
  <si>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</si>
  <si>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</si>
  <si>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</si>
  <si>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</si>
  <si>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</si>
  <si>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</si>
  <si>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</si>
  <si>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</si>
  <si>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</si>
  <si>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</si>
  <si>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</si>
  <si>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</si>
  <si>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</si>
  <si>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</si>
  <si>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</si>
  <si>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</si>
  <si>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</si>
  <si>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</si>
  <si>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</si>
  <si>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</si>
  <si>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</si>
  <si>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</si>
  <si>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</si>
  <si>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</si>
  <si>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</si>
  <si>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</si>
  <si>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</si>
  <si>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</si>
  <si>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</si>
  <si>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</si>
  <si>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</si>
  <si>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</si>
  <si>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</si>
  <si>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</si>
  <si>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</si>
  <si>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</si>
  <si>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</si>
  <si>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</si>
  <si>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</si>
  <si>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</si>
  <si>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</si>
  <si>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</si>
  <si>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</si>
  <si>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</si>
  <si>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</si>
  <si>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</si>
  <si>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</si>
  <si>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</si>
  <si>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</si>
  <si>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</si>
  <si>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</si>
  <si>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</si>
  <si>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</si>
  <si>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</si>
  <si>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</si>
  <si>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</si>
  <si>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</si>
  <si>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</si>
  <si>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</si>
  <si>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</si>
  <si>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</si>
  <si>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</si>
  <si>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</si>
  <si>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</si>
  <si>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</si>
  <si>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</si>
  <si>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</si>
  <si>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</si>
  <si>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</si>
  <si>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</si>
  <si>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</si>
  <si>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</si>
  <si>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</si>
  <si>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</si>
  <si>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</si>
  <si>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</si>
  <si>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</si>
  <si>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</si>
  <si>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</si>
  <si>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</si>
  <si>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</si>
  <si>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</si>
  <si>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</si>
  <si>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</si>
  <si>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</si>
  <si>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</si>
  <si>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</si>
  <si>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</si>
  <si>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</si>
  <si>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</si>
  <si>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</si>
  <si>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</si>
  <si>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</si>
  <si>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</si>
  <si>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</si>
  <si>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</si>
  <si>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</si>
  <si>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</si>
  <si>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</si>
  <si>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</si>
  <si>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</si>
  <si>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</si>
  <si>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</si>
  <si>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</si>
  <si>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</si>
  <si>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</si>
  <si>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</si>
  <si>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</si>
  <si>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</si>
  <si>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</si>
  <si>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</si>
  <si>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</si>
  <si>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</si>
  <si>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</si>
  <si>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</si>
  <si>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</si>
  <si>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</si>
  <si>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</si>
  <si>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</si>
  <si>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</si>
  <si>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</si>
  <si>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</si>
  <si>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</si>
  <si>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</si>
  <si>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</si>
  <si>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</si>
  <si>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</si>
  <si>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</si>
  <si>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</si>
  <si>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</si>
  <si>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</si>
  <si>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</si>
  <si>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</si>
  <si>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</si>
  <si>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</si>
  <si>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</si>
  <si>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</si>
  <si>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</si>
  <si>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</si>
  <si>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</si>
  <si>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</si>
  <si>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</si>
  <si>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</si>
  <si>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</si>
  <si>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</si>
  <si>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</si>
  <si>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</si>
  <si>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</si>
  <si>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</si>
  <si>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</si>
  <si>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</si>
  <si>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</si>
  <si>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</si>
  <si>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</si>
  <si>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</si>
  <si>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</si>
  <si>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</si>
  <si>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</si>
  <si>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</si>
  <si>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</si>
  <si>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</si>
  <si>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</si>
  <si>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</si>
  <si>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</si>
  <si>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</si>
  <si>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</si>
  <si>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</si>
  <si>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Saiyogi Developers LLP</t>
  </si>
  <si>
    <t>Sai Residency</t>
  </si>
  <si>
    <t>P52000054611</t>
  </si>
  <si>
    <t>Gut No</t>
  </si>
  <si>
    <t>As per RERA - 31/12/2027</t>
  </si>
  <si>
    <r>
      <t xml:space="preserve">Proposed Amenities :                                                                                                                                                                                                                         </t>
    </r>
    <r>
      <rPr>
        <b/>
        <sz val="12"/>
        <rFont val="Times New Roman"/>
        <family val="1"/>
      </rPr>
      <t xml:space="preserve">                                               </t>
    </r>
  </si>
  <si>
    <t>Shop</t>
  </si>
  <si>
    <t>Ground Floor For Commercial, Entrance Lobby &amp; Parking</t>
  </si>
  <si>
    <t>1st &amp; 2nd Floor For Parking</t>
  </si>
  <si>
    <t>2BHK</t>
  </si>
  <si>
    <t>1BHK</t>
  </si>
  <si>
    <t>Mr. Vipul 9867662552</t>
  </si>
  <si>
    <t>19.100210,73.066958</t>
  </si>
  <si>
    <t>https://maps.app.goo.gl/VUQEoiCBT4EA6mzt6</t>
  </si>
  <si>
    <t>Kirvali</t>
  </si>
  <si>
    <t>Adivali</t>
  </si>
  <si>
    <t>Taloja</t>
  </si>
  <si>
    <t>3.70KM from Taloja Panchnand Railway Station</t>
  </si>
  <si>
    <t>Manesh transport department</t>
  </si>
  <si>
    <t>24.00 m. Wide Road</t>
  </si>
  <si>
    <t>Other Plot</t>
  </si>
  <si>
    <t>Internal Road</t>
  </si>
  <si>
    <t>Open Plot</t>
  </si>
  <si>
    <t>Ground Floor For Parking</t>
  </si>
  <si>
    <t>Construction work is in process at the time of Visit (labour found).</t>
  </si>
  <si>
    <t>Sunil Peravi</t>
  </si>
  <si>
    <t>Swimming Pool, Indoor Games, Walking Track, Kids play Area, Gym, Senior Citizen Area, Star Gazing, etc.</t>
  </si>
  <si>
    <t>Approved Plans, CC, Sale Plans.</t>
  </si>
  <si>
    <t>Internal Rd</t>
  </si>
  <si>
    <t>please check location it may be wrong</t>
  </si>
  <si>
    <t>Mr. Vikas 9223935992</t>
  </si>
  <si>
    <t>Building 1 &amp; 2</t>
  </si>
  <si>
    <t>02 Building</t>
  </si>
  <si>
    <t>CARPC/RB/2024/APL/00133</t>
  </si>
  <si>
    <t>Building 1 = Gr + 1st to 15th Floor
Building 2 = Gr + 1st to 12th Floor</t>
  </si>
  <si>
    <t>Building 1 = Gr + 1st to 15th Floor</t>
  </si>
  <si>
    <t>Building 2 = Gr + 1st to 12th Floor</t>
  </si>
  <si>
    <t>Building 1</t>
  </si>
  <si>
    <t>Building 2</t>
  </si>
  <si>
    <t>4th Floor For Residential</t>
  </si>
  <si>
    <t>3rd Floor For Residential (Part Society Office &amp; Gymnasium)</t>
  </si>
  <si>
    <t>Society Office &amp; Gymnasium</t>
  </si>
  <si>
    <t>8th Floor For Part Refuge Area</t>
  </si>
  <si>
    <t>8th &amp; 13th Floor For Part Refuge Area</t>
  </si>
  <si>
    <t>-</t>
  </si>
  <si>
    <t>Part Fire Refuge Balcony Area</t>
  </si>
  <si>
    <t>15th Floor</t>
  </si>
  <si>
    <t>5th to 7th, 9th to 12th &amp; 14th Floor</t>
  </si>
  <si>
    <t>3rd Floor For Residential &amp; Part Indoor Play Area</t>
  </si>
  <si>
    <t xml:space="preserve"> Indoor Play Area</t>
  </si>
  <si>
    <t>5th to 7th, 9th to 10th Floor</t>
  </si>
  <si>
    <t>Refuge Balcony Area</t>
  </si>
  <si>
    <t>11th Floor</t>
  </si>
  <si>
    <t>12th Floor</t>
  </si>
  <si>
    <r>
      <t xml:space="preserve">Flat No.
</t>
    </r>
    <r>
      <rPr>
        <b/>
        <sz val="11"/>
        <rFont val="Times New Roman"/>
        <family val="1"/>
      </rPr>
      <t>(Approved Plan)</t>
    </r>
  </si>
  <si>
    <t>Balcony  + Chajja + S.S Area</t>
  </si>
  <si>
    <t>We considered Gross carpet area = Net carpet + Balcony  + Chajja + S.S Area</t>
  </si>
  <si>
    <t>Building Details Floor Wise</t>
  </si>
  <si>
    <t xml:space="preserve">Details of Residential in Building   </t>
  </si>
  <si>
    <r>
      <t xml:space="preserve">Shop No.
</t>
    </r>
    <r>
      <rPr>
        <b/>
        <sz val="11"/>
        <color rgb="FFFF0000"/>
        <rFont val="Times New Roman"/>
        <family val="1"/>
      </rPr>
      <t>(Approved Plan)</t>
    </r>
  </si>
  <si>
    <t>as per RERA</t>
  </si>
  <si>
    <t>Flats - 194</t>
  </si>
  <si>
    <t xml:space="preserve">Site </t>
  </si>
  <si>
    <t>cost sheet</t>
  </si>
  <si>
    <t>We have updated revised approved plan &amp; CC on 09/07/2025</t>
  </si>
  <si>
    <t>Pranita Mhatre</t>
  </si>
  <si>
    <t xml:space="preserve">Recommended Rates of the Property have been revised as per market inquiry on 09/07/2025
</t>
  </si>
  <si>
    <t>As per approved plans dated 31/03/2023, the project consists of Wing A, B &amp; C. 
But as per the revised approved plans dtd.22/11/2024  &amp; as per RERA, the project consists of Building 1 &amp; Building 2 (Wing A is named as Building No.1, and Wing B &amp; C are merged into a single building as Building No.2).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</si>
</sst>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64" fontId="6" fillId="0" borderId="0" xfId="1" applyNumberFormat="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68" fontId="5" fillId="0" borderId="1" xfId="1" applyNumberFormat="1" applyFont="1" applyBorder="1" applyAlignment="1" applyProtection="1">
      <alignment horizontal="center" vertical="center" wrapText="1"/>
      <protection locked="0"/>
    </xf>
    <xf numFmtId="0" fontId="23" fillId="0" borderId="1" xfId="0" applyFont="1" applyBorder="1" applyAlignment="1">
      <alignment horizontal="center" vertical="center"/>
    </xf>
    <xf numFmtId="0" fontId="23" fillId="0" borderId="0" xfId="0" applyFont="1"/>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9" fillId="0" borderId="0" xfId="0" applyFont="1" applyAlignment="1">
      <alignment horizontal="center" vertical="center"/>
    </xf>
    <xf numFmtId="1" fontId="14"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6" fillId="0" borderId="3" xfId="1" applyNumberFormat="1" applyFont="1" applyBorder="1" applyAlignment="1" applyProtection="1">
      <alignment horizontal="center" vertical="top" wrapText="1"/>
      <protection locked="0"/>
    </xf>
    <xf numFmtId="0" fontId="14" fillId="0" borderId="0" xfId="0" applyFont="1" applyAlignment="1">
      <alignment horizontal="center" vertical="center"/>
    </xf>
    <xf numFmtId="9" fontId="16" fillId="0" borderId="16" xfId="8" applyFont="1" applyFill="1" applyBorder="1" applyAlignment="1" applyProtection="1">
      <alignment horizontal="center" vertical="top" wrapText="1"/>
      <protection locked="0"/>
    </xf>
    <xf numFmtId="0" fontId="14" fillId="0" borderId="0" xfId="1" applyFont="1" applyAlignment="1">
      <alignment horizontal="center" vertical="center"/>
    </xf>
    <xf numFmtId="1" fontId="14" fillId="0" borderId="0" xfId="1" applyNumberFormat="1" applyFont="1" applyAlignment="1">
      <alignment horizontal="center" vertical="center"/>
    </xf>
    <xf numFmtId="0" fontId="14" fillId="0" borderId="0" xfId="2" applyFont="1"/>
    <xf numFmtId="0" fontId="19" fillId="0" borderId="0" xfId="0" applyFont="1"/>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Fill="1" applyBorder="1" applyAlignment="1" applyProtection="1">
      <alignment horizontal="left" vertical="top"/>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 fontId="14" fillId="0" borderId="8" xfId="1" applyNumberFormat="1" applyFont="1" applyBorder="1" applyAlignment="1" applyProtection="1">
      <alignment horizontal="center" vertical="center" wrapText="1"/>
      <protection locked="0"/>
    </xf>
    <xf numFmtId="1" fontId="14"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6" fillId="0" borderId="32" xfId="0" applyNumberFormat="1" applyFont="1" applyBorder="1" applyAlignment="1" applyProtection="1">
      <alignment horizontal="center" vertical="center" wrapText="1"/>
      <protection locked="0"/>
    </xf>
    <xf numFmtId="1" fontId="16" fillId="0" borderId="33" xfId="0" applyNumberFormat="1" applyFont="1" applyBorder="1" applyAlignment="1" applyProtection="1">
      <alignment horizontal="center" vertical="center" wrapText="1"/>
      <protection locked="0"/>
    </xf>
    <xf numFmtId="1" fontId="16" fillId="0" borderId="33" xfId="0" applyNumberFormat="1"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1" fontId="16" fillId="0" borderId="8" xfId="1" applyNumberFormat="1" applyFont="1" applyBorder="1" applyAlignment="1" applyProtection="1">
      <alignment horizontal="center" vertical="center" wrapText="1"/>
      <protection locked="0"/>
    </xf>
    <xf numFmtId="1" fontId="16" fillId="0" borderId="21" xfId="1" applyNumberFormat="1" applyFont="1" applyBorder="1" applyAlignment="1" applyProtection="1">
      <alignment horizontal="center" vertical="center" wrapText="1"/>
      <protection locked="0"/>
    </xf>
    <xf numFmtId="1" fontId="16" fillId="0" borderId="9" xfId="1" applyNumberFormat="1" applyFont="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16" fillId="0" borderId="3" xfId="1" applyNumberFormat="1" applyFont="1" applyBorder="1" applyAlignment="1" applyProtection="1">
      <alignment horizontal="center" vertical="top" wrapText="1"/>
      <protection locked="0"/>
    </xf>
    <xf numFmtId="1" fontId="16"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Fill="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4" fillId="0" borderId="0" xfId="1" applyFont="1" applyAlignment="1">
      <alignment horizontal="center" vertical="center"/>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1" fontId="12" fillId="3" borderId="8" xfId="1" applyNumberFormat="1" applyFont="1" applyFill="1" applyBorder="1" applyAlignment="1" applyProtection="1">
      <alignment horizontal="center" vertical="center" wrapText="1"/>
      <protection locked="0"/>
    </xf>
    <xf numFmtId="1" fontId="12" fillId="3" borderId="21" xfId="1" applyNumberFormat="1" applyFont="1" applyFill="1" applyBorder="1" applyAlignment="1" applyProtection="1">
      <alignment horizontal="center" vertical="center" wrapText="1"/>
      <protection locked="0"/>
    </xf>
    <xf numFmtId="1" fontId="12" fillId="3"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 xfId="1" applyFont="1" applyBorder="1" applyAlignment="1" applyProtection="1">
      <alignment vertical="top" wrapText="1"/>
      <protection locked="0"/>
    </xf>
    <xf numFmtId="14" fontId="11" fillId="0" borderId="8" xfId="1" applyNumberFormat="1" applyFont="1" applyBorder="1" applyAlignment="1" applyProtection="1">
      <alignment horizontal="left"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 fontId="11" fillId="0" borderId="1" xfId="1" applyNumberFormat="1" applyFont="1" applyBorder="1" applyAlignment="1" applyProtection="1">
      <alignment horizontal="left" vertical="top" wrapText="1"/>
      <protection locked="0"/>
    </xf>
    <xf numFmtId="0" fontId="9" fillId="0" borderId="0" xfId="1" applyFont="1"/>
    <xf numFmtId="1" fontId="9" fillId="0" borderId="0" xfId="1" applyNumberFormat="1" applyFont="1"/>
    <xf numFmtId="0" fontId="12" fillId="0" borderId="16"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8</xdr:col>
      <xdr:colOff>370449</xdr:colOff>
      <xdr:row>51</xdr:row>
      <xdr:rowOff>79716</xdr:rowOff>
    </xdr:from>
    <xdr:to>
      <xdr:col>13</xdr:col>
      <xdr:colOff>217509</xdr:colOff>
      <xdr:row>60</xdr:row>
      <xdr:rowOff>194093</xdr:rowOff>
    </xdr:to>
    <xdr:pic>
      <xdr:nvPicPr>
        <xdr:cNvPr id="2" name="Picture 1">
          <a:extLst>
            <a:ext uri="{FF2B5EF4-FFF2-40B4-BE49-F238E27FC236}">
              <a16:creationId xmlns:a16="http://schemas.microsoft.com/office/drawing/2014/main" id="{7A1E0C5A-3291-FCDF-5DF5-C14D618E933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859172" y="11691424"/>
          <a:ext cx="4325275" cy="1033430"/>
        </a:xfrm>
        <a:prstGeom prst="rect">
          <a:avLst/>
        </a:prstGeom>
        <a:ln>
          <a:solidFill>
            <a:sysClr val="windowText" lastClr="000000"/>
          </a:solidFill>
        </a:ln>
      </xdr:spPr>
    </xdr:pic>
    <xdr:clientData/>
  </xdr:twoCellAnchor>
  <xdr:twoCellAnchor editAs="oneCell">
    <xdr:from>
      <xdr:col>8</xdr:col>
      <xdr:colOff>375139</xdr:colOff>
      <xdr:row>44</xdr:row>
      <xdr:rowOff>76199</xdr:rowOff>
    </xdr:from>
    <xdr:to>
      <xdr:col>10</xdr:col>
      <xdr:colOff>553939</xdr:colOff>
      <xdr:row>51</xdr:row>
      <xdr:rowOff>552</xdr:rowOff>
    </xdr:to>
    <xdr:pic>
      <xdr:nvPicPr>
        <xdr:cNvPr id="3" name="Picture 2">
          <a:extLst>
            <a:ext uri="{FF2B5EF4-FFF2-40B4-BE49-F238E27FC236}">
              <a16:creationId xmlns:a16="http://schemas.microsoft.com/office/drawing/2014/main" id="{0F39F1AD-3186-F9A8-CD91-40E48FBB697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863862" y="10064261"/>
          <a:ext cx="2160000" cy="1548000"/>
        </a:xfrm>
        <a:prstGeom prst="rect">
          <a:avLst/>
        </a:prstGeom>
        <a:ln>
          <a:solidFill>
            <a:sysClr val="windowText" lastClr="000000"/>
          </a:solidFill>
        </a:ln>
      </xdr:spPr>
    </xdr:pic>
    <xdr:clientData/>
  </xdr:twoCellAnchor>
  <xdr:twoCellAnchor>
    <xdr:from>
      <xdr:col>13</xdr:col>
      <xdr:colOff>659423</xdr:colOff>
      <xdr:row>205</xdr:row>
      <xdr:rowOff>35588</xdr:rowOff>
    </xdr:from>
    <xdr:to>
      <xdr:col>22</xdr:col>
      <xdr:colOff>244414</xdr:colOff>
      <xdr:row>243</xdr:row>
      <xdr:rowOff>157297</xdr:rowOff>
    </xdr:to>
    <xdr:grpSp>
      <xdr:nvGrpSpPr>
        <xdr:cNvPr id="4" name="Group 3"/>
        <xdr:cNvGrpSpPr/>
      </xdr:nvGrpSpPr>
      <xdr:grpSpPr>
        <a:xfrm>
          <a:off x="11316217" y="35076382"/>
          <a:ext cx="5882697" cy="7786533"/>
          <a:chOff x="189782" y="229071"/>
          <a:chExt cx="5916498" cy="6656278"/>
        </a:xfrm>
      </xdr:grpSpPr>
      <xdr:pic>
        <xdr:nvPicPr>
          <xdr:cNvPr id="5" name="Picture 4"/>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3346" y="4905349"/>
            <a:ext cx="2629420" cy="1980000"/>
          </a:xfrm>
          <a:prstGeom prst="rect">
            <a:avLst/>
          </a:prstGeom>
          <a:ln>
            <a:solidFill>
              <a:schemeClr val="tx1"/>
            </a:solidFill>
          </a:ln>
        </xdr:spPr>
      </xdr:pic>
      <xdr:pic>
        <xdr:nvPicPr>
          <xdr:cNvPr id="6" name="Picture 5"/>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799264" y="4905349"/>
            <a:ext cx="1483453" cy="1980000"/>
          </a:xfrm>
          <a:prstGeom prst="rect">
            <a:avLst/>
          </a:prstGeom>
          <a:ln>
            <a:solidFill>
              <a:schemeClr val="tx1"/>
            </a:solidFill>
          </a:ln>
        </xdr:spPr>
      </xdr:pic>
      <xdr:pic>
        <xdr:nvPicPr>
          <xdr:cNvPr id="7" name="Picture 6"/>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226280" y="2567210"/>
            <a:ext cx="2880000" cy="2162002"/>
          </a:xfrm>
          <a:prstGeom prst="rect">
            <a:avLst/>
          </a:prstGeom>
          <a:ln>
            <a:solidFill>
              <a:schemeClr val="tx1"/>
            </a:solidFill>
          </a:ln>
        </xdr:spPr>
      </xdr:pic>
      <xdr:pic>
        <xdr:nvPicPr>
          <xdr:cNvPr id="8" name="Picture 7"/>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9782" y="229071"/>
            <a:ext cx="2880000" cy="2162002"/>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226280" y="229071"/>
            <a:ext cx="2880000" cy="2162002"/>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89782" y="2567210"/>
            <a:ext cx="2880000" cy="2162002"/>
          </a:xfrm>
          <a:prstGeom prst="rect">
            <a:avLst/>
          </a:prstGeom>
          <a:ln>
            <a:solidFill>
              <a:schemeClr val="tx1"/>
            </a:solidFill>
          </a:ln>
        </xdr:spPr>
      </xdr:pic>
      <xdr:sp macro="" textlink="">
        <xdr:nvSpPr>
          <xdr:cNvPr id="11" name="TextBox 11"/>
          <xdr:cNvSpPr txBox="1"/>
        </xdr:nvSpPr>
        <xdr:spPr>
          <a:xfrm>
            <a:off x="1981200" y="2750297"/>
            <a:ext cx="947695"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a:t>
            </a:r>
            <a:endParaRPr lang="en-IN" b="1"/>
          </a:p>
        </xdr:txBody>
      </xdr:sp>
      <xdr:sp macro="" textlink="">
        <xdr:nvSpPr>
          <xdr:cNvPr id="12" name="TextBox 12"/>
          <xdr:cNvSpPr txBox="1"/>
        </xdr:nvSpPr>
        <xdr:spPr>
          <a:xfrm>
            <a:off x="5014823" y="398372"/>
            <a:ext cx="938077"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13" name="TextBox 13"/>
          <xdr:cNvSpPr txBox="1"/>
        </xdr:nvSpPr>
        <xdr:spPr>
          <a:xfrm>
            <a:off x="1763265" y="422695"/>
            <a:ext cx="947695"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clientData/>
  </xdr:twoCellAnchor>
  <xdr:twoCellAnchor>
    <xdr:from>
      <xdr:col>1</xdr:col>
      <xdr:colOff>18237</xdr:colOff>
      <xdr:row>387</xdr:row>
      <xdr:rowOff>36634</xdr:rowOff>
    </xdr:from>
    <xdr:to>
      <xdr:col>6</xdr:col>
      <xdr:colOff>246021</xdr:colOff>
      <xdr:row>403</xdr:row>
      <xdr:rowOff>35055</xdr:rowOff>
    </xdr:to>
    <xdr:pic>
      <xdr:nvPicPr>
        <xdr:cNvPr id="25" name="Picture 24"/>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780237" y="60032928"/>
          <a:ext cx="4317931" cy="3225715"/>
        </a:xfrm>
        <a:prstGeom prst="rect">
          <a:avLst/>
        </a:prstGeom>
        <a:ln>
          <a:solidFill>
            <a:schemeClr val="tx1"/>
          </a:solidFill>
        </a:ln>
      </xdr:spPr>
    </xdr:pic>
    <xdr:clientData/>
  </xdr:twoCellAnchor>
  <xdr:twoCellAnchor>
    <xdr:from>
      <xdr:col>8</xdr:col>
      <xdr:colOff>715090</xdr:colOff>
      <xdr:row>341</xdr:row>
      <xdr:rowOff>83831</xdr:rowOff>
    </xdr:from>
    <xdr:to>
      <xdr:col>14</xdr:col>
      <xdr:colOff>755807</xdr:colOff>
      <xdr:row>381</xdr:row>
      <xdr:rowOff>60438</xdr:rowOff>
    </xdr:to>
    <xdr:grpSp>
      <xdr:nvGrpSpPr>
        <xdr:cNvPr id="36" name="Group 35"/>
        <xdr:cNvGrpSpPr/>
      </xdr:nvGrpSpPr>
      <xdr:grpSpPr>
        <a:xfrm>
          <a:off x="7024002" y="63475507"/>
          <a:ext cx="5229040" cy="8044843"/>
          <a:chOff x="564173" y="51879394"/>
          <a:chExt cx="5228588" cy="7440420"/>
        </a:xfrm>
      </xdr:grpSpPr>
      <xdr:grpSp>
        <xdr:nvGrpSpPr>
          <xdr:cNvPr id="14" name="Group 13"/>
          <xdr:cNvGrpSpPr/>
        </xdr:nvGrpSpPr>
        <xdr:grpSpPr>
          <a:xfrm>
            <a:off x="564173" y="51879394"/>
            <a:ext cx="5228588" cy="7440420"/>
            <a:chOff x="762627" y="276045"/>
            <a:chExt cx="5229225" cy="7405059"/>
          </a:xfrm>
        </xdr:grpSpPr>
        <xdr:pic>
          <xdr:nvPicPr>
            <xdr:cNvPr id="15" name="Picture 14"/>
            <xdr:cNvPicPr>
              <a:picLocks noChangeAspect="1"/>
            </xdr:cNvPicPr>
          </xdr:nvPicPr>
          <xdr:blipFill>
            <a:blip xmlns:r="http://schemas.openxmlformats.org/officeDocument/2006/relationships" r:embed="rId10"/>
            <a:stretch>
              <a:fillRect/>
            </a:stretch>
          </xdr:blipFill>
          <xdr:spPr>
            <a:xfrm>
              <a:off x="1981826" y="3947304"/>
              <a:ext cx="2790825" cy="3733800"/>
            </a:xfrm>
            <a:prstGeom prst="rect">
              <a:avLst/>
            </a:prstGeom>
            <a:ln>
              <a:solidFill>
                <a:schemeClr val="tx1"/>
              </a:solidFill>
            </a:ln>
          </xdr:spPr>
        </xdr:pic>
        <xdr:grpSp>
          <xdr:nvGrpSpPr>
            <xdr:cNvPr id="16" name="Group 15"/>
            <xdr:cNvGrpSpPr/>
          </xdr:nvGrpSpPr>
          <xdr:grpSpPr>
            <a:xfrm>
              <a:off x="762627" y="276045"/>
              <a:ext cx="5229225" cy="3476625"/>
              <a:chOff x="762627" y="276045"/>
              <a:chExt cx="5229225" cy="3476625"/>
            </a:xfrm>
          </xdr:grpSpPr>
          <xdr:pic>
            <xdr:nvPicPr>
              <xdr:cNvPr id="17" name="Picture 16"/>
              <xdr:cNvPicPr>
                <a:picLocks noChangeAspect="1"/>
              </xdr:cNvPicPr>
            </xdr:nvPicPr>
            <xdr:blipFill>
              <a:blip xmlns:r="http://schemas.openxmlformats.org/officeDocument/2006/relationships" r:embed="rId11"/>
              <a:stretch>
                <a:fillRect/>
              </a:stretch>
            </xdr:blipFill>
            <xdr:spPr>
              <a:xfrm>
                <a:off x="762627" y="276045"/>
                <a:ext cx="5229225" cy="3476625"/>
              </a:xfrm>
              <a:prstGeom prst="rect">
                <a:avLst/>
              </a:prstGeom>
              <a:ln>
                <a:solidFill>
                  <a:schemeClr val="tx1"/>
                </a:solidFill>
              </a:ln>
            </xdr:spPr>
          </xdr:pic>
          <xdr:sp macro="" textlink="">
            <xdr:nvSpPr>
              <xdr:cNvPr id="18" name="Rectangle 17"/>
              <xdr:cNvSpPr/>
            </xdr:nvSpPr>
            <xdr:spPr>
              <a:xfrm>
                <a:off x="2309813" y="1966913"/>
                <a:ext cx="1671637" cy="7429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Rectangle 18"/>
              <xdr:cNvSpPr/>
            </xdr:nvSpPr>
            <xdr:spPr>
              <a:xfrm rot="3281009">
                <a:off x="919163" y="1295880"/>
                <a:ext cx="1671637" cy="7429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20" name="Straight Connector 19"/>
              <xdr:cNvCxnSpPr>
                <a:endCxn id="19" idx="0"/>
              </xdr:cNvCxnSpPr>
            </xdr:nvCxnSpPr>
            <xdr:spPr>
              <a:xfrm flipV="1">
                <a:off x="1464469" y="1452608"/>
                <a:ext cx="593626" cy="43572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TextBox 8"/>
              <xdr:cNvSpPr txBox="1"/>
            </xdr:nvSpPr>
            <xdr:spPr>
              <a:xfrm>
                <a:off x="3145631" y="2924175"/>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22" name="TextBox 9"/>
              <xdr:cNvSpPr txBox="1"/>
            </xdr:nvSpPr>
            <xdr:spPr>
              <a:xfrm>
                <a:off x="1075580" y="542542"/>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C</a:t>
                </a:r>
                <a:endParaRPr lang="en-IN" sz="1400" b="1">
                  <a:solidFill>
                    <a:srgbClr val="FF0000"/>
                  </a:solidFill>
                </a:endParaRPr>
              </a:p>
            </xdr:txBody>
          </xdr:sp>
          <xdr:sp macro="" textlink="">
            <xdr:nvSpPr>
              <xdr:cNvPr id="23" name="TextBox 10"/>
              <xdr:cNvSpPr txBox="1"/>
            </xdr:nvSpPr>
            <xdr:spPr>
              <a:xfrm>
                <a:off x="1045231" y="2229976"/>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grpSp>
      </xdr:grpSp>
      <xdr:cxnSp macro="">
        <xdr:nvCxnSpPr>
          <xdr:cNvPr id="30" name="Straight Arrow Connector 29"/>
          <xdr:cNvCxnSpPr/>
        </xdr:nvCxnSpPr>
        <xdr:spPr>
          <a:xfrm flipH="1" flipV="1">
            <a:off x="1186963" y="54853807"/>
            <a:ext cx="465536" cy="167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5" name="TextBox 34"/>
          <xdr:cNvSpPr txBox="1"/>
        </xdr:nvSpPr>
        <xdr:spPr>
          <a:xfrm>
            <a:off x="947057" y="54727456"/>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N</a:t>
            </a:r>
          </a:p>
        </xdr:txBody>
      </xdr:sp>
    </xdr:grpSp>
    <xdr:clientData/>
  </xdr:twoCellAnchor>
  <xdr:twoCellAnchor editAs="oneCell">
    <xdr:from>
      <xdr:col>8</xdr:col>
      <xdr:colOff>1152525</xdr:colOff>
      <xdr:row>11</xdr:row>
      <xdr:rowOff>114300</xdr:rowOff>
    </xdr:from>
    <xdr:to>
      <xdr:col>13</xdr:col>
      <xdr:colOff>772078</xdr:colOff>
      <xdr:row>21</xdr:row>
      <xdr:rowOff>276560</xdr:rowOff>
    </xdr:to>
    <xdr:pic>
      <xdr:nvPicPr>
        <xdr:cNvPr id="29" name="Picture 28"/>
        <xdr:cNvPicPr>
          <a:picLocks noChangeAspect="1"/>
        </xdr:cNvPicPr>
      </xdr:nvPicPr>
      <xdr:blipFill>
        <a:blip xmlns:r="http://schemas.openxmlformats.org/officeDocument/2006/relationships" r:embed="rId12"/>
        <a:stretch>
          <a:fillRect/>
        </a:stretch>
      </xdr:blipFill>
      <xdr:spPr>
        <a:xfrm>
          <a:off x="7467600" y="2695575"/>
          <a:ext cx="3962953" cy="2400635"/>
        </a:xfrm>
        <a:prstGeom prst="rect">
          <a:avLst/>
        </a:prstGeom>
      </xdr:spPr>
    </xdr:pic>
    <xdr:clientData/>
  </xdr:twoCellAnchor>
  <xdr:twoCellAnchor editAs="oneCell">
    <xdr:from>
      <xdr:col>8</xdr:col>
      <xdr:colOff>400050</xdr:colOff>
      <xdr:row>6</xdr:row>
      <xdr:rowOff>66675</xdr:rowOff>
    </xdr:from>
    <xdr:to>
      <xdr:col>15</xdr:col>
      <xdr:colOff>648571</xdr:colOff>
      <xdr:row>20</xdr:row>
      <xdr:rowOff>415</xdr:rowOff>
    </xdr:to>
    <xdr:pic>
      <xdr:nvPicPr>
        <xdr:cNvPr id="31" name="Picture 30"/>
        <xdr:cNvPicPr>
          <a:picLocks noChangeAspect="1"/>
        </xdr:cNvPicPr>
      </xdr:nvPicPr>
      <xdr:blipFill>
        <a:blip xmlns:r="http://schemas.openxmlformats.org/officeDocument/2006/relationships" r:embed="rId13"/>
        <a:stretch>
          <a:fillRect/>
        </a:stretch>
      </xdr:blipFill>
      <xdr:spPr>
        <a:xfrm>
          <a:off x="6715125" y="1647825"/>
          <a:ext cx="6239746" cy="2972215"/>
        </a:xfrm>
        <a:prstGeom prst="rect">
          <a:avLst/>
        </a:prstGeom>
      </xdr:spPr>
    </xdr:pic>
    <xdr:clientData/>
  </xdr:twoCellAnchor>
  <xdr:twoCellAnchor>
    <xdr:from>
      <xdr:col>0</xdr:col>
      <xdr:colOff>392207</xdr:colOff>
      <xdr:row>404</xdr:row>
      <xdr:rowOff>11206</xdr:rowOff>
    </xdr:from>
    <xdr:to>
      <xdr:col>7</xdr:col>
      <xdr:colOff>145678</xdr:colOff>
      <xdr:row>427</xdr:row>
      <xdr:rowOff>56818</xdr:rowOff>
    </xdr:to>
    <xdr:grpSp>
      <xdr:nvGrpSpPr>
        <xdr:cNvPr id="34" name="Group 33"/>
        <xdr:cNvGrpSpPr/>
      </xdr:nvGrpSpPr>
      <xdr:grpSpPr>
        <a:xfrm>
          <a:off x="392207" y="76110353"/>
          <a:ext cx="5334000" cy="4684847"/>
          <a:chOff x="392207" y="62961931"/>
          <a:chExt cx="5335121" cy="4646187"/>
        </a:xfrm>
      </xdr:grpSpPr>
      <xdr:pic>
        <xdr:nvPicPr>
          <xdr:cNvPr id="32" name="Picture 31"/>
          <xdr:cNvPicPr>
            <a:picLocks noChangeAspect="1"/>
          </xdr:cNvPicPr>
        </xdr:nvPicPr>
        <xdr:blipFill>
          <a:blip xmlns:r="http://schemas.openxmlformats.org/officeDocument/2006/relationships" r:embed="rId14"/>
          <a:stretch>
            <a:fillRect/>
          </a:stretch>
        </xdr:blipFill>
        <xdr:spPr>
          <a:xfrm>
            <a:off x="392207" y="62961931"/>
            <a:ext cx="5335121" cy="4646187"/>
          </a:xfrm>
          <a:prstGeom prst="rect">
            <a:avLst/>
          </a:prstGeom>
          <a:ln>
            <a:solidFill>
              <a:sysClr val="windowText" lastClr="000000"/>
            </a:solidFill>
          </a:ln>
        </xdr:spPr>
      </xdr:pic>
      <xdr:sp macro="" textlink="">
        <xdr:nvSpPr>
          <xdr:cNvPr id="33" name="Rectangle 32"/>
          <xdr:cNvSpPr/>
        </xdr:nvSpPr>
        <xdr:spPr>
          <a:xfrm>
            <a:off x="2952750" y="64779525"/>
            <a:ext cx="685800" cy="160020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528672</xdr:colOff>
      <xdr:row>362</xdr:row>
      <xdr:rowOff>71460</xdr:rowOff>
    </xdr:from>
    <xdr:to>
      <xdr:col>6</xdr:col>
      <xdr:colOff>48279</xdr:colOff>
      <xdr:row>384</xdr:row>
      <xdr:rowOff>34636</xdr:rowOff>
    </xdr:to>
    <xdr:pic>
      <xdr:nvPicPr>
        <xdr:cNvPr id="38" name="Picture 37"/>
        <xdr:cNvPicPr>
          <a:picLocks noChangeAspect="1"/>
        </xdr:cNvPicPr>
      </xdr:nvPicPr>
      <xdr:blipFill>
        <a:blip xmlns:r="http://schemas.openxmlformats.org/officeDocument/2006/relationships" r:embed="rId15"/>
        <a:stretch>
          <a:fillRect/>
        </a:stretch>
      </xdr:blipFill>
      <xdr:spPr>
        <a:xfrm>
          <a:off x="1290672" y="54621135"/>
          <a:ext cx="3605832" cy="4363726"/>
        </a:xfrm>
        <a:prstGeom prst="rect">
          <a:avLst/>
        </a:prstGeom>
        <a:ln>
          <a:solidFill>
            <a:sysClr val="windowText" lastClr="000000"/>
          </a:solidFill>
        </a:ln>
      </xdr:spPr>
    </xdr:pic>
    <xdr:clientData/>
  </xdr:twoCellAnchor>
  <xdr:twoCellAnchor>
    <xdr:from>
      <xdr:col>0</xdr:col>
      <xdr:colOff>477487</xdr:colOff>
      <xdr:row>342</xdr:row>
      <xdr:rowOff>190499</xdr:rowOff>
    </xdr:from>
    <xdr:to>
      <xdr:col>7</xdr:col>
      <xdr:colOff>143846</xdr:colOff>
      <xdr:row>361</xdr:row>
      <xdr:rowOff>186518</xdr:rowOff>
    </xdr:to>
    <xdr:grpSp>
      <xdr:nvGrpSpPr>
        <xdr:cNvPr id="52" name="Group 51"/>
        <xdr:cNvGrpSpPr/>
      </xdr:nvGrpSpPr>
      <xdr:grpSpPr>
        <a:xfrm>
          <a:off x="477487" y="63783881"/>
          <a:ext cx="5246888" cy="3828431"/>
          <a:chOff x="477487" y="50739674"/>
          <a:chExt cx="5248009" cy="3796494"/>
        </a:xfrm>
      </xdr:grpSpPr>
      <xdr:grpSp>
        <xdr:nvGrpSpPr>
          <xdr:cNvPr id="44" name="Group 43"/>
          <xdr:cNvGrpSpPr/>
        </xdr:nvGrpSpPr>
        <xdr:grpSpPr>
          <a:xfrm>
            <a:off x="477487" y="50739674"/>
            <a:ext cx="5248009" cy="3796494"/>
            <a:chOff x="477487" y="50739674"/>
            <a:chExt cx="5248009" cy="3796494"/>
          </a:xfrm>
        </xdr:grpSpPr>
        <xdr:pic>
          <xdr:nvPicPr>
            <xdr:cNvPr id="37" name="Picture 36"/>
            <xdr:cNvPicPr>
              <a:picLocks noChangeAspect="1"/>
            </xdr:cNvPicPr>
          </xdr:nvPicPr>
          <xdr:blipFill>
            <a:blip xmlns:r="http://schemas.openxmlformats.org/officeDocument/2006/relationships" r:embed="rId16"/>
            <a:stretch>
              <a:fillRect/>
            </a:stretch>
          </xdr:blipFill>
          <xdr:spPr>
            <a:xfrm>
              <a:off x="477487" y="50739674"/>
              <a:ext cx="5248009" cy="3796494"/>
            </a:xfrm>
            <a:prstGeom prst="rect">
              <a:avLst/>
            </a:prstGeom>
            <a:ln>
              <a:solidFill>
                <a:sysClr val="windowText" lastClr="000000"/>
              </a:solidFill>
            </a:ln>
          </xdr:spPr>
        </xdr:pic>
        <xdr:sp macro="" textlink="">
          <xdr:nvSpPr>
            <xdr:cNvPr id="40" name="TextBox 10"/>
            <xdr:cNvSpPr txBox="1"/>
          </xdr:nvSpPr>
          <xdr:spPr>
            <a:xfrm>
              <a:off x="2592037" y="52009963"/>
              <a:ext cx="1494188" cy="3109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Building 1</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41" name="TextBox 10"/>
            <xdr:cNvSpPr txBox="1"/>
          </xdr:nvSpPr>
          <xdr:spPr>
            <a:xfrm rot="2768378">
              <a:off x="1410937" y="51381313"/>
              <a:ext cx="1494188" cy="3109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0000FF"/>
                  </a:solidFill>
                  <a:latin typeface="Times New Roman" panose="02020603050405020304" pitchFamily="18" charset="0"/>
                  <a:cs typeface="Times New Roman" panose="02020603050405020304" pitchFamily="18" charset="0"/>
                </a:rPr>
                <a:t>Building 2</a:t>
              </a:r>
              <a:endParaRPr lang="en-IN" sz="1400" b="1">
                <a:solidFill>
                  <a:srgbClr val="0000FF"/>
                </a:solidFill>
                <a:latin typeface="Times New Roman" panose="02020603050405020304" pitchFamily="18" charset="0"/>
                <a:cs typeface="Times New Roman" panose="02020603050405020304" pitchFamily="18" charset="0"/>
              </a:endParaRPr>
            </a:p>
          </xdr:txBody>
        </xdr:sp>
        <xdr:sp macro="" textlink="">
          <xdr:nvSpPr>
            <xdr:cNvPr id="42" name="Rectangle 41"/>
            <xdr:cNvSpPr/>
          </xdr:nvSpPr>
          <xdr:spPr>
            <a:xfrm rot="2912791">
              <a:off x="564223" y="51353507"/>
              <a:ext cx="2024478" cy="813002"/>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43" name="Rectangle 42"/>
          <xdr:cNvSpPr/>
        </xdr:nvSpPr>
        <xdr:spPr>
          <a:xfrm>
            <a:off x="2183473" y="52320825"/>
            <a:ext cx="1569377" cy="704850"/>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nvGrpSpPr>
          <xdr:cNvPr id="48" name="Group 47"/>
          <xdr:cNvGrpSpPr/>
        </xdr:nvGrpSpPr>
        <xdr:grpSpPr>
          <a:xfrm rot="18388989">
            <a:off x="4876800" y="52349400"/>
            <a:ext cx="474784" cy="971636"/>
            <a:chOff x="808896" y="1402289"/>
            <a:chExt cx="474784" cy="971636"/>
          </a:xfrm>
        </xdr:grpSpPr>
        <xdr:sp macro="" textlink="">
          <xdr:nvSpPr>
            <xdr:cNvPr id="49" name="Right Arrow 48"/>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50" name="TextBox 44"/>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8</xdr:col>
      <xdr:colOff>468966</xdr:colOff>
      <xdr:row>59</xdr:row>
      <xdr:rowOff>59952</xdr:rowOff>
    </xdr:from>
    <xdr:to>
      <xdr:col>15</xdr:col>
      <xdr:colOff>698434</xdr:colOff>
      <xdr:row>70</xdr:row>
      <xdr:rowOff>31741</xdr:rowOff>
    </xdr:to>
    <xdr:pic>
      <xdr:nvPicPr>
        <xdr:cNvPr id="53" name="Picture 52"/>
        <xdr:cNvPicPr>
          <a:picLocks noChangeAspect="1"/>
        </xdr:cNvPicPr>
      </xdr:nvPicPr>
      <xdr:blipFill>
        <a:blip xmlns:r="http://schemas.openxmlformats.org/officeDocument/2006/relationships" r:embed="rId17"/>
        <a:stretch>
          <a:fillRect/>
        </a:stretch>
      </xdr:blipFill>
      <xdr:spPr>
        <a:xfrm>
          <a:off x="6777878" y="12352805"/>
          <a:ext cx="6224615" cy="2627583"/>
        </a:xfrm>
        <a:prstGeom prst="rect">
          <a:avLst/>
        </a:prstGeom>
      </xdr:spPr>
    </xdr:pic>
    <xdr:clientData/>
  </xdr:twoCellAnchor>
  <xdr:twoCellAnchor>
    <xdr:from>
      <xdr:col>0</xdr:col>
      <xdr:colOff>170073</xdr:colOff>
      <xdr:row>298</xdr:row>
      <xdr:rowOff>180974</xdr:rowOff>
    </xdr:from>
    <xdr:to>
      <xdr:col>7</xdr:col>
      <xdr:colOff>400050</xdr:colOff>
      <xdr:row>336</xdr:row>
      <xdr:rowOff>154715</xdr:rowOff>
    </xdr:to>
    <xdr:grpSp>
      <xdr:nvGrpSpPr>
        <xdr:cNvPr id="54" name="Group 53"/>
        <xdr:cNvGrpSpPr/>
      </xdr:nvGrpSpPr>
      <xdr:grpSpPr>
        <a:xfrm>
          <a:off x="170073" y="54899298"/>
          <a:ext cx="5810506" cy="7638564"/>
          <a:chOff x="415655" y="2817013"/>
          <a:chExt cx="5918174" cy="6759452"/>
        </a:xfrm>
      </xdr:grpSpPr>
      <xdr:pic>
        <xdr:nvPicPr>
          <xdr:cNvPr id="55" name="Picture 54" descr="https://vsjcllp.vsjadon.com/upload/insp-239561-152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93114" y="7942410"/>
            <a:ext cx="1224265" cy="1634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9561-843.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56496" y="281701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9561-84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66966" y="281701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39561-844.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173038" y="5037052"/>
            <a:ext cx="2078305" cy="2773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9561-86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15655" y="5054631"/>
            <a:ext cx="3695190" cy="2773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39561-874.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714978" y="7930509"/>
            <a:ext cx="2176721" cy="1634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39561-849.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50703" y="7930866"/>
            <a:ext cx="2176721" cy="16340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217394</xdr:colOff>
      <xdr:row>48</xdr:row>
      <xdr:rowOff>51546</xdr:rowOff>
    </xdr:from>
    <xdr:to>
      <xdr:col>15</xdr:col>
      <xdr:colOff>731823</xdr:colOff>
      <xdr:row>75</xdr:row>
      <xdr:rowOff>75280</xdr:rowOff>
    </xdr:to>
    <xdr:pic>
      <xdr:nvPicPr>
        <xdr:cNvPr id="62" name="Picture 61"/>
        <xdr:cNvPicPr>
          <a:picLocks noChangeAspect="1"/>
        </xdr:cNvPicPr>
      </xdr:nvPicPr>
      <xdr:blipFill>
        <a:blip xmlns:r="http://schemas.openxmlformats.org/officeDocument/2006/relationships" r:embed="rId25"/>
        <a:stretch>
          <a:fillRect/>
        </a:stretch>
      </xdr:blipFill>
      <xdr:spPr>
        <a:xfrm>
          <a:off x="8453718" y="10708340"/>
          <a:ext cx="4582164" cy="5458587"/>
        </a:xfrm>
        <a:prstGeom prst="rect">
          <a:avLst/>
        </a:prstGeom>
      </xdr:spPr>
    </xdr:pic>
    <xdr:clientData/>
  </xdr:twoCellAnchor>
  <xdr:twoCellAnchor editAs="oneCell">
    <xdr:from>
      <xdr:col>13</xdr:col>
      <xdr:colOff>115137</xdr:colOff>
      <xdr:row>204</xdr:row>
      <xdr:rowOff>21981</xdr:rowOff>
    </xdr:from>
    <xdr:to>
      <xdr:col>19</xdr:col>
      <xdr:colOff>10959</xdr:colOff>
      <xdr:row>231</xdr:row>
      <xdr:rowOff>112570</xdr:rowOff>
    </xdr:to>
    <xdr:pic>
      <xdr:nvPicPr>
        <xdr:cNvPr id="63" name="Picture 62"/>
        <xdr:cNvPicPr>
          <a:picLocks noChangeAspect="1"/>
        </xdr:cNvPicPr>
      </xdr:nvPicPr>
      <xdr:blipFill>
        <a:blip xmlns:r="http://schemas.openxmlformats.org/officeDocument/2006/relationships" r:embed="rId26"/>
        <a:stretch>
          <a:fillRect/>
        </a:stretch>
      </xdr:blipFill>
      <xdr:spPr>
        <a:xfrm>
          <a:off x="10769530" y="35155624"/>
          <a:ext cx="4277322" cy="5601482"/>
        </a:xfrm>
        <a:prstGeom prst="rect">
          <a:avLst/>
        </a:prstGeom>
      </xdr:spPr>
    </xdr:pic>
    <xdr:clientData/>
  </xdr:twoCellAnchor>
  <xdr:twoCellAnchor editAs="oneCell">
    <xdr:from>
      <xdr:col>11</xdr:col>
      <xdr:colOff>592633</xdr:colOff>
      <xdr:row>115</xdr:row>
      <xdr:rowOff>81643</xdr:rowOff>
    </xdr:from>
    <xdr:to>
      <xdr:col>19</xdr:col>
      <xdr:colOff>233562</xdr:colOff>
      <xdr:row>157</xdr:row>
      <xdr:rowOff>2633</xdr:rowOff>
    </xdr:to>
    <xdr:pic>
      <xdr:nvPicPr>
        <xdr:cNvPr id="64" name="Picture 63"/>
        <xdr:cNvPicPr>
          <a:picLocks noChangeAspect="1"/>
        </xdr:cNvPicPr>
      </xdr:nvPicPr>
      <xdr:blipFill>
        <a:blip xmlns:r="http://schemas.openxmlformats.org/officeDocument/2006/relationships" r:embed="rId27"/>
        <a:stretch>
          <a:fillRect/>
        </a:stretch>
      </xdr:blipFill>
      <xdr:spPr>
        <a:xfrm>
          <a:off x="9532526" y="21567322"/>
          <a:ext cx="5736929" cy="3985443"/>
        </a:xfrm>
        <a:prstGeom prst="rect">
          <a:avLst/>
        </a:prstGeom>
      </xdr:spPr>
    </xdr:pic>
    <xdr:clientData/>
  </xdr:twoCellAnchor>
  <xdr:twoCellAnchor editAs="oneCell">
    <xdr:from>
      <xdr:col>12</xdr:col>
      <xdr:colOff>407414</xdr:colOff>
      <xdr:row>204</xdr:row>
      <xdr:rowOff>176091</xdr:rowOff>
    </xdr:from>
    <xdr:to>
      <xdr:col>26</xdr:col>
      <xdr:colOff>140090</xdr:colOff>
      <xdr:row>225</xdr:row>
      <xdr:rowOff>64773</xdr:rowOff>
    </xdr:to>
    <xdr:pic>
      <xdr:nvPicPr>
        <xdr:cNvPr id="24" name="Picture 23"/>
        <xdr:cNvPicPr>
          <a:picLocks noChangeAspect="1"/>
        </xdr:cNvPicPr>
      </xdr:nvPicPr>
      <xdr:blipFill>
        <a:blip xmlns:r="http://schemas.openxmlformats.org/officeDocument/2006/relationships" r:embed="rId28"/>
        <a:stretch>
          <a:fillRect/>
        </a:stretch>
      </xdr:blipFill>
      <xdr:spPr>
        <a:xfrm>
          <a:off x="10268590" y="35015179"/>
          <a:ext cx="9246471" cy="4124506"/>
        </a:xfrm>
        <a:prstGeom prst="rect">
          <a:avLst/>
        </a:prstGeom>
      </xdr:spPr>
    </xdr:pic>
    <xdr:clientData/>
  </xdr:twoCellAnchor>
  <xdr:twoCellAnchor editAs="oneCell">
    <xdr:from>
      <xdr:col>13</xdr:col>
      <xdr:colOff>686029</xdr:colOff>
      <xdr:row>227</xdr:row>
      <xdr:rowOff>178347</xdr:rowOff>
    </xdr:from>
    <xdr:to>
      <xdr:col>25</xdr:col>
      <xdr:colOff>155128</xdr:colOff>
      <xdr:row>250</xdr:row>
      <xdr:rowOff>67831</xdr:rowOff>
    </xdr:to>
    <xdr:pic>
      <xdr:nvPicPr>
        <xdr:cNvPr id="26" name="Picture 25"/>
        <xdr:cNvPicPr>
          <a:picLocks noChangeAspect="1"/>
        </xdr:cNvPicPr>
      </xdr:nvPicPr>
      <xdr:blipFill>
        <a:blip xmlns:r="http://schemas.openxmlformats.org/officeDocument/2006/relationships" r:embed="rId29"/>
        <a:stretch>
          <a:fillRect/>
        </a:stretch>
      </xdr:blipFill>
      <xdr:spPr>
        <a:xfrm>
          <a:off x="11342823" y="39656671"/>
          <a:ext cx="7582158" cy="4528719"/>
        </a:xfrm>
        <a:prstGeom prst="rect">
          <a:avLst/>
        </a:prstGeom>
      </xdr:spPr>
    </xdr:pic>
    <xdr:clientData/>
  </xdr:twoCellAnchor>
  <xdr:twoCellAnchor editAs="oneCell">
    <xdr:from>
      <xdr:col>14</xdr:col>
      <xdr:colOff>212546</xdr:colOff>
      <xdr:row>218</xdr:row>
      <xdr:rowOff>16370</xdr:rowOff>
    </xdr:from>
    <xdr:to>
      <xdr:col>28</xdr:col>
      <xdr:colOff>398127</xdr:colOff>
      <xdr:row>240</xdr:row>
      <xdr:rowOff>62239</xdr:rowOff>
    </xdr:to>
    <xdr:pic>
      <xdr:nvPicPr>
        <xdr:cNvPr id="27" name="Picture 26"/>
        <xdr:cNvPicPr>
          <a:picLocks noChangeAspect="1"/>
        </xdr:cNvPicPr>
      </xdr:nvPicPr>
      <xdr:blipFill>
        <a:blip xmlns:r="http://schemas.openxmlformats.org/officeDocument/2006/relationships" r:embed="rId30"/>
        <a:stretch>
          <a:fillRect/>
        </a:stretch>
      </xdr:blipFill>
      <xdr:spPr>
        <a:xfrm>
          <a:off x="11709781" y="37679341"/>
          <a:ext cx="9273552" cy="4483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1098175</xdr:colOff>
      <xdr:row>6</xdr:row>
      <xdr:rowOff>156882</xdr:rowOff>
    </xdr:from>
    <xdr:to>
      <xdr:col>6</xdr:col>
      <xdr:colOff>1102741</xdr:colOff>
      <xdr:row>25</xdr:row>
      <xdr:rowOff>137382</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80881" y="1311088"/>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UQEoiCBT4EA6mzt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6"/>
  <sheetViews>
    <sheetView tabSelected="1" view="pageBreakPreview" topLeftCell="A178" zoomScale="85" zoomScaleNormal="100" zoomScaleSheetLayoutView="85" zoomScalePageLayoutView="85" workbookViewId="0">
      <selection activeCell="J191" sqref="J191"/>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89" t="s">
        <v>159</v>
      </c>
      <c r="B1" s="189"/>
      <c r="C1" s="189"/>
      <c r="D1" s="189"/>
      <c r="E1" s="189"/>
      <c r="F1" s="189"/>
      <c r="G1" s="189"/>
      <c r="H1" s="189"/>
    </row>
    <row r="2" spans="1:26" ht="16.5" customHeight="1" x14ac:dyDescent="0.25">
      <c r="A2" s="177" t="s">
        <v>0</v>
      </c>
      <c r="B2" s="177"/>
      <c r="C2" s="177"/>
      <c r="D2" s="177"/>
      <c r="E2" s="177"/>
      <c r="F2" s="177"/>
      <c r="G2" s="177"/>
      <c r="H2" s="177"/>
    </row>
    <row r="3" spans="1:26" x14ac:dyDescent="0.25">
      <c r="A3" s="137" t="s">
        <v>1</v>
      </c>
      <c r="B3" s="137"/>
      <c r="C3" s="137"/>
      <c r="D3" s="137"/>
      <c r="E3" s="137" t="str">
        <f ca="1">TEXT(TODAY(),"DD/MM/YYYY")</f>
        <v>09/07/2025</v>
      </c>
      <c r="F3" s="137"/>
      <c r="G3" s="137"/>
      <c r="H3" s="137"/>
      <c r="K3" s="54" t="s">
        <v>229</v>
      </c>
      <c r="L3" s="53" t="s">
        <v>227</v>
      </c>
      <c r="M3" s="53" t="s">
        <v>232</v>
      </c>
      <c r="N3" s="53" t="s">
        <v>230</v>
      </c>
      <c r="O3" s="53" t="s">
        <v>231</v>
      </c>
      <c r="P3" s="53" t="s">
        <v>233</v>
      </c>
    </row>
    <row r="4" spans="1:26" ht="15" customHeight="1" x14ac:dyDescent="0.25">
      <c r="A4" s="137" t="s">
        <v>226</v>
      </c>
      <c r="B4" s="137"/>
      <c r="C4" s="137"/>
      <c r="D4" s="137"/>
      <c r="E4" s="137" t="s">
        <v>227</v>
      </c>
      <c r="F4" s="137"/>
      <c r="G4" s="137"/>
      <c r="H4" s="137"/>
      <c r="K4" s="52" t="s">
        <v>228</v>
      </c>
      <c r="L4" s="53" t="s">
        <v>165</v>
      </c>
      <c r="M4" s="53" t="s">
        <v>237</v>
      </c>
      <c r="N4" s="53" t="s">
        <v>239</v>
      </c>
      <c r="O4" s="53" t="s">
        <v>241</v>
      </c>
      <c r="P4" s="53"/>
    </row>
    <row r="5" spans="1:26" ht="15" customHeight="1" x14ac:dyDescent="0.25">
      <c r="A5" s="137" t="s">
        <v>2</v>
      </c>
      <c r="B5" s="137"/>
      <c r="C5" s="137"/>
      <c r="D5" s="137"/>
      <c r="E5" s="137" t="s">
        <v>234</v>
      </c>
      <c r="F5" s="137"/>
      <c r="G5" s="137"/>
      <c r="H5" s="137"/>
      <c r="K5" s="52"/>
      <c r="L5" s="53" t="s">
        <v>234</v>
      </c>
      <c r="M5" s="53" t="s">
        <v>238</v>
      </c>
      <c r="N5" s="53" t="s">
        <v>240</v>
      </c>
      <c r="O5" s="53" t="s">
        <v>242</v>
      </c>
      <c r="P5" s="53"/>
    </row>
    <row r="6" spans="1:26" x14ac:dyDescent="0.25">
      <c r="A6" s="137" t="s">
        <v>3</v>
      </c>
      <c r="B6" s="137"/>
      <c r="C6" s="137"/>
      <c r="D6" s="137"/>
      <c r="E6" s="191">
        <v>45846</v>
      </c>
      <c r="F6" s="102"/>
      <c r="G6" s="102"/>
      <c r="H6" s="102"/>
      <c r="K6" s="52"/>
      <c r="L6" s="53" t="s">
        <v>235</v>
      </c>
      <c r="M6" s="53"/>
      <c r="N6" s="53"/>
      <c r="O6" s="53" t="s">
        <v>243</v>
      </c>
      <c r="P6" s="53"/>
    </row>
    <row r="7" spans="1:26" ht="16.5" customHeight="1" x14ac:dyDescent="0.25">
      <c r="A7" s="137" t="s">
        <v>4</v>
      </c>
      <c r="B7" s="137"/>
      <c r="C7" s="137"/>
      <c r="D7" s="137"/>
      <c r="E7" s="137" t="s">
        <v>295</v>
      </c>
      <c r="F7" s="137"/>
      <c r="G7" s="137"/>
      <c r="H7" s="137"/>
      <c r="K7" s="52"/>
      <c r="L7" s="53" t="s">
        <v>236</v>
      </c>
      <c r="M7" s="53"/>
      <c r="N7" s="53"/>
      <c r="O7" s="53" t="s">
        <v>243</v>
      </c>
      <c r="P7" s="53"/>
    </row>
    <row r="8" spans="1:26" ht="15" customHeight="1" x14ac:dyDescent="0.25">
      <c r="A8" s="137" t="s">
        <v>5</v>
      </c>
      <c r="B8" s="137"/>
      <c r="C8" s="137"/>
      <c r="D8" s="137"/>
      <c r="E8" s="137" t="str">
        <f>E7</f>
        <v>Saiyogi Developers LLP</v>
      </c>
      <c r="F8" s="137"/>
      <c r="G8" s="137"/>
      <c r="H8" s="137"/>
      <c r="K8" s="52"/>
      <c r="L8" s="53"/>
      <c r="M8" s="53"/>
      <c r="N8" s="53"/>
      <c r="O8" s="53" t="s">
        <v>244</v>
      </c>
      <c r="P8" s="53"/>
    </row>
    <row r="9" spans="1:26" x14ac:dyDescent="0.25">
      <c r="A9" s="137" t="s">
        <v>6</v>
      </c>
      <c r="B9" s="137"/>
      <c r="C9" s="137"/>
      <c r="D9" s="137"/>
      <c r="E9" s="190" t="s">
        <v>296</v>
      </c>
      <c r="F9" s="190"/>
      <c r="G9" s="190"/>
      <c r="H9" s="190"/>
      <c r="K9" s="52"/>
      <c r="L9" s="53"/>
      <c r="M9" s="53"/>
      <c r="N9" s="53"/>
      <c r="O9" s="53" t="s">
        <v>245</v>
      </c>
      <c r="P9" s="53"/>
    </row>
    <row r="10" spans="1:26" x14ac:dyDescent="0.25">
      <c r="A10" s="137" t="s">
        <v>162</v>
      </c>
      <c r="B10" s="137"/>
      <c r="C10" s="137"/>
      <c r="D10" s="137"/>
      <c r="E10" s="137">
        <v>9892763400</v>
      </c>
      <c r="F10" s="137"/>
      <c r="G10" s="137"/>
      <c r="H10" s="137"/>
      <c r="K10" s="52"/>
      <c r="L10" s="53"/>
      <c r="M10" s="53"/>
      <c r="N10" s="53"/>
      <c r="O10" s="53"/>
      <c r="P10" s="53"/>
    </row>
    <row r="11" spans="1:26" x14ac:dyDescent="0.25">
      <c r="A11" s="137" t="s">
        <v>163</v>
      </c>
      <c r="B11" s="137"/>
      <c r="C11" s="137"/>
      <c r="D11" s="137"/>
      <c r="E11" s="102" t="s">
        <v>325</v>
      </c>
      <c r="F11" s="102"/>
      <c r="G11" s="102"/>
      <c r="H11" s="102"/>
      <c r="I11" s="102" t="s">
        <v>306</v>
      </c>
      <c r="J11" s="102"/>
      <c r="K11" s="102"/>
      <c r="L11" s="102"/>
    </row>
    <row r="12" spans="1:26" x14ac:dyDescent="0.25">
      <c r="A12" s="137" t="s">
        <v>7</v>
      </c>
      <c r="B12" s="137"/>
      <c r="C12" s="137"/>
      <c r="D12" s="137"/>
      <c r="E12" s="137" t="s">
        <v>326</v>
      </c>
      <c r="F12" s="137"/>
      <c r="G12" s="137"/>
      <c r="H12" s="137"/>
    </row>
    <row r="13" spans="1:26" x14ac:dyDescent="0.25">
      <c r="A13" s="137" t="s">
        <v>166</v>
      </c>
      <c r="B13" s="137"/>
      <c r="C13" s="137"/>
      <c r="D13" s="137"/>
      <c r="E13" s="137" t="s">
        <v>28</v>
      </c>
      <c r="F13" s="137"/>
      <c r="G13" s="137"/>
      <c r="H13" s="137"/>
      <c r="S13" s="53" t="s">
        <v>172</v>
      </c>
      <c r="T13" s="53" t="s">
        <v>182</v>
      </c>
      <c r="U13" s="53" t="s">
        <v>167</v>
      </c>
      <c r="V13" s="53" t="s">
        <v>187</v>
      </c>
      <c r="W13" s="53" t="s">
        <v>205</v>
      </c>
      <c r="X13"/>
      <c r="Y13" t="s">
        <v>187</v>
      </c>
      <c r="Z13" t="e">
        <f ca="1">OFFSET($S$13,1,MATCH($G20,$S$13:$W$13,0)-1,15,1)</f>
        <v>#VALUE!</v>
      </c>
    </row>
    <row r="14" spans="1:26" s="22" customFormat="1" x14ac:dyDescent="0.25">
      <c r="A14" s="137" t="s">
        <v>272</v>
      </c>
      <c r="B14" s="137"/>
      <c r="C14" s="137"/>
      <c r="D14" s="137"/>
      <c r="E14" s="136" t="s">
        <v>322</v>
      </c>
      <c r="F14" s="136"/>
      <c r="G14" s="136"/>
      <c r="H14" s="136"/>
      <c r="S14" s="71" t="s">
        <v>173</v>
      </c>
      <c r="T14" s="71" t="s">
        <v>180</v>
      </c>
      <c r="U14" s="71" t="s">
        <v>202</v>
      </c>
      <c r="V14" s="71" t="s">
        <v>188</v>
      </c>
      <c r="W14" s="71" t="s">
        <v>206</v>
      </c>
      <c r="X14" s="72"/>
      <c r="Y14" s="72"/>
      <c r="Z14" s="72"/>
    </row>
    <row r="15" spans="1:26" x14ac:dyDescent="0.25">
      <c r="A15" s="114" t="s">
        <v>8</v>
      </c>
      <c r="B15" s="114"/>
      <c r="C15" s="114"/>
      <c r="D15" s="114"/>
      <c r="E15" s="136" t="s">
        <v>297</v>
      </c>
      <c r="F15" s="137"/>
      <c r="G15" s="137"/>
      <c r="H15" s="137"/>
      <c r="I15" s="110" t="e">
        <f ca="1">OFFSET($D$5,1,MATCH($J13,$D$5:$H$5,0)-1,15,1)</f>
        <v>#N/A</v>
      </c>
      <c r="J15" s="111"/>
      <c r="K15" s="111"/>
      <c r="L15" s="111"/>
      <c r="M15" s="111"/>
      <c r="N15" s="111"/>
      <c r="O15" s="111"/>
      <c r="P15" s="111"/>
      <c r="S15" s="53" t="s">
        <v>174</v>
      </c>
      <c r="T15" s="53" t="s">
        <v>181</v>
      </c>
      <c r="U15" s="53" t="s">
        <v>203</v>
      </c>
      <c r="V15" s="53" t="s">
        <v>189</v>
      </c>
      <c r="W15" s="53" t="s">
        <v>219</v>
      </c>
      <c r="X15"/>
      <c r="Y15"/>
      <c r="Z15"/>
    </row>
    <row r="16" spans="1:26" ht="34.5" customHeight="1" x14ac:dyDescent="0.25">
      <c r="A16" s="121" t="s">
        <v>9</v>
      </c>
      <c r="B16" s="121"/>
      <c r="C16" s="121" t="str">
        <f>CONCATENATE((IF(OR(E9="",E9="NA"),"",E9)),", ",(IF(OR(A17="",A17="NA"),"",A17)),".",(IF(OR(C17="",C17="NA"),"",C17)),", near ",(IF(OR(C22="",C22="NA"),"",C22)),", ",(IF(OR(C19="",C19="NA"),"",C19)),", ",(IF(OR(C18="",C18="NA"),"",C18)),", ",(IF(OR(G19="",G19="NA"),"",G19)),", ",(IF(OR(C20="",C20="NA"),"",C20)),", ",(IF(OR(C21="",C21="NA"),"",C21)),", ",(IF(OR(G20="",G20="NA"),"",G20))," - ",(IF(OR(G21="",G21="NA"),"",G21)),".")</f>
        <v>Sai Residency, Gut No.77, near Manesh transport department, Internal Rd, Kirvali, Adivali, Taloja, Panvel, Raigad - 410210.</v>
      </c>
      <c r="D16" s="121"/>
      <c r="E16" s="121"/>
      <c r="F16" s="121"/>
      <c r="G16" s="121"/>
      <c r="H16" s="121"/>
      <c r="S16" s="53" t="s">
        <v>175</v>
      </c>
      <c r="T16" s="53" t="s">
        <v>183</v>
      </c>
      <c r="U16" s="53" t="s">
        <v>204</v>
      </c>
      <c r="V16" s="53" t="s">
        <v>190</v>
      </c>
      <c r="W16" s="53" t="s">
        <v>207</v>
      </c>
      <c r="X16"/>
      <c r="Y16"/>
      <c r="Z16"/>
    </row>
    <row r="17" spans="1:26" x14ac:dyDescent="0.25">
      <c r="A17" s="136" t="s">
        <v>298</v>
      </c>
      <c r="B17" s="136"/>
      <c r="C17" s="136">
        <v>77</v>
      </c>
      <c r="D17" s="136"/>
      <c r="E17" s="136"/>
      <c r="F17" s="136"/>
      <c r="G17" s="136"/>
      <c r="H17" s="136"/>
      <c r="S17" s="53" t="s">
        <v>176</v>
      </c>
      <c r="T17" s="53" t="s">
        <v>184</v>
      </c>
      <c r="U17" s="53" t="s">
        <v>167</v>
      </c>
      <c r="V17" s="53" t="s">
        <v>191</v>
      </c>
      <c r="W17" s="53" t="s">
        <v>208</v>
      </c>
      <c r="X17"/>
      <c r="Y17"/>
      <c r="Z17"/>
    </row>
    <row r="18" spans="1:26" ht="15.75" customHeight="1" x14ac:dyDescent="0.25">
      <c r="A18" s="136" t="s">
        <v>157</v>
      </c>
      <c r="B18" s="136"/>
      <c r="C18" s="136" t="s">
        <v>309</v>
      </c>
      <c r="D18" s="136"/>
      <c r="E18" s="136"/>
      <c r="F18" s="136"/>
      <c r="G18" s="136"/>
      <c r="H18" s="136"/>
      <c r="S18" s="53" t="s">
        <v>177</v>
      </c>
      <c r="T18" s="53" t="s">
        <v>182</v>
      </c>
      <c r="U18" s="53"/>
      <c r="V18" s="53" t="s">
        <v>192</v>
      </c>
      <c r="W18" s="53" t="s">
        <v>209</v>
      </c>
      <c r="X18"/>
      <c r="Y18"/>
      <c r="Z18"/>
    </row>
    <row r="19" spans="1:26" ht="15.75" customHeight="1" x14ac:dyDescent="0.25">
      <c r="A19" s="121" t="s">
        <v>10</v>
      </c>
      <c r="B19" s="121"/>
      <c r="C19" s="137" t="s">
        <v>323</v>
      </c>
      <c r="D19" s="137"/>
      <c r="E19" s="121" t="s">
        <v>69</v>
      </c>
      <c r="F19" s="121"/>
      <c r="G19" s="136" t="s">
        <v>310</v>
      </c>
      <c r="H19" s="136"/>
      <c r="S19" s="53" t="s">
        <v>178</v>
      </c>
      <c r="T19" s="53" t="s">
        <v>185</v>
      </c>
      <c r="U19" s="53"/>
      <c r="V19" s="53" t="s">
        <v>193</v>
      </c>
      <c r="W19" s="53" t="s">
        <v>210</v>
      </c>
      <c r="X19"/>
      <c r="Y19"/>
      <c r="Z19"/>
    </row>
    <row r="20" spans="1:26" x14ac:dyDescent="0.25">
      <c r="A20" s="114" t="s">
        <v>12</v>
      </c>
      <c r="B20" s="114"/>
      <c r="C20" s="136" t="s">
        <v>311</v>
      </c>
      <c r="D20" s="136"/>
      <c r="E20" s="136" t="s">
        <v>11</v>
      </c>
      <c r="F20" s="136"/>
      <c r="G20" s="195" t="s">
        <v>187</v>
      </c>
      <c r="H20" s="195"/>
      <c r="S20" s="53" t="s">
        <v>179</v>
      </c>
      <c r="T20" s="53" t="s">
        <v>186</v>
      </c>
      <c r="U20" s="53"/>
      <c r="V20" s="53" t="s">
        <v>194</v>
      </c>
      <c r="W20" s="53" t="s">
        <v>211</v>
      </c>
      <c r="X20"/>
      <c r="Y20"/>
      <c r="Z20"/>
    </row>
    <row r="21" spans="1:26" x14ac:dyDescent="0.25">
      <c r="A21" s="114" t="s">
        <v>70</v>
      </c>
      <c r="B21" s="114"/>
      <c r="C21" s="136" t="s">
        <v>189</v>
      </c>
      <c r="D21" s="136"/>
      <c r="E21" s="136" t="s">
        <v>13</v>
      </c>
      <c r="F21" s="136"/>
      <c r="G21" s="136">
        <v>410210</v>
      </c>
      <c r="H21" s="136"/>
      <c r="S21" s="53"/>
      <c r="T21" s="53"/>
      <c r="U21" s="53"/>
      <c r="V21" s="53" t="s">
        <v>195</v>
      </c>
      <c r="W21" s="53" t="s">
        <v>212</v>
      </c>
      <c r="X21"/>
      <c r="Y21"/>
      <c r="Z21"/>
    </row>
    <row r="22" spans="1:26" ht="45" customHeight="1" x14ac:dyDescent="0.25">
      <c r="A22" s="114" t="s">
        <v>116</v>
      </c>
      <c r="B22" s="114"/>
      <c r="C22" s="136" t="s">
        <v>313</v>
      </c>
      <c r="D22" s="136"/>
      <c r="E22" s="136" t="s">
        <v>14</v>
      </c>
      <c r="F22" s="136"/>
      <c r="G22" s="136" t="s">
        <v>312</v>
      </c>
      <c r="H22" s="136"/>
      <c r="S22" s="53"/>
      <c r="T22" s="53"/>
      <c r="U22" s="53"/>
      <c r="V22" s="53" t="s">
        <v>196</v>
      </c>
      <c r="W22" s="53" t="s">
        <v>213</v>
      </c>
      <c r="X22"/>
      <c r="Y22"/>
      <c r="Z22"/>
    </row>
    <row r="23" spans="1:26" ht="15" customHeight="1" x14ac:dyDescent="0.25">
      <c r="A23" s="121" t="s">
        <v>72</v>
      </c>
      <c r="B23" s="121"/>
      <c r="C23" s="121"/>
      <c r="D23" s="121"/>
      <c r="E23" s="137" t="s">
        <v>15</v>
      </c>
      <c r="F23" s="137"/>
      <c r="G23" s="137"/>
      <c r="H23" s="137"/>
      <c r="S23" s="53"/>
      <c r="T23" s="53"/>
      <c r="U23" s="53"/>
      <c r="V23" s="53" t="s">
        <v>197</v>
      </c>
      <c r="W23" s="53" t="s">
        <v>214</v>
      </c>
      <c r="X23"/>
      <c r="Y23"/>
      <c r="Z23"/>
    </row>
    <row r="24" spans="1:26" ht="18.75" customHeight="1" x14ac:dyDescent="0.25">
      <c r="A24" s="121"/>
      <c r="B24" s="121"/>
      <c r="C24" s="121"/>
      <c r="D24" s="121"/>
      <c r="E24" s="137"/>
      <c r="F24" s="137"/>
      <c r="G24" s="137"/>
      <c r="H24" s="137"/>
      <c r="S24" s="53"/>
      <c r="T24" s="53"/>
      <c r="U24" s="53"/>
      <c r="V24" s="53" t="s">
        <v>198</v>
      </c>
      <c r="W24" s="53" t="s">
        <v>215</v>
      </c>
      <c r="X24"/>
      <c r="Y24"/>
      <c r="Z24"/>
    </row>
    <row r="25" spans="1:26" ht="15" customHeight="1" x14ac:dyDescent="0.25">
      <c r="A25" s="121" t="s">
        <v>16</v>
      </c>
      <c r="B25" s="121"/>
      <c r="C25" s="121"/>
      <c r="D25" s="121"/>
      <c r="E25" s="136" t="s">
        <v>17</v>
      </c>
      <c r="F25" s="136"/>
      <c r="G25" s="136"/>
      <c r="H25" s="136"/>
      <c r="S25" s="53"/>
      <c r="T25" s="53"/>
      <c r="U25" s="53"/>
      <c r="V25" s="53" t="s">
        <v>199</v>
      </c>
      <c r="W25" s="53" t="s">
        <v>216</v>
      </c>
      <c r="X25"/>
      <c r="Y25"/>
      <c r="Z25"/>
    </row>
    <row r="26" spans="1:26" ht="15" customHeight="1" x14ac:dyDescent="0.25">
      <c r="A26" s="114" t="s">
        <v>18</v>
      </c>
      <c r="B26" s="114"/>
      <c r="C26" s="114"/>
      <c r="D26" s="114"/>
      <c r="E26" s="136" t="str">
        <f>IF(AND(G20="Mumbai"),"Upper Class","Middle Class")</f>
        <v>Middle Class</v>
      </c>
      <c r="F26" s="136"/>
      <c r="G26" s="136"/>
      <c r="H26" s="136"/>
      <c r="S26" s="53"/>
      <c r="T26" s="53"/>
      <c r="U26" s="53"/>
      <c r="V26" s="53" t="s">
        <v>200</v>
      </c>
      <c r="W26" s="53" t="s">
        <v>217</v>
      </c>
      <c r="X26"/>
      <c r="Y26"/>
      <c r="Z26"/>
    </row>
    <row r="27" spans="1:26" x14ac:dyDescent="0.25">
      <c r="A27" s="114" t="s">
        <v>19</v>
      </c>
      <c r="B27" s="114"/>
      <c r="C27" s="114"/>
      <c r="D27" s="114"/>
      <c r="E27" s="136" t="s">
        <v>20</v>
      </c>
      <c r="F27" s="136"/>
      <c r="G27" s="136"/>
      <c r="H27" s="136"/>
      <c r="S27" s="53"/>
      <c r="T27" s="53"/>
      <c r="U27" s="53"/>
      <c r="V27" s="53" t="s">
        <v>201</v>
      </c>
      <c r="W27" s="53" t="s">
        <v>218</v>
      </c>
      <c r="X27"/>
      <c r="Y27"/>
      <c r="Z27"/>
    </row>
    <row r="28" spans="1:26" ht="15.75" customHeight="1" x14ac:dyDescent="0.25">
      <c r="A28" s="114" t="s">
        <v>21</v>
      </c>
      <c r="B28" s="114"/>
      <c r="C28" s="114"/>
      <c r="D28" s="114"/>
      <c r="E28" s="136" t="str">
        <f>IF(AND(G20="Mumbai"),"Developed","Developing")</f>
        <v>Developing</v>
      </c>
      <c r="F28" s="136"/>
      <c r="G28" s="136"/>
      <c r="H28" s="136"/>
    </row>
    <row r="29" spans="1:26" x14ac:dyDescent="0.25">
      <c r="A29" s="114" t="s">
        <v>22</v>
      </c>
      <c r="B29" s="114"/>
      <c r="C29" s="114"/>
      <c r="D29" s="114"/>
      <c r="E29" s="136" t="s">
        <v>23</v>
      </c>
      <c r="F29" s="136"/>
      <c r="G29" s="136"/>
      <c r="H29" s="136"/>
    </row>
    <row r="30" spans="1:26" ht="15.75" customHeight="1" x14ac:dyDescent="0.25">
      <c r="A30" s="114" t="s">
        <v>77</v>
      </c>
      <c r="B30" s="114"/>
      <c r="C30" s="114"/>
      <c r="D30" s="114"/>
      <c r="E30" s="136" t="s">
        <v>78</v>
      </c>
      <c r="F30" s="136"/>
      <c r="G30" s="136"/>
      <c r="H30" s="136"/>
    </row>
    <row r="31" spans="1:26" ht="15" customHeight="1" x14ac:dyDescent="0.25">
      <c r="A31" s="114" t="s">
        <v>30</v>
      </c>
      <c r="B31" s="114"/>
      <c r="C31" s="114"/>
      <c r="D31" s="114"/>
      <c r="E31" s="13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6"/>
      <c r="G31" s="136"/>
      <c r="H31" s="136"/>
    </row>
    <row r="32" spans="1:26" ht="15.75" customHeight="1" x14ac:dyDescent="0.25">
      <c r="A32" s="114" t="s">
        <v>89</v>
      </c>
      <c r="B32" s="114"/>
      <c r="C32" s="114"/>
      <c r="D32" s="114"/>
      <c r="E32" s="136" t="s">
        <v>31</v>
      </c>
      <c r="F32" s="136"/>
      <c r="G32" s="136"/>
      <c r="H32" s="136"/>
    </row>
    <row r="33" spans="1:19" s="21" customFormat="1" x14ac:dyDescent="0.25">
      <c r="A33" s="200" t="s">
        <v>90</v>
      </c>
      <c r="B33" s="200"/>
      <c r="C33" s="197" t="s">
        <v>168</v>
      </c>
      <c r="D33" s="198"/>
      <c r="E33" s="199"/>
      <c r="F33" s="197" t="s">
        <v>29</v>
      </c>
      <c r="G33" s="198"/>
      <c r="H33" s="199"/>
      <c r="S33" s="21" t="e">
        <f ca="1">OFFSET($S$13,1,MATCH($G20,$S$13:$W$13,0)-1,15,1)</f>
        <v>#VALUE!</v>
      </c>
    </row>
    <row r="34" spans="1:19" s="21" customFormat="1" x14ac:dyDescent="0.25">
      <c r="A34" s="196" t="s">
        <v>24</v>
      </c>
      <c r="B34" s="196" t="s">
        <v>28</v>
      </c>
      <c r="C34" s="192" t="s">
        <v>315</v>
      </c>
      <c r="D34" s="193"/>
      <c r="E34" s="194"/>
      <c r="F34" s="192" t="s">
        <v>317</v>
      </c>
      <c r="G34" s="193"/>
      <c r="H34" s="194"/>
    </row>
    <row r="35" spans="1:19" x14ac:dyDescent="0.25">
      <c r="A35" s="196" t="s">
        <v>25</v>
      </c>
      <c r="B35" s="196" t="s">
        <v>28</v>
      </c>
      <c r="C35" s="192" t="s">
        <v>314</v>
      </c>
      <c r="D35" s="193"/>
      <c r="E35" s="194"/>
      <c r="F35" s="192" t="s">
        <v>316</v>
      </c>
      <c r="G35" s="193"/>
      <c r="H35" s="194"/>
    </row>
    <row r="36" spans="1:19" s="21" customFormat="1" x14ac:dyDescent="0.25">
      <c r="A36" s="196" t="s">
        <v>27</v>
      </c>
      <c r="B36" s="196" t="s">
        <v>28</v>
      </c>
      <c r="C36" s="192" t="s">
        <v>315</v>
      </c>
      <c r="D36" s="193"/>
      <c r="E36" s="194"/>
      <c r="F36" s="192" t="s">
        <v>313</v>
      </c>
      <c r="G36" s="193"/>
      <c r="H36" s="194"/>
    </row>
    <row r="37" spans="1:19" x14ac:dyDescent="0.25">
      <c r="A37" s="196" t="s">
        <v>26</v>
      </c>
      <c r="B37" s="196" t="s">
        <v>28</v>
      </c>
      <c r="C37" s="192" t="s">
        <v>315</v>
      </c>
      <c r="D37" s="193"/>
      <c r="E37" s="194"/>
      <c r="F37" s="192" t="s">
        <v>317</v>
      </c>
      <c r="G37" s="193"/>
      <c r="H37" s="194"/>
    </row>
    <row r="38" spans="1:19" x14ac:dyDescent="0.25">
      <c r="A38" s="114" t="s">
        <v>273</v>
      </c>
      <c r="B38" s="114"/>
      <c r="C38" s="114"/>
      <c r="D38" s="114"/>
      <c r="E38" s="114"/>
      <c r="F38" s="114"/>
      <c r="G38" s="114"/>
      <c r="H38" s="114"/>
    </row>
    <row r="39" spans="1:19" ht="15.75" customHeight="1" x14ac:dyDescent="0.25">
      <c r="A39" s="114" t="s">
        <v>160</v>
      </c>
      <c r="B39" s="114"/>
      <c r="C39" s="182" t="s">
        <v>307</v>
      </c>
      <c r="D39" s="182"/>
      <c r="E39" s="182"/>
      <c r="F39" s="182"/>
      <c r="G39" s="182"/>
      <c r="H39" s="182"/>
    </row>
    <row r="40" spans="1:19" x14ac:dyDescent="0.25">
      <c r="A40" s="114" t="s">
        <v>156</v>
      </c>
      <c r="B40" s="114"/>
      <c r="C40" s="215" t="s">
        <v>308</v>
      </c>
      <c r="D40" s="136"/>
      <c r="E40" s="136"/>
      <c r="F40" s="136"/>
      <c r="G40" s="136"/>
      <c r="H40" s="136"/>
      <c r="I40" s="20" t="s">
        <v>324</v>
      </c>
    </row>
    <row r="41" spans="1:19" x14ac:dyDescent="0.25">
      <c r="A41" s="182" t="s">
        <v>32</v>
      </c>
      <c r="B41" s="182"/>
      <c r="C41" s="182"/>
      <c r="D41" s="182"/>
      <c r="E41" s="182"/>
      <c r="F41" s="182"/>
      <c r="G41" s="182"/>
      <c r="H41" s="182"/>
    </row>
    <row r="42" spans="1:19" x14ac:dyDescent="0.25">
      <c r="A42" s="114" t="s">
        <v>33</v>
      </c>
      <c r="B42" s="114"/>
      <c r="C42" s="114"/>
      <c r="D42" s="114"/>
      <c r="E42" s="204">
        <v>3773.96</v>
      </c>
      <c r="F42" s="204"/>
      <c r="G42" s="204"/>
      <c r="H42" s="204"/>
    </row>
    <row r="43" spans="1:19" x14ac:dyDescent="0.25">
      <c r="A43" s="114" t="s">
        <v>34</v>
      </c>
      <c r="B43" s="114"/>
      <c r="C43" s="114"/>
      <c r="D43" s="114"/>
      <c r="E43" s="123">
        <f>4151.35/E42</f>
        <v>1.0999984101580305</v>
      </c>
      <c r="F43" s="123"/>
      <c r="G43" s="123"/>
      <c r="H43" s="123"/>
    </row>
    <row r="44" spans="1:19" x14ac:dyDescent="0.25">
      <c r="A44" s="114" t="s">
        <v>35</v>
      </c>
      <c r="B44" s="114"/>
      <c r="C44" s="114"/>
      <c r="D44" s="114"/>
      <c r="E44" s="123">
        <f>E46/E42-E43</f>
        <v>1.8363522665847012</v>
      </c>
      <c r="F44" s="123"/>
      <c r="G44" s="123"/>
      <c r="H44" s="123"/>
    </row>
    <row r="45" spans="1:19" x14ac:dyDescent="0.25">
      <c r="A45" s="114" t="s">
        <v>36</v>
      </c>
      <c r="B45" s="114"/>
      <c r="C45" s="114"/>
      <c r="D45" s="114"/>
      <c r="E45" s="123">
        <f>E43+E44</f>
        <v>2.9363506767427316</v>
      </c>
      <c r="F45" s="123"/>
      <c r="G45" s="123"/>
      <c r="H45" s="123"/>
      <c r="I45" s="63">
        <f>E46/E42</f>
        <v>2.9363506767427316</v>
      </c>
    </row>
    <row r="46" spans="1:19" x14ac:dyDescent="0.25">
      <c r="A46" s="114" t="s">
        <v>88</v>
      </c>
      <c r="B46" s="114"/>
      <c r="C46" s="114"/>
      <c r="D46" s="114"/>
      <c r="E46" s="120">
        <v>11081.67</v>
      </c>
      <c r="F46" s="120"/>
      <c r="G46" s="120"/>
      <c r="H46" s="120"/>
    </row>
    <row r="47" spans="1:19" x14ac:dyDescent="0.25">
      <c r="A47" s="137" t="s">
        <v>37</v>
      </c>
      <c r="B47" s="137"/>
      <c r="C47" s="137"/>
      <c r="D47" s="137"/>
      <c r="E47" s="137" t="s">
        <v>327</v>
      </c>
      <c r="F47" s="137"/>
      <c r="G47" s="137"/>
      <c r="H47" s="137"/>
    </row>
    <row r="48" spans="1:19" x14ac:dyDescent="0.25">
      <c r="A48" s="182" t="s">
        <v>38</v>
      </c>
      <c r="B48" s="182"/>
      <c r="C48" s="182"/>
      <c r="D48" s="182"/>
      <c r="E48" s="182"/>
      <c r="F48" s="182"/>
      <c r="G48" s="182"/>
      <c r="H48" s="182"/>
    </row>
    <row r="49" spans="1:24" ht="33.75" customHeight="1" x14ac:dyDescent="0.25">
      <c r="A49" s="131" t="s">
        <v>145</v>
      </c>
      <c r="B49" s="132"/>
      <c r="C49" s="218" t="s">
        <v>263</v>
      </c>
      <c r="D49" s="219"/>
      <c r="E49" s="219"/>
      <c r="F49" s="219"/>
      <c r="G49" s="219"/>
      <c r="H49" s="220"/>
      <c r="R49" t="s">
        <v>246</v>
      </c>
      <c r="S49" t="s">
        <v>167</v>
      </c>
      <c r="T49" t="s">
        <v>172</v>
      </c>
      <c r="U49" t="s">
        <v>187</v>
      </c>
      <c r="V49" t="s">
        <v>182</v>
      </c>
    </row>
    <row r="50" spans="1:24" ht="15.75" customHeight="1" x14ac:dyDescent="0.25">
      <c r="A50" s="131" t="s">
        <v>39</v>
      </c>
      <c r="B50" s="132"/>
      <c r="C50" s="131" t="s">
        <v>328</v>
      </c>
      <c r="D50" s="133"/>
      <c r="E50" s="132"/>
      <c r="F50" s="17" t="s">
        <v>40</v>
      </c>
      <c r="G50" s="134">
        <v>45618</v>
      </c>
      <c r="H50" s="132"/>
      <c r="R50"/>
      <c r="S50" t="s">
        <v>247</v>
      </c>
      <c r="T50" t="s">
        <v>252</v>
      </c>
      <c r="U50" t="s">
        <v>263</v>
      </c>
      <c r="V50" t="s">
        <v>268</v>
      </c>
    </row>
    <row r="51" spans="1:24" x14ac:dyDescent="0.25">
      <c r="A51" s="131" t="s">
        <v>41</v>
      </c>
      <c r="B51" s="132"/>
      <c r="C51" s="229" t="str">
        <f>C50</f>
        <v>CARPC/RB/2024/APL/00133</v>
      </c>
      <c r="D51" s="230"/>
      <c r="E51" s="231"/>
      <c r="F51" s="232" t="s">
        <v>40</v>
      </c>
      <c r="G51" s="233">
        <f>G50</f>
        <v>45618</v>
      </c>
      <c r="H51" s="231"/>
      <c r="R51"/>
      <c r="S51" t="s">
        <v>248</v>
      </c>
      <c r="T51" t="s">
        <v>253</v>
      </c>
      <c r="U51" t="s">
        <v>261</v>
      </c>
      <c r="V51" t="s">
        <v>269</v>
      </c>
    </row>
    <row r="52" spans="1:24" s="22" customFormat="1" x14ac:dyDescent="0.25">
      <c r="A52" s="144" t="s">
        <v>149</v>
      </c>
      <c r="B52" s="145"/>
      <c r="C52" s="229" t="str">
        <f>C51</f>
        <v>CARPC/RB/2024/APL/00133</v>
      </c>
      <c r="D52" s="230"/>
      <c r="E52" s="231"/>
      <c r="F52" s="232" t="s">
        <v>40</v>
      </c>
      <c r="G52" s="233">
        <f>G51</f>
        <v>45618</v>
      </c>
      <c r="H52" s="231"/>
      <c r="R52"/>
      <c r="S52" t="s">
        <v>249</v>
      </c>
      <c r="T52" t="s">
        <v>254</v>
      </c>
      <c r="U52" t="s">
        <v>251</v>
      </c>
      <c r="V52" t="s">
        <v>270</v>
      </c>
    </row>
    <row r="53" spans="1:24" s="22" customFormat="1" ht="40.5" customHeight="1" x14ac:dyDescent="0.25">
      <c r="A53" s="146"/>
      <c r="B53" s="147"/>
      <c r="C53" s="229" t="s">
        <v>329</v>
      </c>
      <c r="D53" s="230"/>
      <c r="E53" s="230"/>
      <c r="F53" s="230"/>
      <c r="G53" s="230"/>
      <c r="H53" s="231"/>
      <c r="R53"/>
      <c r="S53" t="s">
        <v>250</v>
      </c>
      <c r="T53" t="s">
        <v>257</v>
      </c>
      <c r="U53" t="s">
        <v>264</v>
      </c>
    </row>
    <row r="54" spans="1:24" s="22" customFormat="1" hidden="1" x14ac:dyDescent="0.25">
      <c r="A54" s="140" t="s">
        <v>274</v>
      </c>
      <c r="B54" s="141"/>
      <c r="C54" s="131" t="str">
        <f>C53</f>
        <v>Building 1 = Gr + 1st to 15th Floor
Building 2 = Gr + 1st to 12th Floor</v>
      </c>
      <c r="D54" s="133"/>
      <c r="E54" s="132"/>
      <c r="F54" s="17" t="s">
        <v>40</v>
      </c>
      <c r="G54" s="131"/>
      <c r="H54" s="132"/>
      <c r="R54"/>
      <c r="S54" t="s">
        <v>249</v>
      </c>
      <c r="T54" t="s">
        <v>254</v>
      </c>
      <c r="U54" t="s">
        <v>251</v>
      </c>
      <c r="V54" t="s">
        <v>270</v>
      </c>
    </row>
    <row r="55" spans="1:24" s="22" customFormat="1" ht="32.25" hidden="1" customHeight="1" x14ac:dyDescent="0.25">
      <c r="A55" s="142"/>
      <c r="B55" s="143"/>
      <c r="C55" s="221"/>
      <c r="D55" s="222"/>
      <c r="E55" s="222"/>
      <c r="F55" s="222"/>
      <c r="G55" s="222"/>
      <c r="H55" s="223"/>
      <c r="R55"/>
      <c r="S55" t="s">
        <v>251</v>
      </c>
      <c r="T55" t="s">
        <v>255</v>
      </c>
      <c r="U55" t="s">
        <v>265</v>
      </c>
      <c r="V55" s="20"/>
      <c r="W55" s="20"/>
      <c r="X55" s="20"/>
    </row>
    <row r="56" spans="1:24" s="22" customFormat="1" ht="34.5" hidden="1" customHeight="1" x14ac:dyDescent="0.25">
      <c r="A56" s="140" t="s">
        <v>275</v>
      </c>
      <c r="B56" s="141"/>
      <c r="C56" s="131">
        <f>C55</f>
        <v>0</v>
      </c>
      <c r="D56" s="133"/>
      <c r="E56" s="132"/>
      <c r="F56" s="17" t="s">
        <v>40</v>
      </c>
      <c r="G56" s="131">
        <f>G55</f>
        <v>0</v>
      </c>
      <c r="H56" s="132"/>
      <c r="R56"/>
      <c r="S56" s="20"/>
      <c r="T56" t="s">
        <v>256</v>
      </c>
      <c r="U56" t="s">
        <v>266</v>
      </c>
      <c r="V56" s="20"/>
      <c r="W56" s="20"/>
      <c r="X56" s="20"/>
    </row>
    <row r="57" spans="1:24" s="22" customFormat="1" ht="41.25" hidden="1" customHeight="1" x14ac:dyDescent="0.25">
      <c r="A57" s="142"/>
      <c r="B57" s="143"/>
      <c r="C57" s="131"/>
      <c r="D57" s="133"/>
      <c r="E57" s="133"/>
      <c r="F57" s="133"/>
      <c r="G57" s="133"/>
      <c r="H57" s="132"/>
      <c r="R57"/>
      <c r="S57" s="20"/>
      <c r="T57" t="s">
        <v>258</v>
      </c>
      <c r="U57" t="s">
        <v>267</v>
      </c>
      <c r="V57" s="20"/>
      <c r="W57" s="20"/>
      <c r="X57" s="20"/>
    </row>
    <row r="58" spans="1:24" s="22" customFormat="1" ht="15.75" hidden="1" customHeight="1" x14ac:dyDescent="0.25">
      <c r="A58" s="140" t="s">
        <v>276</v>
      </c>
      <c r="B58" s="141"/>
      <c r="C58" s="131">
        <f>C57</f>
        <v>0</v>
      </c>
      <c r="D58" s="133"/>
      <c r="E58" s="132"/>
      <c r="F58" s="17" t="s">
        <v>40</v>
      </c>
      <c r="G58" s="131">
        <f>G57</f>
        <v>0</v>
      </c>
      <c r="H58" s="132"/>
      <c r="R58"/>
      <c r="S58" s="20"/>
      <c r="T58" t="s">
        <v>259</v>
      </c>
      <c r="U58" s="20" t="s">
        <v>290</v>
      </c>
      <c r="V58" s="20"/>
      <c r="W58" s="20"/>
      <c r="X58" s="20"/>
    </row>
    <row r="59" spans="1:24" s="22" customFormat="1" ht="33.75" hidden="1" customHeight="1" x14ac:dyDescent="0.25">
      <c r="A59" s="142"/>
      <c r="B59" s="143"/>
      <c r="C59" s="131"/>
      <c r="D59" s="133"/>
      <c r="E59" s="133"/>
      <c r="F59" s="133"/>
      <c r="G59" s="133"/>
      <c r="H59" s="132"/>
      <c r="R59"/>
      <c r="S59" s="20"/>
      <c r="T59" t="s">
        <v>260</v>
      </c>
      <c r="U59" s="20"/>
      <c r="V59" s="20"/>
      <c r="W59" s="20"/>
      <c r="X59" s="20"/>
    </row>
    <row r="60" spans="1:24" x14ac:dyDescent="0.25">
      <c r="A60" s="117" t="s">
        <v>42</v>
      </c>
      <c r="B60" s="118"/>
      <c r="C60" s="117" t="s">
        <v>102</v>
      </c>
      <c r="D60" s="119"/>
      <c r="E60" s="118"/>
      <c r="F60" s="44" t="s">
        <v>40</v>
      </c>
      <c r="G60" s="138" t="s">
        <v>28</v>
      </c>
      <c r="H60" s="139"/>
      <c r="R60"/>
      <c r="T60" t="s">
        <v>262</v>
      </c>
    </row>
    <row r="61" spans="1:24" x14ac:dyDescent="0.25">
      <c r="A61" s="135" t="s">
        <v>44</v>
      </c>
      <c r="B61" s="135"/>
      <c r="C61" s="135"/>
      <c r="D61" s="135"/>
      <c r="E61" s="135"/>
      <c r="F61" s="135"/>
      <c r="G61" s="135"/>
      <c r="H61" s="135"/>
      <c r="T61" t="s">
        <v>271</v>
      </c>
    </row>
    <row r="62" spans="1:24" x14ac:dyDescent="0.25">
      <c r="A62" s="121" t="s">
        <v>87</v>
      </c>
      <c r="B62" s="121"/>
      <c r="C62" s="121"/>
      <c r="D62" s="120">
        <f>E46</f>
        <v>11081.67</v>
      </c>
      <c r="E62" s="114"/>
      <c r="F62" s="114"/>
      <c r="G62" s="114"/>
      <c r="H62" s="114"/>
      <c r="R62"/>
    </row>
    <row r="63" spans="1:24" x14ac:dyDescent="0.25">
      <c r="A63" s="136" t="s">
        <v>45</v>
      </c>
      <c r="B63" s="137"/>
      <c r="C63" s="137"/>
      <c r="D63" s="137" t="s">
        <v>356</v>
      </c>
      <c r="E63" s="137"/>
      <c r="F63" s="137"/>
      <c r="G63" s="137"/>
      <c r="H63" s="137"/>
      <c r="I63" s="23"/>
      <c r="R63"/>
    </row>
    <row r="64" spans="1:24" ht="34.5" customHeight="1" x14ac:dyDescent="0.25">
      <c r="A64" s="210" t="s">
        <v>46</v>
      </c>
      <c r="B64" s="211"/>
      <c r="C64" s="212"/>
      <c r="D64" s="188" t="s">
        <v>329</v>
      </c>
      <c r="E64" s="209"/>
      <c r="F64" s="209"/>
      <c r="G64" s="209"/>
      <c r="H64" s="209"/>
      <c r="R64"/>
    </row>
    <row r="65" spans="1:19" ht="15.75" customHeight="1" x14ac:dyDescent="0.25">
      <c r="A65" s="136" t="s">
        <v>85</v>
      </c>
      <c r="B65" s="136"/>
      <c r="C65" s="136"/>
      <c r="D65" s="137" t="s">
        <v>330</v>
      </c>
      <c r="E65" s="137"/>
      <c r="F65" s="137"/>
      <c r="G65" s="137"/>
      <c r="H65" s="137"/>
      <c r="R65"/>
    </row>
    <row r="66" spans="1:19" ht="15.75" customHeight="1" x14ac:dyDescent="0.25">
      <c r="A66" s="136"/>
      <c r="B66" s="136"/>
      <c r="C66" s="136"/>
      <c r="D66" s="137" t="s">
        <v>331</v>
      </c>
      <c r="E66" s="137"/>
      <c r="F66" s="137"/>
      <c r="G66" s="137"/>
      <c r="H66" s="137"/>
      <c r="R66"/>
    </row>
    <row r="67" spans="1:19" ht="15.75" customHeight="1" x14ac:dyDescent="0.25">
      <c r="A67" s="137" t="s">
        <v>43</v>
      </c>
      <c r="B67" s="137"/>
      <c r="C67" s="137"/>
      <c r="D67" s="136" t="s">
        <v>299</v>
      </c>
      <c r="E67" s="136"/>
      <c r="F67" s="136"/>
      <c r="G67" s="136"/>
      <c r="H67" s="136"/>
      <c r="J67" s="24"/>
      <c r="K67" s="23"/>
      <c r="N67" s="23"/>
      <c r="S67"/>
    </row>
    <row r="68" spans="1:19" ht="15.75" customHeight="1" x14ac:dyDescent="0.25">
      <c r="A68" s="137" t="s">
        <v>83</v>
      </c>
      <c r="B68" s="137"/>
      <c r="C68" s="137"/>
      <c r="D68" s="238" t="str">
        <f>(IF(G60="NA","60 Years After Completion",IF(G60&lt;&gt;"NA",""&amp;60-ROUNDDOWN((E3-G60)/360,0)&amp;" Years"," ")))</f>
        <v>60 Years After Completion</v>
      </c>
      <c r="E68" s="238"/>
      <c r="F68" s="238"/>
      <c r="G68" s="238"/>
      <c r="H68" s="238"/>
      <c r="N68" s="23"/>
      <c r="S68"/>
    </row>
    <row r="69" spans="1:19" ht="15.75" customHeight="1" x14ac:dyDescent="0.25">
      <c r="A69" s="114" t="s">
        <v>84</v>
      </c>
      <c r="B69" s="114"/>
      <c r="C69" s="114"/>
      <c r="D69" s="121" t="s">
        <v>23</v>
      </c>
      <c r="E69" s="121"/>
      <c r="F69" s="121"/>
      <c r="G69" s="121"/>
      <c r="H69" s="121"/>
      <c r="J69" s="25"/>
      <c r="K69" s="25"/>
      <c r="S69"/>
    </row>
    <row r="70" spans="1:19" ht="31.5" customHeight="1" x14ac:dyDescent="0.25">
      <c r="A70" s="137" t="s">
        <v>300</v>
      </c>
      <c r="B70" s="137"/>
      <c r="C70" s="137"/>
      <c r="D70" s="186" t="s">
        <v>321</v>
      </c>
      <c r="E70" s="186"/>
      <c r="F70" s="186"/>
      <c r="G70" s="186"/>
      <c r="H70" s="186"/>
      <c r="S70"/>
    </row>
    <row r="71" spans="1:19" x14ac:dyDescent="0.25">
      <c r="A71" s="121" t="s">
        <v>142</v>
      </c>
      <c r="B71" s="121"/>
      <c r="C71" s="121"/>
      <c r="D71" s="121" t="s">
        <v>28</v>
      </c>
      <c r="E71" s="121"/>
      <c r="F71" s="121"/>
      <c r="G71" s="121"/>
      <c r="H71" s="121"/>
      <c r="I71" s="26"/>
      <c r="J71" s="26"/>
      <c r="K71" s="26"/>
      <c r="L71" s="26"/>
      <c r="M71" s="26"/>
      <c r="N71" s="26"/>
    </row>
    <row r="72" spans="1:19" ht="15.75" customHeight="1" x14ac:dyDescent="0.25">
      <c r="A72" s="122" t="s">
        <v>82</v>
      </c>
      <c r="B72" s="122"/>
      <c r="C72" s="122"/>
      <c r="D72" s="188" t="str">
        <f ca="1">(IF(G78&gt;95%,"Nothing",IF(G78&gt;0%,"Cement, Aggregate, Steel, etc",IF(G78=0%,"Work not yet Started"))))</f>
        <v>Cement, Aggregate, Steel, etc</v>
      </c>
      <c r="E72" s="188"/>
      <c r="F72" s="188"/>
      <c r="G72" s="188"/>
      <c r="H72" s="188"/>
      <c r="J72" s="25"/>
      <c r="S72"/>
    </row>
    <row r="73" spans="1:19" ht="33.75" customHeight="1" thickBot="1" x14ac:dyDescent="0.3">
      <c r="A73" s="187" t="s">
        <v>115</v>
      </c>
      <c r="B73" s="187"/>
      <c r="C73" s="187"/>
      <c r="D73" s="188" t="str">
        <f ca="1">(IF(D72="Nothing","Yes",IF(D72="Cement, Aggregate, Steel, etc","Under Construction",IF(D72="Work not yet Started","Work not yet Started"))))</f>
        <v>Under Construction</v>
      </c>
      <c r="E73" s="188"/>
      <c r="F73" s="188" t="str">
        <f ca="1">(IF(D72="Nothing","Yes",IF(D72="Cement, Aggregate, Steel, etc","Under Construction",IF(D72="Work not yet Started","Work not yet Started"))))</f>
        <v>Under Construction</v>
      </c>
      <c r="G73" s="188"/>
      <c r="H73" s="188"/>
      <c r="S73"/>
    </row>
    <row r="74" spans="1:19" ht="15.75" customHeight="1" x14ac:dyDescent="0.25">
      <c r="A74" s="124" t="s">
        <v>134</v>
      </c>
      <c r="B74" s="125"/>
      <c r="C74" s="126" t="str">
        <f>D65</f>
        <v>Building 1 = Gr + 1st to 15th Floor</v>
      </c>
      <c r="D74" s="127"/>
      <c r="E74" s="127"/>
      <c r="F74" s="127"/>
      <c r="G74" s="127"/>
      <c r="H74" s="128"/>
      <c r="I74" s="48" t="str">
        <f ca="1">IF(D87=100%,"All work Completed. Possession granted to the Building.",IF(D86=100%,"All work Completed, Waiting for OC",I75&amp;""&amp;I76&amp;""&amp;J75&amp;""&amp;J74&amp;" "&amp;J76))</f>
        <v>Excavation, Plinth Completed, RCC upto 3 Slab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3 Slab</v>
      </c>
      <c r="S74"/>
    </row>
    <row r="75" spans="1:19" x14ac:dyDescent="0.25">
      <c r="A75" s="15" t="s">
        <v>136</v>
      </c>
      <c r="B75" s="46">
        <f>IF(AND(ISNUMBER(SEARCH("1B",C74))),1,IF(AND(ISNUMBER(SEARCH("2B",C74))),2,IF(AND(ISNUMBER(SEARCH("3B",C74))),3,IF(AND(ISNUMBER(SEARCH("4B",C74))),4,IF(ISNUMBER(SEARCH("5B",C74)),5,0)))))</f>
        <v>0</v>
      </c>
      <c r="C75" s="46" t="s">
        <v>68</v>
      </c>
      <c r="D75" s="46">
        <v>1</v>
      </c>
      <c r="E75" s="46" t="s">
        <v>67</v>
      </c>
      <c r="F75" s="46">
        <v>0</v>
      </c>
      <c r="G75" s="47" t="s">
        <v>76</v>
      </c>
      <c r="H75" s="16">
        <f ca="1">--TRIM(RIGHT(SUBSTITUTE(LEFT(C74,_xlfn.AGGREGATE(16,6,FIND({0,1,2,3,4,5,6,7,8,9},C74,ROW(INDIRECT("1:"&amp;LEN(C74)))),1))," ",REPT(" ",LEN(C74))),LEN(C74)))</f>
        <v>15</v>
      </c>
      <c r="I75" s="50" t="str">
        <f ca="1">IF(D78=100%,"Excavation","")&amp;IF(D79=100%,", Plinth","")&amp;IF(D80=100%,", RCC Slab","")&amp;IF(D81=100%,", Brickwork","")&amp;IF(D82=100%,", Internal Plaster","")&amp;IF(D83=100%,", External Plaster","")&amp;IF(D84=100%,", Flooring","")&amp;IF(D85=100%,", Painting","")&amp;IF(D86=100%,", Building common Amenities","")</f>
        <v>Excavation, Plinth</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205" t="s">
        <v>86</v>
      </c>
      <c r="B76" s="190"/>
      <c r="C76" s="213" t="str">
        <f ca="1">I74</f>
        <v>Excavation, Plinth Completed, RCC upto 3 Slab Completed</v>
      </c>
      <c r="D76" s="213"/>
      <c r="E76" s="213"/>
      <c r="F76" s="213"/>
      <c r="G76" s="213"/>
      <c r="H76" s="214"/>
      <c r="I76" s="50" t="str">
        <f ca="1">IF(I75&lt;&gt;""," Completed","")</f>
        <v xml:space="preserve"> Completed</v>
      </c>
      <c r="J76" s="51" t="str">
        <f ca="1">IF(J74&lt;&gt;"","Completed","")</f>
        <v>Completed</v>
      </c>
      <c r="S76"/>
    </row>
    <row r="77" spans="1:19" ht="15.75" customHeight="1" x14ac:dyDescent="0.25">
      <c r="A77" s="129" t="s">
        <v>47</v>
      </c>
      <c r="B77" s="130"/>
      <c r="C77" s="42" t="s">
        <v>133</v>
      </c>
      <c r="D77" s="42" t="s">
        <v>79</v>
      </c>
      <c r="E77" s="130" t="s">
        <v>81</v>
      </c>
      <c r="F77" s="130"/>
      <c r="G77" s="130" t="s">
        <v>80</v>
      </c>
      <c r="H77" s="170"/>
      <c r="I77" s="13" t="s">
        <v>135</v>
      </c>
      <c r="J77" s="27">
        <f ca="1">H75*25%</f>
        <v>3.75</v>
      </c>
      <c r="S77"/>
    </row>
    <row r="78" spans="1:19" x14ac:dyDescent="0.25">
      <c r="A78" s="129" t="s">
        <v>122</v>
      </c>
      <c r="B78" s="130"/>
      <c r="C78" s="67">
        <f ca="1">J79</f>
        <v>15</v>
      </c>
      <c r="D78" s="18">
        <f ca="1">((100/H75)*C78)/100</f>
        <v>1</v>
      </c>
      <c r="E78" s="171">
        <f ca="1">(((C79/H75*10)+(40/(D75+F75+H75)*C80)+(7.5/(H75)*C81)+(7.5/(H75)*C82)+(10/H75*C83)+(10/H75*C84)+(5/H75*C85)+(5/H75*C86)+(5/H75*C87))/100)</f>
        <v>0.17499999999999999</v>
      </c>
      <c r="F78" s="172"/>
      <c r="G78" s="171">
        <f ca="1">((((C78/H75)*20)+((C79/H75)*25)+(30/(H75+F75+D75)*C80)+(5/H75*C81)+(5/H75*C82)+(5/H75*C83)+(5/H75*C84)+(0/H75*C85)+(0/H75*C86)+(5/H75*C87))/100)</f>
        <v>0.50624999999999998</v>
      </c>
      <c r="H78" s="201"/>
      <c r="I78" s="13" t="s">
        <v>97</v>
      </c>
      <c r="J78" s="28">
        <f ca="1">H75*50%</f>
        <v>7.5</v>
      </c>
    </row>
    <row r="79" spans="1:19" x14ac:dyDescent="0.25">
      <c r="A79" s="129" t="s">
        <v>48</v>
      </c>
      <c r="B79" s="130"/>
      <c r="C79" s="68">
        <f ca="1">J87</f>
        <v>15</v>
      </c>
      <c r="D79" s="18">
        <f ca="1">((100/H75)*C79)/100</f>
        <v>1</v>
      </c>
      <c r="E79" s="173"/>
      <c r="F79" s="174"/>
      <c r="G79" s="173"/>
      <c r="H79" s="202"/>
      <c r="I79" s="13" t="s">
        <v>98</v>
      </c>
      <c r="J79" s="28">
        <f ca="1">H75</f>
        <v>15</v>
      </c>
      <c r="S79"/>
    </row>
    <row r="80" spans="1:19" ht="15.75" customHeight="1" x14ac:dyDescent="0.25">
      <c r="A80" s="129" t="s">
        <v>123</v>
      </c>
      <c r="B80" s="130"/>
      <c r="C80" s="42">
        <v>3</v>
      </c>
      <c r="D80" s="18">
        <f ca="1">((100/(D75+F75+H75))*C80)/100</f>
        <v>0.1875</v>
      </c>
      <c r="E80" s="173"/>
      <c r="F80" s="174"/>
      <c r="G80" s="173"/>
      <c r="H80" s="202"/>
      <c r="I80" s="13" t="s">
        <v>99</v>
      </c>
      <c r="J80" s="29">
        <f ca="1">(IF(B75&gt;1,(H75/(B75+2)),H75/4))</f>
        <v>3.75</v>
      </c>
      <c r="S80"/>
    </row>
    <row r="81" spans="1:10" ht="15.75" customHeight="1" x14ac:dyDescent="0.25">
      <c r="A81" s="129" t="s">
        <v>130</v>
      </c>
      <c r="B81" s="130" t="s">
        <v>124</v>
      </c>
      <c r="C81" s="42">
        <v>0</v>
      </c>
      <c r="D81" s="18">
        <f ca="1">((100/H75)*C81)/100</f>
        <v>0</v>
      </c>
      <c r="E81" s="173"/>
      <c r="F81" s="174"/>
      <c r="G81" s="173"/>
      <c r="H81" s="202"/>
      <c r="I81" s="13" t="s">
        <v>100</v>
      </c>
      <c r="J81" s="29">
        <f ca="1">(IF(B75&gt;1,(H75/(B75+2)+J80),H75/4+J80))</f>
        <v>7.5</v>
      </c>
    </row>
    <row r="82" spans="1:10" ht="15.75" customHeight="1" x14ac:dyDescent="0.25">
      <c r="A82" s="129" t="s">
        <v>131</v>
      </c>
      <c r="B82" s="130" t="s">
        <v>124</v>
      </c>
      <c r="C82" s="42">
        <v>0</v>
      </c>
      <c r="D82" s="18">
        <f ca="1">((100/H75)*C82)/100</f>
        <v>0</v>
      </c>
      <c r="E82" s="173"/>
      <c r="F82" s="174"/>
      <c r="G82" s="173"/>
      <c r="H82" s="202"/>
      <c r="I82" s="13" t="s">
        <v>140</v>
      </c>
      <c r="J82" s="29">
        <f>(IF(B75&gt;1,(H75/(B75+2)+J81),0))</f>
        <v>0</v>
      </c>
    </row>
    <row r="83" spans="1:10" ht="15" customHeight="1" x14ac:dyDescent="0.25">
      <c r="A83" s="129" t="s">
        <v>129</v>
      </c>
      <c r="B83" s="130" t="s">
        <v>126</v>
      </c>
      <c r="C83" s="42">
        <v>0</v>
      </c>
      <c r="D83" s="18">
        <f ca="1">((100/(H75))*C83)/100</f>
        <v>0</v>
      </c>
      <c r="E83" s="173"/>
      <c r="F83" s="174"/>
      <c r="G83" s="173"/>
      <c r="H83" s="202"/>
      <c r="I83" s="13" t="s">
        <v>137</v>
      </c>
      <c r="J83" s="29">
        <f>(IF(B75&gt;2,(H75/(B75+2)+J82),0))</f>
        <v>0</v>
      </c>
    </row>
    <row r="84" spans="1:10" ht="15.75" customHeight="1" x14ac:dyDescent="0.25">
      <c r="A84" s="129" t="s">
        <v>125</v>
      </c>
      <c r="B84" s="130" t="s">
        <v>125</v>
      </c>
      <c r="C84" s="42">
        <v>0</v>
      </c>
      <c r="D84" s="18">
        <f ca="1">((100/H75)*C84)/100</f>
        <v>0</v>
      </c>
      <c r="E84" s="173"/>
      <c r="F84" s="174"/>
      <c r="G84" s="173"/>
      <c r="H84" s="202"/>
      <c r="I84" s="13" t="s">
        <v>138</v>
      </c>
      <c r="J84" s="30">
        <f>(IF(B75&gt;3,(H75/(B75+2)+J83),0))</f>
        <v>0</v>
      </c>
    </row>
    <row r="85" spans="1:10" ht="15.75" customHeight="1" x14ac:dyDescent="0.25">
      <c r="A85" s="129" t="s">
        <v>132</v>
      </c>
      <c r="B85" s="130"/>
      <c r="C85" s="42">
        <v>0</v>
      </c>
      <c r="D85" s="18">
        <f ca="1">((100/H75)*C85)/100</f>
        <v>0</v>
      </c>
      <c r="E85" s="173"/>
      <c r="F85" s="174"/>
      <c r="G85" s="173"/>
      <c r="H85" s="202"/>
      <c r="I85" s="13" t="s">
        <v>139</v>
      </c>
      <c r="J85" s="29">
        <f>(IF(B75&gt;4,(H75/(B75+2)+J84),0))</f>
        <v>0</v>
      </c>
    </row>
    <row r="86" spans="1:10" ht="15.75" customHeight="1" x14ac:dyDescent="0.25">
      <c r="A86" s="129" t="s">
        <v>127</v>
      </c>
      <c r="B86" s="130" t="s">
        <v>127</v>
      </c>
      <c r="C86" s="42">
        <v>0</v>
      </c>
      <c r="D86" s="18">
        <f ca="1">((100/(H75))*C86)/100</f>
        <v>0</v>
      </c>
      <c r="E86" s="173"/>
      <c r="F86" s="174"/>
      <c r="G86" s="173"/>
      <c r="H86" s="202"/>
      <c r="I86" s="13" t="s">
        <v>141</v>
      </c>
      <c r="J86" s="29">
        <f ca="1">(IF(B75=1,(H75/(B75+3)+J81),IF(B75=0,(H75/4+J81),IF(B75&gt;1,0))))</f>
        <v>11.25</v>
      </c>
    </row>
    <row r="87" spans="1:10" ht="16.5" thickBot="1" x14ac:dyDescent="0.3">
      <c r="A87" s="151" t="s">
        <v>128</v>
      </c>
      <c r="B87" s="152"/>
      <c r="C87" s="43">
        <v>0</v>
      </c>
      <c r="D87" s="19">
        <f ca="1">((100/(H75))*C87)/100</f>
        <v>0</v>
      </c>
      <c r="E87" s="175"/>
      <c r="F87" s="176"/>
      <c r="G87" s="175"/>
      <c r="H87" s="203"/>
      <c r="I87" s="14" t="s">
        <v>101</v>
      </c>
      <c r="J87" s="31">
        <f ca="1">(IF(B75&gt;1.5,(H75/(B75+2)+J81+MAX(0,J82-J81)+MAX(0,J83-J82)+MAX(0,J84-J83)+MAX(0,J85-J84)+MAX(0,J86-J85)),IF(B75=1,(H75/(B75+3)+J86),IF(B75=0,H75/4+J86))))</f>
        <v>15</v>
      </c>
    </row>
    <row r="88" spans="1:10" ht="15.75" hidden="1" customHeight="1" x14ac:dyDescent="0.25">
      <c r="A88" s="124" t="s">
        <v>134</v>
      </c>
      <c r="B88" s="125"/>
      <c r="C88" s="126" t="str">
        <f>D66</f>
        <v>Building 2 = Gr + 1st to 12th Floor</v>
      </c>
      <c r="D88" s="127"/>
      <c r="E88" s="127"/>
      <c r="F88" s="127"/>
      <c r="G88" s="127"/>
      <c r="H88" s="128"/>
      <c r="I88" s="48" t="str">
        <f ca="1">IF(D101=100%,"All work Completed. Possession granted to the Building.",IF(D100=100%,"All work Completed, Waiting for OC",I89&amp;""&amp;I90&amp;""&amp;J89&amp;""&amp;J88&amp;" "&amp;J90))</f>
        <v xml:space="preserve">Excavation Completed0 </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row>
    <row r="89" spans="1:10" hidden="1" x14ac:dyDescent="0.25">
      <c r="A89" s="15" t="s">
        <v>136</v>
      </c>
      <c r="B89" s="46">
        <f>IF(AND(ISNUMBER(SEARCH("1B",C88))),1,IF(AND(ISNUMBER(SEARCH("2B",C88))),2,IF(AND(ISNUMBER(SEARCH("3B",C88))),3,IF(AND(ISNUMBER(SEARCH("4B",C88))),4,IF(ISNUMBER(SEARCH("5B",C88)),5,0)))))</f>
        <v>0</v>
      </c>
      <c r="C89" s="46" t="s">
        <v>68</v>
      </c>
      <c r="D89" s="46">
        <v>1</v>
      </c>
      <c r="E89" s="46" t="s">
        <v>67</v>
      </c>
      <c r="F89" s="46">
        <v>0</v>
      </c>
      <c r="G89" s="47" t="s">
        <v>76</v>
      </c>
      <c r="H89" s="16">
        <f ca="1">--TRIM(RIGHT(SUBSTITUTE(LEFT(C88,_xlfn.AGGREGATE(16,6,FIND({0,1,2,3,4,5,6,7,8,9},C88,ROW(INDIRECT("1:"&amp;LEN(C88)))),1))," ",REPT(" ",LEN(C88))),LEN(C88)))</f>
        <v>12</v>
      </c>
      <c r="I89" s="50" t="str">
        <f ca="1">IF(D92=100%,"Excavation","")&amp;IF(D93=100%,", Plinth","")&amp;IF(D94=100%,", RCC Slab","")&amp;IF(D95=100%,", Brickwork","")&amp;IF(D96=100%,", Internal Plaster","")&amp;IF(D97=100%,", External Plaster","")&amp;IF(D98=100%,", Flooring","")&amp;IF(D99=100%,", Painting","")&amp;IF(D100=100%,", Building common Amenities","")</f>
        <v>Excavation</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0</v>
      </c>
    </row>
    <row r="90" spans="1:10" hidden="1" x14ac:dyDescent="0.25">
      <c r="A90" s="205" t="s">
        <v>86</v>
      </c>
      <c r="B90" s="190"/>
      <c r="C90" s="213" t="str">
        <f ca="1">(IF($G$60="NA",I88,"All work Completed. OC Received."))</f>
        <v xml:space="preserve">Excavation Completed0 </v>
      </c>
      <c r="D90" s="213"/>
      <c r="E90" s="213"/>
      <c r="F90" s="213"/>
      <c r="G90" s="213"/>
      <c r="H90" s="214"/>
      <c r="I90" s="50" t="str">
        <f ca="1">IF(I89&lt;&gt;""," Completed","")</f>
        <v xml:space="preserve"> Completed</v>
      </c>
      <c r="J90" s="51" t="str">
        <f ca="1">IF(J88&lt;&gt;"","Completed","")</f>
        <v/>
      </c>
    </row>
    <row r="91" spans="1:10" ht="15.75" hidden="1" customHeight="1" x14ac:dyDescent="0.25">
      <c r="A91" s="129" t="s">
        <v>47</v>
      </c>
      <c r="B91" s="130"/>
      <c r="C91" s="42" t="s">
        <v>133</v>
      </c>
      <c r="D91" s="42" t="s">
        <v>79</v>
      </c>
      <c r="E91" s="130" t="s">
        <v>81</v>
      </c>
      <c r="F91" s="130"/>
      <c r="G91" s="130" t="s">
        <v>80</v>
      </c>
      <c r="H91" s="170"/>
      <c r="I91" s="13" t="s">
        <v>135</v>
      </c>
      <c r="J91" s="27">
        <f ca="1">H89*25%</f>
        <v>3</v>
      </c>
    </row>
    <row r="92" spans="1:10" hidden="1" x14ac:dyDescent="0.25">
      <c r="A92" s="129" t="s">
        <v>122</v>
      </c>
      <c r="B92" s="130"/>
      <c r="C92" s="58">
        <f ca="1">J93</f>
        <v>12</v>
      </c>
      <c r="D92" s="18">
        <f ca="1">((100/H89)*C92)/100</f>
        <v>1</v>
      </c>
      <c r="E92" s="171">
        <f ca="1">(((C93/H89*10)+(40/(D89+F89+H89)*C94)+(7.5/(H89)*C95)+(7.5/(H89)*C96)+(10/H89*C97)+(10/H89*C98)+(5/H89*C99)+(5/H89*C100)+(5/H89*C101))/100)</f>
        <v>0.15833333333333333</v>
      </c>
      <c r="F92" s="172"/>
      <c r="G92" s="171">
        <f ca="1">((((C92/H89)*20)+((C93/H89)*25)+(30/(H89+F89+D89)*C94)+(5/H89*C95)+(5/H89*C96)+(5/H89*C97)+(5/H89*C98)+(0/H89*C99)+(0/H89*C100)+(5/H89*C101))/100)</f>
        <v>0.59583333333333333</v>
      </c>
      <c r="H92" s="201"/>
      <c r="I92" s="13" t="s">
        <v>97</v>
      </c>
      <c r="J92" s="28">
        <f ca="1">H89*50%</f>
        <v>6</v>
      </c>
    </row>
    <row r="93" spans="1:10" hidden="1" x14ac:dyDescent="0.25">
      <c r="A93" s="129" t="s">
        <v>48</v>
      </c>
      <c r="B93" s="130"/>
      <c r="C93" s="59">
        <v>19</v>
      </c>
      <c r="D93" s="18">
        <f ca="1">((100/H89)*C93)/100</f>
        <v>1.5833333333333335</v>
      </c>
      <c r="E93" s="173"/>
      <c r="F93" s="174"/>
      <c r="G93" s="173"/>
      <c r="H93" s="202"/>
      <c r="I93" s="13" t="s">
        <v>98</v>
      </c>
      <c r="J93" s="28">
        <f ca="1">H89</f>
        <v>12</v>
      </c>
    </row>
    <row r="94" spans="1:10" ht="15.75" hidden="1" customHeight="1" x14ac:dyDescent="0.25">
      <c r="A94" s="129" t="s">
        <v>123</v>
      </c>
      <c r="B94" s="130"/>
      <c r="C94" s="42">
        <v>0</v>
      </c>
      <c r="D94" s="18">
        <f ca="1">((100/(D89+F89+H89))*C94)/100</f>
        <v>0</v>
      </c>
      <c r="E94" s="173"/>
      <c r="F94" s="174"/>
      <c r="G94" s="173"/>
      <c r="H94" s="202"/>
      <c r="I94" s="13" t="s">
        <v>99</v>
      </c>
      <c r="J94" s="29">
        <f ca="1">(IF(B89&gt;1,(H89/(B89+2)),H89/4))</f>
        <v>3</v>
      </c>
    </row>
    <row r="95" spans="1:10" ht="15.75" hidden="1" customHeight="1" x14ac:dyDescent="0.25">
      <c r="A95" s="129" t="s">
        <v>130</v>
      </c>
      <c r="B95" s="130" t="s">
        <v>124</v>
      </c>
      <c r="C95" s="42">
        <v>0</v>
      </c>
      <c r="D95" s="18">
        <f ca="1">((100/H89)*C95)/100</f>
        <v>0</v>
      </c>
      <c r="E95" s="173"/>
      <c r="F95" s="174"/>
      <c r="G95" s="173"/>
      <c r="H95" s="202"/>
      <c r="I95" s="13" t="s">
        <v>100</v>
      </c>
      <c r="J95" s="29">
        <f ca="1">(IF(B89&gt;1,(H89/(B89+2)+J94),H89/4+J94))</f>
        <v>6</v>
      </c>
    </row>
    <row r="96" spans="1:10" ht="15.75" hidden="1" customHeight="1" x14ac:dyDescent="0.25">
      <c r="A96" s="129" t="s">
        <v>131</v>
      </c>
      <c r="B96" s="130" t="s">
        <v>124</v>
      </c>
      <c r="C96" s="42">
        <v>0</v>
      </c>
      <c r="D96" s="18">
        <f ca="1">((100/H89)*C96)/100</f>
        <v>0</v>
      </c>
      <c r="E96" s="173"/>
      <c r="F96" s="174"/>
      <c r="G96" s="173"/>
      <c r="H96" s="202"/>
      <c r="I96" s="13" t="s">
        <v>140</v>
      </c>
      <c r="J96" s="29">
        <f>(IF(B89&gt;1,(H89/(B89+2)+J95),0))</f>
        <v>0</v>
      </c>
    </row>
    <row r="97" spans="1:10" ht="15" hidden="1" customHeight="1" x14ac:dyDescent="0.25">
      <c r="A97" s="129" t="s">
        <v>129</v>
      </c>
      <c r="B97" s="130" t="s">
        <v>126</v>
      </c>
      <c r="C97" s="42">
        <v>0</v>
      </c>
      <c r="D97" s="18">
        <f ca="1">((100/(H89))*C97)/100</f>
        <v>0</v>
      </c>
      <c r="E97" s="173"/>
      <c r="F97" s="174"/>
      <c r="G97" s="173"/>
      <c r="H97" s="202"/>
      <c r="I97" s="13" t="s">
        <v>137</v>
      </c>
      <c r="J97" s="29">
        <f>(IF(B89&gt;2,(H89/(B89+2)+J96),0))</f>
        <v>0</v>
      </c>
    </row>
    <row r="98" spans="1:10" ht="15.75" hidden="1" customHeight="1" x14ac:dyDescent="0.25">
      <c r="A98" s="129" t="s">
        <v>125</v>
      </c>
      <c r="B98" s="130" t="s">
        <v>125</v>
      </c>
      <c r="C98" s="42">
        <v>0</v>
      </c>
      <c r="D98" s="18">
        <f ca="1">((100/H89)*C98)/100</f>
        <v>0</v>
      </c>
      <c r="E98" s="173"/>
      <c r="F98" s="174"/>
      <c r="G98" s="173"/>
      <c r="H98" s="202"/>
      <c r="I98" s="13" t="s">
        <v>138</v>
      </c>
      <c r="J98" s="30">
        <f>(IF(B89&gt;3,(H89/(B89+2)+J97),0))</f>
        <v>0</v>
      </c>
    </row>
    <row r="99" spans="1:10" ht="15.75" hidden="1" customHeight="1" x14ac:dyDescent="0.25">
      <c r="A99" s="129" t="s">
        <v>132</v>
      </c>
      <c r="B99" s="130"/>
      <c r="C99" s="42">
        <v>0</v>
      </c>
      <c r="D99" s="18">
        <f ca="1">((100/H89)*C99)/100</f>
        <v>0</v>
      </c>
      <c r="E99" s="173"/>
      <c r="F99" s="174"/>
      <c r="G99" s="173"/>
      <c r="H99" s="202"/>
      <c r="I99" s="13" t="s">
        <v>139</v>
      </c>
      <c r="J99" s="29">
        <f>(IF(B89&gt;4,(H89/(B89+2)+J98),0))</f>
        <v>0</v>
      </c>
    </row>
    <row r="100" spans="1:10" ht="15.75" hidden="1" customHeight="1" x14ac:dyDescent="0.25">
      <c r="A100" s="129" t="s">
        <v>127</v>
      </c>
      <c r="B100" s="130" t="s">
        <v>127</v>
      </c>
      <c r="C100" s="42">
        <v>0</v>
      </c>
      <c r="D100" s="18">
        <f ca="1">((100/(H89))*C100)/100</f>
        <v>0</v>
      </c>
      <c r="E100" s="173"/>
      <c r="F100" s="174"/>
      <c r="G100" s="173"/>
      <c r="H100" s="202"/>
      <c r="I100" s="13" t="s">
        <v>141</v>
      </c>
      <c r="J100" s="29">
        <f ca="1">(IF(B89=1,(H89/(B89+3)+J95),IF(B89=0,(H89/4+J95),IF(B89&gt;1,0))))</f>
        <v>9</v>
      </c>
    </row>
    <row r="101" spans="1:10" ht="16.5" hidden="1" thickBot="1" x14ac:dyDescent="0.3">
      <c r="A101" s="151" t="s">
        <v>128</v>
      </c>
      <c r="B101" s="152"/>
      <c r="C101" s="43">
        <v>0</v>
      </c>
      <c r="D101" s="19">
        <f ca="1">((100/(H89))*C101)/100</f>
        <v>0</v>
      </c>
      <c r="E101" s="175"/>
      <c r="F101" s="176"/>
      <c r="G101" s="175"/>
      <c r="H101" s="203"/>
      <c r="I101" s="14" t="s">
        <v>101</v>
      </c>
      <c r="J101" s="31">
        <f ca="1">(IF(B89&gt;1.5,(H89/(B89+2)+J95+MAX(0,J96-J95)+MAX(0,J97-J96)+MAX(0,J98-J97)+MAX(0,J99-J98)+MAX(0,J100-J99)),IF(B89=1,(H89/(B89+3)+J100),IF(B89=0,H89/4+J100))))</f>
        <v>12</v>
      </c>
    </row>
    <row r="102" spans="1:10" ht="15.75" customHeight="1" x14ac:dyDescent="0.25">
      <c r="A102" s="124" t="s">
        <v>134</v>
      </c>
      <c r="B102" s="125"/>
      <c r="C102" s="126" t="str">
        <f>D66</f>
        <v>Building 2 = Gr + 1st to 12th Floor</v>
      </c>
      <c r="D102" s="127"/>
      <c r="E102" s="127"/>
      <c r="F102" s="127"/>
      <c r="G102" s="127"/>
      <c r="H102" s="128"/>
      <c r="I102" s="48" t="str">
        <f ca="1">IF(D115=100%,"All work Completed. Possession granted to the Building.",IF(D114=100%,"All work Completed, Waiting for OC",I103&amp;""&amp;I104&amp;""&amp;J103&amp;""&amp;J102&amp;" "&amp;J104))</f>
        <v>Excavation, Plinth Completed, RCC upto 4 Slab Completed</v>
      </c>
      <c r="J102" s="49" t="str">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 RCC upto 4 Slab</v>
      </c>
    </row>
    <row r="103" spans="1:10" x14ac:dyDescent="0.25">
      <c r="A103" s="15" t="s">
        <v>136</v>
      </c>
      <c r="B103" s="46">
        <f>IF(AND(ISNUMBER(SEARCH("1B",C102))),1,IF(AND(ISNUMBER(SEARCH("2B",C102))),2,IF(AND(ISNUMBER(SEARCH("3B",C102))),3,IF(AND(ISNUMBER(SEARCH("4B",C102))),4,IF(ISNUMBER(SEARCH("5B",C102)),5,0)))))</f>
        <v>0</v>
      </c>
      <c r="C103" s="46" t="s">
        <v>68</v>
      </c>
      <c r="D103" s="46">
        <v>1</v>
      </c>
      <c r="E103" s="46" t="s">
        <v>67</v>
      </c>
      <c r="F103" s="46">
        <v>0</v>
      </c>
      <c r="G103" s="47" t="s">
        <v>76</v>
      </c>
      <c r="H103" s="16">
        <f ca="1">--TRIM(RIGHT(SUBSTITUTE(LEFT(C102,_xlfn.AGGREGATE(16,6,FIND({0,1,2,3,4,5,6,7,8,9},C102,ROW(INDIRECT("1:"&amp;LEN(C102)))),1))," ",REPT(" ",LEN(C102))),LEN(C102)))</f>
        <v>12</v>
      </c>
      <c r="I103" s="50" t="str">
        <f ca="1">IF(D106=100%,"Excavation","")&amp;IF(D107=100%,", Plinth","")&amp;IF(D108=100%,", RCC Slab","")&amp;IF(D109=100%,", Brickwork","")&amp;IF(D110=100%,", Internal Plaster","")&amp;IF(D111=100%,", External Plaster","")&amp;IF(D112=100%,", Flooring","")&amp;IF(D113=100%,", Painting","")&amp;IF(D114=100%,", Building common Amenities","")</f>
        <v>Excavation, Plinth</v>
      </c>
      <c r="J103" s="51" t="str">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
      </c>
    </row>
    <row r="104" spans="1:10" x14ac:dyDescent="0.25">
      <c r="A104" s="205" t="s">
        <v>86</v>
      </c>
      <c r="B104" s="190"/>
      <c r="C104" s="213" t="str">
        <f ca="1">(IF($G$60="NA",I102,"All work Completed. OC Received."))</f>
        <v>Excavation, Plinth Completed, RCC upto 4 Slab Completed</v>
      </c>
      <c r="D104" s="213"/>
      <c r="E104" s="213"/>
      <c r="F104" s="213"/>
      <c r="G104" s="213"/>
      <c r="H104" s="214"/>
      <c r="I104" s="50" t="str">
        <f ca="1">IF(I103&lt;&gt;""," Completed","")</f>
        <v xml:space="preserve"> Completed</v>
      </c>
      <c r="J104" s="51" t="str">
        <f ca="1">IF(J102&lt;&gt;"","Completed","")</f>
        <v>Completed</v>
      </c>
    </row>
    <row r="105" spans="1:10" ht="15.75" customHeight="1" x14ac:dyDescent="0.25">
      <c r="A105" s="129" t="s">
        <v>47</v>
      </c>
      <c r="B105" s="130"/>
      <c r="C105" s="42" t="s">
        <v>133</v>
      </c>
      <c r="D105" s="42" t="s">
        <v>79</v>
      </c>
      <c r="E105" s="130" t="s">
        <v>81</v>
      </c>
      <c r="F105" s="130"/>
      <c r="G105" s="130" t="s">
        <v>80</v>
      </c>
      <c r="H105" s="170"/>
      <c r="I105" s="13" t="s">
        <v>135</v>
      </c>
      <c r="J105" s="27">
        <f ca="1">H103*25%</f>
        <v>3</v>
      </c>
    </row>
    <row r="106" spans="1:10" x14ac:dyDescent="0.25">
      <c r="A106" s="129" t="s">
        <v>122</v>
      </c>
      <c r="B106" s="130"/>
      <c r="C106" s="42">
        <f ca="1">J107</f>
        <v>12</v>
      </c>
      <c r="D106" s="18">
        <f ca="1">((100/H103)*C106)/100</f>
        <v>1</v>
      </c>
      <c r="E106" s="171">
        <f ca="1">(((C107/H103*10)+(40/(D103+F103+H103)*C108)+(7.5/(H103)*C109)+(7.5/(H103)*C110)+(10/H103*C111)+(10/H103*C112)+(5/H103*C113)+(5/H103*C114)+(5/H103*C115))/100)</f>
        <v>0.22307692307692306</v>
      </c>
      <c r="F106" s="172"/>
      <c r="G106" s="171">
        <f ca="1">((((C106/H103)*20)+((C107/H103)*25)+(30/(H103+F103+D103)*C108)+(5/H103*C109)+(5/H103*C110)+(5/H103*C111)+(5/H103*C112)+(0/H103*C113)+(0/H103*C114)+(5/H103*C115))/100)</f>
        <v>0.54230769230769227</v>
      </c>
      <c r="H106" s="201"/>
      <c r="I106" s="13" t="s">
        <v>97</v>
      </c>
      <c r="J106" s="28">
        <f ca="1">H103*50%</f>
        <v>6</v>
      </c>
    </row>
    <row r="107" spans="1:10" x14ac:dyDescent="0.25">
      <c r="A107" s="129" t="s">
        <v>48</v>
      </c>
      <c r="B107" s="130"/>
      <c r="C107" s="68">
        <f ca="1">J115</f>
        <v>12</v>
      </c>
      <c r="D107" s="18">
        <f ca="1">((100/H103)*C107)/100</f>
        <v>1</v>
      </c>
      <c r="E107" s="173"/>
      <c r="F107" s="174"/>
      <c r="G107" s="173"/>
      <c r="H107" s="202"/>
      <c r="I107" s="13" t="s">
        <v>98</v>
      </c>
      <c r="J107" s="28">
        <f ca="1">H103</f>
        <v>12</v>
      </c>
    </row>
    <row r="108" spans="1:10" ht="15.75" customHeight="1" x14ac:dyDescent="0.25">
      <c r="A108" s="129" t="s">
        <v>123</v>
      </c>
      <c r="B108" s="130"/>
      <c r="C108" s="42">
        <v>4</v>
      </c>
      <c r="D108" s="18">
        <f ca="1">((100/(D103+F103+H103))*C108)/100</f>
        <v>0.30769230769230771</v>
      </c>
      <c r="E108" s="173"/>
      <c r="F108" s="174"/>
      <c r="G108" s="173"/>
      <c r="H108" s="202"/>
      <c r="I108" s="13" t="s">
        <v>99</v>
      </c>
      <c r="J108" s="29">
        <f ca="1">(IF(B103&gt;1,(H103/(B103+2)),H103/4))</f>
        <v>3</v>
      </c>
    </row>
    <row r="109" spans="1:10" ht="15.75" customHeight="1" x14ac:dyDescent="0.25">
      <c r="A109" s="129" t="s">
        <v>130</v>
      </c>
      <c r="B109" s="130" t="s">
        <v>124</v>
      </c>
      <c r="C109" s="42">
        <v>0</v>
      </c>
      <c r="D109" s="18">
        <f ca="1">((100/H103)*C109)/100</f>
        <v>0</v>
      </c>
      <c r="E109" s="173"/>
      <c r="F109" s="174"/>
      <c r="G109" s="173"/>
      <c r="H109" s="202"/>
      <c r="I109" s="13" t="s">
        <v>100</v>
      </c>
      <c r="J109" s="29">
        <f ca="1">(IF(B103&gt;1,(H103/(B103+2)+J108),H103/4+J108))</f>
        <v>6</v>
      </c>
    </row>
    <row r="110" spans="1:10" ht="15.75" customHeight="1" x14ac:dyDescent="0.25">
      <c r="A110" s="129" t="s">
        <v>131</v>
      </c>
      <c r="B110" s="130" t="s">
        <v>124</v>
      </c>
      <c r="C110" s="42">
        <v>0</v>
      </c>
      <c r="D110" s="18">
        <f ca="1">((100/H103)*C110)/100</f>
        <v>0</v>
      </c>
      <c r="E110" s="173"/>
      <c r="F110" s="174"/>
      <c r="G110" s="173"/>
      <c r="H110" s="202"/>
      <c r="I110" s="13" t="s">
        <v>140</v>
      </c>
      <c r="J110" s="29">
        <f>(IF(B103&gt;1,(H103/(B103+2)+J109),0))</f>
        <v>0</v>
      </c>
    </row>
    <row r="111" spans="1:10" ht="15" customHeight="1" x14ac:dyDescent="0.25">
      <c r="A111" s="129" t="s">
        <v>129</v>
      </c>
      <c r="B111" s="130" t="s">
        <v>126</v>
      </c>
      <c r="C111" s="42">
        <v>0</v>
      </c>
      <c r="D111" s="18">
        <f ca="1">((100/(H103))*C111)/100</f>
        <v>0</v>
      </c>
      <c r="E111" s="173"/>
      <c r="F111" s="174"/>
      <c r="G111" s="173"/>
      <c r="H111" s="202"/>
      <c r="I111" s="13" t="s">
        <v>137</v>
      </c>
      <c r="J111" s="29">
        <f>(IF(B103&gt;2,(H103/(B103+2)+J110),0))</f>
        <v>0</v>
      </c>
    </row>
    <row r="112" spans="1:10" ht="15.75" customHeight="1" x14ac:dyDescent="0.25">
      <c r="A112" s="129" t="s">
        <v>125</v>
      </c>
      <c r="B112" s="130" t="s">
        <v>125</v>
      </c>
      <c r="C112" s="42">
        <v>0</v>
      </c>
      <c r="D112" s="18">
        <f ca="1">((100/H103)*C112)/100</f>
        <v>0</v>
      </c>
      <c r="E112" s="173"/>
      <c r="F112" s="174"/>
      <c r="G112" s="173"/>
      <c r="H112" s="202"/>
      <c r="I112" s="13" t="s">
        <v>138</v>
      </c>
      <c r="J112" s="30">
        <f>(IF(B103&gt;3,(H103/(B103+2)+J111),0))</f>
        <v>0</v>
      </c>
    </row>
    <row r="113" spans="1:22" ht="15.75" customHeight="1" x14ac:dyDescent="0.25">
      <c r="A113" s="129" t="s">
        <v>132</v>
      </c>
      <c r="B113" s="130"/>
      <c r="C113" s="42">
        <v>0</v>
      </c>
      <c r="D113" s="18">
        <f ca="1">((100/H103)*C113)/100</f>
        <v>0</v>
      </c>
      <c r="E113" s="173"/>
      <c r="F113" s="174"/>
      <c r="G113" s="173"/>
      <c r="H113" s="202"/>
      <c r="I113" s="13" t="s">
        <v>139</v>
      </c>
      <c r="J113" s="29">
        <f>(IF(B103&gt;4,(H103/(B103+2)+J112),0))</f>
        <v>0</v>
      </c>
    </row>
    <row r="114" spans="1:22" ht="15.75" customHeight="1" x14ac:dyDescent="0.25">
      <c r="A114" s="129" t="s">
        <v>127</v>
      </c>
      <c r="B114" s="130" t="s">
        <v>127</v>
      </c>
      <c r="C114" s="42">
        <v>0</v>
      </c>
      <c r="D114" s="18">
        <f ca="1">((100/(H103))*C114)/100</f>
        <v>0</v>
      </c>
      <c r="E114" s="173"/>
      <c r="F114" s="174"/>
      <c r="G114" s="173"/>
      <c r="H114" s="202"/>
      <c r="I114" s="13" t="s">
        <v>141</v>
      </c>
      <c r="J114" s="29">
        <f ca="1">(IF(B103=1,(H103/(B103+3)+J109),IF(B103=0,(H103/4+J109),IF(B103&gt;1,0))))</f>
        <v>9</v>
      </c>
    </row>
    <row r="115" spans="1:22" ht="16.5" thickBot="1" x14ac:dyDescent="0.3">
      <c r="A115" s="151" t="s">
        <v>128</v>
      </c>
      <c r="B115" s="152"/>
      <c r="C115" s="43">
        <v>0</v>
      </c>
      <c r="D115" s="19">
        <f ca="1">((100/(H103))*C115)/100</f>
        <v>0</v>
      </c>
      <c r="E115" s="175"/>
      <c r="F115" s="176"/>
      <c r="G115" s="175"/>
      <c r="H115" s="203"/>
      <c r="I115" s="14" t="s">
        <v>101</v>
      </c>
      <c r="J115" s="31">
        <f ca="1">(IF(B103&gt;1.5,(H103/(B103+2)+J109+MAX(0,J110-J109)+MAX(0,J111-J110)+MAX(0,J112-J111)+MAX(0,J113-J112)+MAX(0,J114-J113)),IF(B103=1,(H103/(B103+3)+J114),IF(B103=0,H103/4+J114))))</f>
        <v>12</v>
      </c>
    </row>
    <row r="116" spans="1:22" x14ac:dyDescent="0.25">
      <c r="A116" s="241" t="s">
        <v>151</v>
      </c>
      <c r="B116" s="241"/>
      <c r="C116" s="241"/>
      <c r="D116" s="241"/>
      <c r="E116" s="241"/>
      <c r="F116" s="242" t="s">
        <v>155</v>
      </c>
      <c r="G116" s="242"/>
      <c r="H116" s="242"/>
      <c r="R116" t="s">
        <v>246</v>
      </c>
      <c r="S116" t="s">
        <v>167</v>
      </c>
      <c r="T116" t="s">
        <v>172</v>
      </c>
      <c r="U116" t="s">
        <v>187</v>
      </c>
      <c r="V116" t="s">
        <v>182</v>
      </c>
    </row>
    <row r="117" spans="1:22" x14ac:dyDescent="0.25">
      <c r="A117" s="137" t="s">
        <v>153</v>
      </c>
      <c r="B117" s="137"/>
      <c r="C117" s="137"/>
      <c r="D117" s="137"/>
      <c r="E117" s="137"/>
      <c r="F117" s="112">
        <v>6500</v>
      </c>
      <c r="G117" s="112"/>
      <c r="H117" s="112"/>
      <c r="R117"/>
      <c r="S117">
        <v>800000</v>
      </c>
      <c r="T117">
        <v>150000</v>
      </c>
      <c r="U117">
        <v>100000</v>
      </c>
      <c r="V117">
        <v>100000</v>
      </c>
    </row>
    <row r="118" spans="1:22" hidden="1" x14ac:dyDescent="0.25">
      <c r="A118" s="137" t="s">
        <v>152</v>
      </c>
      <c r="B118" s="137"/>
      <c r="C118" s="137"/>
      <c r="D118" s="137"/>
      <c r="E118" s="137"/>
      <c r="F118" s="112">
        <v>10000</v>
      </c>
      <c r="G118" s="112"/>
      <c r="H118" s="112"/>
      <c r="R118"/>
      <c r="S118">
        <v>900000</v>
      </c>
      <c r="T118">
        <v>200000</v>
      </c>
      <c r="U118">
        <v>150000</v>
      </c>
      <c r="V118">
        <v>150000</v>
      </c>
    </row>
    <row r="119" spans="1:22" hidden="1" x14ac:dyDescent="0.25">
      <c r="A119" s="137" t="s">
        <v>154</v>
      </c>
      <c r="B119" s="137"/>
      <c r="C119" s="137"/>
      <c r="D119" s="137"/>
      <c r="E119" s="137"/>
      <c r="F119" s="112"/>
      <c r="G119" s="112"/>
      <c r="H119" s="112"/>
      <c r="R119"/>
      <c r="S119">
        <v>1000000</v>
      </c>
      <c r="T119">
        <v>250000</v>
      </c>
      <c r="U119">
        <v>200000</v>
      </c>
      <c r="V119">
        <v>200000</v>
      </c>
    </row>
    <row r="120" spans="1:22" s="32" customFormat="1" hidden="1" x14ac:dyDescent="0.25">
      <c r="A120" s="137" t="s">
        <v>169</v>
      </c>
      <c r="B120" s="137"/>
      <c r="C120" s="137"/>
      <c r="D120" s="137"/>
      <c r="E120" s="137"/>
      <c r="F120" s="112"/>
      <c r="G120" s="112"/>
      <c r="H120" s="112"/>
      <c r="R120"/>
      <c r="S120">
        <v>1100000</v>
      </c>
      <c r="T120">
        <v>300000</v>
      </c>
      <c r="U120">
        <v>250000</v>
      </c>
      <c r="V120" s="22">
        <v>250000</v>
      </c>
    </row>
    <row r="121" spans="1:22" s="32" customFormat="1" hidden="1" x14ac:dyDescent="0.25">
      <c r="A121" s="137" t="s">
        <v>91</v>
      </c>
      <c r="B121" s="137"/>
      <c r="C121" s="137"/>
      <c r="D121" s="137"/>
      <c r="E121" s="137"/>
      <c r="F121" s="112"/>
      <c r="G121" s="112"/>
      <c r="H121" s="112"/>
      <c r="R121"/>
      <c r="S121">
        <v>1200000</v>
      </c>
      <c r="T121">
        <v>350000</v>
      </c>
      <c r="U121">
        <v>300000</v>
      </c>
      <c r="V121">
        <v>300000</v>
      </c>
    </row>
    <row r="122" spans="1:22" s="32" customFormat="1" hidden="1" x14ac:dyDescent="0.25">
      <c r="A122" s="137" t="s">
        <v>92</v>
      </c>
      <c r="B122" s="137"/>
      <c r="C122" s="137"/>
      <c r="D122" s="137"/>
      <c r="E122" s="137"/>
      <c r="F122" s="112"/>
      <c r="G122" s="112"/>
      <c r="H122" s="112"/>
      <c r="R122"/>
      <c r="S122">
        <v>1300000</v>
      </c>
      <c r="T122">
        <v>400000</v>
      </c>
      <c r="U122">
        <v>350000</v>
      </c>
      <c r="V122" s="22">
        <v>400000</v>
      </c>
    </row>
    <row r="123" spans="1:22" s="32" customFormat="1" hidden="1" x14ac:dyDescent="0.25">
      <c r="A123" s="137" t="s">
        <v>93</v>
      </c>
      <c r="B123" s="137"/>
      <c r="C123" s="137"/>
      <c r="D123" s="137"/>
      <c r="E123" s="137"/>
      <c r="F123" s="112"/>
      <c r="G123" s="112"/>
      <c r="H123" s="112"/>
      <c r="R123"/>
      <c r="S123">
        <v>1400000</v>
      </c>
      <c r="T123">
        <v>500000</v>
      </c>
      <c r="U123">
        <v>400000</v>
      </c>
      <c r="V123"/>
    </row>
    <row r="124" spans="1:22" s="32" customFormat="1" hidden="1" x14ac:dyDescent="0.25">
      <c r="A124" s="137" t="s">
        <v>94</v>
      </c>
      <c r="B124" s="137"/>
      <c r="C124" s="137"/>
      <c r="D124" s="137"/>
      <c r="E124" s="137"/>
      <c r="F124" s="112"/>
      <c r="G124" s="112"/>
      <c r="H124" s="112"/>
      <c r="R124"/>
      <c r="S124">
        <v>1500000</v>
      </c>
      <c r="T124">
        <v>600000</v>
      </c>
      <c r="U124">
        <v>500000</v>
      </c>
      <c r="V124" s="22"/>
    </row>
    <row r="125" spans="1:22" s="32" customFormat="1" hidden="1" x14ac:dyDescent="0.25">
      <c r="A125" s="137" t="s">
        <v>95</v>
      </c>
      <c r="B125" s="137"/>
      <c r="C125" s="137"/>
      <c r="D125" s="137"/>
      <c r="E125" s="137"/>
      <c r="F125" s="112"/>
      <c r="G125" s="112"/>
      <c r="H125" s="112"/>
      <c r="R125"/>
      <c r="S125">
        <v>1600000</v>
      </c>
      <c r="T125">
        <v>700000</v>
      </c>
      <c r="U125">
        <v>600000</v>
      </c>
      <c r="V125"/>
    </row>
    <row r="126" spans="1:22" s="32" customFormat="1" hidden="1" x14ac:dyDescent="0.25">
      <c r="A126" s="137" t="s">
        <v>96</v>
      </c>
      <c r="B126" s="137"/>
      <c r="C126" s="137"/>
      <c r="D126" s="137"/>
      <c r="E126" s="137"/>
      <c r="F126" s="112"/>
      <c r="G126" s="112"/>
      <c r="H126" s="112"/>
      <c r="R126"/>
      <c r="S126">
        <v>1700000</v>
      </c>
      <c r="T126">
        <v>800000</v>
      </c>
      <c r="U126"/>
      <c r="V126" s="22"/>
    </row>
    <row r="127" spans="1:22" x14ac:dyDescent="0.25">
      <c r="A127" s="137" t="s">
        <v>49</v>
      </c>
      <c r="B127" s="137"/>
      <c r="C127" s="137"/>
      <c r="D127" s="137"/>
      <c r="E127" s="137"/>
      <c r="F127" s="112">
        <v>300000</v>
      </c>
      <c r="G127" s="112"/>
      <c r="H127" s="112"/>
      <c r="R127"/>
      <c r="S127">
        <v>1800000</v>
      </c>
      <c r="T127">
        <v>900000</v>
      </c>
      <c r="U127"/>
    </row>
    <row r="128" spans="1:22" s="33" customFormat="1" x14ac:dyDescent="0.25">
      <c r="A128" s="190" t="s">
        <v>50</v>
      </c>
      <c r="B128" s="190"/>
      <c r="C128" s="190"/>
      <c r="D128" s="190"/>
      <c r="E128" s="190"/>
      <c r="F128" s="112">
        <f>F117*0.8</f>
        <v>5200</v>
      </c>
      <c r="G128" s="112"/>
      <c r="H128" s="112"/>
      <c r="R128" s="20"/>
      <c r="S128" s="20"/>
      <c r="T128">
        <v>1000000</v>
      </c>
      <c r="U128"/>
      <c r="V128" s="20"/>
    </row>
    <row r="129" spans="1:22" s="34" customFormat="1" ht="15.75" hidden="1" customHeight="1" x14ac:dyDescent="0.25">
      <c r="A129" s="243" t="s">
        <v>71</v>
      </c>
      <c r="B129" s="243"/>
      <c r="C129" s="243"/>
      <c r="D129" s="243"/>
      <c r="E129" s="243"/>
      <c r="F129" s="243"/>
      <c r="G129" s="243"/>
      <c r="H129" s="243"/>
      <c r="R129"/>
      <c r="S129" s="20"/>
      <c r="T129"/>
      <c r="U129"/>
      <c r="V129" s="20"/>
    </row>
    <row r="130" spans="1:22" s="34" customFormat="1" ht="15.75" hidden="1" customHeight="1" x14ac:dyDescent="0.25">
      <c r="A130" s="244" t="s">
        <v>51</v>
      </c>
      <c r="B130" s="244"/>
      <c r="C130" s="245" t="s">
        <v>74</v>
      </c>
      <c r="D130" s="245"/>
      <c r="E130" s="246" t="s">
        <v>52</v>
      </c>
      <c r="F130" s="246"/>
      <c r="G130" s="244" t="s">
        <v>53</v>
      </c>
      <c r="H130" s="244"/>
      <c r="R130"/>
      <c r="S130" s="20"/>
      <c r="T130"/>
      <c r="U130" s="20"/>
      <c r="V130" s="20"/>
    </row>
    <row r="131" spans="1:22" s="34" customFormat="1" hidden="1" x14ac:dyDescent="0.25">
      <c r="A131" s="247" t="s">
        <v>332</v>
      </c>
      <c r="B131" s="247"/>
      <c r="C131" s="234">
        <f>COUNT(D145:D149)</f>
        <v>5</v>
      </c>
      <c r="D131" s="235"/>
      <c r="E131" s="234">
        <f>SUM(F145:F149)</f>
        <v>922.93765199999996</v>
      </c>
      <c r="F131" s="235"/>
      <c r="G131" s="234">
        <f>SUM(H145:H149)</f>
        <v>1384.4064780000001</v>
      </c>
      <c r="H131" s="235"/>
      <c r="R131"/>
      <c r="S131" s="20"/>
      <c r="T131"/>
      <c r="U131" s="20"/>
      <c r="V131" s="20"/>
    </row>
    <row r="132" spans="1:22" s="34" customFormat="1" hidden="1" x14ac:dyDescent="0.25">
      <c r="A132" s="243" t="s">
        <v>144</v>
      </c>
      <c r="B132" s="243"/>
      <c r="C132" s="235"/>
      <c r="D132" s="235"/>
      <c r="E132" s="248"/>
      <c r="F132" s="248"/>
      <c r="G132" s="249"/>
      <c r="H132" s="249"/>
      <c r="R132"/>
      <c r="S132" s="20"/>
      <c r="T132"/>
      <c r="U132" s="20"/>
      <c r="V132" s="20"/>
    </row>
    <row r="133" spans="1:22" s="34" customFormat="1" x14ac:dyDescent="0.25">
      <c r="A133" s="243" t="s">
        <v>66</v>
      </c>
      <c r="B133" s="243"/>
      <c r="C133" s="243"/>
      <c r="D133" s="243"/>
      <c r="E133" s="243"/>
      <c r="F133" s="243"/>
      <c r="G133" s="243"/>
      <c r="H133" s="243"/>
      <c r="J133" s="34" t="s">
        <v>355</v>
      </c>
      <c r="T133"/>
    </row>
    <row r="134" spans="1:22" s="34" customFormat="1" ht="15.75" customHeight="1" x14ac:dyDescent="0.25">
      <c r="A134" s="244" t="s">
        <v>51</v>
      </c>
      <c r="B134" s="244"/>
      <c r="C134" s="245" t="s">
        <v>74</v>
      </c>
      <c r="D134" s="245"/>
      <c r="E134" s="246" t="s">
        <v>52</v>
      </c>
      <c r="F134" s="246"/>
      <c r="G134" s="244" t="s">
        <v>53</v>
      </c>
      <c r="H134" s="244"/>
      <c r="J134" s="34" t="s">
        <v>355</v>
      </c>
      <c r="T134"/>
    </row>
    <row r="135" spans="1:22" s="34" customFormat="1" x14ac:dyDescent="0.25">
      <c r="A135" s="183" t="s">
        <v>332</v>
      </c>
      <c r="B135" s="183"/>
      <c r="C135" s="234">
        <f>COUNT(F157:F160)+COUNT(F164:F169)+COUNT(F171:F176)*8+COUNT(F179:F184)*2+COUNT(F186:F191)</f>
        <v>76</v>
      </c>
      <c r="D135" s="235"/>
      <c r="E135" s="234">
        <f>SUM(F157:F160)+SUM(F164:F169)+SUM(F171:F176)*8+SUM(F179:F184)*2+SUM(F186:F191)</f>
        <v>48026.81519999999</v>
      </c>
      <c r="F135" s="235"/>
      <c r="G135" s="234">
        <f>SUM(H157:H160)+SUM(H164:H169)+SUM(H171:H176)*8+SUM(H179:H184)*2+SUM(H186:H191)</f>
        <v>69638.882039999982</v>
      </c>
      <c r="H135" s="235"/>
      <c r="I135" s="34">
        <f>74+2</f>
        <v>76</v>
      </c>
      <c r="J135" s="34">
        <f>4+24+10+4+2+22+10</f>
        <v>76</v>
      </c>
      <c r="T135"/>
    </row>
    <row r="136" spans="1:22" s="34" customFormat="1" x14ac:dyDescent="0.25">
      <c r="A136" s="183" t="s">
        <v>333</v>
      </c>
      <c r="B136" s="183"/>
      <c r="C136" s="234">
        <f>COUNT(F197:F207)+COUNT(F209:F220)+COUNT(F222:F233)*5+COUNT(F235,F237:F246)+COUNT(F248:F259)+COUNT(F261:F272)</f>
        <v>118</v>
      </c>
      <c r="D136" s="235"/>
      <c r="E136" s="234">
        <f>SUM(F197:F207)+SUM(F209:F220)+SUM(F222:F233)*5+SUM(F235,F237:F246)+SUM(F248:F259)+SUM(F261:F272)</f>
        <v>50307.545340000004</v>
      </c>
      <c r="F136" s="235"/>
      <c r="G136" s="234">
        <f>SUM(H197:H207)+SUM(H209:H220)+SUM(H222:H233)*5+SUM(H235,H237:H246)+SUM(H248:H259)+SUM(H261:H272)</f>
        <v>73080.131942999986</v>
      </c>
      <c r="H136" s="235"/>
      <c r="I136" s="77">
        <f>113+3</f>
        <v>116</v>
      </c>
      <c r="J136" s="34">
        <f>37+40+40</f>
        <v>117</v>
      </c>
      <c r="K136" s="34">
        <f>10*12-2</f>
        <v>118</v>
      </c>
      <c r="T136"/>
    </row>
    <row r="137" spans="1:22" s="34" customFormat="1" x14ac:dyDescent="0.25">
      <c r="A137" s="224" t="s">
        <v>144</v>
      </c>
      <c r="B137" s="224"/>
      <c r="C137" s="236">
        <f>SUM(C135:D136)</f>
        <v>194</v>
      </c>
      <c r="D137" s="237"/>
      <c r="E137" s="236">
        <f>SUM(E135:F136)</f>
        <v>98334.360539999994</v>
      </c>
      <c r="F137" s="237"/>
      <c r="G137" s="236">
        <f>SUM(G135:H136)</f>
        <v>142719.01398299995</v>
      </c>
      <c r="H137" s="237"/>
      <c r="T137"/>
    </row>
    <row r="138" spans="1:22" s="81" customFormat="1" hidden="1" x14ac:dyDescent="0.25">
      <c r="A138" s="156" t="s">
        <v>161</v>
      </c>
      <c r="B138" s="157"/>
      <c r="C138" s="158"/>
      <c r="D138" s="159"/>
      <c r="E138" s="158"/>
      <c r="F138" s="159"/>
      <c r="G138" s="158"/>
      <c r="H138" s="159"/>
      <c r="T138" s="86"/>
    </row>
    <row r="139" spans="1:22" s="33" customFormat="1" x14ac:dyDescent="0.25">
      <c r="A139" s="177" t="s">
        <v>352</v>
      </c>
      <c r="B139" s="177"/>
      <c r="C139" s="177"/>
      <c r="D139" s="177"/>
      <c r="E139" s="177"/>
      <c r="F139" s="177"/>
      <c r="G139" s="177"/>
      <c r="H139" s="177"/>
      <c r="T139" s="34"/>
    </row>
    <row r="140" spans="1:22" x14ac:dyDescent="0.25">
      <c r="A140" s="113" t="s">
        <v>353</v>
      </c>
      <c r="B140" s="113"/>
      <c r="C140" s="113"/>
      <c r="D140" s="113"/>
      <c r="E140" s="113"/>
      <c r="F140" s="113"/>
      <c r="G140" s="113"/>
      <c r="H140" s="113"/>
      <c r="T140" s="34"/>
    </row>
    <row r="141" spans="1:22" s="21" customFormat="1" ht="47.25" hidden="1" customHeight="1" x14ac:dyDescent="0.25">
      <c r="A141" s="184" t="s">
        <v>354</v>
      </c>
      <c r="B141" s="184" t="s">
        <v>170</v>
      </c>
      <c r="C141" s="184" t="s">
        <v>54</v>
      </c>
      <c r="D141" s="184" t="s">
        <v>225</v>
      </c>
      <c r="E141" s="207" t="s">
        <v>150</v>
      </c>
      <c r="F141" s="184" t="s">
        <v>55</v>
      </c>
      <c r="G141" s="207" t="s">
        <v>56</v>
      </c>
      <c r="H141" s="80" t="s">
        <v>143</v>
      </c>
      <c r="T141" s="81"/>
    </row>
    <row r="142" spans="1:22" s="83" customFormat="1" hidden="1" x14ac:dyDescent="0.25">
      <c r="A142" s="185"/>
      <c r="B142" s="185"/>
      <c r="C142" s="185"/>
      <c r="D142" s="185"/>
      <c r="E142" s="208"/>
      <c r="F142" s="185"/>
      <c r="G142" s="208"/>
      <c r="H142" s="82">
        <v>0.5</v>
      </c>
      <c r="T142" s="81"/>
    </row>
    <row r="143" spans="1:22" s="83" customFormat="1" hidden="1" x14ac:dyDescent="0.25">
      <c r="A143" s="167" t="s">
        <v>332</v>
      </c>
      <c r="B143" s="168"/>
      <c r="C143" s="168"/>
      <c r="D143" s="168"/>
      <c r="E143" s="168"/>
      <c r="F143" s="168"/>
      <c r="G143" s="168"/>
      <c r="H143" s="169"/>
      <c r="J143" s="84"/>
      <c r="T143" s="81"/>
    </row>
    <row r="144" spans="1:22" s="83" customFormat="1" hidden="1" x14ac:dyDescent="0.25">
      <c r="A144" s="167" t="s">
        <v>302</v>
      </c>
      <c r="B144" s="168"/>
      <c r="C144" s="168"/>
      <c r="D144" s="168"/>
      <c r="E144" s="168"/>
      <c r="F144" s="168"/>
      <c r="G144" s="168"/>
      <c r="H144" s="169"/>
      <c r="J144" s="84"/>
      <c r="T144" s="81"/>
    </row>
    <row r="145" spans="1:20" s="83" customFormat="1" ht="15.75" hidden="1" customHeight="1" x14ac:dyDescent="0.25">
      <c r="A145" s="115">
        <v>1</v>
      </c>
      <c r="B145" s="116"/>
      <c r="C145" s="78" t="s">
        <v>301</v>
      </c>
      <c r="D145" s="78">
        <f>(15.717)*10.764</f>
        <v>169.17778799999999</v>
      </c>
      <c r="E145" s="78">
        <v>0</v>
      </c>
      <c r="F145" s="78">
        <f>D145+(IF(E145&lt;201,E145,IF(E145&lt;301,E145/2,E145/3)))</f>
        <v>169.17778799999999</v>
      </c>
      <c r="G145" s="78">
        <v>0</v>
      </c>
      <c r="H145" s="78">
        <f>(F145+(IF(G145&lt;101,G145,IF(G145&lt;201,G145/2,IF(G145&lt;=301,G145/3,G145/4)))))*(($H$142)+1)</f>
        <v>253.766682</v>
      </c>
      <c r="I145" s="84"/>
      <c r="J145" s="83">
        <f>3*5.307</f>
        <v>15.921000000000001</v>
      </c>
      <c r="K145" s="78">
        <v>10.763999999999999</v>
      </c>
      <c r="L145" s="206"/>
      <c r="M145" s="206"/>
      <c r="N145" s="84"/>
      <c r="T145" s="81"/>
    </row>
    <row r="146" spans="1:20" s="83" customFormat="1" ht="15.75" hidden="1" customHeight="1" x14ac:dyDescent="0.25">
      <c r="A146" s="115">
        <f>A145+1</f>
        <v>2</v>
      </c>
      <c r="B146" s="116"/>
      <c r="C146" s="78" t="s">
        <v>301</v>
      </c>
      <c r="D146" s="78">
        <f>(15.717)*10.764</f>
        <v>169.17778799999999</v>
      </c>
      <c r="E146" s="78">
        <v>0</v>
      </c>
      <c r="F146" s="78">
        <f t="shared" ref="F146:F148" si="0">D146+(IF(E146&lt;201,E146,IF(E146&lt;301,E146/2,E146/3)))</f>
        <v>169.17778799999999</v>
      </c>
      <c r="G146" s="78">
        <v>0</v>
      </c>
      <c r="H146" s="78">
        <f t="shared" ref="H146:H148" si="1">(F146+(IF(G146&lt;101,G146,IF(G146&lt;201,G146/2,IF(G146&lt;=301,G146/3,G146/4)))))*(($H$142)+1)</f>
        <v>253.766682</v>
      </c>
      <c r="I146" s="84"/>
      <c r="L146" s="206"/>
      <c r="M146" s="206"/>
      <c r="N146" s="84"/>
      <c r="T146" s="85"/>
    </row>
    <row r="147" spans="1:20" s="83" customFormat="1" ht="15.75" hidden="1" customHeight="1" x14ac:dyDescent="0.25">
      <c r="A147" s="115">
        <f>A146+1</f>
        <v>3</v>
      </c>
      <c r="B147" s="116"/>
      <c r="C147" s="78" t="s">
        <v>301</v>
      </c>
      <c r="D147" s="78">
        <f>(21.266)*10.764</f>
        <v>228.90722399999996</v>
      </c>
      <c r="E147" s="78">
        <v>0</v>
      </c>
      <c r="F147" s="78">
        <f t="shared" si="0"/>
        <v>228.90722399999996</v>
      </c>
      <c r="G147" s="78">
        <v>0</v>
      </c>
      <c r="H147" s="78">
        <f t="shared" si="1"/>
        <v>343.36083599999995</v>
      </c>
      <c r="I147" s="84"/>
      <c r="L147" s="206"/>
      <c r="M147" s="206"/>
      <c r="N147" s="84"/>
      <c r="T147" s="21"/>
    </row>
    <row r="148" spans="1:20" s="83" customFormat="1" ht="15.75" hidden="1" customHeight="1" x14ac:dyDescent="0.25">
      <c r="A148" s="115">
        <f>A147+1</f>
        <v>4</v>
      </c>
      <c r="B148" s="116"/>
      <c r="C148" s="78" t="s">
        <v>301</v>
      </c>
      <c r="D148" s="78">
        <f>(21.469)*10.764</f>
        <v>231.09231600000001</v>
      </c>
      <c r="E148" s="78">
        <v>0</v>
      </c>
      <c r="F148" s="78">
        <f t="shared" si="0"/>
        <v>231.09231600000001</v>
      </c>
      <c r="G148" s="78">
        <v>0</v>
      </c>
      <c r="H148" s="78">
        <f t="shared" si="1"/>
        <v>346.63847400000003</v>
      </c>
      <c r="I148" s="84"/>
      <c r="L148" s="206"/>
      <c r="M148" s="206"/>
      <c r="N148" s="84"/>
      <c r="T148" s="21"/>
    </row>
    <row r="149" spans="1:20" s="83" customFormat="1" ht="15.75" hidden="1" customHeight="1" x14ac:dyDescent="0.25">
      <c r="A149" s="115" t="e">
        <f>#REF!+1</f>
        <v>#REF!</v>
      </c>
      <c r="B149" s="116"/>
      <c r="C149" s="78" t="s">
        <v>301</v>
      </c>
      <c r="D149" s="78">
        <f>(11.574)*10.764</f>
        <v>124.58253599999999</v>
      </c>
      <c r="E149" s="78">
        <v>0</v>
      </c>
      <c r="F149" s="78">
        <f t="shared" ref="F149" si="2">D149+(IF(E149&lt;201,E149,IF(E149&lt;301,E149/2,E149/3)))</f>
        <v>124.58253599999999</v>
      </c>
      <c r="G149" s="78">
        <v>0</v>
      </c>
      <c r="H149" s="78">
        <f t="shared" ref="H149" si="3">(F149+(IF(G149&lt;101,G149,IF(G149&lt;201,G149/2,IF(G149&lt;=301,G149/3,G149/4)))))*(($H$142)+1)</f>
        <v>186.87380399999998</v>
      </c>
      <c r="I149" s="84"/>
      <c r="L149" s="206"/>
      <c r="M149" s="206"/>
      <c r="N149" s="84"/>
      <c r="T149" s="21"/>
    </row>
    <row r="150" spans="1:20" s="36" customFormat="1" hidden="1" x14ac:dyDescent="0.25">
      <c r="A150" s="95"/>
      <c r="B150" s="97"/>
      <c r="C150" s="97"/>
      <c r="D150" s="97"/>
      <c r="E150" s="97"/>
      <c r="F150" s="97"/>
      <c r="G150" s="97"/>
      <c r="H150" s="96"/>
      <c r="I150" s="35"/>
      <c r="N150" s="35"/>
    </row>
    <row r="151" spans="1:20" ht="47.25" customHeight="1" x14ac:dyDescent="0.25">
      <c r="A151" s="178" t="s">
        <v>349</v>
      </c>
      <c r="B151" s="149" t="s">
        <v>171</v>
      </c>
      <c r="C151" s="149" t="s">
        <v>54</v>
      </c>
      <c r="D151" s="149" t="s">
        <v>225</v>
      </c>
      <c r="E151" s="149" t="s">
        <v>350</v>
      </c>
      <c r="F151" s="149" t="s">
        <v>55</v>
      </c>
      <c r="G151" s="216" t="s">
        <v>56</v>
      </c>
      <c r="H151" s="75" t="s">
        <v>143</v>
      </c>
      <c r="I151" s="35"/>
      <c r="L151" s="36"/>
      <c r="T151" s="36"/>
    </row>
    <row r="152" spans="1:20" s="36" customFormat="1" x14ac:dyDescent="0.25">
      <c r="A152" s="179"/>
      <c r="B152" s="150"/>
      <c r="C152" s="150"/>
      <c r="D152" s="150"/>
      <c r="E152" s="150"/>
      <c r="F152" s="150"/>
      <c r="G152" s="217"/>
      <c r="H152" s="69">
        <v>0.45</v>
      </c>
      <c r="I152" s="35"/>
    </row>
    <row r="153" spans="1:20" s="36" customFormat="1" x14ac:dyDescent="0.25">
      <c r="A153" s="225" t="s">
        <v>332</v>
      </c>
      <c r="B153" s="226"/>
      <c r="C153" s="226"/>
      <c r="D153" s="226"/>
      <c r="E153" s="226"/>
      <c r="F153" s="226"/>
      <c r="G153" s="226"/>
      <c r="H153" s="227"/>
      <c r="J153" s="35"/>
    </row>
    <row r="154" spans="1:20" s="36" customFormat="1" x14ac:dyDescent="0.25">
      <c r="A154" s="98" t="s">
        <v>318</v>
      </c>
      <c r="B154" s="99"/>
      <c r="C154" s="99"/>
      <c r="D154" s="99"/>
      <c r="E154" s="99"/>
      <c r="F154" s="99"/>
      <c r="G154" s="99"/>
      <c r="H154" s="100"/>
      <c r="J154" s="35"/>
    </row>
    <row r="155" spans="1:20" s="36" customFormat="1" x14ac:dyDescent="0.25">
      <c r="A155" s="92" t="s">
        <v>303</v>
      </c>
      <c r="B155" s="93"/>
      <c r="C155" s="93"/>
      <c r="D155" s="93"/>
      <c r="E155" s="93"/>
      <c r="F155" s="93"/>
      <c r="G155" s="93"/>
      <c r="H155" s="94"/>
      <c r="J155" s="35"/>
    </row>
    <row r="156" spans="1:20" s="36" customFormat="1" ht="15.75" customHeight="1" x14ac:dyDescent="0.25">
      <c r="A156" s="92" t="s">
        <v>335</v>
      </c>
      <c r="B156" s="93"/>
      <c r="C156" s="93"/>
      <c r="D156" s="93"/>
      <c r="E156" s="93"/>
      <c r="F156" s="93"/>
      <c r="G156" s="93"/>
      <c r="H156" s="94"/>
      <c r="I156" s="73">
        <f>3*4.2+2.1*2.7+2.8*3.1+2.75*3.3+1.2*1.95+2*1+1.3*0.9</f>
        <v>41.535000000000011</v>
      </c>
      <c r="J156" s="36">
        <f>3*5.1+2.1*2.85+3*2.85+3*3.35+2.1*1.197+2.1*1.197+0.9*3.2+1*1.6+2.2*2.2</f>
        <v>54.232400000000013</v>
      </c>
      <c r="L156" s="101">
        <v>1019</v>
      </c>
      <c r="M156" s="101"/>
      <c r="N156" s="70">
        <f>L156/F164</f>
        <v>1.6530017441033911</v>
      </c>
    </row>
    <row r="157" spans="1:20" s="36" customFormat="1" ht="15.75" customHeight="1" x14ac:dyDescent="0.25">
      <c r="A157" s="87">
        <v>1</v>
      </c>
      <c r="B157" s="88"/>
      <c r="C157" s="64" t="s">
        <v>304</v>
      </c>
      <c r="D157" s="64">
        <f>(44.65)*10.764</f>
        <v>480.61259999999993</v>
      </c>
      <c r="E157" s="64">
        <f>(3.05+2.75+0.75*(3.1+2.7)+1.9*1.3)*10.764</f>
        <v>135.84168</v>
      </c>
      <c r="F157" s="64">
        <f>D157+E157</f>
        <v>616.45427999999993</v>
      </c>
      <c r="G157" s="76">
        <v>0</v>
      </c>
      <c r="H157" s="64">
        <f>F157*(($H$152)+1)+(IF(G157&lt;101,G157,IF(G157&lt;201,G157/2,IF(G157&lt;=301,G157/3,G157/4))))</f>
        <v>893.85870599999987</v>
      </c>
      <c r="I157" s="35"/>
      <c r="K157" s="64">
        <v>10.763999999999999</v>
      </c>
      <c r="L157" s="101">
        <v>1020</v>
      </c>
      <c r="M157" s="101"/>
      <c r="N157" s="70">
        <f>L157/F165</f>
        <v>1.5101846631597518</v>
      </c>
    </row>
    <row r="158" spans="1:20" s="36" customFormat="1" ht="15.75" customHeight="1" x14ac:dyDescent="0.25">
      <c r="A158" s="87">
        <f>A157+1</f>
        <v>2</v>
      </c>
      <c r="B158" s="88"/>
      <c r="C158" s="64" t="s">
        <v>304</v>
      </c>
      <c r="D158" s="64">
        <f>(52.9)*10.764</f>
        <v>569.41559999999993</v>
      </c>
      <c r="E158" s="64">
        <f>(3*1.35+0.75*(3+2.75)+1.65*0.9)*10.764</f>
        <v>105.99848999999999</v>
      </c>
      <c r="F158" s="64">
        <f>D158+E158</f>
        <v>675.41408999999987</v>
      </c>
      <c r="G158" s="76">
        <v>0</v>
      </c>
      <c r="H158" s="64">
        <f>F158*(($H$152)+1)+(IF(G158&lt;101,G158,IF(G158&lt;201,G158/2,IF(G158&lt;=301,G158/3,G158/4))))</f>
        <v>979.35043049999979</v>
      </c>
      <c r="I158" s="35"/>
      <c r="L158" s="101">
        <v>1021</v>
      </c>
      <c r="M158" s="101"/>
      <c r="N158" s="70">
        <f>L158/F166</f>
        <v>1.5116652363589278</v>
      </c>
    </row>
    <row r="159" spans="1:20" s="36" customFormat="1" ht="15.75" customHeight="1" x14ac:dyDescent="0.25">
      <c r="A159" s="87">
        <f>A158+1</f>
        <v>3</v>
      </c>
      <c r="B159" s="88"/>
      <c r="C159" s="64" t="s">
        <v>304</v>
      </c>
      <c r="D159" s="64">
        <f>(52.9)*10.764</f>
        <v>569.41559999999993</v>
      </c>
      <c r="E159" s="64">
        <f>(3*1.35+0.75*(3+2.75)+1.65*0.9)*10.764</f>
        <v>105.99848999999999</v>
      </c>
      <c r="F159" s="64">
        <f>D159+E159</f>
        <v>675.41408999999987</v>
      </c>
      <c r="G159" s="76">
        <v>0</v>
      </c>
      <c r="H159" s="64">
        <f>F159*(($H$152)+1)+(IF(G159&lt;101,G159,IF(G159&lt;201,G159/2,IF(G159&lt;=301,G159/3,G159/4))))</f>
        <v>979.35043049999979</v>
      </c>
      <c r="I159" s="35"/>
      <c r="L159" s="101">
        <v>1022</v>
      </c>
      <c r="M159" s="101"/>
      <c r="N159" s="70">
        <f>L159/F167</f>
        <v>1.6278802689283689</v>
      </c>
      <c r="T159" s="20"/>
    </row>
    <row r="160" spans="1:20" s="36" customFormat="1" ht="15.75" customHeight="1" x14ac:dyDescent="0.25">
      <c r="A160" s="87">
        <f>A159+1</f>
        <v>4</v>
      </c>
      <c r="B160" s="88"/>
      <c r="C160" s="64" t="s">
        <v>304</v>
      </c>
      <c r="D160" s="64">
        <f>(44.89+2.59)*10.764</f>
        <v>511.07472000000001</v>
      </c>
      <c r="E160" s="64">
        <f>(2.8+3.05+0.75*(2.1+3)+0.9*1.3)*10.764</f>
        <v>116.73557999999998</v>
      </c>
      <c r="F160" s="64">
        <f>D160+E160</f>
        <v>627.81029999999998</v>
      </c>
      <c r="G160" s="76">
        <v>0</v>
      </c>
      <c r="H160" s="64">
        <f>F160*(($H$152)+1)+(IF(G160&lt;101,G160,IF(G160&lt;201,G160/2,IF(G160&lt;=301,G160/3,G160/4))))</f>
        <v>910.32493499999998</v>
      </c>
      <c r="I160" s="35"/>
      <c r="J160" s="36">
        <f>2.75*4.275+1.83*2.335+2.75*3.35+1.8*1.2+1.2*1.85+0.9*2.2+0.2*1.2</f>
        <v>31.841800000000003</v>
      </c>
      <c r="L160" s="101">
        <v>677</v>
      </c>
      <c r="M160" s="101"/>
      <c r="N160" s="70">
        <f>L160/F168</f>
        <v>1.1112161596106904</v>
      </c>
      <c r="T160" s="20"/>
    </row>
    <row r="161" spans="1:20" s="36" customFormat="1" ht="15.75" customHeight="1" x14ac:dyDescent="0.25">
      <c r="A161" s="87">
        <f t="shared" ref="A161:A162" si="4">A160+1</f>
        <v>5</v>
      </c>
      <c r="B161" s="88"/>
      <c r="C161" s="103" t="s">
        <v>336</v>
      </c>
      <c r="D161" s="104"/>
      <c r="E161" s="104"/>
      <c r="F161" s="104"/>
      <c r="G161" s="104"/>
      <c r="H161" s="105"/>
      <c r="I161" s="35">
        <f>3*4+2.1*1.9+2.1*2.1+2.8*3.3+2.7*3+1.2*2.25+1.2*1.8+0.9*1.8</f>
        <v>44.219999999999992</v>
      </c>
      <c r="L161" s="101"/>
      <c r="M161" s="101"/>
      <c r="N161" s="35"/>
      <c r="T161" s="20"/>
    </row>
    <row r="162" spans="1:20" s="36" customFormat="1" ht="15.75" customHeight="1" x14ac:dyDescent="0.25">
      <c r="A162" s="87">
        <f t="shared" si="4"/>
        <v>6</v>
      </c>
      <c r="B162" s="88"/>
      <c r="C162" s="106"/>
      <c r="D162" s="107"/>
      <c r="E162" s="107"/>
      <c r="F162" s="107"/>
      <c r="G162" s="107"/>
      <c r="H162" s="108"/>
      <c r="I162" s="35"/>
      <c r="L162" s="101"/>
      <c r="M162" s="101"/>
      <c r="N162" s="35"/>
      <c r="T162" s="20"/>
    </row>
    <row r="163" spans="1:20" s="65" customFormat="1" ht="15.75" customHeight="1" x14ac:dyDescent="0.25">
      <c r="A163" s="92" t="s">
        <v>334</v>
      </c>
      <c r="B163" s="93"/>
      <c r="C163" s="93"/>
      <c r="D163" s="93"/>
      <c r="E163" s="93"/>
      <c r="F163" s="93"/>
      <c r="G163" s="93"/>
      <c r="H163" s="94"/>
      <c r="J163" s="35"/>
    </row>
    <row r="164" spans="1:20" s="65" customFormat="1" ht="15.75" customHeight="1" x14ac:dyDescent="0.25">
      <c r="A164" s="87">
        <v>1</v>
      </c>
      <c r="B164" s="88"/>
      <c r="C164" s="41" t="s">
        <v>304</v>
      </c>
      <c r="D164" s="64">
        <f>(44.65)*10.764</f>
        <v>480.61259999999993</v>
      </c>
      <c r="E164" s="64">
        <f>(3.05+2.75+0.75*(3.1+2.7)+1.9*1.3)*10.764</f>
        <v>135.84168</v>
      </c>
      <c r="F164" s="41">
        <f>D164+E164</f>
        <v>616.45427999999993</v>
      </c>
      <c r="G164" s="76">
        <v>0</v>
      </c>
      <c r="H164" s="41">
        <f>F164*(($H$152)+1)+(IF(G164&lt;101,G164,IF(G164&lt;201,G164/2,IF(G164&lt;=301,G164/3,G164/4))))</f>
        <v>893.85870599999987</v>
      </c>
      <c r="J164" s="35"/>
    </row>
    <row r="165" spans="1:20" s="65" customFormat="1" x14ac:dyDescent="0.25">
      <c r="A165" s="87">
        <f>A164+1</f>
        <v>2</v>
      </c>
      <c r="B165" s="88"/>
      <c r="C165" s="41" t="s">
        <v>304</v>
      </c>
      <c r="D165" s="64">
        <f>(52.9)*10.764</f>
        <v>569.41559999999993</v>
      </c>
      <c r="E165" s="64">
        <f>(3*1.35+0.75*(3+2.75)+1.65*0.9)*10.764</f>
        <v>105.99848999999999</v>
      </c>
      <c r="F165" s="41">
        <f>D165+E165</f>
        <v>675.41408999999987</v>
      </c>
      <c r="G165" s="76">
        <v>0</v>
      </c>
      <c r="H165" s="41">
        <f>F165*(($H$152)+1)+(IF(G165&lt;101,G165,IF(G165&lt;201,G165/2,IF(G165&lt;=301,G165/3,G165/4))))</f>
        <v>979.35043049999979</v>
      </c>
      <c r="J165" s="35">
        <v>5800</v>
      </c>
      <c r="L165" s="65">
        <v>5200</v>
      </c>
    </row>
    <row r="166" spans="1:20" s="65" customFormat="1" ht="15.75" customHeight="1" x14ac:dyDescent="0.25">
      <c r="A166" s="87">
        <f>A165+1</f>
        <v>3</v>
      </c>
      <c r="B166" s="88"/>
      <c r="C166" s="41" t="s">
        <v>304</v>
      </c>
      <c r="D166" s="64">
        <f>(52.9)*10.764</f>
        <v>569.41559999999993</v>
      </c>
      <c r="E166" s="64">
        <f>(3*1.35+0.75*(3+2.75)+1.65*0.9)*10.764</f>
        <v>105.99848999999999</v>
      </c>
      <c r="F166" s="41">
        <f>D166+E166</f>
        <v>675.41408999999987</v>
      </c>
      <c r="G166" s="76">
        <v>0</v>
      </c>
      <c r="H166" s="41">
        <f>F166*(($H$152)+1)+(IF(G166&lt;101,G166,IF(G166&lt;201,G166/2,IF(G166&lt;=301,G166/3,G166/4))))</f>
        <v>979.35043049999979</v>
      </c>
      <c r="I166" s="65">
        <f>3*4.2+2.1*2.7+2.8*3.1+2.75*3.3+1.2*1.95+2*1+1.3*0.9</f>
        <v>41.535000000000011</v>
      </c>
      <c r="J166" s="65">
        <f t="shared" ref="J166:J172" si="5">J$165*H196</f>
        <v>0</v>
      </c>
      <c r="L166" s="101"/>
      <c r="M166" s="101"/>
      <c r="N166" s="64">
        <v>10.763999999999999</v>
      </c>
    </row>
    <row r="167" spans="1:20" s="65" customFormat="1" ht="15.75" customHeight="1" x14ac:dyDescent="0.25">
      <c r="A167" s="87">
        <f>A166+1</f>
        <v>4</v>
      </c>
      <c r="B167" s="88"/>
      <c r="C167" s="41" t="s">
        <v>304</v>
      </c>
      <c r="D167" s="64">
        <f>(44.89+2.59)*10.764</f>
        <v>511.07472000000001</v>
      </c>
      <c r="E167" s="64">
        <f>(2.8+3.05+0.75*(2.1+3)+0.9*1.3)*10.764</f>
        <v>116.73557999999998</v>
      </c>
      <c r="F167" s="41">
        <f>D167+E167</f>
        <v>627.81029999999998</v>
      </c>
      <c r="G167" s="76">
        <v>0</v>
      </c>
      <c r="H167" s="41">
        <f>F167*(($H$152)+1)+(IF(G167&lt;101,G167,IF(G167&lt;201,G167/2,IF(G167&lt;=301,G167/3,G167/4))))</f>
        <v>910.32493499999998</v>
      </c>
      <c r="I167" s="35"/>
      <c r="J167" s="66">
        <f t="shared" si="5"/>
        <v>3545873.6507999995</v>
      </c>
      <c r="L167" s="101"/>
      <c r="M167" s="101"/>
      <c r="N167" s="35"/>
    </row>
    <row r="168" spans="1:20" s="65" customFormat="1" ht="15.75" customHeight="1" x14ac:dyDescent="0.25">
      <c r="A168" s="87">
        <f t="shared" ref="A168:A169" si="6">A167+1</f>
        <v>5</v>
      </c>
      <c r="B168" s="88"/>
      <c r="C168" s="64" t="s">
        <v>304</v>
      </c>
      <c r="D168" s="64">
        <f>(45.65)*10.764</f>
        <v>491.37659999999994</v>
      </c>
      <c r="E168" s="64">
        <f>(3.65*1.5+0.75*(2.75+2.8)+1.25*1.05)*10.764</f>
        <v>117.86579999999998</v>
      </c>
      <c r="F168" s="41">
        <f t="shared" ref="F168:F169" si="7">D168+E168</f>
        <v>609.24239999999986</v>
      </c>
      <c r="G168" s="76">
        <v>0</v>
      </c>
      <c r="H168" s="41">
        <f t="shared" ref="H168:H169" si="8">F168*(($H$152)+1)+(IF(G168&lt;101,G168,IF(G168&lt;201,G168/2,IF(G168&lt;=301,G168/3,G168/4))))</f>
        <v>883.40147999999976</v>
      </c>
      <c r="I168" s="35"/>
      <c r="J168" s="66">
        <f t="shared" si="5"/>
        <v>3636172.5777000003</v>
      </c>
      <c r="L168" s="101">
        <f>5200*656/H198</f>
        <v>5441.1498841770172</v>
      </c>
      <c r="M168" s="101"/>
      <c r="N168" s="35"/>
    </row>
    <row r="169" spans="1:20" s="65" customFormat="1" ht="15.75" customHeight="1" x14ac:dyDescent="0.25">
      <c r="A169" s="87">
        <f t="shared" si="6"/>
        <v>6</v>
      </c>
      <c r="B169" s="88"/>
      <c r="C169" s="64" t="s">
        <v>304</v>
      </c>
      <c r="D169" s="64">
        <f>(45.65)*10.764</f>
        <v>491.37659999999994</v>
      </c>
      <c r="E169" s="64">
        <f>(3.65*1.5+0.75*(2.75+2.8)+1.25*1.05)*10.764</f>
        <v>117.86579999999998</v>
      </c>
      <c r="F169" s="41">
        <f t="shared" si="7"/>
        <v>609.24239999999986</v>
      </c>
      <c r="G169" s="76">
        <v>0</v>
      </c>
      <c r="H169" s="41">
        <f t="shared" si="8"/>
        <v>883.40147999999976</v>
      </c>
      <c r="I169" s="35"/>
      <c r="J169" s="66">
        <f t="shared" si="5"/>
        <v>3636172.5777000003</v>
      </c>
      <c r="L169" s="101"/>
      <c r="M169" s="101"/>
      <c r="N169" s="35"/>
      <c r="T169" s="20"/>
    </row>
    <row r="170" spans="1:20" s="65" customFormat="1" ht="15.75" customHeight="1" x14ac:dyDescent="0.25">
      <c r="A170" s="92" t="s">
        <v>342</v>
      </c>
      <c r="B170" s="93"/>
      <c r="C170" s="93"/>
      <c r="D170" s="93"/>
      <c r="E170" s="93"/>
      <c r="F170" s="93"/>
      <c r="G170" s="93"/>
      <c r="H170" s="94"/>
      <c r="I170" s="35"/>
      <c r="J170" s="66">
        <f t="shared" si="5"/>
        <v>3638888.3348999997</v>
      </c>
      <c r="L170" s="101"/>
      <c r="M170" s="101"/>
      <c r="N170" s="35"/>
      <c r="T170" s="20"/>
    </row>
    <row r="171" spans="1:20" s="65" customFormat="1" ht="15.75" customHeight="1" x14ac:dyDescent="0.25">
      <c r="A171" s="87">
        <v>1</v>
      </c>
      <c r="B171" s="88"/>
      <c r="C171" s="64" t="s">
        <v>304</v>
      </c>
      <c r="D171" s="64">
        <f>(44.65)*10.764</f>
        <v>480.61259999999993</v>
      </c>
      <c r="E171" s="64">
        <f>(3.05+2.75+0.75*(3.1+2.7)+1.9*1.3)*10.764</f>
        <v>135.84168</v>
      </c>
      <c r="F171" s="64">
        <f>D171+E171</f>
        <v>616.45427999999993</v>
      </c>
      <c r="G171" s="76">
        <v>0</v>
      </c>
      <c r="H171" s="64">
        <f>F171*(($H$152)+1)+(IF(G171&lt;101,G171,IF(G171&lt;201,G171/2,IF(G171&lt;=301,G171/3,G171/4))))</f>
        <v>893.85870599999987</v>
      </c>
      <c r="I171" s="35"/>
      <c r="J171" s="66">
        <f t="shared" si="5"/>
        <v>3719455.7984999996</v>
      </c>
      <c r="L171" s="101"/>
      <c r="M171" s="101"/>
      <c r="N171" s="35"/>
      <c r="T171" s="20"/>
    </row>
    <row r="172" spans="1:20" s="65" customFormat="1" ht="15.75" customHeight="1" x14ac:dyDescent="0.25">
      <c r="A172" s="87">
        <f>A171+1</f>
        <v>2</v>
      </c>
      <c r="B172" s="88"/>
      <c r="C172" s="64" t="s">
        <v>304</v>
      </c>
      <c r="D172" s="64">
        <f>(52.9)*10.764</f>
        <v>569.41559999999993</v>
      </c>
      <c r="E172" s="64">
        <f>(3*1.35+0.75*(3+2.75)+1.65*0.9)*10.764</f>
        <v>105.99848999999999</v>
      </c>
      <c r="F172" s="64">
        <f>D172+E172</f>
        <v>675.41408999999987</v>
      </c>
      <c r="G172" s="76">
        <v>0</v>
      </c>
      <c r="H172" s="64">
        <f>F172*(($H$152)+1)+(IF(G172&lt;101,G172,IF(G172&lt;201,G172/2,IF(G172&lt;=301,G172/3,G172/4))))</f>
        <v>979.35043049999979</v>
      </c>
      <c r="I172" s="35"/>
      <c r="J172" s="66">
        <f t="shared" si="5"/>
        <v>3718550.5460999999</v>
      </c>
      <c r="L172" s="101"/>
      <c r="M172" s="101"/>
      <c r="N172" s="35"/>
      <c r="T172" s="20"/>
    </row>
    <row r="173" spans="1:20" s="34" customFormat="1" x14ac:dyDescent="0.25">
      <c r="A173" s="87">
        <f>A172+1</f>
        <v>3</v>
      </c>
      <c r="B173" s="88"/>
      <c r="C173" s="64" t="s">
        <v>304</v>
      </c>
      <c r="D173" s="64">
        <f>(52.9)*10.764</f>
        <v>569.41559999999993</v>
      </c>
      <c r="E173" s="64">
        <f>(3*1.35+0.75*(3+2.75)+1.65*0.9)*10.764</f>
        <v>105.99848999999999</v>
      </c>
      <c r="F173" s="64">
        <f>D173+E173</f>
        <v>675.41408999999987</v>
      </c>
      <c r="G173" s="76">
        <v>0</v>
      </c>
      <c r="H173" s="64">
        <f>F173*(($H$152)+1)+(IF(G173&lt;101,G173,IF(G173&lt;201,G173/2,IF(G173&lt;=301,G173/3,G173/4))))</f>
        <v>979.35043049999979</v>
      </c>
      <c r="T173" s="36"/>
    </row>
    <row r="174" spans="1:20" s="34" customFormat="1" x14ac:dyDescent="0.25">
      <c r="A174" s="87">
        <f>A173+1</f>
        <v>4</v>
      </c>
      <c r="B174" s="88"/>
      <c r="C174" s="64" t="s">
        <v>304</v>
      </c>
      <c r="D174" s="64">
        <f>(44.89+2.59)*10.764</f>
        <v>511.07472000000001</v>
      </c>
      <c r="E174" s="64">
        <f>(2.8+3.05+0.75*(2.1+3)+0.9*1.3)*10.764</f>
        <v>116.73557999999998</v>
      </c>
      <c r="F174" s="64">
        <f>D174+E174</f>
        <v>627.81029999999998</v>
      </c>
      <c r="G174" s="76">
        <v>0</v>
      </c>
      <c r="H174" s="64">
        <f>F174*(($H$152)+1)+(IF(G174&lt;101,G174,IF(G174&lt;201,G174/2,IF(G174&lt;=301,G174/3,G174/4))))</f>
        <v>910.32493499999998</v>
      </c>
      <c r="T174" s="36"/>
    </row>
    <row r="175" spans="1:20" s="34" customFormat="1" x14ac:dyDescent="0.25">
      <c r="A175" s="87">
        <f t="shared" ref="A175:A176" si="9">A174+1</f>
        <v>5</v>
      </c>
      <c r="B175" s="88"/>
      <c r="C175" s="64" t="s">
        <v>304</v>
      </c>
      <c r="D175" s="64">
        <f>(45.65)*10.764</f>
        <v>491.37659999999994</v>
      </c>
      <c r="E175" s="64">
        <f>(3.65*1.5+0.75*(2.75+2.8)+1.25*1.05)*10.764</f>
        <v>117.86579999999998</v>
      </c>
      <c r="F175" s="64">
        <f t="shared" ref="F175:F176" si="10">D175+E175</f>
        <v>609.24239999999986</v>
      </c>
      <c r="G175" s="76">
        <v>0</v>
      </c>
      <c r="H175" s="64">
        <f t="shared" ref="H175:H176" si="11">F175*(($H$152)+1)+(IF(G175&lt;101,G175,IF(G175&lt;201,G175/2,IF(G175&lt;=301,G175/3,G175/4))))</f>
        <v>883.40147999999976</v>
      </c>
      <c r="T175" s="36"/>
    </row>
    <row r="176" spans="1:20" s="34" customFormat="1" x14ac:dyDescent="0.25">
      <c r="A176" s="87">
        <f t="shared" si="9"/>
        <v>6</v>
      </c>
      <c r="B176" s="88"/>
      <c r="C176" s="64" t="s">
        <v>304</v>
      </c>
      <c r="D176" s="64">
        <f>(45.65)*10.764</f>
        <v>491.37659999999994</v>
      </c>
      <c r="E176" s="64">
        <f>(3.65*1.5+0.75*(2.75+2.8)+1.25*1.05)*10.764</f>
        <v>117.86579999999998</v>
      </c>
      <c r="F176" s="64">
        <f t="shared" si="10"/>
        <v>609.24239999999986</v>
      </c>
      <c r="G176" s="76">
        <v>0</v>
      </c>
      <c r="H176" s="64">
        <f t="shared" si="11"/>
        <v>883.40147999999976</v>
      </c>
      <c r="T176" s="36"/>
    </row>
    <row r="177" spans="1:20" s="34" customFormat="1" x14ac:dyDescent="0.25">
      <c r="A177" s="92" t="s">
        <v>338</v>
      </c>
      <c r="B177" s="93"/>
      <c r="C177" s="93"/>
      <c r="D177" s="93"/>
      <c r="E177" s="93"/>
      <c r="F177" s="93"/>
      <c r="G177" s="93"/>
      <c r="H177" s="94"/>
      <c r="T177" s="36"/>
    </row>
    <row r="178" spans="1:20" s="34" customFormat="1" x14ac:dyDescent="0.25">
      <c r="A178" s="87" t="s">
        <v>339</v>
      </c>
      <c r="B178" s="88"/>
      <c r="C178" s="87" t="s">
        <v>340</v>
      </c>
      <c r="D178" s="109"/>
      <c r="E178" s="109"/>
      <c r="F178" s="109"/>
      <c r="G178" s="109"/>
      <c r="H178" s="88"/>
      <c r="T178" s="36"/>
    </row>
    <row r="179" spans="1:20" s="34" customFormat="1" x14ac:dyDescent="0.25">
      <c r="A179" s="87">
        <v>1</v>
      </c>
      <c r="B179" s="88"/>
      <c r="C179" s="64" t="s">
        <v>305</v>
      </c>
      <c r="D179" s="64">
        <f>(34.06)*10.764</f>
        <v>366.62184000000002</v>
      </c>
      <c r="E179" s="64">
        <f>(3.05+2.75+0.75*(2.7))*10.764</f>
        <v>84.22829999999999</v>
      </c>
      <c r="F179" s="64">
        <f>D179+E179</f>
        <v>450.85014000000001</v>
      </c>
      <c r="G179" s="76">
        <v>0</v>
      </c>
      <c r="H179" s="64">
        <f>F179*(($H$152)+1)+(IF(G179&lt;101,G179,IF(G179&lt;201,G179/2,IF(G179&lt;=301,G179/3,G179/4))))</f>
        <v>653.73270300000001</v>
      </c>
    </row>
    <row r="180" spans="1:20" s="34" customFormat="1" x14ac:dyDescent="0.25">
      <c r="A180" s="87">
        <f>A179+1</f>
        <v>2</v>
      </c>
      <c r="B180" s="88"/>
      <c r="C180" s="64" t="s">
        <v>304</v>
      </c>
      <c r="D180" s="64">
        <f>(52.9)*10.764</f>
        <v>569.41559999999993</v>
      </c>
      <c r="E180" s="64">
        <f>(3*1.35+0.75*(3+2.75)+1.65*0.9)*10.764</f>
        <v>105.99848999999999</v>
      </c>
      <c r="F180" s="64">
        <f>D180+E180</f>
        <v>675.41408999999987</v>
      </c>
      <c r="G180" s="76">
        <v>0</v>
      </c>
      <c r="H180" s="64">
        <f>F180*(($H$152)+1)+(IF(G180&lt;101,G180,IF(G180&lt;201,G180/2,IF(G180&lt;=301,G180/3,G180/4))))</f>
        <v>979.35043049999979</v>
      </c>
    </row>
    <row r="181" spans="1:20" s="34" customFormat="1" x14ac:dyDescent="0.25">
      <c r="A181" s="87">
        <f>A180+1</f>
        <v>3</v>
      </c>
      <c r="B181" s="88"/>
      <c r="C181" s="64" t="s">
        <v>304</v>
      </c>
      <c r="D181" s="64">
        <f>(52.9)*10.764</f>
        <v>569.41559999999993</v>
      </c>
      <c r="E181" s="64">
        <f>(3*1.35+0.75*(3+2.75)+1.65*0.9)*10.764</f>
        <v>105.99848999999999</v>
      </c>
      <c r="F181" s="64">
        <f>D181+E181</f>
        <v>675.41408999999987</v>
      </c>
      <c r="G181" s="76">
        <v>0</v>
      </c>
      <c r="H181" s="64">
        <f>F181*(($H$152)+1)+(IF(G181&lt;101,G181,IF(G181&lt;201,G181/2,IF(G181&lt;=301,G181/3,G181/4))))</f>
        <v>979.35043049999979</v>
      </c>
    </row>
    <row r="182" spans="1:20" s="34" customFormat="1" x14ac:dyDescent="0.25">
      <c r="A182" s="87">
        <f>A181+1</f>
        <v>4</v>
      </c>
      <c r="B182" s="88"/>
      <c r="C182" s="64" t="s">
        <v>304</v>
      </c>
      <c r="D182" s="64">
        <f>(44.89+2.59)*10.764</f>
        <v>511.07472000000001</v>
      </c>
      <c r="E182" s="64">
        <f>(2.8+3.05+0.75*(2.1+3)+0.9*1.3)*10.764</f>
        <v>116.73557999999998</v>
      </c>
      <c r="F182" s="64">
        <f>D182+E182</f>
        <v>627.81029999999998</v>
      </c>
      <c r="G182" s="76">
        <v>0</v>
      </c>
      <c r="H182" s="64">
        <f>F182*(($H$152)+1)+(IF(G182&lt;101,G182,IF(G182&lt;201,G182/2,IF(G182&lt;=301,G182/3,G182/4))))</f>
        <v>910.32493499999998</v>
      </c>
      <c r="I182" s="77">
        <f>3*4.2+2.7*3.3+2.9*2.1+3.3*3+1.2*1.95+2.1*1.2+1.3*0.9</f>
        <v>43.530000000000008</v>
      </c>
    </row>
    <row r="183" spans="1:20" s="34" customFormat="1" x14ac:dyDescent="0.25">
      <c r="A183" s="87">
        <f t="shared" ref="A183:A184" si="12">A182+1</f>
        <v>5</v>
      </c>
      <c r="B183" s="88"/>
      <c r="C183" s="64" t="s">
        <v>304</v>
      </c>
      <c r="D183" s="64">
        <f>(45.65)*10.764</f>
        <v>491.37659999999994</v>
      </c>
      <c r="E183" s="64">
        <f>(3.65*1.5+0.75*(2.75+2.8)+1.25*1.05)*10.764</f>
        <v>117.86579999999998</v>
      </c>
      <c r="F183" s="64">
        <f t="shared" ref="F183:F184" si="13">D183+E183</f>
        <v>609.24239999999986</v>
      </c>
      <c r="G183" s="76">
        <v>0</v>
      </c>
      <c r="H183" s="64">
        <f t="shared" ref="H183:H184" si="14">F183*(($H$152)+1)+(IF(G183&lt;101,G183,IF(G183&lt;201,G183/2,IF(G183&lt;=301,G183/3,G183/4))))</f>
        <v>883.40147999999976</v>
      </c>
    </row>
    <row r="184" spans="1:20" s="34" customFormat="1" x14ac:dyDescent="0.25">
      <c r="A184" s="87">
        <f t="shared" si="12"/>
        <v>6</v>
      </c>
      <c r="B184" s="88"/>
      <c r="C184" s="64" t="s">
        <v>304</v>
      </c>
      <c r="D184" s="64">
        <f>(45.65)*10.764</f>
        <v>491.37659999999994</v>
      </c>
      <c r="E184" s="64">
        <f>(3.65*1.5+0.75*(2.75+2.8)+1.25*1.05)*10.764</f>
        <v>117.86579999999998</v>
      </c>
      <c r="F184" s="64">
        <f t="shared" si="13"/>
        <v>609.24239999999986</v>
      </c>
      <c r="G184" s="76">
        <v>0</v>
      </c>
      <c r="H184" s="64">
        <f t="shared" si="14"/>
        <v>883.40147999999976</v>
      </c>
    </row>
    <row r="185" spans="1:20" x14ac:dyDescent="0.25">
      <c r="A185" s="92" t="s">
        <v>341</v>
      </c>
      <c r="B185" s="93"/>
      <c r="C185" s="93"/>
      <c r="D185" s="93"/>
      <c r="E185" s="93"/>
      <c r="F185" s="93"/>
      <c r="G185" s="93"/>
      <c r="H185" s="94"/>
      <c r="T185" s="34"/>
    </row>
    <row r="186" spans="1:20" x14ac:dyDescent="0.25">
      <c r="A186" s="87">
        <v>1</v>
      </c>
      <c r="B186" s="88"/>
      <c r="C186" s="64" t="s">
        <v>304</v>
      </c>
      <c r="D186" s="64">
        <f>(44.65)*10.764</f>
        <v>480.61259999999993</v>
      </c>
      <c r="E186" s="64">
        <f>(3.05+2.75+0.75*(3.1+2.7)+1.9*1.3)*10.764</f>
        <v>135.84168</v>
      </c>
      <c r="F186" s="64">
        <f>D186+E186</f>
        <v>616.45427999999993</v>
      </c>
      <c r="G186" s="76">
        <v>0</v>
      </c>
      <c r="H186" s="64">
        <f>F186*(($H$152)+1)+(IF(G186&lt;101,G186,IF(G186&lt;201,G186/2,IF(G186&lt;=301,G186/3,G186/4))))</f>
        <v>893.85870599999987</v>
      </c>
      <c r="T186" s="34"/>
    </row>
    <row r="187" spans="1:20" ht="15.75" customHeight="1" x14ac:dyDescent="0.25">
      <c r="A187" s="87">
        <f>A186+1</f>
        <v>2</v>
      </c>
      <c r="B187" s="88"/>
      <c r="C187" s="64" t="s">
        <v>304</v>
      </c>
      <c r="D187" s="64">
        <f>(52.9)*10.764</f>
        <v>569.41559999999993</v>
      </c>
      <c r="E187" s="64">
        <f>(3*1.35+0.75*(3+2.75)+1.65*0.9)*10.764</f>
        <v>105.99848999999999</v>
      </c>
      <c r="F187" s="64">
        <f>D187+E187</f>
        <v>675.41408999999987</v>
      </c>
      <c r="G187" s="76">
        <v>0</v>
      </c>
      <c r="H187" s="64">
        <f>F187*(($H$152)+1)+(IF(G187&lt;101,G187,IF(G187&lt;201,G187/2,IF(G187&lt;=301,G187/3,G187/4))))</f>
        <v>979.35043049999979</v>
      </c>
      <c r="T187" s="34"/>
    </row>
    <row r="188" spans="1:20" x14ac:dyDescent="0.25">
      <c r="A188" s="87">
        <f>A187+1</f>
        <v>3</v>
      </c>
      <c r="B188" s="88"/>
      <c r="C188" s="64" t="s">
        <v>304</v>
      </c>
      <c r="D188" s="64">
        <f>(52.9)*10.764</f>
        <v>569.41559999999993</v>
      </c>
      <c r="E188" s="64">
        <f>(3*1.35+0.75*(3+2.75)+1.65*0.9)*10.764</f>
        <v>105.99848999999999</v>
      </c>
      <c r="F188" s="64">
        <f>D188+E188</f>
        <v>675.41408999999987</v>
      </c>
      <c r="G188" s="76">
        <v>0</v>
      </c>
      <c r="H188" s="64">
        <f>F188*(($H$152)+1)+(IF(G188&lt;101,G188,IF(G188&lt;201,G188/2,IF(G188&lt;=301,G188/3,G188/4))))</f>
        <v>979.35043049999979</v>
      </c>
      <c r="T188" s="34"/>
    </row>
    <row r="189" spans="1:20" x14ac:dyDescent="0.25">
      <c r="A189" s="87">
        <f>A188+1</f>
        <v>4</v>
      </c>
      <c r="B189" s="88"/>
      <c r="C189" s="64" t="s">
        <v>304</v>
      </c>
      <c r="D189" s="64">
        <f>(44.89+2.59)*10.764</f>
        <v>511.07472000000001</v>
      </c>
      <c r="E189" s="64">
        <f>(2.8+3.05+0.75*(2.1+3)+0.9*1.3)*10.764</f>
        <v>116.73557999999998</v>
      </c>
      <c r="F189" s="64">
        <f>D189+E189</f>
        <v>627.81029999999998</v>
      </c>
      <c r="G189" s="76">
        <v>0</v>
      </c>
      <c r="H189" s="64">
        <f>F189*(($H$152)+1)+(IF(G189&lt;101,G189,IF(G189&lt;201,G189/2,IF(G189&lt;=301,G189/3,G189/4))))</f>
        <v>910.32493499999998</v>
      </c>
      <c r="T189" s="34"/>
    </row>
    <row r="190" spans="1:20" x14ac:dyDescent="0.25">
      <c r="A190" s="87">
        <f t="shared" ref="A190:A191" si="15">A189+1</f>
        <v>5</v>
      </c>
      <c r="B190" s="88"/>
      <c r="C190" s="64" t="s">
        <v>304</v>
      </c>
      <c r="D190" s="64">
        <f>(45.65)*10.764</f>
        <v>491.37659999999994</v>
      </c>
      <c r="E190" s="64">
        <f>(3.65*1.5+0.75*(2.75+2.8)+1.25*1.05)*10.764</f>
        <v>117.86579999999998</v>
      </c>
      <c r="F190" s="64">
        <f t="shared" ref="F190:F191" si="16">D190+E190</f>
        <v>609.24239999999986</v>
      </c>
      <c r="G190" s="76">
        <v>0</v>
      </c>
      <c r="H190" s="64">
        <f t="shared" ref="H190:H191" si="17">F190*(($H$152)+1)+(IF(G190&lt;101,G190,IF(G190&lt;201,G190/2,IF(G190&lt;=301,G190/3,G190/4))))</f>
        <v>883.40147999999976</v>
      </c>
      <c r="T190" s="34"/>
    </row>
    <row r="191" spans="1:20" x14ac:dyDescent="0.25">
      <c r="A191" s="87">
        <f t="shared" si="15"/>
        <v>6</v>
      </c>
      <c r="B191" s="88"/>
      <c r="C191" s="64" t="s">
        <v>304</v>
      </c>
      <c r="D191" s="64">
        <f>(45.65)*10.764</f>
        <v>491.37659999999994</v>
      </c>
      <c r="E191" s="64">
        <f>(3.65*1.5+0.75*(2.75+2.8)+1.25*1.05)*10.764</f>
        <v>117.86579999999998</v>
      </c>
      <c r="F191" s="64">
        <f t="shared" si="16"/>
        <v>609.24239999999986</v>
      </c>
      <c r="G191" s="76">
        <v>0</v>
      </c>
      <c r="H191" s="64">
        <f t="shared" si="17"/>
        <v>883.40147999999976</v>
      </c>
    </row>
    <row r="192" spans="1:20" x14ac:dyDescent="0.25">
      <c r="A192" s="164" t="s">
        <v>333</v>
      </c>
      <c r="B192" s="165"/>
      <c r="C192" s="165"/>
      <c r="D192" s="165"/>
      <c r="E192" s="165"/>
      <c r="F192" s="165"/>
      <c r="G192" s="165"/>
      <c r="H192" s="166"/>
    </row>
    <row r="193" spans="1:8" x14ac:dyDescent="0.25">
      <c r="A193" s="92" t="s">
        <v>318</v>
      </c>
      <c r="B193" s="93"/>
      <c r="C193" s="93"/>
      <c r="D193" s="93"/>
      <c r="E193" s="93"/>
      <c r="F193" s="93"/>
      <c r="G193" s="93"/>
      <c r="H193" s="94"/>
    </row>
    <row r="194" spans="1:8" x14ac:dyDescent="0.25">
      <c r="A194" s="98" t="s">
        <v>303</v>
      </c>
      <c r="B194" s="99"/>
      <c r="C194" s="99"/>
      <c r="D194" s="99"/>
      <c r="E194" s="99"/>
      <c r="F194" s="99"/>
      <c r="G194" s="99"/>
      <c r="H194" s="100"/>
    </row>
    <row r="195" spans="1:8" x14ac:dyDescent="0.25">
      <c r="A195" s="98" t="s">
        <v>343</v>
      </c>
      <c r="B195" s="99"/>
      <c r="C195" s="99"/>
      <c r="D195" s="99"/>
      <c r="E195" s="99"/>
      <c r="F195" s="99"/>
      <c r="G195" s="99"/>
      <c r="H195" s="100"/>
    </row>
    <row r="196" spans="1:8" x14ac:dyDescent="0.25">
      <c r="A196" s="95">
        <v>1</v>
      </c>
      <c r="B196" s="96"/>
      <c r="C196" s="95" t="s">
        <v>344</v>
      </c>
      <c r="D196" s="97"/>
      <c r="E196" s="97"/>
      <c r="F196" s="97"/>
      <c r="G196" s="97"/>
      <c r="H196" s="96"/>
    </row>
    <row r="197" spans="1:8" x14ac:dyDescent="0.25">
      <c r="A197" s="95">
        <f>A196+1</f>
        <v>2</v>
      </c>
      <c r="B197" s="96"/>
      <c r="C197" s="79" t="s">
        <v>305</v>
      </c>
      <c r="D197" s="79">
        <f>(31.82)*10.764</f>
        <v>342.51047999999997</v>
      </c>
      <c r="E197" s="79">
        <f>(0.75*(2.7+2.7+1.2)+1.2+1.2)*10.764</f>
        <v>79.115399999999994</v>
      </c>
      <c r="F197" s="79">
        <f>D197+E197</f>
        <v>421.62587999999994</v>
      </c>
      <c r="G197" s="79">
        <v>0</v>
      </c>
      <c r="H197" s="79">
        <f>F197*(($H$152)+1)+(IF(G197&lt;101,G197,IF(G197&lt;201,G197/2,IF(G197&lt;=301,G197/3,G197/4))))</f>
        <v>611.35752599999989</v>
      </c>
    </row>
    <row r="198" spans="1:8" x14ac:dyDescent="0.25">
      <c r="A198" s="95">
        <f>A197+1</f>
        <v>3</v>
      </c>
      <c r="B198" s="96"/>
      <c r="C198" s="79" t="s">
        <v>305</v>
      </c>
      <c r="D198" s="79">
        <f>(31.91)*10.764</f>
        <v>343.47924</v>
      </c>
      <c r="E198" s="79">
        <f>(0.75*(2.75+2.7+1.8)+1.2*1.35+1.2*1)*10.764</f>
        <v>88.88373</v>
      </c>
      <c r="F198" s="79">
        <f>D198+E198</f>
        <v>432.36297000000002</v>
      </c>
      <c r="G198" s="79">
        <v>0</v>
      </c>
      <c r="H198" s="79">
        <f>F198*(($H$152)+1)+(IF(G198&lt;101,G198,IF(G198&lt;201,G198/2,IF(G198&lt;=301,G198/3,G198/4))))</f>
        <v>626.92630650000001</v>
      </c>
    </row>
    <row r="199" spans="1:8" x14ac:dyDescent="0.25">
      <c r="A199" s="95">
        <f>A198+1</f>
        <v>4</v>
      </c>
      <c r="B199" s="96"/>
      <c r="C199" s="79" t="s">
        <v>305</v>
      </c>
      <c r="D199" s="79">
        <f>(31.91)*10.764</f>
        <v>343.47924</v>
      </c>
      <c r="E199" s="79">
        <f>(0.75*(2.75+2.7+1.8)+1.2*1.35+1.2*1)*10.764</f>
        <v>88.88373</v>
      </c>
      <c r="F199" s="79">
        <f>D199+E199</f>
        <v>432.36297000000002</v>
      </c>
      <c r="G199" s="79">
        <v>0</v>
      </c>
      <c r="H199" s="79">
        <f>F199*(($H$152)+1)+(IF(G199&lt;101,G199,IF(G199&lt;201,G199/2,IF(G199&lt;=301,G199/3,G199/4))))</f>
        <v>626.92630650000001</v>
      </c>
    </row>
    <row r="200" spans="1:8" ht="15" customHeight="1" x14ac:dyDescent="0.25">
      <c r="A200" s="95">
        <f t="shared" ref="A200:A207" si="18">A199+1</f>
        <v>5</v>
      </c>
      <c r="B200" s="96"/>
      <c r="C200" s="79" t="s">
        <v>305</v>
      </c>
      <c r="D200" s="79">
        <f>(31.14)*10.764</f>
        <v>335.19095999999996</v>
      </c>
      <c r="E200" s="79">
        <f>(0.75*(2.75+2.7+1.8)+2+1.2*1.35)*10.764</f>
        <v>97.494930000000011</v>
      </c>
      <c r="F200" s="79">
        <f t="shared" ref="F200:F207" si="19">D200+E200</f>
        <v>432.68588999999997</v>
      </c>
      <c r="G200" s="79">
        <v>0</v>
      </c>
      <c r="H200" s="79">
        <f t="shared" ref="H200:H207" si="20">F200*(($H$152)+1)+(IF(G200&lt;101,G200,IF(G200&lt;201,G200/2,IF(G200&lt;=301,G200/3,G200/4))))</f>
        <v>627.39454049999995</v>
      </c>
    </row>
    <row r="201" spans="1:8" x14ac:dyDescent="0.25">
      <c r="A201" s="87">
        <f t="shared" si="18"/>
        <v>6</v>
      </c>
      <c r="B201" s="88"/>
      <c r="C201" s="64" t="s">
        <v>305</v>
      </c>
      <c r="D201" s="64">
        <f>(27.96+4.87)*10.764</f>
        <v>353.38211999999999</v>
      </c>
      <c r="E201" s="79">
        <f>(0.75*(2.75+2.7+1.8)+1.2*1.35+1.2*1)*10.764</f>
        <v>88.88373</v>
      </c>
      <c r="F201" s="64">
        <f t="shared" si="19"/>
        <v>442.26585</v>
      </c>
      <c r="G201" s="64">
        <v>0</v>
      </c>
      <c r="H201" s="64">
        <f t="shared" si="20"/>
        <v>641.28548249999994</v>
      </c>
    </row>
    <row r="202" spans="1:8" x14ac:dyDescent="0.25">
      <c r="A202" s="87">
        <f t="shared" si="18"/>
        <v>7</v>
      </c>
      <c r="B202" s="88"/>
      <c r="C202" s="64" t="s">
        <v>305</v>
      </c>
      <c r="D202" s="64">
        <f>(27.96+4.86)*10.764</f>
        <v>353.27447999999998</v>
      </c>
      <c r="E202" s="79">
        <f>(0.75*(2.75+2.7+1.8)+1.2*1.35+1.2*1)*10.764</f>
        <v>88.88373</v>
      </c>
      <c r="F202" s="64">
        <f t="shared" si="19"/>
        <v>442.15821</v>
      </c>
      <c r="G202" s="64">
        <v>0</v>
      </c>
      <c r="H202" s="64">
        <f t="shared" si="20"/>
        <v>641.12940449999996</v>
      </c>
    </row>
    <row r="203" spans="1:8" x14ac:dyDescent="0.25">
      <c r="A203" s="87">
        <f t="shared" si="18"/>
        <v>8</v>
      </c>
      <c r="B203" s="88"/>
      <c r="C203" s="64" t="s">
        <v>305</v>
      </c>
      <c r="D203" s="64">
        <f>(31.78)*10.764</f>
        <v>342.07992000000002</v>
      </c>
      <c r="E203" s="79">
        <f>(0.75*(2.7+2.7+1.2)+1.2+1.2)*10.764</f>
        <v>79.115399999999994</v>
      </c>
      <c r="F203" s="64">
        <f t="shared" si="19"/>
        <v>421.19532000000004</v>
      </c>
      <c r="G203" s="64">
        <v>0</v>
      </c>
      <c r="H203" s="64">
        <f t="shared" si="20"/>
        <v>610.73321400000009</v>
      </c>
    </row>
    <row r="204" spans="1:8" x14ac:dyDescent="0.25">
      <c r="A204" s="87">
        <f t="shared" si="18"/>
        <v>9</v>
      </c>
      <c r="B204" s="88"/>
      <c r="C204" s="64" t="s">
        <v>305</v>
      </c>
      <c r="D204" s="64">
        <f>(31.82)*10.764</f>
        <v>342.51047999999997</v>
      </c>
      <c r="E204" s="79">
        <f>(0.75*(2.7+2.7+1.2)+1.2+1.2)*10.764</f>
        <v>79.115399999999994</v>
      </c>
      <c r="F204" s="64">
        <f t="shared" si="19"/>
        <v>421.62587999999994</v>
      </c>
      <c r="G204" s="64">
        <v>0</v>
      </c>
      <c r="H204" s="64">
        <f t="shared" si="20"/>
        <v>611.35752599999989</v>
      </c>
    </row>
    <row r="205" spans="1:8" x14ac:dyDescent="0.25">
      <c r="A205" s="87">
        <f t="shared" si="18"/>
        <v>10</v>
      </c>
      <c r="B205" s="88"/>
      <c r="C205" s="64" t="s">
        <v>305</v>
      </c>
      <c r="D205" s="64">
        <f>(31.71)*10.764</f>
        <v>341.32643999999999</v>
      </c>
      <c r="E205" s="79">
        <f>(0.75*(2.2+2.75+1.8)+1.2*1)*10.764</f>
        <v>67.409549999999996</v>
      </c>
      <c r="F205" s="64">
        <f t="shared" si="19"/>
        <v>408.73599000000002</v>
      </c>
      <c r="G205" s="64">
        <v>0</v>
      </c>
      <c r="H205" s="64">
        <f t="shared" si="20"/>
        <v>592.66718549999996</v>
      </c>
    </row>
    <row r="206" spans="1:8" x14ac:dyDescent="0.25">
      <c r="A206" s="87">
        <f t="shared" si="18"/>
        <v>11</v>
      </c>
      <c r="B206" s="88"/>
      <c r="C206" s="64" t="s">
        <v>305</v>
      </c>
      <c r="D206" s="64">
        <f>(31.78)*10.764</f>
        <v>342.07992000000002</v>
      </c>
      <c r="E206" s="79">
        <f>(0.75*(2.2+2.75+1.8)+1.2*1)*10.764</f>
        <v>67.409549999999996</v>
      </c>
      <c r="F206" s="64">
        <f t="shared" si="19"/>
        <v>409.48946999999998</v>
      </c>
      <c r="G206" s="64">
        <v>0</v>
      </c>
      <c r="H206" s="64">
        <f t="shared" si="20"/>
        <v>593.75973149999993</v>
      </c>
    </row>
    <row r="207" spans="1:8" x14ac:dyDescent="0.25">
      <c r="A207" s="87">
        <f t="shared" si="18"/>
        <v>12</v>
      </c>
      <c r="B207" s="88"/>
      <c r="C207" s="64" t="s">
        <v>305</v>
      </c>
      <c r="D207" s="64">
        <f>(32.05)*10.764</f>
        <v>344.98619999999994</v>
      </c>
      <c r="E207" s="79">
        <f>(0.75*(2.2+2.8+1.8)+1.2*1)*10.764</f>
        <v>67.813199999999995</v>
      </c>
      <c r="F207" s="64">
        <f t="shared" si="19"/>
        <v>412.79939999999993</v>
      </c>
      <c r="G207" s="64">
        <v>0</v>
      </c>
      <c r="H207" s="64">
        <f t="shared" si="20"/>
        <v>598.55912999999987</v>
      </c>
    </row>
    <row r="208" spans="1:8" x14ac:dyDescent="0.25">
      <c r="A208" s="98" t="s">
        <v>334</v>
      </c>
      <c r="B208" s="99"/>
      <c r="C208" s="99"/>
      <c r="D208" s="99"/>
      <c r="E208" s="99"/>
      <c r="F208" s="99"/>
      <c r="G208" s="99"/>
      <c r="H208" s="100"/>
    </row>
    <row r="209" spans="1:12" x14ac:dyDescent="0.25">
      <c r="A209" s="95">
        <v>1</v>
      </c>
      <c r="B209" s="96"/>
      <c r="C209" s="79" t="s">
        <v>305</v>
      </c>
      <c r="D209" s="79">
        <f>(31.82)*10.764</f>
        <v>342.51047999999997</v>
      </c>
      <c r="E209" s="79">
        <f>(0.75*(2.7+2.7)+1.2+1.2)*10.764</f>
        <v>69.427800000000005</v>
      </c>
      <c r="F209" s="79">
        <f>D209+E209</f>
        <v>411.93827999999996</v>
      </c>
      <c r="G209" s="79">
        <f>(2.2*1.2)*10.764</f>
        <v>28.41696</v>
      </c>
      <c r="H209" s="79">
        <f>F209*(($H$152)+1)+(IF(G209&lt;101,G209,IF(G209&lt;201,G209/2,IF(G209&lt;=301,G209/3,G209/4))))</f>
        <v>625.72746599999994</v>
      </c>
    </row>
    <row r="210" spans="1:12" x14ac:dyDescent="0.25">
      <c r="A210" s="95">
        <f>A209+1</f>
        <v>2</v>
      </c>
      <c r="B210" s="96"/>
      <c r="C210" s="79" t="s">
        <v>305</v>
      </c>
      <c r="D210" s="79">
        <f>(31.82)*10.764</f>
        <v>342.51047999999997</v>
      </c>
      <c r="E210" s="79">
        <f>(0.75*(2.7+2.7)+1.2+1.2)*10.764</f>
        <v>69.427800000000005</v>
      </c>
      <c r="F210" s="79">
        <f>D210+E210</f>
        <v>411.93827999999996</v>
      </c>
      <c r="G210" s="79">
        <f>(2.2*1.2)*10.764</f>
        <v>28.41696</v>
      </c>
      <c r="H210" s="79">
        <f>F210*(($H$152)+1)+(IF(G210&lt;101,G210,IF(G210&lt;201,G210/2,IF(G210&lt;=301,G210/3,G210/4))))</f>
        <v>625.72746599999994</v>
      </c>
    </row>
    <row r="211" spans="1:12" x14ac:dyDescent="0.25">
      <c r="A211" s="95">
        <f>A210+1</f>
        <v>3</v>
      </c>
      <c r="B211" s="96"/>
      <c r="C211" s="79" t="s">
        <v>305</v>
      </c>
      <c r="D211" s="79">
        <f>(31.91)*10.764</f>
        <v>343.47924</v>
      </c>
      <c r="E211" s="79">
        <f>(0.75*(2.75+2.7+1.8)+1.2*1.35+1.2*1)*10.764</f>
        <v>88.88373</v>
      </c>
      <c r="F211" s="79">
        <f>D211+E211</f>
        <v>432.36297000000002</v>
      </c>
      <c r="G211" s="79">
        <v>0</v>
      </c>
      <c r="H211" s="79">
        <f>F211*(($H$152)+1)+(IF(G211&lt;101,G211,IF(G211&lt;201,G211/2,IF(G211&lt;=301,G211/3,G211/4))))</f>
        <v>626.92630650000001</v>
      </c>
    </row>
    <row r="212" spans="1:12" x14ac:dyDescent="0.25">
      <c r="A212" s="87">
        <f>A211+1</f>
        <v>4</v>
      </c>
      <c r="B212" s="88"/>
      <c r="C212" s="64" t="s">
        <v>305</v>
      </c>
      <c r="D212" s="79">
        <f>(31.91)*10.764</f>
        <v>343.47924</v>
      </c>
      <c r="E212" s="79">
        <f>(0.75*(2.75+2.7+1.8)+1.2*1.35+1.2*1)*10.764</f>
        <v>88.88373</v>
      </c>
      <c r="F212" s="64">
        <f>D212+E212</f>
        <v>432.36297000000002</v>
      </c>
      <c r="G212" s="64">
        <v>0</v>
      </c>
      <c r="H212" s="64">
        <f>F212*(($H$152)+1)+(IF(G212&lt;101,G212,IF(G212&lt;201,G212/2,IF(G212&lt;=301,G212/3,G212/4))))</f>
        <v>626.92630650000001</v>
      </c>
    </row>
    <row r="213" spans="1:12" x14ac:dyDescent="0.25">
      <c r="A213" s="87">
        <f t="shared" ref="A213:A220" si="21">A212+1</f>
        <v>5</v>
      </c>
      <c r="B213" s="88"/>
      <c r="C213" s="64" t="s">
        <v>305</v>
      </c>
      <c r="D213" s="64">
        <f>(31.14)*10.764</f>
        <v>335.19095999999996</v>
      </c>
      <c r="E213" s="79">
        <f>(0.75*(2.75+2.7+1.8)+2+1.2*1.35)*10.764</f>
        <v>97.494930000000011</v>
      </c>
      <c r="F213" s="64">
        <f t="shared" ref="F213:F215" si="22">D213+E213</f>
        <v>432.68588999999997</v>
      </c>
      <c r="G213" s="64">
        <v>0</v>
      </c>
      <c r="H213" s="64">
        <f t="shared" ref="H213:H215" si="23">F213*(($H$152)+1)+(IF(G213&lt;101,G213,IF(G213&lt;201,G213/2,IF(G213&lt;=301,G213/3,G213/4))))</f>
        <v>627.39454049999995</v>
      </c>
    </row>
    <row r="214" spans="1:12" x14ac:dyDescent="0.25">
      <c r="A214" s="87">
        <f t="shared" si="21"/>
        <v>6</v>
      </c>
      <c r="B214" s="88"/>
      <c r="C214" s="64" t="s">
        <v>305</v>
      </c>
      <c r="D214" s="64">
        <f>(27.96+4.87)*10.764</f>
        <v>353.38211999999999</v>
      </c>
      <c r="E214" s="79">
        <f>(0.75*(2.75+2.7+1.8)+1.2*1.35+1.2*1)*10.764</f>
        <v>88.88373</v>
      </c>
      <c r="F214" s="64">
        <f t="shared" si="22"/>
        <v>442.26585</v>
      </c>
      <c r="G214" s="64">
        <v>0</v>
      </c>
      <c r="H214" s="64">
        <f t="shared" si="23"/>
        <v>641.28548249999994</v>
      </c>
    </row>
    <row r="215" spans="1:12" x14ac:dyDescent="0.25">
      <c r="A215" s="87">
        <f t="shared" si="21"/>
        <v>7</v>
      </c>
      <c r="B215" s="88"/>
      <c r="C215" s="64" t="s">
        <v>305</v>
      </c>
      <c r="D215" s="64">
        <f>(27.96+4.86)*10.764</f>
        <v>353.27447999999998</v>
      </c>
      <c r="E215" s="79">
        <f>(0.75*(2.75+2.7+1.8)+1.2*1.35+1.2*1)*10.764</f>
        <v>88.88373</v>
      </c>
      <c r="F215" s="64">
        <f t="shared" si="22"/>
        <v>442.15821</v>
      </c>
      <c r="G215" s="64">
        <v>0</v>
      </c>
      <c r="H215" s="64">
        <f t="shared" si="23"/>
        <v>641.12940449999996</v>
      </c>
    </row>
    <row r="216" spans="1:12" x14ac:dyDescent="0.25">
      <c r="A216" s="87">
        <f t="shared" si="21"/>
        <v>8</v>
      </c>
      <c r="B216" s="88"/>
      <c r="C216" s="64" t="s">
        <v>305</v>
      </c>
      <c r="D216" s="64">
        <f>(31.78)*10.764</f>
        <v>342.07992000000002</v>
      </c>
      <c r="E216" s="79">
        <f>(0.75*(2.7+2.7+1.2)+1.2+1.2)*10.764</f>
        <v>79.115399999999994</v>
      </c>
      <c r="F216" s="64">
        <f t="shared" ref="F216:F218" si="24">D216+E216</f>
        <v>421.19532000000004</v>
      </c>
      <c r="G216" s="64">
        <v>0</v>
      </c>
      <c r="H216" s="64">
        <f t="shared" ref="H216:H218" si="25">F216*(($H$152)+1)+(IF(G216&lt;101,G216,IF(G216&lt;201,G216/2,IF(G216&lt;=301,G216/3,G216/4))))</f>
        <v>610.73321400000009</v>
      </c>
    </row>
    <row r="217" spans="1:12" x14ac:dyDescent="0.25">
      <c r="A217" s="87">
        <f t="shared" si="21"/>
        <v>9</v>
      </c>
      <c r="B217" s="88"/>
      <c r="C217" s="64" t="s">
        <v>305</v>
      </c>
      <c r="D217" s="64">
        <f>(31.82)*10.764</f>
        <v>342.51047999999997</v>
      </c>
      <c r="E217" s="79">
        <f>(0.75*(2.7+2.7+1.2)+1.2+1.2)*10.764</f>
        <v>79.115399999999994</v>
      </c>
      <c r="F217" s="64">
        <f t="shared" si="24"/>
        <v>421.62587999999994</v>
      </c>
      <c r="G217" s="64">
        <v>0</v>
      </c>
      <c r="H217" s="64">
        <f t="shared" si="25"/>
        <v>611.35752599999989</v>
      </c>
    </row>
    <row r="218" spans="1:12" x14ac:dyDescent="0.25">
      <c r="A218" s="87">
        <f t="shared" si="21"/>
        <v>10</v>
      </c>
      <c r="B218" s="88"/>
      <c r="C218" s="64" t="s">
        <v>305</v>
      </c>
      <c r="D218" s="64">
        <f>(31.71)*10.764</f>
        <v>341.32643999999999</v>
      </c>
      <c r="E218" s="79">
        <f>(0.75*(2.2+2.75+1.8)+1.2*1)*10.764</f>
        <v>67.409549999999996</v>
      </c>
      <c r="F218" s="64">
        <f t="shared" si="24"/>
        <v>408.73599000000002</v>
      </c>
      <c r="G218" s="64">
        <v>0</v>
      </c>
      <c r="H218" s="64">
        <f t="shared" si="25"/>
        <v>592.66718549999996</v>
      </c>
    </row>
    <row r="219" spans="1:12" x14ac:dyDescent="0.25">
      <c r="A219" s="87">
        <f t="shared" si="21"/>
        <v>11</v>
      </c>
      <c r="B219" s="88"/>
      <c r="C219" s="64" t="s">
        <v>305</v>
      </c>
      <c r="D219" s="64">
        <f>(31.78)*10.764</f>
        <v>342.07992000000002</v>
      </c>
      <c r="E219" s="79">
        <f>(0.75*(2.2+2.75+1.8)+1.2*1)*10.764</f>
        <v>67.409549999999996</v>
      </c>
      <c r="F219" s="64">
        <f t="shared" ref="F219:F220" si="26">D219+E219</f>
        <v>409.48946999999998</v>
      </c>
      <c r="G219" s="64">
        <v>0</v>
      </c>
      <c r="H219" s="64">
        <f t="shared" ref="H219:H220" si="27">F219*(($H$152)+1)+(IF(G219&lt;101,G219,IF(G219&lt;201,G219/2,IF(G219&lt;=301,G219/3,G219/4))))</f>
        <v>593.75973149999993</v>
      </c>
    </row>
    <row r="220" spans="1:12" x14ac:dyDescent="0.25">
      <c r="A220" s="87">
        <f t="shared" si="21"/>
        <v>12</v>
      </c>
      <c r="B220" s="88"/>
      <c r="C220" s="64" t="s">
        <v>305</v>
      </c>
      <c r="D220" s="64">
        <f>(32.05)*10.764</f>
        <v>344.98619999999994</v>
      </c>
      <c r="E220" s="79">
        <f>(0.75*(2.2+2.8+1.8)+1.2*1)*10.764</f>
        <v>67.813199999999995</v>
      </c>
      <c r="F220" s="64">
        <f t="shared" si="26"/>
        <v>412.79939999999993</v>
      </c>
      <c r="G220" s="79">
        <f>(3*4+1.5*3+2.3*2.2)*10.764</f>
        <v>232.07183999999998</v>
      </c>
      <c r="H220" s="64">
        <f t="shared" si="27"/>
        <v>675.91640999999981</v>
      </c>
    </row>
    <row r="221" spans="1:12" ht="15.75" customHeight="1" x14ac:dyDescent="0.25">
      <c r="A221" s="92" t="s">
        <v>345</v>
      </c>
      <c r="B221" s="93"/>
      <c r="C221" s="93"/>
      <c r="D221" s="93"/>
      <c r="E221" s="93"/>
      <c r="F221" s="93"/>
      <c r="G221" s="93"/>
      <c r="H221" s="94"/>
      <c r="J221" s="20" t="s">
        <v>357</v>
      </c>
      <c r="K221" s="20">
        <v>6500</v>
      </c>
      <c r="L221" s="20" t="s">
        <v>358</v>
      </c>
    </row>
    <row r="222" spans="1:12" x14ac:dyDescent="0.25">
      <c r="A222" s="95">
        <v>1</v>
      </c>
      <c r="B222" s="96"/>
      <c r="C222" s="79" t="s">
        <v>305</v>
      </c>
      <c r="D222" s="79">
        <f>(31.82)*10.764</f>
        <v>342.51047999999997</v>
      </c>
      <c r="E222" s="79">
        <f>(0.75*(2.7+2.7+1.2)+1.2+1.2)*10.764</f>
        <v>79.115399999999994</v>
      </c>
      <c r="F222" s="79">
        <f>D222+E222</f>
        <v>421.62587999999994</v>
      </c>
      <c r="G222" s="79">
        <v>0</v>
      </c>
      <c r="H222" s="79">
        <f>F222*(($H$152)+1)+(IF(G222&lt;101,G222,IF(G222&lt;201,G222/2,IF(G222&lt;=301,G222/3,G222/4))))</f>
        <v>611.35752599999989</v>
      </c>
      <c r="I222" s="20">
        <f>4460000/H222</f>
        <v>7295.240199594763</v>
      </c>
      <c r="J222" s="239">
        <f>(4460000-(4460000*0.12))/H222</f>
        <v>6419.8113756433922</v>
      </c>
      <c r="K222" s="23">
        <f>$K$221*H222</f>
        <v>3973823.9189999993</v>
      </c>
    </row>
    <row r="223" spans="1:12" x14ac:dyDescent="0.25">
      <c r="A223" s="95">
        <f>A222+1</f>
        <v>2</v>
      </c>
      <c r="B223" s="96"/>
      <c r="C223" s="79" t="s">
        <v>305</v>
      </c>
      <c r="D223" s="79">
        <f>(31.82)*10.764</f>
        <v>342.51047999999997</v>
      </c>
      <c r="E223" s="79">
        <f>(0.75*(2.7+2.7+1.2)+1.2+1.2)*10.764</f>
        <v>79.115399999999994</v>
      </c>
      <c r="F223" s="79">
        <f>D223+E223</f>
        <v>421.62587999999994</v>
      </c>
      <c r="G223" s="79">
        <v>0</v>
      </c>
      <c r="H223" s="79">
        <f>F223*(($H$152)+1)+(IF(G223&lt;101,G223,IF(G223&lt;201,G223/2,IF(G223&lt;=301,G223/3,G223/4))))</f>
        <v>611.35752599999989</v>
      </c>
      <c r="K223" s="23">
        <f t="shared" ref="K223:K233" si="28">$K$221*H223</f>
        <v>3973823.9189999993</v>
      </c>
    </row>
    <row r="224" spans="1:12" x14ac:dyDescent="0.25">
      <c r="A224" s="95">
        <f>A223+1</f>
        <v>3</v>
      </c>
      <c r="B224" s="96"/>
      <c r="C224" s="79" t="s">
        <v>305</v>
      </c>
      <c r="D224" s="79">
        <f>(31.91)*10.764</f>
        <v>343.47924</v>
      </c>
      <c r="E224" s="79">
        <f>(0.75*(2.75+2.7+1.8)+1.2*1.35+1.2*1)*10.764</f>
        <v>88.88373</v>
      </c>
      <c r="F224" s="79">
        <f>D224+E224</f>
        <v>432.36297000000002</v>
      </c>
      <c r="G224" s="79">
        <v>0</v>
      </c>
      <c r="H224" s="79">
        <f>F224*(($H$152)+1)+(IF(G224&lt;101,G224,IF(G224&lt;201,G224/2,IF(G224&lt;=301,G224/3,G224/4))))</f>
        <v>626.92630650000001</v>
      </c>
      <c r="K224" s="240">
        <f t="shared" si="28"/>
        <v>4075020.9922500001</v>
      </c>
      <c r="L224" s="20">
        <f>4000000/H224</f>
        <v>6380.335230038716</v>
      </c>
    </row>
    <row r="225" spans="1:12" x14ac:dyDescent="0.25">
      <c r="A225" s="87">
        <f>A224+1</f>
        <v>4</v>
      </c>
      <c r="B225" s="88"/>
      <c r="C225" s="64" t="s">
        <v>305</v>
      </c>
      <c r="D225" s="79">
        <f>(31.91)*10.764</f>
        <v>343.47924</v>
      </c>
      <c r="E225" s="79">
        <f>(0.75*(2.75+2.7+1.8)+1.2*1.35+1.2*1)*10.764</f>
        <v>88.88373</v>
      </c>
      <c r="F225" s="64">
        <f>D225+E225</f>
        <v>432.36297000000002</v>
      </c>
      <c r="G225" s="64">
        <v>0</v>
      </c>
      <c r="H225" s="64">
        <f>F225*(($H$152)+1)+(IF(G225&lt;101,G225,IF(G225&lt;201,G225/2,IF(G225&lt;=301,G225/3,G225/4))))</f>
        <v>626.92630650000001</v>
      </c>
      <c r="K225" s="23">
        <f t="shared" si="28"/>
        <v>4075020.9922500001</v>
      </c>
    </row>
    <row r="226" spans="1:12" x14ac:dyDescent="0.25">
      <c r="A226" s="87">
        <f t="shared" ref="A226:A233" si="29">A225+1</f>
        <v>5</v>
      </c>
      <c r="B226" s="88"/>
      <c r="C226" s="64" t="s">
        <v>305</v>
      </c>
      <c r="D226" s="64">
        <f>(31.14)*10.764</f>
        <v>335.19095999999996</v>
      </c>
      <c r="E226" s="79">
        <f>(0.75*(2.75+2.7+1.8)+2+1.2*1.35)*10.764</f>
        <v>97.494930000000011</v>
      </c>
      <c r="F226" s="64">
        <f t="shared" ref="F226:F233" si="30">D226+E226</f>
        <v>432.68588999999997</v>
      </c>
      <c r="G226" s="64">
        <v>0</v>
      </c>
      <c r="H226" s="64">
        <f t="shared" ref="H226:H233" si="31">F226*(($H$152)+1)+(IF(G226&lt;101,G226,IF(G226&lt;201,G226/2,IF(G226&lt;=301,G226/3,G226/4))))</f>
        <v>627.39454049999995</v>
      </c>
      <c r="K226" s="23">
        <f t="shared" si="28"/>
        <v>4078064.5132499998</v>
      </c>
    </row>
    <row r="227" spans="1:12" x14ac:dyDescent="0.25">
      <c r="A227" s="87">
        <f t="shared" si="29"/>
        <v>6</v>
      </c>
      <c r="B227" s="88"/>
      <c r="C227" s="64" t="s">
        <v>305</v>
      </c>
      <c r="D227" s="64">
        <f>(27.96+4.87)*10.764</f>
        <v>353.38211999999999</v>
      </c>
      <c r="E227" s="79">
        <f>(0.75*(2.75+2.7+1.8)+1.2*1.35+1.2*1)*10.764</f>
        <v>88.88373</v>
      </c>
      <c r="F227" s="64">
        <f t="shared" si="30"/>
        <v>442.26585</v>
      </c>
      <c r="G227" s="64">
        <v>0</v>
      </c>
      <c r="H227" s="64">
        <f t="shared" si="31"/>
        <v>641.28548249999994</v>
      </c>
      <c r="K227" s="240">
        <f t="shared" si="28"/>
        <v>4168355.6362499995</v>
      </c>
      <c r="L227" s="239">
        <f>4328704/H227</f>
        <v>6750.0420922128087</v>
      </c>
    </row>
    <row r="228" spans="1:12" x14ac:dyDescent="0.25">
      <c r="A228" s="87">
        <f t="shared" si="29"/>
        <v>7</v>
      </c>
      <c r="B228" s="88"/>
      <c r="C228" s="64" t="s">
        <v>305</v>
      </c>
      <c r="D228" s="64">
        <f>(27.96+4.86)*10.764</f>
        <v>353.27447999999998</v>
      </c>
      <c r="E228" s="79">
        <f>(0.75*(2.75+2.7+1.8)+1.2*1.35+1.2*1)*10.764</f>
        <v>88.88373</v>
      </c>
      <c r="F228" s="64">
        <f t="shared" si="30"/>
        <v>442.15821</v>
      </c>
      <c r="G228" s="64">
        <v>0</v>
      </c>
      <c r="H228" s="64">
        <f t="shared" si="31"/>
        <v>641.12940449999996</v>
      </c>
      <c r="K228" s="23">
        <f t="shared" si="28"/>
        <v>4167341.1292499998</v>
      </c>
    </row>
    <row r="229" spans="1:12" x14ac:dyDescent="0.25">
      <c r="A229" s="87">
        <f t="shared" si="29"/>
        <v>8</v>
      </c>
      <c r="B229" s="88"/>
      <c r="C229" s="64" t="s">
        <v>305</v>
      </c>
      <c r="D229" s="64">
        <f>(31.78)*10.764</f>
        <v>342.07992000000002</v>
      </c>
      <c r="E229" s="79">
        <f>(0.75*(2.7+2.7+1.2)+1.2+1.2)*10.764</f>
        <v>79.115399999999994</v>
      </c>
      <c r="F229" s="64">
        <f t="shared" si="30"/>
        <v>421.19532000000004</v>
      </c>
      <c r="G229" s="64">
        <v>0</v>
      </c>
      <c r="H229" s="64">
        <f t="shared" si="31"/>
        <v>610.73321400000009</v>
      </c>
      <c r="K229" s="23">
        <f t="shared" si="28"/>
        <v>3969765.8910000008</v>
      </c>
    </row>
    <row r="230" spans="1:12" x14ac:dyDescent="0.25">
      <c r="A230" s="87">
        <f t="shared" si="29"/>
        <v>9</v>
      </c>
      <c r="B230" s="88"/>
      <c r="C230" s="64" t="s">
        <v>305</v>
      </c>
      <c r="D230" s="64">
        <f>(31.82)*10.764</f>
        <v>342.51047999999997</v>
      </c>
      <c r="E230" s="79">
        <f>(0.75*(2.7+2.7+1.2)+1.2+1.2)*10.764</f>
        <v>79.115399999999994</v>
      </c>
      <c r="F230" s="64">
        <f t="shared" si="30"/>
        <v>421.62587999999994</v>
      </c>
      <c r="G230" s="64">
        <v>0</v>
      </c>
      <c r="H230" s="64">
        <f t="shared" si="31"/>
        <v>611.35752599999989</v>
      </c>
      <c r="K230" s="23">
        <f t="shared" si="28"/>
        <v>3973823.9189999993</v>
      </c>
    </row>
    <row r="231" spans="1:12" x14ac:dyDescent="0.25">
      <c r="A231" s="87">
        <f t="shared" si="29"/>
        <v>10</v>
      </c>
      <c r="B231" s="88"/>
      <c r="C231" s="64" t="s">
        <v>305</v>
      </c>
      <c r="D231" s="64">
        <f>(31.71)*10.764</f>
        <v>341.32643999999999</v>
      </c>
      <c r="E231" s="79">
        <f>(0.75*(2.2+2.75+1.8)+1.2*1)*10.764</f>
        <v>67.409549999999996</v>
      </c>
      <c r="F231" s="64">
        <f t="shared" si="30"/>
        <v>408.73599000000002</v>
      </c>
      <c r="G231" s="64">
        <v>0</v>
      </c>
      <c r="H231" s="64">
        <f t="shared" si="31"/>
        <v>592.66718549999996</v>
      </c>
      <c r="K231" s="23">
        <f t="shared" si="28"/>
        <v>3852336.7057499997</v>
      </c>
    </row>
    <row r="232" spans="1:12" x14ac:dyDescent="0.25">
      <c r="A232" s="87">
        <f t="shared" si="29"/>
        <v>11</v>
      </c>
      <c r="B232" s="88"/>
      <c r="C232" s="64" t="s">
        <v>305</v>
      </c>
      <c r="D232" s="64">
        <f>(31.78)*10.764</f>
        <v>342.07992000000002</v>
      </c>
      <c r="E232" s="79">
        <f>(0.75*(2.2+2.75+1.8)+1.2*1)*10.764</f>
        <v>67.409549999999996</v>
      </c>
      <c r="F232" s="64">
        <f t="shared" si="30"/>
        <v>409.48946999999998</v>
      </c>
      <c r="G232" s="64">
        <v>0</v>
      </c>
      <c r="H232" s="64">
        <f t="shared" si="31"/>
        <v>593.75973149999993</v>
      </c>
      <c r="K232" s="23">
        <f t="shared" si="28"/>
        <v>3859438.2547499994</v>
      </c>
    </row>
    <row r="233" spans="1:12" x14ac:dyDescent="0.25">
      <c r="A233" s="87">
        <f t="shared" si="29"/>
        <v>12</v>
      </c>
      <c r="B233" s="88"/>
      <c r="C233" s="64" t="s">
        <v>305</v>
      </c>
      <c r="D233" s="64">
        <f>(32.05)*10.764</f>
        <v>344.98619999999994</v>
      </c>
      <c r="E233" s="79">
        <f>(0.75*(2.2+2.8+1.8)+1.2*1+2.1)*10.764</f>
        <v>90.417599999999993</v>
      </c>
      <c r="F233" s="64">
        <f t="shared" si="30"/>
        <v>435.40379999999993</v>
      </c>
      <c r="G233" s="79">
        <v>0</v>
      </c>
      <c r="H233" s="64">
        <f t="shared" si="31"/>
        <v>631.33550999999989</v>
      </c>
      <c r="K233" s="240">
        <f t="shared" si="28"/>
        <v>4103680.8149999995</v>
      </c>
      <c r="L233" s="239">
        <f>4328704/H233</f>
        <v>6856.4240905758661</v>
      </c>
    </row>
    <row r="234" spans="1:12" x14ac:dyDescent="0.25">
      <c r="A234" s="92" t="s">
        <v>337</v>
      </c>
      <c r="B234" s="93"/>
      <c r="C234" s="93"/>
      <c r="D234" s="93"/>
      <c r="E234" s="93"/>
      <c r="F234" s="93"/>
      <c r="G234" s="93"/>
      <c r="H234" s="94"/>
    </row>
    <row r="235" spans="1:12" x14ac:dyDescent="0.25">
      <c r="A235" s="95">
        <v>1</v>
      </c>
      <c r="B235" s="96"/>
      <c r="C235" s="79" t="s">
        <v>305</v>
      </c>
      <c r="D235" s="79">
        <f>(31.82)*10.764</f>
        <v>342.51047999999997</v>
      </c>
      <c r="E235" s="79">
        <f>(0.75*(2.7+2.7+1.2)+1.2+1.2)*10.764</f>
        <v>79.115399999999994</v>
      </c>
      <c r="F235" s="79">
        <f>D235+E235</f>
        <v>421.62587999999994</v>
      </c>
      <c r="G235" s="79">
        <v>0</v>
      </c>
      <c r="H235" s="79">
        <f>F235*(($H$152)+1)+(IF(G235&lt;101,G235,IF(G235&lt;201,G235/2,IF(G235&lt;=301,G235/3,G235/4))))</f>
        <v>611.35752599999989</v>
      </c>
    </row>
    <row r="236" spans="1:12" x14ac:dyDescent="0.25">
      <c r="A236" s="95">
        <f>A235+1</f>
        <v>2</v>
      </c>
      <c r="B236" s="96"/>
      <c r="C236" s="95" t="s">
        <v>346</v>
      </c>
      <c r="D236" s="97"/>
      <c r="E236" s="97"/>
      <c r="F236" s="97"/>
      <c r="G236" s="97"/>
      <c r="H236" s="96"/>
    </row>
    <row r="237" spans="1:12" x14ac:dyDescent="0.25">
      <c r="A237" s="95">
        <f>A236+1</f>
        <v>3</v>
      </c>
      <c r="B237" s="96"/>
      <c r="C237" s="79" t="s">
        <v>305</v>
      </c>
      <c r="D237" s="79">
        <f>(31.91)*10.764</f>
        <v>343.47924</v>
      </c>
      <c r="E237" s="79">
        <f>(0.75*(2.75+2.7+1.8)+1.2*1.35+1.2*1)*10.764</f>
        <v>88.88373</v>
      </c>
      <c r="F237" s="79">
        <f>D237+E237</f>
        <v>432.36297000000002</v>
      </c>
      <c r="G237" s="79">
        <v>0</v>
      </c>
      <c r="H237" s="79">
        <f>F237*(($H$152)+1)+(IF(G237&lt;101,G237,IF(G237&lt;201,G237/2,IF(G237&lt;=301,G237/3,G237/4))))</f>
        <v>626.92630650000001</v>
      </c>
    </row>
    <row r="238" spans="1:12" x14ac:dyDescent="0.25">
      <c r="A238" s="87">
        <f>A237+1</f>
        <v>4</v>
      </c>
      <c r="B238" s="88"/>
      <c r="C238" s="64" t="s">
        <v>305</v>
      </c>
      <c r="D238" s="79">
        <f>(31.91)*10.764</f>
        <v>343.47924</v>
      </c>
      <c r="E238" s="79">
        <f>(0.75*(2.75+2.7+1.8)+1.2*1.35+1.2*1)*10.764</f>
        <v>88.88373</v>
      </c>
      <c r="F238" s="64">
        <f>D238+E238</f>
        <v>432.36297000000002</v>
      </c>
      <c r="G238" s="64">
        <v>0</v>
      </c>
      <c r="H238" s="64">
        <f>F238*(($H$152)+1)+(IF(G238&lt;101,G238,IF(G238&lt;201,G238/2,IF(G238&lt;=301,G238/3,G238/4))))</f>
        <v>626.92630650000001</v>
      </c>
    </row>
    <row r="239" spans="1:12" x14ac:dyDescent="0.25">
      <c r="A239" s="87">
        <f t="shared" ref="A239:A246" si="32">A238+1</f>
        <v>5</v>
      </c>
      <c r="B239" s="88"/>
      <c r="C239" s="64" t="s">
        <v>305</v>
      </c>
      <c r="D239" s="64">
        <f>(31.14)*10.764</f>
        <v>335.19095999999996</v>
      </c>
      <c r="E239" s="79">
        <f>(0.75*(2.75+2.7+1.8)+2+1.2*1.35)*10.764</f>
        <v>97.494930000000011</v>
      </c>
      <c r="F239" s="64">
        <f t="shared" ref="F239:F246" si="33">D239+E239</f>
        <v>432.68588999999997</v>
      </c>
      <c r="G239" s="64">
        <v>0</v>
      </c>
      <c r="H239" s="64">
        <f t="shared" ref="H239:H246" si="34">F239*(($H$152)+1)+(IF(G239&lt;101,G239,IF(G239&lt;201,G239/2,IF(G239&lt;=301,G239/3,G239/4))))</f>
        <v>627.39454049999995</v>
      </c>
    </row>
    <row r="240" spans="1:12" x14ac:dyDescent="0.25">
      <c r="A240" s="87">
        <f t="shared" si="32"/>
        <v>6</v>
      </c>
      <c r="B240" s="88"/>
      <c r="C240" s="64" t="s">
        <v>305</v>
      </c>
      <c r="D240" s="64">
        <f>(27.96+4.87)*10.764</f>
        <v>353.38211999999999</v>
      </c>
      <c r="E240" s="79">
        <f>(0.75*(2.75+2.7+1.8)+1.2*1.35+1.2*1)*10.764</f>
        <v>88.88373</v>
      </c>
      <c r="F240" s="64">
        <f t="shared" si="33"/>
        <v>442.26585</v>
      </c>
      <c r="G240" s="64">
        <v>0</v>
      </c>
      <c r="H240" s="64">
        <f t="shared" si="34"/>
        <v>641.28548249999994</v>
      </c>
    </row>
    <row r="241" spans="1:8" x14ac:dyDescent="0.25">
      <c r="A241" s="87">
        <f t="shared" si="32"/>
        <v>7</v>
      </c>
      <c r="B241" s="88"/>
      <c r="C241" s="64" t="s">
        <v>305</v>
      </c>
      <c r="D241" s="64">
        <f>(27.96+4.86)*10.764</f>
        <v>353.27447999999998</v>
      </c>
      <c r="E241" s="79">
        <f>(0.75*(2.75+2.7+1.8)+1.2*1.35+1.2*1)*10.764</f>
        <v>88.88373</v>
      </c>
      <c r="F241" s="64">
        <f t="shared" si="33"/>
        <v>442.15821</v>
      </c>
      <c r="G241" s="64">
        <v>0</v>
      </c>
      <c r="H241" s="64">
        <f t="shared" si="34"/>
        <v>641.12940449999996</v>
      </c>
    </row>
    <row r="242" spans="1:8" x14ac:dyDescent="0.25">
      <c r="A242" s="87">
        <f t="shared" si="32"/>
        <v>8</v>
      </c>
      <c r="B242" s="88"/>
      <c r="C242" s="64" t="s">
        <v>305</v>
      </c>
      <c r="D242" s="64">
        <f>(31.78)*10.764</f>
        <v>342.07992000000002</v>
      </c>
      <c r="E242" s="79">
        <f>(0.75*(2.7+2.7+1.2)+1.2+1.2)*10.764</f>
        <v>79.115399999999994</v>
      </c>
      <c r="F242" s="64">
        <f t="shared" si="33"/>
        <v>421.19532000000004</v>
      </c>
      <c r="G242" s="64">
        <v>0</v>
      </c>
      <c r="H242" s="64">
        <f t="shared" si="34"/>
        <v>610.73321400000009</v>
      </c>
    </row>
    <row r="243" spans="1:8" x14ac:dyDescent="0.25">
      <c r="A243" s="87">
        <f t="shared" si="32"/>
        <v>9</v>
      </c>
      <c r="B243" s="88"/>
      <c r="C243" s="64" t="s">
        <v>305</v>
      </c>
      <c r="D243" s="64">
        <f>(31.82)*10.764</f>
        <v>342.51047999999997</v>
      </c>
      <c r="E243" s="79">
        <f>(0.75*(2.7+2.7+1.2)+1.2+1.2)*10.764</f>
        <v>79.115399999999994</v>
      </c>
      <c r="F243" s="64">
        <f t="shared" si="33"/>
        <v>421.62587999999994</v>
      </c>
      <c r="G243" s="64">
        <v>0</v>
      </c>
      <c r="H243" s="64">
        <f t="shared" si="34"/>
        <v>611.35752599999989</v>
      </c>
    </row>
    <row r="244" spans="1:8" x14ac:dyDescent="0.25">
      <c r="A244" s="87">
        <f t="shared" si="32"/>
        <v>10</v>
      </c>
      <c r="B244" s="88"/>
      <c r="C244" s="64" t="s">
        <v>305</v>
      </c>
      <c r="D244" s="64">
        <f>(31.71)*10.764</f>
        <v>341.32643999999999</v>
      </c>
      <c r="E244" s="79">
        <f>(0.75*(2.2+2.75+1.8)+1.2*1)*10.764</f>
        <v>67.409549999999996</v>
      </c>
      <c r="F244" s="64">
        <f t="shared" si="33"/>
        <v>408.73599000000002</v>
      </c>
      <c r="G244" s="64">
        <v>0</v>
      </c>
      <c r="H244" s="64">
        <f t="shared" si="34"/>
        <v>592.66718549999996</v>
      </c>
    </row>
    <row r="245" spans="1:8" x14ac:dyDescent="0.25">
      <c r="A245" s="87">
        <f t="shared" si="32"/>
        <v>11</v>
      </c>
      <c r="B245" s="88"/>
      <c r="C245" s="64" t="s">
        <v>305</v>
      </c>
      <c r="D245" s="64">
        <f>(31.78)*10.764</f>
        <v>342.07992000000002</v>
      </c>
      <c r="E245" s="79">
        <f>(0.75*(2.2+2.75+1.8)+1.2*1)*10.764</f>
        <v>67.409549999999996</v>
      </c>
      <c r="F245" s="64">
        <f t="shared" si="33"/>
        <v>409.48946999999998</v>
      </c>
      <c r="G245" s="64">
        <v>0</v>
      </c>
      <c r="H245" s="64">
        <f t="shared" si="34"/>
        <v>593.75973149999993</v>
      </c>
    </row>
    <row r="246" spans="1:8" x14ac:dyDescent="0.25">
      <c r="A246" s="87">
        <f t="shared" si="32"/>
        <v>12</v>
      </c>
      <c r="B246" s="88"/>
      <c r="C246" s="64" t="s">
        <v>305</v>
      </c>
      <c r="D246" s="64">
        <f>(32.05)*10.764</f>
        <v>344.98619999999994</v>
      </c>
      <c r="E246" s="79">
        <f>(0.75*(2.2+2.8+1.8)+1.2*1+2.1)*10.764</f>
        <v>90.417599999999993</v>
      </c>
      <c r="F246" s="64">
        <f t="shared" si="33"/>
        <v>435.40379999999993</v>
      </c>
      <c r="G246" s="79">
        <v>0</v>
      </c>
      <c r="H246" s="64">
        <f t="shared" si="34"/>
        <v>631.33550999999989</v>
      </c>
    </row>
    <row r="247" spans="1:8" x14ac:dyDescent="0.25">
      <c r="A247" s="92" t="s">
        <v>347</v>
      </c>
      <c r="B247" s="93"/>
      <c r="C247" s="93"/>
      <c r="D247" s="93"/>
      <c r="E247" s="93"/>
      <c r="F247" s="93"/>
      <c r="G247" s="93"/>
      <c r="H247" s="94"/>
    </row>
    <row r="248" spans="1:8" x14ac:dyDescent="0.25">
      <c r="A248" s="95">
        <v>1</v>
      </c>
      <c r="B248" s="96"/>
      <c r="C248" s="79" t="s">
        <v>305</v>
      </c>
      <c r="D248" s="79">
        <f>(31.82)*10.764</f>
        <v>342.51047999999997</v>
      </c>
      <c r="E248" s="79">
        <f>(0.75*(2.7+2.7+1.2)+1.2+1.2)*10.764</f>
        <v>79.115399999999994</v>
      </c>
      <c r="F248" s="79">
        <f>D248+E248</f>
        <v>421.62587999999994</v>
      </c>
      <c r="G248" s="79">
        <v>0</v>
      </c>
      <c r="H248" s="79">
        <f>F248*(($H$152)+1)+(IF(G248&lt;101,G248,IF(G248&lt;201,G248/2,IF(G248&lt;=301,G248/3,G248/4))))</f>
        <v>611.35752599999989</v>
      </c>
    </row>
    <row r="249" spans="1:8" x14ac:dyDescent="0.25">
      <c r="A249" s="95">
        <f>A248+1</f>
        <v>2</v>
      </c>
      <c r="B249" s="96"/>
      <c r="C249" s="79" t="s">
        <v>305</v>
      </c>
      <c r="D249" s="79">
        <f>(31.82)*10.764</f>
        <v>342.51047999999997</v>
      </c>
      <c r="E249" s="79">
        <f>(0.75*(2.7+2.7+1.2)+1.2+1.2)*10.764</f>
        <v>79.115399999999994</v>
      </c>
      <c r="F249" s="79">
        <f>D249+E249</f>
        <v>421.62587999999994</v>
      </c>
      <c r="G249" s="79">
        <v>0</v>
      </c>
      <c r="H249" s="79">
        <f>F249*(($H$152)+1)+(IF(G249&lt;101,G249,IF(G249&lt;201,G249/2,IF(G249&lt;=301,G249/3,G249/4))))</f>
        <v>611.35752599999989</v>
      </c>
    </row>
    <row r="250" spans="1:8" x14ac:dyDescent="0.25">
      <c r="A250" s="95">
        <f>A249+1</f>
        <v>3</v>
      </c>
      <c r="B250" s="96"/>
      <c r="C250" s="79" t="s">
        <v>305</v>
      </c>
      <c r="D250" s="79">
        <f>(31.91)*10.764</f>
        <v>343.47924</v>
      </c>
      <c r="E250" s="79">
        <f>(0.75*(2.75+2.7+1.8)+1.2*1.35+1.2*1)*10.764</f>
        <v>88.88373</v>
      </c>
      <c r="F250" s="79">
        <f>D250+E250</f>
        <v>432.36297000000002</v>
      </c>
      <c r="G250" s="79">
        <v>0</v>
      </c>
      <c r="H250" s="79">
        <f>F250*(($H$152)+1)+(IF(G250&lt;101,G250,IF(G250&lt;201,G250/2,IF(G250&lt;=301,G250/3,G250/4))))</f>
        <v>626.92630650000001</v>
      </c>
    </row>
    <row r="251" spans="1:8" x14ac:dyDescent="0.25">
      <c r="A251" s="87">
        <f>A250+1</f>
        <v>4</v>
      </c>
      <c r="B251" s="88"/>
      <c r="C251" s="64" t="s">
        <v>305</v>
      </c>
      <c r="D251" s="79">
        <f>(31.91)*10.764</f>
        <v>343.47924</v>
      </c>
      <c r="E251" s="79">
        <f>(0.75*(2.75+2.7+1.8)+1.2*1.35+1.2*1)*10.764</f>
        <v>88.88373</v>
      </c>
      <c r="F251" s="64">
        <f>D251+E251</f>
        <v>432.36297000000002</v>
      </c>
      <c r="G251" s="64">
        <v>0</v>
      </c>
      <c r="H251" s="64">
        <f>F251*(($H$152)+1)+(IF(G251&lt;101,G251,IF(G251&lt;201,G251/2,IF(G251&lt;=301,G251/3,G251/4))))</f>
        <v>626.92630650000001</v>
      </c>
    </row>
    <row r="252" spans="1:8" x14ac:dyDescent="0.25">
      <c r="A252" s="87">
        <f t="shared" ref="A252:A259" si="35">A251+1</f>
        <v>5</v>
      </c>
      <c r="B252" s="88"/>
      <c r="C252" s="64" t="s">
        <v>305</v>
      </c>
      <c r="D252" s="64">
        <f>(31.14)*10.764</f>
        <v>335.19095999999996</v>
      </c>
      <c r="E252" s="79">
        <f>(0.75*(2.75+2.7+1.8)+2+1.2*1.35)*10.764</f>
        <v>97.494930000000011</v>
      </c>
      <c r="F252" s="64">
        <f t="shared" ref="F252:F259" si="36">D252+E252</f>
        <v>432.68588999999997</v>
      </c>
      <c r="G252" s="64">
        <v>0</v>
      </c>
      <c r="H252" s="64">
        <f t="shared" ref="H252:H259" si="37">F252*(($H$152)+1)+(IF(G252&lt;101,G252,IF(G252&lt;201,G252/2,IF(G252&lt;=301,G252/3,G252/4))))</f>
        <v>627.39454049999995</v>
      </c>
    </row>
    <row r="253" spans="1:8" x14ac:dyDescent="0.25">
      <c r="A253" s="87">
        <f t="shared" si="35"/>
        <v>6</v>
      </c>
      <c r="B253" s="88"/>
      <c r="C253" s="64" t="s">
        <v>305</v>
      </c>
      <c r="D253" s="64">
        <f>(27.96+4.87)*10.764</f>
        <v>353.38211999999999</v>
      </c>
      <c r="E253" s="79">
        <f>(0.75*(2.75+2.7+1.8)+1.2*1.35+1.2*1)*10.764</f>
        <v>88.88373</v>
      </c>
      <c r="F253" s="64">
        <f t="shared" si="36"/>
        <v>442.26585</v>
      </c>
      <c r="G253" s="64">
        <v>0</v>
      </c>
      <c r="H253" s="64">
        <f t="shared" si="37"/>
        <v>641.28548249999994</v>
      </c>
    </row>
    <row r="254" spans="1:8" x14ac:dyDescent="0.25">
      <c r="A254" s="87">
        <f t="shared" si="35"/>
        <v>7</v>
      </c>
      <c r="B254" s="88"/>
      <c r="C254" s="64" t="s">
        <v>305</v>
      </c>
      <c r="D254" s="64">
        <f>(27.96+4.86)*10.764</f>
        <v>353.27447999999998</v>
      </c>
      <c r="E254" s="79">
        <f>(0.75*(2.75+2.7+1.8)+1.2*1.35+1.2*1)*10.764</f>
        <v>88.88373</v>
      </c>
      <c r="F254" s="64">
        <f t="shared" si="36"/>
        <v>442.15821</v>
      </c>
      <c r="G254" s="64">
        <v>0</v>
      </c>
      <c r="H254" s="64">
        <f t="shared" si="37"/>
        <v>641.12940449999996</v>
      </c>
    </row>
    <row r="255" spans="1:8" x14ac:dyDescent="0.25">
      <c r="A255" s="87">
        <f t="shared" si="35"/>
        <v>8</v>
      </c>
      <c r="B255" s="88"/>
      <c r="C255" s="64" t="s">
        <v>305</v>
      </c>
      <c r="D255" s="64">
        <f>(31.78)*10.764</f>
        <v>342.07992000000002</v>
      </c>
      <c r="E255" s="79">
        <f>(0.75*(2.7+2.7+1.2)+1.2+1.2)*10.764</f>
        <v>79.115399999999994</v>
      </c>
      <c r="F255" s="64">
        <f t="shared" si="36"/>
        <v>421.19532000000004</v>
      </c>
      <c r="G255" s="64">
        <v>0</v>
      </c>
      <c r="H255" s="64">
        <f t="shared" si="37"/>
        <v>610.73321400000009</v>
      </c>
    </row>
    <row r="256" spans="1:8" x14ac:dyDescent="0.25">
      <c r="A256" s="87">
        <f t="shared" si="35"/>
        <v>9</v>
      </c>
      <c r="B256" s="88"/>
      <c r="C256" s="64" t="s">
        <v>305</v>
      </c>
      <c r="D256" s="64">
        <f>(31.82)*10.764</f>
        <v>342.51047999999997</v>
      </c>
      <c r="E256" s="79">
        <f>(0.75*(2.7+2.7+1.2)+1.2+1.2)*10.764</f>
        <v>79.115399999999994</v>
      </c>
      <c r="F256" s="64">
        <f t="shared" si="36"/>
        <v>421.62587999999994</v>
      </c>
      <c r="G256" s="64">
        <v>0</v>
      </c>
      <c r="H256" s="64">
        <f t="shared" si="37"/>
        <v>611.35752599999989</v>
      </c>
    </row>
    <row r="257" spans="1:8" x14ac:dyDescent="0.25">
      <c r="A257" s="87">
        <f t="shared" si="35"/>
        <v>10</v>
      </c>
      <c r="B257" s="88"/>
      <c r="C257" s="64" t="s">
        <v>305</v>
      </c>
      <c r="D257" s="64">
        <f>(31.71)*10.764</f>
        <v>341.32643999999999</v>
      </c>
      <c r="E257" s="79">
        <f>(0.75*(2.2+2.75+1.8)+1.2*1)*10.764</f>
        <v>67.409549999999996</v>
      </c>
      <c r="F257" s="64">
        <f t="shared" si="36"/>
        <v>408.73599000000002</v>
      </c>
      <c r="G257" s="64">
        <v>0</v>
      </c>
      <c r="H257" s="64">
        <f t="shared" si="37"/>
        <v>592.66718549999996</v>
      </c>
    </row>
    <row r="258" spans="1:8" x14ac:dyDescent="0.25">
      <c r="A258" s="87">
        <f t="shared" si="35"/>
        <v>11</v>
      </c>
      <c r="B258" s="88"/>
      <c r="C258" s="64" t="s">
        <v>305</v>
      </c>
      <c r="D258" s="64">
        <f>(31.78)*10.764</f>
        <v>342.07992000000002</v>
      </c>
      <c r="E258" s="79">
        <f>(0.75*(2.2+2.75+1.8)+1.2*1)*10.764</f>
        <v>67.409549999999996</v>
      </c>
      <c r="F258" s="64">
        <f t="shared" si="36"/>
        <v>409.48946999999998</v>
      </c>
      <c r="G258" s="64">
        <v>0</v>
      </c>
      <c r="H258" s="64">
        <f t="shared" si="37"/>
        <v>593.75973149999993</v>
      </c>
    </row>
    <row r="259" spans="1:8" x14ac:dyDescent="0.25">
      <c r="A259" s="87">
        <f t="shared" si="35"/>
        <v>12</v>
      </c>
      <c r="B259" s="88"/>
      <c r="C259" s="64" t="s">
        <v>305</v>
      </c>
      <c r="D259" s="64">
        <f>(32.05)*10.764</f>
        <v>344.98619999999994</v>
      </c>
      <c r="E259" s="79">
        <f>(0.75*(2.2+2.8+1.8)+1.2*1+2.1)*10.764</f>
        <v>90.417599999999993</v>
      </c>
      <c r="F259" s="64">
        <f t="shared" si="36"/>
        <v>435.40379999999993</v>
      </c>
      <c r="G259" s="79">
        <v>0</v>
      </c>
      <c r="H259" s="64">
        <f t="shared" si="37"/>
        <v>631.33550999999989</v>
      </c>
    </row>
    <row r="260" spans="1:8" x14ac:dyDescent="0.25">
      <c r="A260" s="92" t="s">
        <v>348</v>
      </c>
      <c r="B260" s="93"/>
      <c r="C260" s="93"/>
      <c r="D260" s="93"/>
      <c r="E260" s="93"/>
      <c r="F260" s="93"/>
      <c r="G260" s="93"/>
      <c r="H260" s="94"/>
    </row>
    <row r="261" spans="1:8" x14ac:dyDescent="0.25">
      <c r="A261" s="95">
        <v>1</v>
      </c>
      <c r="B261" s="96"/>
      <c r="C261" s="79" t="s">
        <v>305</v>
      </c>
      <c r="D261" s="79">
        <f>(31.82)*10.764</f>
        <v>342.51047999999997</v>
      </c>
      <c r="E261" s="79">
        <f>(0.75*(2.7+2.7+1.2)+1.2+1.2)*10.764</f>
        <v>79.115399999999994</v>
      </c>
      <c r="F261" s="79">
        <f>D261+E261</f>
        <v>421.62587999999994</v>
      </c>
      <c r="G261" s="79">
        <v>0</v>
      </c>
      <c r="H261" s="79">
        <f>F261*(($H$152)+1)+(IF(G261&lt;101,G261,IF(G261&lt;201,G261/2,IF(G261&lt;=301,G261/3,G261/4))))</f>
        <v>611.35752599999989</v>
      </c>
    </row>
    <row r="262" spans="1:8" x14ac:dyDescent="0.25">
      <c r="A262" s="95">
        <f>A261+1</f>
        <v>2</v>
      </c>
      <c r="B262" s="96"/>
      <c r="C262" s="79" t="s">
        <v>305</v>
      </c>
      <c r="D262" s="79">
        <f>(31.82)*10.764</f>
        <v>342.51047999999997</v>
      </c>
      <c r="E262" s="79">
        <f>(0.75*(2.7+2.7+1.2)+1.2+1.2)*10.764</f>
        <v>79.115399999999994</v>
      </c>
      <c r="F262" s="79">
        <f>D262+E262</f>
        <v>421.62587999999994</v>
      </c>
      <c r="G262" s="79">
        <v>0</v>
      </c>
      <c r="H262" s="79">
        <f>F262*(($H$152)+1)+(IF(G262&lt;101,G262,IF(G262&lt;201,G262/2,IF(G262&lt;=301,G262/3,G262/4))))</f>
        <v>611.35752599999989</v>
      </c>
    </row>
    <row r="263" spans="1:8" x14ac:dyDescent="0.25">
      <c r="A263" s="95">
        <f>A262+1</f>
        <v>3</v>
      </c>
      <c r="B263" s="96"/>
      <c r="C263" s="79" t="s">
        <v>305</v>
      </c>
      <c r="D263" s="79">
        <f>(31.91)*10.764</f>
        <v>343.47924</v>
      </c>
      <c r="E263" s="79">
        <f>(0.75*(2.75+2.7+1.8)+1.2*1.35+1.2*1)*10.764</f>
        <v>88.88373</v>
      </c>
      <c r="F263" s="79">
        <f>D263+E263</f>
        <v>432.36297000000002</v>
      </c>
      <c r="G263" s="79">
        <v>0</v>
      </c>
      <c r="H263" s="79">
        <f>F263*(($H$152)+1)+(IF(G263&lt;101,G263,IF(G263&lt;201,G263/2,IF(G263&lt;=301,G263/3,G263/4))))</f>
        <v>626.92630650000001</v>
      </c>
    </row>
    <row r="264" spans="1:8" x14ac:dyDescent="0.25">
      <c r="A264" s="87">
        <f>A263+1</f>
        <v>4</v>
      </c>
      <c r="B264" s="88"/>
      <c r="C264" s="64" t="s">
        <v>305</v>
      </c>
      <c r="D264" s="79">
        <f>(31.91)*10.764</f>
        <v>343.47924</v>
      </c>
      <c r="E264" s="79">
        <f>(0.75*(2.75+2.7+1.8)+1.2*1.35+1.2*1)*10.764</f>
        <v>88.88373</v>
      </c>
      <c r="F264" s="64">
        <f>D264+E264</f>
        <v>432.36297000000002</v>
      </c>
      <c r="G264" s="64">
        <v>0</v>
      </c>
      <c r="H264" s="64">
        <f>F264*(($H$152)+1)+(IF(G264&lt;101,G264,IF(G264&lt;201,G264/2,IF(G264&lt;=301,G264/3,G264/4))))</f>
        <v>626.92630650000001</v>
      </c>
    </row>
    <row r="265" spans="1:8" x14ac:dyDescent="0.25">
      <c r="A265" s="87">
        <f t="shared" ref="A265:A272" si="38">A264+1</f>
        <v>5</v>
      </c>
      <c r="B265" s="88"/>
      <c r="C265" s="64" t="s">
        <v>305</v>
      </c>
      <c r="D265" s="64">
        <f>(31.14)*10.764</f>
        <v>335.19095999999996</v>
      </c>
      <c r="E265" s="79">
        <f>(0.75*(2.75+2.7+1.8)+2+1.2*1.35)*10.764</f>
        <v>97.494930000000011</v>
      </c>
      <c r="F265" s="64">
        <f t="shared" ref="F265:F272" si="39">D265+E265</f>
        <v>432.68588999999997</v>
      </c>
      <c r="G265" s="64">
        <v>0</v>
      </c>
      <c r="H265" s="64">
        <f t="shared" ref="H265:H272" si="40">F265*(($H$152)+1)+(IF(G265&lt;101,G265,IF(G265&lt;201,G265/2,IF(G265&lt;=301,G265/3,G265/4))))</f>
        <v>627.39454049999995</v>
      </c>
    </row>
    <row r="266" spans="1:8" x14ac:dyDescent="0.25">
      <c r="A266" s="87">
        <f t="shared" si="38"/>
        <v>6</v>
      </c>
      <c r="B266" s="88"/>
      <c r="C266" s="64" t="s">
        <v>305</v>
      </c>
      <c r="D266" s="64">
        <f>(27.96+4.87)*10.764</f>
        <v>353.38211999999999</v>
      </c>
      <c r="E266" s="79">
        <f>(0.75*(2.75+2.7+1.8)+1.2*1.35+1.2*1)*10.764</f>
        <v>88.88373</v>
      </c>
      <c r="F266" s="64">
        <f t="shared" si="39"/>
        <v>442.26585</v>
      </c>
      <c r="G266" s="64">
        <v>0</v>
      </c>
      <c r="H266" s="64">
        <f t="shared" si="40"/>
        <v>641.28548249999994</v>
      </c>
    </row>
    <row r="267" spans="1:8" x14ac:dyDescent="0.25">
      <c r="A267" s="87">
        <f t="shared" si="38"/>
        <v>7</v>
      </c>
      <c r="B267" s="88"/>
      <c r="C267" s="64" t="s">
        <v>305</v>
      </c>
      <c r="D267" s="64">
        <f>(27.96+4.86)*10.764</f>
        <v>353.27447999999998</v>
      </c>
      <c r="E267" s="79">
        <f>(0.75*(2.75+2.7+1.8)+1.2*1.35+1.2*1)*10.764</f>
        <v>88.88373</v>
      </c>
      <c r="F267" s="64">
        <f t="shared" si="39"/>
        <v>442.15821</v>
      </c>
      <c r="G267" s="64">
        <v>0</v>
      </c>
      <c r="H267" s="64">
        <f t="shared" si="40"/>
        <v>641.12940449999996</v>
      </c>
    </row>
    <row r="268" spans="1:8" x14ac:dyDescent="0.25">
      <c r="A268" s="87">
        <f t="shared" si="38"/>
        <v>8</v>
      </c>
      <c r="B268" s="88"/>
      <c r="C268" s="64" t="s">
        <v>305</v>
      </c>
      <c r="D268" s="64">
        <f>(31.78)*10.764</f>
        <v>342.07992000000002</v>
      </c>
      <c r="E268" s="79">
        <f>(0.75*(2.7+2.7+1.2)+1.2+1.2)*10.764</f>
        <v>79.115399999999994</v>
      </c>
      <c r="F268" s="64">
        <f t="shared" si="39"/>
        <v>421.19532000000004</v>
      </c>
      <c r="G268" s="64">
        <v>0</v>
      </c>
      <c r="H268" s="64">
        <f t="shared" si="40"/>
        <v>610.73321400000009</v>
      </c>
    </row>
    <row r="269" spans="1:8" x14ac:dyDescent="0.25">
      <c r="A269" s="87">
        <f t="shared" si="38"/>
        <v>9</v>
      </c>
      <c r="B269" s="88"/>
      <c r="C269" s="64" t="s">
        <v>305</v>
      </c>
      <c r="D269" s="64">
        <f>(31.82)*10.764</f>
        <v>342.51047999999997</v>
      </c>
      <c r="E269" s="79">
        <f>(0.75*(2.7+2.7+1.2)+1.2+1.2)*10.764</f>
        <v>79.115399999999994</v>
      </c>
      <c r="F269" s="64">
        <f t="shared" si="39"/>
        <v>421.62587999999994</v>
      </c>
      <c r="G269" s="64">
        <v>0</v>
      </c>
      <c r="H269" s="64">
        <f t="shared" si="40"/>
        <v>611.35752599999989</v>
      </c>
    </row>
    <row r="270" spans="1:8" x14ac:dyDescent="0.25">
      <c r="A270" s="87">
        <f t="shared" si="38"/>
        <v>10</v>
      </c>
      <c r="B270" s="88"/>
      <c r="C270" s="64" t="s">
        <v>305</v>
      </c>
      <c r="D270" s="64">
        <f>(31.71)*10.764</f>
        <v>341.32643999999999</v>
      </c>
      <c r="E270" s="79">
        <f>(0.75*(2.2+2.75+1.8)+1.2*1)*10.764</f>
        <v>67.409549999999996</v>
      </c>
      <c r="F270" s="64">
        <f t="shared" si="39"/>
        <v>408.73599000000002</v>
      </c>
      <c r="G270" s="64">
        <v>0</v>
      </c>
      <c r="H270" s="64">
        <f t="shared" si="40"/>
        <v>592.66718549999996</v>
      </c>
    </row>
    <row r="271" spans="1:8" x14ac:dyDescent="0.25">
      <c r="A271" s="87">
        <f t="shared" si="38"/>
        <v>11</v>
      </c>
      <c r="B271" s="88"/>
      <c r="C271" s="64" t="s">
        <v>305</v>
      </c>
      <c r="D271" s="64">
        <f>(31.78)*10.764</f>
        <v>342.07992000000002</v>
      </c>
      <c r="E271" s="79">
        <f>(0.75*(2.2+2.75+1.8)+1.2*1)*10.764</f>
        <v>67.409549999999996</v>
      </c>
      <c r="F271" s="64">
        <f t="shared" si="39"/>
        <v>409.48946999999998</v>
      </c>
      <c r="G271" s="64">
        <v>0</v>
      </c>
      <c r="H271" s="64">
        <f t="shared" si="40"/>
        <v>593.75973149999993</v>
      </c>
    </row>
    <row r="272" spans="1:8" x14ac:dyDescent="0.25">
      <c r="A272" s="87">
        <f t="shared" si="38"/>
        <v>12</v>
      </c>
      <c r="B272" s="88"/>
      <c r="C272" s="64" t="s">
        <v>305</v>
      </c>
      <c r="D272" s="64">
        <f>(32.05)*10.764</f>
        <v>344.98619999999994</v>
      </c>
      <c r="E272" s="79">
        <f>(0.75*(2.2+2.8+1.8)+1.2*1+2.1)*10.764</f>
        <v>90.417599999999993</v>
      </c>
      <c r="F272" s="64">
        <f t="shared" si="39"/>
        <v>435.40379999999993</v>
      </c>
      <c r="G272" s="79">
        <v>0</v>
      </c>
      <c r="H272" s="64">
        <f t="shared" si="40"/>
        <v>631.33550999999989</v>
      </c>
    </row>
    <row r="273" spans="1:8" x14ac:dyDescent="0.25">
      <c r="A273" s="163" t="s">
        <v>64</v>
      </c>
      <c r="B273" s="163"/>
      <c r="C273" s="163"/>
      <c r="D273" s="163"/>
      <c r="E273" s="163"/>
      <c r="F273" s="163"/>
      <c r="G273" s="163"/>
      <c r="H273" s="163"/>
    </row>
    <row r="274" spans="1:8" x14ac:dyDescent="0.25">
      <c r="A274" s="45" t="s">
        <v>147</v>
      </c>
      <c r="B274" s="160" t="s">
        <v>319</v>
      </c>
      <c r="C274" s="161"/>
      <c r="D274" s="161"/>
      <c r="E274" s="161"/>
      <c r="F274" s="161"/>
      <c r="G274" s="161"/>
      <c r="H274" s="162"/>
    </row>
    <row r="275" spans="1:8" x14ac:dyDescent="0.25">
      <c r="A275" s="45" t="s">
        <v>147</v>
      </c>
      <c r="B275" s="160" t="str">
        <f>(IF(H151="Saleable area Loading :","We have considered Saleable area of Flats as per our Calculation.","We considered Saleable area of Flat as per Builder area Sheet."))</f>
        <v>We have considered Saleable area of Flats as per our Calculation.</v>
      </c>
      <c r="C275" s="161"/>
      <c r="D275" s="161"/>
      <c r="E275" s="161"/>
      <c r="F275" s="161"/>
      <c r="G275" s="161"/>
      <c r="H275" s="162"/>
    </row>
    <row r="276" spans="1:8" hidden="1" x14ac:dyDescent="0.25">
      <c r="A276" s="45" t="s">
        <v>147</v>
      </c>
      <c r="B276" s="153" t="str">
        <f>(IF(H141="Saleable area Loading :","We have considered Saleable area of Commercial as per our Calculation.","We considered Saleable area of Commercial as per Builder area Sheet."))</f>
        <v>We have considered Saleable area of Commercial as per our Calculation.</v>
      </c>
      <c r="C276" s="154"/>
      <c r="D276" s="154"/>
      <c r="E276" s="154"/>
      <c r="F276" s="154"/>
      <c r="G276" s="154"/>
      <c r="H276" s="155"/>
    </row>
    <row r="277" spans="1:8" x14ac:dyDescent="0.25">
      <c r="A277" s="45" t="s">
        <v>147</v>
      </c>
      <c r="B277" s="89" t="s">
        <v>117</v>
      </c>
      <c r="C277" s="90"/>
      <c r="D277" s="90"/>
      <c r="E277" s="90"/>
      <c r="F277" s="90"/>
      <c r="G277" s="90"/>
      <c r="H277" s="91"/>
    </row>
    <row r="278" spans="1:8" x14ac:dyDescent="0.25">
      <c r="A278" s="45" t="s">
        <v>147</v>
      </c>
      <c r="B278" s="89" t="s">
        <v>351</v>
      </c>
      <c r="C278" s="90"/>
      <c r="D278" s="90"/>
      <c r="E278" s="90"/>
      <c r="F278" s="90"/>
      <c r="G278" s="90"/>
      <c r="H278" s="91"/>
    </row>
    <row r="279" spans="1:8" x14ac:dyDescent="0.25">
      <c r="A279" s="45" t="s">
        <v>147</v>
      </c>
      <c r="B279" s="89" t="s">
        <v>146</v>
      </c>
      <c r="C279" s="90"/>
      <c r="D279" s="90"/>
      <c r="E279" s="90"/>
      <c r="F279" s="90"/>
      <c r="G279" s="90"/>
      <c r="H279" s="91"/>
    </row>
    <row r="280" spans="1:8" x14ac:dyDescent="0.25">
      <c r="A280" s="45" t="s">
        <v>147</v>
      </c>
      <c r="B280" s="89" t="s">
        <v>118</v>
      </c>
      <c r="C280" s="90"/>
      <c r="D280" s="90"/>
      <c r="E280" s="90"/>
      <c r="F280" s="90"/>
      <c r="G280" s="90"/>
      <c r="H280" s="91"/>
    </row>
    <row r="281" spans="1:8" ht="36" customHeight="1" x14ac:dyDescent="0.25">
      <c r="A281" s="45" t="s">
        <v>147</v>
      </c>
      <c r="B281" s="89" t="s">
        <v>148</v>
      </c>
      <c r="C281" s="90"/>
      <c r="D281" s="90"/>
      <c r="E281" s="90"/>
      <c r="F281" s="90"/>
      <c r="G281" s="90"/>
      <c r="H281" s="91"/>
    </row>
    <row r="282" spans="1:8" x14ac:dyDescent="0.25">
      <c r="A282" s="45" t="s">
        <v>147</v>
      </c>
      <c r="B282" s="89" t="s">
        <v>119</v>
      </c>
      <c r="C282" s="90"/>
      <c r="D282" s="90"/>
      <c r="E282" s="90"/>
      <c r="F282" s="90"/>
      <c r="G282" s="90"/>
      <c r="H282" s="91"/>
    </row>
    <row r="283" spans="1:8" x14ac:dyDescent="0.25">
      <c r="A283" s="74" t="s">
        <v>147</v>
      </c>
      <c r="B283" s="89" t="s">
        <v>359</v>
      </c>
      <c r="C283" s="90"/>
      <c r="D283" s="90"/>
      <c r="E283" s="90"/>
      <c r="F283" s="90"/>
      <c r="G283" s="90"/>
      <c r="H283" s="91"/>
    </row>
    <row r="284" spans="1:8" ht="32.25" customHeight="1" x14ac:dyDescent="0.25">
      <c r="A284" s="250" t="s">
        <v>147</v>
      </c>
      <c r="B284" s="160" t="s">
        <v>361</v>
      </c>
      <c r="C284" s="161"/>
      <c r="D284" s="161"/>
      <c r="E284" s="161"/>
      <c r="F284" s="161"/>
      <c r="G284" s="161"/>
      <c r="H284" s="162"/>
    </row>
    <row r="285" spans="1:8" ht="66.75" customHeight="1" x14ac:dyDescent="0.25">
      <c r="A285" s="250" t="s">
        <v>147</v>
      </c>
      <c r="B285" s="160" t="s">
        <v>362</v>
      </c>
      <c r="C285" s="161"/>
      <c r="D285" s="161"/>
      <c r="E285" s="161"/>
      <c r="F285" s="161"/>
      <c r="G285" s="161"/>
      <c r="H285" s="162"/>
    </row>
    <row r="286" spans="1:8" x14ac:dyDescent="0.25">
      <c r="A286" s="135" t="s">
        <v>57</v>
      </c>
      <c r="B286" s="135"/>
      <c r="C286" s="135"/>
      <c r="D286" s="135"/>
      <c r="E286" s="135"/>
      <c r="F286" s="135"/>
      <c r="G286" s="135"/>
      <c r="H286" s="135"/>
    </row>
    <row r="287" spans="1:8" x14ac:dyDescent="0.25">
      <c r="A287" s="114" t="s">
        <v>58</v>
      </c>
      <c r="B287" s="114"/>
      <c r="C287" s="114"/>
      <c r="D287" s="114"/>
      <c r="E287" s="114"/>
      <c r="F287" s="114"/>
      <c r="G287" s="114"/>
      <c r="H287" s="114"/>
    </row>
    <row r="288" spans="1:8" x14ac:dyDescent="0.25">
      <c r="A288" s="148" t="s">
        <v>59</v>
      </c>
      <c r="B288" s="148"/>
      <c r="C288" s="148"/>
      <c r="D288" s="148"/>
      <c r="E288" s="148"/>
      <c r="F288" s="148"/>
      <c r="G288" s="148"/>
      <c r="H288" s="148"/>
    </row>
    <row r="289" spans="1:8" x14ac:dyDescent="0.25">
      <c r="A289" s="114" t="s">
        <v>60</v>
      </c>
      <c r="B289" s="114"/>
      <c r="C289" s="114"/>
      <c r="D289" s="114"/>
      <c r="E289" s="114"/>
      <c r="F289" s="114"/>
      <c r="G289" s="114"/>
      <c r="H289" s="114"/>
    </row>
    <row r="290" spans="1:8" x14ac:dyDescent="0.25">
      <c r="A290" s="114" t="s">
        <v>61</v>
      </c>
      <c r="B290" s="114"/>
      <c r="C290" s="114"/>
      <c r="D290" s="114"/>
      <c r="E290" s="114"/>
      <c r="F290" s="114"/>
      <c r="G290" s="114"/>
      <c r="H290" s="114"/>
    </row>
    <row r="291" spans="1:8" x14ac:dyDescent="0.25">
      <c r="A291" s="114" t="s">
        <v>120</v>
      </c>
      <c r="B291" s="114"/>
      <c r="C291" s="114"/>
      <c r="D291" s="114"/>
      <c r="E291" s="114"/>
      <c r="F291" s="114"/>
      <c r="G291" s="114"/>
      <c r="H291" s="114"/>
    </row>
    <row r="292" spans="1:8" x14ac:dyDescent="0.25">
      <c r="A292" s="121" t="s">
        <v>121</v>
      </c>
      <c r="B292" s="121"/>
      <c r="C292" s="121"/>
      <c r="D292" s="121"/>
      <c r="E292" s="121"/>
      <c r="F292" s="121"/>
      <c r="G292" s="121"/>
      <c r="H292" s="121"/>
    </row>
    <row r="293" spans="1:8" x14ac:dyDescent="0.25">
      <c r="A293" s="181" t="s">
        <v>73</v>
      </c>
      <c r="B293" s="181"/>
      <c r="C293" s="181" t="s">
        <v>320</v>
      </c>
      <c r="D293" s="181"/>
      <c r="E293" s="181" t="s">
        <v>103</v>
      </c>
      <c r="F293" s="181"/>
      <c r="G293" s="181" t="s">
        <v>360</v>
      </c>
      <c r="H293" s="181"/>
    </row>
    <row r="294" spans="1:8" x14ac:dyDescent="0.25">
      <c r="A294" s="180" t="s">
        <v>75</v>
      </c>
      <c r="B294" s="180"/>
      <c r="C294" s="180"/>
      <c r="D294" s="180"/>
      <c r="E294" s="180"/>
      <c r="F294" s="180"/>
      <c r="G294" s="180"/>
      <c r="H294" s="180"/>
    </row>
    <row r="295" spans="1:8" x14ac:dyDescent="0.25">
      <c r="A295" s="180"/>
      <c r="B295" s="180"/>
      <c r="C295" s="180"/>
      <c r="D295" s="180"/>
      <c r="E295" s="180"/>
      <c r="F295" s="180"/>
      <c r="G295" s="180"/>
      <c r="H295" s="180"/>
    </row>
    <row r="296" spans="1:8" x14ac:dyDescent="0.25">
      <c r="A296" s="180"/>
      <c r="B296" s="180"/>
      <c r="C296" s="180"/>
      <c r="D296" s="180"/>
      <c r="E296" s="180"/>
      <c r="F296" s="180"/>
      <c r="G296" s="180"/>
      <c r="H296" s="180"/>
    </row>
    <row r="297" spans="1:8" x14ac:dyDescent="0.25">
      <c r="A297" s="180"/>
      <c r="B297" s="180"/>
      <c r="C297" s="180"/>
      <c r="D297" s="180"/>
      <c r="E297" s="180"/>
      <c r="F297" s="180"/>
      <c r="G297" s="180"/>
      <c r="H297" s="180"/>
    </row>
    <row r="298" spans="1:8" x14ac:dyDescent="0.25">
      <c r="A298" s="37" t="s">
        <v>62</v>
      </c>
      <c r="B298" s="38"/>
      <c r="C298" s="38"/>
      <c r="D298" s="37" t="str">
        <f>E9</f>
        <v>Sai Residency</v>
      </c>
      <c r="F298" s="38"/>
      <c r="G298" s="38"/>
      <c r="H298" s="38"/>
    </row>
    <row r="299" spans="1:8" x14ac:dyDescent="0.25">
      <c r="A299" s="38"/>
      <c r="B299" s="38"/>
      <c r="C299" s="38"/>
      <c r="D299" s="38"/>
      <c r="E299" s="38"/>
      <c r="F299" s="38"/>
      <c r="G299" s="38"/>
      <c r="H299" s="38"/>
    </row>
    <row r="300" spans="1:8" x14ac:dyDescent="0.25">
      <c r="A300" s="38"/>
      <c r="B300" s="38"/>
      <c r="C300" s="38"/>
      <c r="D300" s="38"/>
      <c r="E300" s="38"/>
      <c r="F300" s="38"/>
      <c r="G300" s="38"/>
      <c r="H300" s="38"/>
    </row>
    <row r="342" spans="1:1" x14ac:dyDescent="0.25">
      <c r="A342" s="40" t="s">
        <v>158</v>
      </c>
    </row>
    <row r="386" spans="1:1" x14ac:dyDescent="0.25">
      <c r="A386" s="40" t="s">
        <v>63</v>
      </c>
    </row>
  </sheetData>
  <mergeCells count="464">
    <mergeCell ref="A143:H143"/>
    <mergeCell ref="A153:H153"/>
    <mergeCell ref="A154:H154"/>
    <mergeCell ref="L160:M160"/>
    <mergeCell ref="A169:B169"/>
    <mergeCell ref="L161:M161"/>
    <mergeCell ref="L162:M162"/>
    <mergeCell ref="A149:B149"/>
    <mergeCell ref="L149:M149"/>
    <mergeCell ref="L159:M159"/>
    <mergeCell ref="L156:M156"/>
    <mergeCell ref="A165:B165"/>
    <mergeCell ref="A106:B106"/>
    <mergeCell ref="A137:B137"/>
    <mergeCell ref="E137:F137"/>
    <mergeCell ref="C104:H104"/>
    <mergeCell ref="A105:B105"/>
    <mergeCell ref="A126:E126"/>
    <mergeCell ref="G137:H137"/>
    <mergeCell ref="A132:B132"/>
    <mergeCell ref="C132:D132"/>
    <mergeCell ref="E132:F132"/>
    <mergeCell ref="G132:H132"/>
    <mergeCell ref="A136:B136"/>
    <mergeCell ref="C136:D136"/>
    <mergeCell ref="E136:F136"/>
    <mergeCell ref="G136:H136"/>
    <mergeCell ref="L157:M157"/>
    <mergeCell ref="A166:B166"/>
    <mergeCell ref="L158:M158"/>
    <mergeCell ref="C55:H55"/>
    <mergeCell ref="A167:B167"/>
    <mergeCell ref="A77:B77"/>
    <mergeCell ref="A107:B107"/>
    <mergeCell ref="A108:B108"/>
    <mergeCell ref="G92:H101"/>
    <mergeCell ref="A93:B93"/>
    <mergeCell ref="A94:B94"/>
    <mergeCell ref="A95:B95"/>
    <mergeCell ref="F118:H118"/>
    <mergeCell ref="A118:E118"/>
    <mergeCell ref="D141:D142"/>
    <mergeCell ref="A120:E120"/>
    <mergeCell ref="A111:B111"/>
    <mergeCell ref="A113:B113"/>
    <mergeCell ref="A114:B114"/>
    <mergeCell ref="A119:E119"/>
    <mergeCell ref="D69:H69"/>
    <mergeCell ref="C76:H76"/>
    <mergeCell ref="A79:B79"/>
    <mergeCell ref="A121:E121"/>
    <mergeCell ref="A40:B40"/>
    <mergeCell ref="C40:H40"/>
    <mergeCell ref="F141:F142"/>
    <mergeCell ref="C131:D131"/>
    <mergeCell ref="E131:F131"/>
    <mergeCell ref="B141:B142"/>
    <mergeCell ref="A141:A142"/>
    <mergeCell ref="C151:C152"/>
    <mergeCell ref="G151:G152"/>
    <mergeCell ref="A49:B49"/>
    <mergeCell ref="C49:H49"/>
    <mergeCell ref="A116:E116"/>
    <mergeCell ref="F120:H120"/>
    <mergeCell ref="G105:H105"/>
    <mergeCell ref="A104:B104"/>
    <mergeCell ref="G141:G142"/>
    <mergeCell ref="A80:B80"/>
    <mergeCell ref="A76:B76"/>
    <mergeCell ref="A74:B74"/>
    <mergeCell ref="C74:H74"/>
    <mergeCell ref="A82:B82"/>
    <mergeCell ref="A69:C69"/>
    <mergeCell ref="G138:H138"/>
    <mergeCell ref="A101:B101"/>
    <mergeCell ref="A39:B39"/>
    <mergeCell ref="C39:H39"/>
    <mergeCell ref="A46:D46"/>
    <mergeCell ref="L148:M148"/>
    <mergeCell ref="L147:M147"/>
    <mergeCell ref="L146:M146"/>
    <mergeCell ref="L145:M145"/>
    <mergeCell ref="A85:B85"/>
    <mergeCell ref="C135:D135"/>
    <mergeCell ref="E135:F135"/>
    <mergeCell ref="G135:H135"/>
    <mergeCell ref="A117:E117"/>
    <mergeCell ref="A102:B102"/>
    <mergeCell ref="C102:H102"/>
    <mergeCell ref="A144:H144"/>
    <mergeCell ref="E141:E142"/>
    <mergeCell ref="A92:B92"/>
    <mergeCell ref="A47:D47"/>
    <mergeCell ref="A48:H48"/>
    <mergeCell ref="D64:H64"/>
    <mergeCell ref="A64:C64"/>
    <mergeCell ref="A84:B84"/>
    <mergeCell ref="C90:H90"/>
    <mergeCell ref="A45:D45"/>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1:B81"/>
    <mergeCell ref="E77:F77"/>
    <mergeCell ref="A70:C70"/>
    <mergeCell ref="D70:H70"/>
    <mergeCell ref="A73:C73"/>
    <mergeCell ref="D73:H73"/>
    <mergeCell ref="A71:C71"/>
    <mergeCell ref="D72:H72"/>
    <mergeCell ref="A78:B78"/>
    <mergeCell ref="G77:H77"/>
    <mergeCell ref="A294:H297"/>
    <mergeCell ref="A293:B293"/>
    <mergeCell ref="E293:F293"/>
    <mergeCell ref="C293:D293"/>
    <mergeCell ref="G293:H293"/>
    <mergeCell ref="A129:H129"/>
    <mergeCell ref="A127:E127"/>
    <mergeCell ref="F127:H127"/>
    <mergeCell ref="A128:E128"/>
    <mergeCell ref="F128:H128"/>
    <mergeCell ref="A135:B135"/>
    <mergeCell ref="A184:B184"/>
    <mergeCell ref="A131:B131"/>
    <mergeCell ref="A289:H289"/>
    <mergeCell ref="A133:H133"/>
    <mergeCell ref="A292:H292"/>
    <mergeCell ref="A290:H290"/>
    <mergeCell ref="A286:H286"/>
    <mergeCell ref="G134:H134"/>
    <mergeCell ref="C141:C142"/>
    <mergeCell ref="B151:B152"/>
    <mergeCell ref="A287:H287"/>
    <mergeCell ref="A180:B180"/>
    <mergeCell ref="B285:H285"/>
    <mergeCell ref="F116:H116"/>
    <mergeCell ref="F121:H121"/>
    <mergeCell ref="A164:B164"/>
    <mergeCell ref="A148:B148"/>
    <mergeCell ref="A147:B147"/>
    <mergeCell ref="E91:F91"/>
    <mergeCell ref="G91:H91"/>
    <mergeCell ref="A122:E122"/>
    <mergeCell ref="F122:H122"/>
    <mergeCell ref="A124:E124"/>
    <mergeCell ref="F119:H119"/>
    <mergeCell ref="A123:E123"/>
    <mergeCell ref="A109:B109"/>
    <mergeCell ref="A110:B110"/>
    <mergeCell ref="E92:F101"/>
    <mergeCell ref="A99:B99"/>
    <mergeCell ref="A100:B100"/>
    <mergeCell ref="E105:F105"/>
    <mergeCell ref="E106:F115"/>
    <mergeCell ref="A150:H150"/>
    <mergeCell ref="E134:F134"/>
    <mergeCell ref="A139:H139"/>
    <mergeCell ref="A151:A152"/>
    <mergeCell ref="F151:F152"/>
    <mergeCell ref="C138:D138"/>
    <mergeCell ref="E138:F138"/>
    <mergeCell ref="B282:H282"/>
    <mergeCell ref="B280:H280"/>
    <mergeCell ref="B276:H276"/>
    <mergeCell ref="B274:H274"/>
    <mergeCell ref="B275:H275"/>
    <mergeCell ref="B277:H277"/>
    <mergeCell ref="B278:H278"/>
    <mergeCell ref="A273:H273"/>
    <mergeCell ref="B279:H279"/>
    <mergeCell ref="A168:B168"/>
    <mergeCell ref="A192:H192"/>
    <mergeCell ref="A194:H194"/>
    <mergeCell ref="A195:H195"/>
    <mergeCell ref="A196:B196"/>
    <mergeCell ref="A201:B201"/>
    <mergeCell ref="A186:B186"/>
    <mergeCell ref="A187:B187"/>
    <mergeCell ref="A188:B188"/>
    <mergeCell ref="A189:B189"/>
    <mergeCell ref="A190:B190"/>
    <mergeCell ref="B281:H281"/>
    <mergeCell ref="A179:B179"/>
    <mergeCell ref="A65:C66"/>
    <mergeCell ref="D65:H65"/>
    <mergeCell ref="D66:H66"/>
    <mergeCell ref="C51:E51"/>
    <mergeCell ref="A291:H291"/>
    <mergeCell ref="A288:H288"/>
    <mergeCell ref="A134:B134"/>
    <mergeCell ref="D151:D152"/>
    <mergeCell ref="E151:E152"/>
    <mergeCell ref="A96:B96"/>
    <mergeCell ref="A97:B97"/>
    <mergeCell ref="A98:B98"/>
    <mergeCell ref="A112:B112"/>
    <mergeCell ref="F117:H117"/>
    <mergeCell ref="G131:H131"/>
    <mergeCell ref="A115:B115"/>
    <mergeCell ref="F123:H123"/>
    <mergeCell ref="C130:D130"/>
    <mergeCell ref="C137:D137"/>
    <mergeCell ref="A155:H155"/>
    <mergeCell ref="A182:B182"/>
    <mergeCell ref="A145:B145"/>
    <mergeCell ref="B284:H284"/>
    <mergeCell ref="A138:B138"/>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I15:P15"/>
    <mergeCell ref="F126:H126"/>
    <mergeCell ref="F124:H124"/>
    <mergeCell ref="A140:H140"/>
    <mergeCell ref="G130:H130"/>
    <mergeCell ref="A125:E125"/>
    <mergeCell ref="A146:B146"/>
    <mergeCell ref="A60:B60"/>
    <mergeCell ref="C60:E60"/>
    <mergeCell ref="D62:H62"/>
    <mergeCell ref="F125:H125"/>
    <mergeCell ref="E130:F130"/>
    <mergeCell ref="A130:B130"/>
    <mergeCell ref="C134:D134"/>
    <mergeCell ref="D71:H71"/>
    <mergeCell ref="A72:C72"/>
    <mergeCell ref="E43:H43"/>
    <mergeCell ref="A43:D43"/>
    <mergeCell ref="A88:B88"/>
    <mergeCell ref="C88:H88"/>
    <mergeCell ref="A83:B83"/>
    <mergeCell ref="A50:B50"/>
    <mergeCell ref="C50:E50"/>
    <mergeCell ref="G50:H50"/>
    <mergeCell ref="L166:M166"/>
    <mergeCell ref="A197:B197"/>
    <mergeCell ref="L167:M167"/>
    <mergeCell ref="A198:B198"/>
    <mergeCell ref="L168:M168"/>
    <mergeCell ref="A177:H177"/>
    <mergeCell ref="A181:B181"/>
    <mergeCell ref="A183:B183"/>
    <mergeCell ref="A199:B199"/>
    <mergeCell ref="L169:M169"/>
    <mergeCell ref="L170:M170"/>
    <mergeCell ref="L171:M171"/>
    <mergeCell ref="A202:B202"/>
    <mergeCell ref="L172:M172"/>
    <mergeCell ref="A193:H193"/>
    <mergeCell ref="I11:L11"/>
    <mergeCell ref="A163:H163"/>
    <mergeCell ref="A156:H156"/>
    <mergeCell ref="A157:B157"/>
    <mergeCell ref="A158:B158"/>
    <mergeCell ref="A159:B159"/>
    <mergeCell ref="A160:B160"/>
    <mergeCell ref="A161:B161"/>
    <mergeCell ref="A162:B162"/>
    <mergeCell ref="C161:H162"/>
    <mergeCell ref="A170:H170"/>
    <mergeCell ref="A171:B171"/>
    <mergeCell ref="A172:B172"/>
    <mergeCell ref="A173:B173"/>
    <mergeCell ref="A174:B174"/>
    <mergeCell ref="A175:B175"/>
    <mergeCell ref="A176:B176"/>
    <mergeCell ref="A178:B178"/>
    <mergeCell ref="C178:H178"/>
    <mergeCell ref="A185:H185"/>
    <mergeCell ref="A191:B191"/>
    <mergeCell ref="A208:H208"/>
    <mergeCell ref="A209:B209"/>
    <mergeCell ref="A210:B210"/>
    <mergeCell ref="A211:B211"/>
    <mergeCell ref="A212:B212"/>
    <mergeCell ref="A213:B213"/>
    <mergeCell ref="A214:B214"/>
    <mergeCell ref="A215:B215"/>
    <mergeCell ref="C196:H196"/>
    <mergeCell ref="A200:B200"/>
    <mergeCell ref="A216:B216"/>
    <mergeCell ref="A217:B217"/>
    <mergeCell ref="A218:B218"/>
    <mergeCell ref="A219:B219"/>
    <mergeCell ref="A220:B220"/>
    <mergeCell ref="A203:B203"/>
    <mergeCell ref="A204:B204"/>
    <mergeCell ref="A205:B205"/>
    <mergeCell ref="A206:B206"/>
    <mergeCell ref="A207:B207"/>
    <mergeCell ref="A221:H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H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C236:H236"/>
    <mergeCell ref="A247:H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H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B283:H28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1:E142">
      <formula1>"Attached Loft area,Attached Otla area,Attached Mezzanine area"</formula1>
    </dataValidation>
    <dataValidation type="list" allowBlank="1" showInputMessage="1" showErrorMessage="1" sqref="G293:H293">
      <formula1>"Kunal Kadam,Pranita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1:B142">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 Chajja + S.S Area,Chajja Area,Cornice Area,AP Area,WS Area"</formula1>
    </dataValidation>
    <dataValidation type="list" allowBlank="1" showInputMessage="1" showErrorMessage="1" sqref="H142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41 H151">
      <formula1>"Saleable area Loading :,Builder Saleable Area"</formula1>
    </dataValidation>
    <dataValidation type="list" allowBlank="1" showInputMessage="1" showErrorMessage="1" sqref="D141:D142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3" max="16383" man="1"/>
    <brk id="132" max="7" man="1"/>
    <brk id="184" max="7" man="1"/>
    <brk id="272" max="7" man="1"/>
    <brk id="297" max="7" man="1"/>
    <brk id="34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D18" sqref="D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8" t="s">
        <v>104</v>
      </c>
      <c r="C3" s="228"/>
      <c r="D3" s="228"/>
      <c r="E3" s="228"/>
      <c r="F3" s="228"/>
      <c r="G3" s="228"/>
      <c r="H3" s="228"/>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172</v>
      </c>
      <c r="E4" s="53" t="s">
        <v>182</v>
      </c>
      <c r="F4" s="53" t="s">
        <v>167</v>
      </c>
      <c r="G4" s="53" t="s">
        <v>187</v>
      </c>
      <c r="H4" s="53" t="s">
        <v>205</v>
      </c>
      <c r="J4" t="s">
        <v>187</v>
      </c>
      <c r="K4" t="s">
        <v>203</v>
      </c>
    </row>
    <row r="5" spans="2:11" x14ac:dyDescent="0.25">
      <c r="B5" s="52"/>
      <c r="C5" s="52"/>
      <c r="D5" s="53" t="s">
        <v>173</v>
      </c>
      <c r="E5" s="53" t="s">
        <v>180</v>
      </c>
      <c r="F5" s="53" t="s">
        <v>202</v>
      </c>
      <c r="G5" s="53" t="s">
        <v>188</v>
      </c>
      <c r="H5" s="53" t="s">
        <v>206</v>
      </c>
    </row>
    <row r="6" spans="2:11" x14ac:dyDescent="0.25">
      <c r="B6" s="52"/>
      <c r="C6" s="52"/>
      <c r="D6" s="53" t="s">
        <v>174</v>
      </c>
      <c r="E6" s="53" t="s">
        <v>181</v>
      </c>
      <c r="F6" s="53" t="s">
        <v>203</v>
      </c>
      <c r="G6" s="53" t="s">
        <v>189</v>
      </c>
      <c r="H6" s="53" t="s">
        <v>219</v>
      </c>
    </row>
    <row r="7" spans="2:11" x14ac:dyDescent="0.25">
      <c r="B7" s="52"/>
      <c r="C7" s="52"/>
      <c r="D7" s="53" t="s">
        <v>175</v>
      </c>
      <c r="E7" s="53" t="s">
        <v>183</v>
      </c>
      <c r="F7" s="53" t="s">
        <v>204</v>
      </c>
      <c r="G7" s="53" t="s">
        <v>190</v>
      </c>
      <c r="H7" s="53" t="s">
        <v>207</v>
      </c>
    </row>
    <row r="8" spans="2:11" x14ac:dyDescent="0.25">
      <c r="B8" s="52"/>
      <c r="C8" s="52"/>
      <c r="D8" s="53" t="s">
        <v>176</v>
      </c>
      <c r="E8" s="53" t="s">
        <v>184</v>
      </c>
      <c r="F8" s="53"/>
      <c r="G8" s="53" t="s">
        <v>191</v>
      </c>
      <c r="H8" s="53" t="s">
        <v>208</v>
      </c>
    </row>
    <row r="9" spans="2:11" x14ac:dyDescent="0.25">
      <c r="B9" s="52"/>
      <c r="C9" s="52"/>
      <c r="D9" s="53" t="s">
        <v>177</v>
      </c>
      <c r="E9" s="53" t="s">
        <v>182</v>
      </c>
      <c r="F9" s="53"/>
      <c r="G9" s="53" t="s">
        <v>192</v>
      </c>
      <c r="H9" s="53" t="s">
        <v>209</v>
      </c>
    </row>
    <row r="10" spans="2:11" x14ac:dyDescent="0.25">
      <c r="B10" s="52"/>
      <c r="C10" s="52"/>
      <c r="D10" s="53" t="s">
        <v>178</v>
      </c>
      <c r="E10" s="53" t="s">
        <v>185</v>
      </c>
      <c r="F10" s="53"/>
      <c r="G10" s="53" t="s">
        <v>193</v>
      </c>
      <c r="H10" s="53" t="s">
        <v>210</v>
      </c>
    </row>
    <row r="11" spans="2:11" x14ac:dyDescent="0.25">
      <c r="B11" s="52"/>
      <c r="C11" s="52"/>
      <c r="D11" s="53" t="s">
        <v>179</v>
      </c>
      <c r="E11" s="53" t="s">
        <v>186</v>
      </c>
      <c r="F11" s="53"/>
      <c r="G11" s="53" t="s">
        <v>194</v>
      </c>
      <c r="H11" s="53" t="s">
        <v>211</v>
      </c>
    </row>
    <row r="12" spans="2:11" x14ac:dyDescent="0.25">
      <c r="B12" s="52"/>
      <c r="C12" s="52"/>
      <c r="D12" s="53"/>
      <c r="E12" s="53"/>
      <c r="F12" s="53"/>
      <c r="G12" s="53" t="s">
        <v>195</v>
      </c>
      <c r="H12" s="53" t="s">
        <v>212</v>
      </c>
    </row>
    <row r="13" spans="2:11" x14ac:dyDescent="0.25">
      <c r="B13" s="52"/>
      <c r="C13" s="52"/>
      <c r="D13" s="53"/>
      <c r="E13" s="53"/>
      <c r="F13" s="53"/>
      <c r="G13" s="53" t="s">
        <v>196</v>
      </c>
      <c r="H13" s="53" t="s">
        <v>213</v>
      </c>
    </row>
    <row r="14" spans="2:11" x14ac:dyDescent="0.25">
      <c r="B14" s="52"/>
      <c r="C14" s="52"/>
      <c r="D14" s="53"/>
      <c r="E14" s="53"/>
      <c r="F14" s="53"/>
      <c r="G14" s="53" t="s">
        <v>197</v>
      </c>
      <c r="H14" s="53" t="s">
        <v>214</v>
      </c>
    </row>
    <row r="15" spans="2:11" x14ac:dyDescent="0.25">
      <c r="B15" s="52"/>
      <c r="C15" s="52"/>
      <c r="D15" s="53"/>
      <c r="E15" s="53"/>
      <c r="F15" s="53"/>
      <c r="G15" s="53" t="s">
        <v>198</v>
      </c>
      <c r="H15" s="53" t="s">
        <v>215</v>
      </c>
    </row>
    <row r="16" spans="2:11" x14ac:dyDescent="0.25">
      <c r="B16" s="52"/>
      <c r="C16" s="52"/>
      <c r="D16" s="53"/>
      <c r="E16" s="53"/>
      <c r="F16" s="53"/>
      <c r="G16" s="53" t="s">
        <v>199</v>
      </c>
      <c r="H16" s="53" t="s">
        <v>216</v>
      </c>
    </row>
    <row r="17" spans="2:8" x14ac:dyDescent="0.25">
      <c r="B17" s="52"/>
      <c r="C17" s="52"/>
      <c r="D17" s="53"/>
      <c r="E17" s="53"/>
      <c r="F17" s="53"/>
      <c r="G17" s="53" t="s">
        <v>200</v>
      </c>
      <c r="H17" s="53" t="s">
        <v>217</v>
      </c>
    </row>
    <row r="18" spans="2:8" x14ac:dyDescent="0.25">
      <c r="B18" s="52"/>
      <c r="C18" s="52"/>
      <c r="D18" s="53"/>
      <c r="E18" s="53"/>
      <c r="F18" s="53"/>
      <c r="G18" s="53" t="s">
        <v>201</v>
      </c>
      <c r="H18" s="53" t="s">
        <v>218</v>
      </c>
    </row>
    <row r="24" spans="2:8" x14ac:dyDescent="0.25">
      <c r="C24" t="s">
        <v>164</v>
      </c>
    </row>
    <row r="25" spans="2:8" x14ac:dyDescent="0.25">
      <c r="C25" t="s">
        <v>220</v>
      </c>
    </row>
    <row r="26" spans="2:8" x14ac:dyDescent="0.25">
      <c r="C26" t="s">
        <v>221</v>
      </c>
    </row>
    <row r="27" spans="2:8" x14ac:dyDescent="0.25">
      <c r="C27" t="s">
        <v>222</v>
      </c>
    </row>
    <row r="28" spans="2:8" x14ac:dyDescent="0.25">
      <c r="C28" t="s">
        <v>223</v>
      </c>
    </row>
    <row r="29" spans="2:8" x14ac:dyDescent="0.25">
      <c r="C29" t="s">
        <v>224</v>
      </c>
    </row>
    <row r="30" spans="2:8" x14ac:dyDescent="0.25">
      <c r="C30" t="s">
        <v>164</v>
      </c>
    </row>
    <row r="33" spans="3:11" x14ac:dyDescent="0.25">
      <c r="J33">
        <v>1</v>
      </c>
      <c r="K33">
        <v>2</v>
      </c>
    </row>
    <row r="34" spans="3:11" x14ac:dyDescent="0.25">
      <c r="C34" s="54" t="s">
        <v>229</v>
      </c>
      <c r="D34" s="53" t="s">
        <v>227</v>
      </c>
      <c r="E34" s="53" t="s">
        <v>232</v>
      </c>
      <c r="F34" s="53" t="s">
        <v>230</v>
      </c>
      <c r="G34" s="53" t="s">
        <v>231</v>
      </c>
      <c r="H34" s="53" t="s">
        <v>233</v>
      </c>
      <c r="J34" t="s">
        <v>187</v>
      </c>
      <c r="K34" t="s">
        <v>203</v>
      </c>
    </row>
    <row r="35" spans="3:11" x14ac:dyDescent="0.25">
      <c r="C35" s="52" t="s">
        <v>228</v>
      </c>
      <c r="D35" s="53" t="s">
        <v>165</v>
      </c>
      <c r="E35" s="53" t="s">
        <v>237</v>
      </c>
      <c r="F35" s="53" t="s">
        <v>239</v>
      </c>
      <c r="G35" s="53" t="s">
        <v>241</v>
      </c>
      <c r="H35" s="53"/>
    </row>
    <row r="36" spans="3:11" x14ac:dyDescent="0.25">
      <c r="C36" s="52"/>
      <c r="D36" s="53" t="s">
        <v>234</v>
      </c>
      <c r="E36" s="53" t="s">
        <v>238</v>
      </c>
      <c r="F36" s="53" t="s">
        <v>240</v>
      </c>
      <c r="G36" s="53" t="s">
        <v>242</v>
      </c>
      <c r="H36" s="53"/>
    </row>
    <row r="37" spans="3:11" x14ac:dyDescent="0.25">
      <c r="C37" s="52"/>
      <c r="D37" s="53" t="s">
        <v>235</v>
      </c>
      <c r="E37" s="53"/>
      <c r="F37" s="53"/>
      <c r="G37" s="53" t="s">
        <v>243</v>
      </c>
      <c r="H37" s="53"/>
    </row>
    <row r="38" spans="3:11" x14ac:dyDescent="0.25">
      <c r="C38" s="52"/>
      <c r="D38" s="53" t="s">
        <v>236</v>
      </c>
      <c r="E38" s="53"/>
      <c r="F38" s="53"/>
      <c r="G38" s="53" t="s">
        <v>243</v>
      </c>
      <c r="H38" s="53"/>
    </row>
    <row r="39" spans="3:11" x14ac:dyDescent="0.25">
      <c r="C39" s="52"/>
      <c r="D39" s="53"/>
      <c r="E39" s="53"/>
      <c r="F39" s="53"/>
      <c r="G39" s="53" t="s">
        <v>244</v>
      </c>
      <c r="H39" s="53"/>
    </row>
    <row r="40" spans="3:11" x14ac:dyDescent="0.25">
      <c r="C40" s="52"/>
      <c r="D40" s="53"/>
      <c r="E40" s="53"/>
      <c r="F40" s="53"/>
      <c r="G40" s="53" t="s">
        <v>245</v>
      </c>
      <c r="H40" s="53"/>
    </row>
    <row r="41" spans="3:11" x14ac:dyDescent="0.25">
      <c r="C41" s="52"/>
      <c r="D41" s="53"/>
      <c r="E41" s="53"/>
      <c r="F41" s="53"/>
      <c r="G41" s="53"/>
      <c r="H41" s="53"/>
    </row>
    <row r="43" spans="3:11" x14ac:dyDescent="0.25">
      <c r="C43" t="s">
        <v>246</v>
      </c>
    </row>
    <row r="44" spans="3:11" x14ac:dyDescent="0.25">
      <c r="C44" t="s">
        <v>167</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172</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187</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182</v>
      </c>
      <c r="D67" t="s">
        <v>268</v>
      </c>
    </row>
    <row r="68" spans="3:4" x14ac:dyDescent="0.25">
      <c r="D68" t="s">
        <v>269</v>
      </c>
    </row>
    <row r="69" spans="3:4" x14ac:dyDescent="0.2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5">
        <v>1</v>
      </c>
      <c r="C2" s="57" t="s">
        <v>277</v>
      </c>
    </row>
    <row r="3" spans="2:3" x14ac:dyDescent="0.25">
      <c r="B3" s="55">
        <v>2</v>
      </c>
      <c r="C3" s="56" t="s">
        <v>278</v>
      </c>
    </row>
    <row r="4" spans="2:3" x14ac:dyDescent="0.25">
      <c r="B4" s="55">
        <v>3</v>
      </c>
      <c r="C4" s="55" t="s">
        <v>279</v>
      </c>
    </row>
    <row r="5" spans="2:3" ht="30" x14ac:dyDescent="0.25">
      <c r="B5" s="55">
        <v>4</v>
      </c>
      <c r="C5" s="56" t="s">
        <v>280</v>
      </c>
    </row>
    <row r="6" spans="2:3" x14ac:dyDescent="0.25">
      <c r="B6" s="55">
        <v>5</v>
      </c>
      <c r="C6" s="55" t="s">
        <v>281</v>
      </c>
    </row>
    <row r="7" spans="2:3" ht="30" x14ac:dyDescent="0.25">
      <c r="B7" s="55">
        <v>6</v>
      </c>
      <c r="C7" s="56" t="s">
        <v>282</v>
      </c>
    </row>
    <row r="8" spans="2:3" ht="90" x14ac:dyDescent="0.25">
      <c r="B8" s="55">
        <v>7</v>
      </c>
      <c r="C8" s="56" t="s">
        <v>283</v>
      </c>
    </row>
    <row r="9" spans="2:3" x14ac:dyDescent="0.25">
      <c r="B9" s="55">
        <v>8</v>
      </c>
      <c r="C9" s="55" t="s">
        <v>284</v>
      </c>
    </row>
    <row r="10" spans="2:3" x14ac:dyDescent="0.25">
      <c r="B10" s="55">
        <v>9</v>
      </c>
      <c r="C10" s="55" t="s">
        <v>285</v>
      </c>
    </row>
    <row r="11" spans="2:3" x14ac:dyDescent="0.25">
      <c r="B11" s="55">
        <v>10</v>
      </c>
      <c r="C11" s="55" t="s">
        <v>286</v>
      </c>
    </row>
    <row r="12" spans="2:3" x14ac:dyDescent="0.25">
      <c r="B12" s="55">
        <v>11</v>
      </c>
      <c r="C12" s="55" t="s">
        <v>287</v>
      </c>
    </row>
    <row r="13" spans="2:3" x14ac:dyDescent="0.25">
      <c r="B13" s="55">
        <v>12</v>
      </c>
      <c r="C13" s="55" t="s">
        <v>288</v>
      </c>
    </row>
    <row r="14" spans="2:3" x14ac:dyDescent="0.25">
      <c r="B14" s="55">
        <v>13</v>
      </c>
      <c r="C14" s="55" t="s">
        <v>289</v>
      </c>
    </row>
    <row r="15" spans="2:3" x14ac:dyDescent="0.25">
      <c r="B15" s="55">
        <v>14</v>
      </c>
      <c r="C15" s="55" t="s">
        <v>279</v>
      </c>
    </row>
    <row r="16" spans="2:3" x14ac:dyDescent="0.25">
      <c r="B16" s="55">
        <v>15</v>
      </c>
      <c r="C16" s="55" t="s">
        <v>291</v>
      </c>
    </row>
    <row r="17" spans="2:3" ht="31.5" customHeight="1" x14ac:dyDescent="0.25">
      <c r="B17" s="60">
        <v>16</v>
      </c>
      <c r="C17" s="62" t="s">
        <v>292</v>
      </c>
    </row>
    <row r="18" spans="2:3" x14ac:dyDescent="0.25">
      <c r="B18" s="61">
        <v>17</v>
      </c>
      <c r="C18" s="62" t="s">
        <v>293</v>
      </c>
    </row>
    <row r="19" spans="2:3" x14ac:dyDescent="0.25">
      <c r="B19" s="60">
        <v>18</v>
      </c>
      <c r="C19" s="55" t="s">
        <v>294</v>
      </c>
    </row>
    <row r="20" spans="2:3" x14ac:dyDescent="0.25">
      <c r="B20" s="61">
        <v>19</v>
      </c>
      <c r="C20" s="55"/>
    </row>
    <row r="21" spans="2:3" x14ac:dyDescent="0.25">
      <c r="B21" s="55">
        <v>20</v>
      </c>
      <c r="C21" s="55"/>
    </row>
    <row r="22" spans="2:3" x14ac:dyDescent="0.25">
      <c r="B22" s="55"/>
      <c r="C22" s="55"/>
    </row>
    <row r="23" spans="2:3" x14ac:dyDescent="0.25">
      <c r="B23" s="55"/>
      <c r="C23" s="55"/>
    </row>
    <row r="24" spans="2:3" x14ac:dyDescent="0.25">
      <c r="B24" s="55"/>
      <c r="C24" s="55"/>
    </row>
    <row r="25" spans="2:3" x14ac:dyDescent="0.25">
      <c r="B25" s="55"/>
      <c r="C25" s="55"/>
    </row>
    <row r="26" spans="2:3" x14ac:dyDescent="0.25">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2025-07-09T06:08:47Z</cp:lastPrinted>
  <dcterms:created xsi:type="dcterms:W3CDTF">2019-07-16T09:29:46Z</dcterms:created>
  <dcterms:modified xsi:type="dcterms:W3CDTF">2025-07-09T06:12:46Z</dcterms:modified>
</cp:coreProperties>
</file>