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10860" windowHeight="427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234" i="1" l="1"/>
  <c r="D233" i="1"/>
  <c r="D232" i="1"/>
  <c r="D231" i="1"/>
  <c r="D229" i="1"/>
  <c r="D228" i="1"/>
  <c r="D227" i="1"/>
  <c r="D226" i="1"/>
  <c r="A232" i="1"/>
  <c r="A233" i="1" s="1"/>
  <c r="A234" i="1" s="1"/>
  <c r="D220" i="1"/>
  <c r="D221" i="1"/>
  <c r="D222" i="1"/>
  <c r="D223" i="1"/>
  <c r="D218" i="1"/>
  <c r="D217" i="1"/>
  <c r="D216" i="1"/>
  <c r="D215" i="1"/>
  <c r="K215" i="1"/>
  <c r="D212" i="1"/>
  <c r="D211" i="1"/>
  <c r="D210" i="1"/>
  <c r="D209" i="1"/>
  <c r="D207" i="1"/>
  <c r="D206" i="1"/>
  <c r="D205" i="1"/>
  <c r="D204" i="1"/>
  <c r="D201" i="1"/>
  <c r="D200" i="1"/>
  <c r="D199" i="1"/>
  <c r="D198" i="1"/>
  <c r="D196" i="1"/>
  <c r="D195" i="1"/>
  <c r="D194" i="1"/>
  <c r="D193" i="1"/>
  <c r="D190" i="1"/>
  <c r="D189" i="1"/>
  <c r="D188" i="1"/>
  <c r="D187" i="1"/>
  <c r="J188" i="1"/>
  <c r="J187" i="1"/>
  <c r="I190" i="1"/>
  <c r="I189" i="1"/>
  <c r="I188" i="1"/>
  <c r="I187" i="1"/>
  <c r="D185" i="1"/>
  <c r="D184" i="1"/>
  <c r="D183" i="1"/>
  <c r="D182" i="1"/>
  <c r="K183" i="1"/>
  <c r="K182" i="1"/>
  <c r="I185" i="1"/>
  <c r="I184" i="1"/>
  <c r="I183" i="1"/>
  <c r="I182" i="1"/>
  <c r="C126" i="1" l="1"/>
  <c r="C112" i="1"/>
  <c r="E161" i="1" l="1"/>
  <c r="C161" i="1" l="1"/>
  <c r="J233" i="1"/>
  <c r="F232" i="1" l="1"/>
  <c r="F231" i="1"/>
  <c r="F234" i="1"/>
  <c r="F233" i="1"/>
  <c r="G231" i="1"/>
  <c r="G232" i="1" s="1"/>
  <c r="G233" i="1" s="1"/>
  <c r="G234" i="1" s="1"/>
  <c r="F229" i="1"/>
  <c r="F228" i="1"/>
  <c r="F227" i="1"/>
  <c r="A227" i="1"/>
  <c r="A228" i="1" s="1"/>
  <c r="A229" i="1" s="1"/>
  <c r="G226" i="1"/>
  <c r="G227" i="1" s="1"/>
  <c r="G228" i="1" s="1"/>
  <c r="G229" i="1" s="1"/>
  <c r="F223" i="1"/>
  <c r="F222" i="1"/>
  <c r="F221" i="1"/>
  <c r="G220" i="1"/>
  <c r="G221" i="1" s="1"/>
  <c r="G222" i="1" s="1"/>
  <c r="G223" i="1" s="1"/>
  <c r="F220" i="1"/>
  <c r="F217" i="1"/>
  <c r="F218" i="1"/>
  <c r="F205" i="1"/>
  <c r="F216" i="1"/>
  <c r="A216" i="1"/>
  <c r="A217" i="1" s="1"/>
  <c r="A218" i="1" s="1"/>
  <c r="G215" i="1"/>
  <c r="G216" i="1" s="1"/>
  <c r="G217" i="1" s="1"/>
  <c r="G218" i="1" s="1"/>
  <c r="F212" i="1"/>
  <c r="F211" i="1"/>
  <c r="F210" i="1"/>
  <c r="G209" i="1"/>
  <c r="G210" i="1" s="1"/>
  <c r="G211" i="1" s="1"/>
  <c r="G212" i="1" s="1"/>
  <c r="F209" i="1"/>
  <c r="F207" i="1"/>
  <c r="F206" i="1"/>
  <c r="A205" i="1"/>
  <c r="A206" i="1" s="1"/>
  <c r="A207" i="1" s="1"/>
  <c r="G204" i="1"/>
  <c r="G205" i="1" s="1"/>
  <c r="G206" i="1" s="1"/>
  <c r="G207" i="1" s="1"/>
  <c r="F226" i="1" l="1"/>
  <c r="G164" i="1" s="1"/>
  <c r="C164" i="1"/>
  <c r="E164" i="1"/>
  <c r="J226" i="1"/>
  <c r="F204" i="1"/>
  <c r="G162" i="1" s="1"/>
  <c r="C162" i="1"/>
  <c r="E162" i="1"/>
  <c r="J204" i="1"/>
  <c r="I204" i="1"/>
  <c r="F215" i="1"/>
  <c r="G163" i="1" s="1"/>
  <c r="C163" i="1"/>
  <c r="E163" i="1"/>
  <c r="I215" i="1"/>
  <c r="J215" i="1"/>
  <c r="F198" i="1"/>
  <c r="G198" i="1"/>
  <c r="F196" i="1"/>
  <c r="F195" i="1"/>
  <c r="F194" i="1"/>
  <c r="F193" i="1"/>
  <c r="A194" i="1"/>
  <c r="A195" i="1" s="1"/>
  <c r="A196" i="1" s="1"/>
  <c r="G193" i="1"/>
  <c r="G194" i="1" s="1"/>
  <c r="G195" i="1" s="1"/>
  <c r="G196" i="1" s="1"/>
  <c r="F182" i="1" l="1"/>
  <c r="E160" i="1"/>
  <c r="E165" i="1" s="1"/>
  <c r="C160" i="1" l="1"/>
  <c r="C165" i="1" s="1"/>
  <c r="C166" i="1" s="1"/>
  <c r="J181" i="1"/>
  <c r="E166" i="1"/>
  <c r="E42" i="1" l="1"/>
  <c r="E43" i="1" s="1"/>
  <c r="C14" i="1" l="1"/>
  <c r="E29" i="1" l="1"/>
  <c r="F183" i="1" l="1"/>
  <c r="F184" i="1"/>
  <c r="F185" i="1"/>
  <c r="A183" i="1"/>
  <c r="A184" i="1" s="1"/>
  <c r="A185" i="1" s="1"/>
  <c r="G182" i="1"/>
  <c r="G183" i="1" s="1"/>
  <c r="G184" i="1" s="1"/>
  <c r="G185" i="1" s="1"/>
  <c r="F152" i="1" l="1"/>
  <c r="F173" i="1" l="1"/>
  <c r="F174" i="1"/>
  <c r="F175" i="1"/>
  <c r="F172" i="1"/>
  <c r="B237" i="1" l="1"/>
  <c r="F201" i="1" l="1"/>
  <c r="F200" i="1"/>
  <c r="F199" i="1"/>
  <c r="F190" i="1"/>
  <c r="F189" i="1"/>
  <c r="F188" i="1"/>
  <c r="F187" i="1"/>
  <c r="G160" i="1" l="1"/>
  <c r="G161" i="1"/>
  <c r="B238" i="1"/>
  <c r="G165" i="1" l="1"/>
  <c r="G166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6" i="1"/>
  <c r="G199" i="1"/>
  <c r="G200" i="1" s="1"/>
  <c r="G201" i="1" s="1"/>
  <c r="G187" i="1"/>
  <c r="G188" i="1" s="1"/>
  <c r="G189" i="1" s="1"/>
  <c r="G190" i="1" s="1"/>
  <c r="A173" i="1"/>
  <c r="A174" i="1" s="1"/>
  <c r="A175" i="1" s="1"/>
  <c r="G172" i="1"/>
  <c r="G173" i="1" s="1"/>
  <c r="G174" i="1" s="1"/>
  <c r="G175" i="1" s="1"/>
  <c r="C98" i="1"/>
  <c r="B99" i="1" s="1"/>
  <c r="C84" i="1"/>
  <c r="B85" i="1" s="1"/>
  <c r="C70" i="1"/>
  <c r="B71" i="1" s="1"/>
  <c r="D54" i="1"/>
  <c r="G49" i="1"/>
  <c r="G50" i="1" s="1"/>
  <c r="C49" i="1"/>
  <c r="E26" i="1"/>
  <c r="E24" i="1"/>
  <c r="E3" i="1"/>
  <c r="D64" i="1" l="1"/>
  <c r="H85" i="1"/>
  <c r="H71" i="1"/>
  <c r="H99" i="1"/>
  <c r="D82" i="1" l="1"/>
  <c r="D78" i="1"/>
  <c r="D83" i="1"/>
  <c r="J74" i="1"/>
  <c r="D81" i="1"/>
  <c r="J75" i="1"/>
  <c r="C74" i="1" s="1"/>
  <c r="D74" i="1" s="1"/>
  <c r="D80" i="1"/>
  <c r="J73" i="1"/>
  <c r="D79" i="1"/>
  <c r="J76" i="1"/>
  <c r="J77" i="1" s="1"/>
  <c r="J82" i="1" s="1"/>
  <c r="D77" i="1"/>
  <c r="J70" i="1"/>
  <c r="J72" i="1" s="1"/>
  <c r="D111" i="1"/>
  <c r="D108" i="1"/>
  <c r="D109" i="1"/>
  <c r="D106" i="1"/>
  <c r="D107" i="1"/>
  <c r="D105" i="1"/>
  <c r="J103" i="1"/>
  <c r="C102" i="1" s="1"/>
  <c r="D102" i="1" s="1"/>
  <c r="J104" i="1"/>
  <c r="J105" i="1" s="1"/>
  <c r="J110" i="1" s="1"/>
  <c r="J102" i="1"/>
  <c r="J101" i="1"/>
  <c r="D110" i="1"/>
  <c r="C104" i="1"/>
  <c r="J98" i="1" s="1"/>
  <c r="J100" i="1" s="1"/>
  <c r="J90" i="1"/>
  <c r="J91" i="1" s="1"/>
  <c r="J96" i="1" s="1"/>
  <c r="D93" i="1"/>
  <c r="J84" i="1"/>
  <c r="J86" i="1" s="1"/>
  <c r="D94" i="1"/>
  <c r="J88" i="1"/>
  <c r="D95" i="1"/>
  <c r="J89" i="1"/>
  <c r="C88" i="1" s="1"/>
  <c r="D88" i="1" s="1"/>
  <c r="D96" i="1"/>
  <c r="J87" i="1"/>
  <c r="D97" i="1"/>
  <c r="D91" i="1"/>
  <c r="D92" i="1"/>
  <c r="J106" i="1"/>
  <c r="J107" i="1" s="1"/>
  <c r="J108" i="1" s="1"/>
  <c r="J109" i="1" s="1"/>
  <c r="J92" i="1"/>
  <c r="J93" i="1" s="1"/>
  <c r="J94" i="1" s="1"/>
  <c r="J95" i="1" s="1"/>
  <c r="J78" i="1"/>
  <c r="J79" i="1" s="1"/>
  <c r="J80" i="1" s="1"/>
  <c r="J81" i="1" s="1"/>
  <c r="D90" i="1"/>
  <c r="D76" i="1"/>
  <c r="J111" i="1" l="1"/>
  <c r="C103" i="1" s="1"/>
  <c r="J99" i="1" s="1"/>
  <c r="D104" i="1"/>
  <c r="B127" i="1"/>
  <c r="B113" i="1"/>
  <c r="J83" i="1"/>
  <c r="C75" i="1" s="1"/>
  <c r="G74" i="1" s="1"/>
  <c r="D68" i="1" s="1"/>
  <c r="D69" i="1" s="1"/>
  <c r="J97" i="1"/>
  <c r="J85" i="1" s="1"/>
  <c r="H113" i="1"/>
  <c r="H127" i="1"/>
  <c r="E102" i="1" l="1"/>
  <c r="D103" i="1"/>
  <c r="I99" i="1" s="1"/>
  <c r="I100" i="1" s="1"/>
  <c r="I98" i="1" s="1"/>
  <c r="C100" i="1" s="1"/>
  <c r="G102" i="1"/>
  <c r="D135" i="1"/>
  <c r="D139" i="1"/>
  <c r="D133" i="1"/>
  <c r="J129" i="1"/>
  <c r="C132" i="1"/>
  <c r="J126" i="1" s="1"/>
  <c r="J128" i="1" s="1"/>
  <c r="J131" i="1"/>
  <c r="C130" i="1" s="1"/>
  <c r="D130" i="1" s="1"/>
  <c r="J130" i="1"/>
  <c r="D137" i="1"/>
  <c r="D136" i="1"/>
  <c r="D134" i="1"/>
  <c r="D138" i="1"/>
  <c r="J137" i="1"/>
  <c r="J134" i="1"/>
  <c r="J136" i="1"/>
  <c r="J132" i="1"/>
  <c r="J133" i="1" s="1"/>
  <c r="J138" i="1" s="1"/>
  <c r="J139" i="1" s="1"/>
  <c r="C131" i="1" s="1"/>
  <c r="J135" i="1"/>
  <c r="C118" i="1"/>
  <c r="J112" i="1" s="1"/>
  <c r="J114" i="1" s="1"/>
  <c r="D122" i="1"/>
  <c r="D121" i="1"/>
  <c r="D125" i="1"/>
  <c r="D119" i="1"/>
  <c r="J115" i="1"/>
  <c r="D123" i="1"/>
  <c r="J117" i="1"/>
  <c r="C116" i="1" s="1"/>
  <c r="J116" i="1"/>
  <c r="D124" i="1"/>
  <c r="D120" i="1"/>
  <c r="J123" i="1"/>
  <c r="J121" i="1"/>
  <c r="J120" i="1"/>
  <c r="J118" i="1"/>
  <c r="J119" i="1" s="1"/>
  <c r="J124" i="1" s="1"/>
  <c r="J125" i="1" s="1"/>
  <c r="C117" i="1" s="1"/>
  <c r="J122" i="1"/>
  <c r="J71" i="1"/>
  <c r="D75" i="1"/>
  <c r="I71" i="1" s="1"/>
  <c r="I72" i="1" s="1"/>
  <c r="E74" i="1"/>
  <c r="F69" i="1"/>
  <c r="E88" i="1"/>
  <c r="G88" i="1"/>
  <c r="D89" i="1"/>
  <c r="I85" i="1" s="1"/>
  <c r="I86" i="1" s="1"/>
  <c r="D132" i="1" l="1"/>
  <c r="E130" i="1"/>
  <c r="D131" i="1"/>
  <c r="J127" i="1"/>
  <c r="G130" i="1"/>
  <c r="D118" i="1"/>
  <c r="E116" i="1"/>
  <c r="D117" i="1"/>
  <c r="G116" i="1"/>
  <c r="D116" i="1"/>
  <c r="I70" i="1"/>
  <c r="C72" i="1" s="1"/>
  <c r="I84" i="1"/>
  <c r="C86" i="1" s="1"/>
  <c r="I127" i="1" l="1"/>
  <c r="I128" i="1" s="1"/>
  <c r="I113" i="1"/>
  <c r="I114" i="1" s="1"/>
  <c r="J113" i="1"/>
  <c r="I126" i="1" l="1"/>
  <c r="C128" i="1" s="1"/>
  <c r="I112" i="1"/>
  <c r="C114" i="1" s="1"/>
</calcChain>
</file>

<file path=xl/sharedStrings.xml><?xml version="1.0" encoding="utf-8"?>
<sst xmlns="http://schemas.openxmlformats.org/spreadsheetml/2006/main" count="469" uniqueCount="234">
  <si>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</si>
  <si>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</si>
  <si>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</si>
  <si>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</si>
  <si>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</si>
  <si>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</si>
  <si>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</si>
  <si>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</si>
  <si>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</si>
  <si>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</si>
  <si>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</si>
  <si>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</si>
  <si>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</si>
  <si>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</si>
  <si>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</si>
  <si>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</si>
  <si>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</si>
  <si>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</si>
  <si>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</si>
  <si>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</si>
  <si>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</si>
  <si>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</si>
  <si>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</si>
  <si>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</si>
  <si>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</si>
  <si>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</si>
  <si>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</si>
  <si>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</si>
  <si>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</si>
  <si>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</si>
  <si>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</si>
  <si>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</si>
  <si>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</si>
  <si>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</si>
  <si>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</si>
  <si>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</si>
  <si>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</si>
  <si>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</si>
  <si>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</si>
  <si>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</si>
  <si>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</si>
  <si>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</si>
  <si>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</si>
  <si>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</si>
  <si>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</si>
  <si>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</si>
  <si>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</si>
  <si>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</si>
  <si>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</si>
  <si>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</si>
  <si>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</si>
  <si>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</si>
  <si>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</si>
  <si>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</si>
  <si>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</si>
  <si>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</si>
  <si>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</si>
  <si>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</si>
  <si>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</si>
  <si>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</si>
  <si>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</si>
  <si>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</si>
  <si>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</si>
  <si>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</si>
  <si>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</si>
  <si>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</si>
  <si>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</si>
  <si>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</si>
  <si>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</si>
  <si>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</si>
  <si>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</si>
  <si>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</si>
  <si>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</si>
  <si>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</si>
  <si>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</si>
  <si>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</si>
  <si>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</si>
  <si>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</si>
  <si>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</si>
  <si>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</si>
  <si>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</si>
  <si>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</si>
  <si>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</si>
  <si>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</si>
  <si>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</si>
  <si>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</si>
  <si>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</si>
  <si>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</si>
  <si>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</si>
  <si>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</si>
  <si>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</si>
  <si>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</si>
  <si>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</si>
  <si>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</si>
  <si>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</si>
  <si>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</si>
  <si>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</si>
  <si>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</si>
  <si>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</si>
  <si>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</si>
  <si>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</si>
  <si>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</si>
  <si>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</si>
  <si>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</si>
  <si>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</si>
  <si>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</si>
  <si>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</si>
  <si>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</si>
  <si>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</si>
  <si>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</si>
  <si>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</si>
  <si>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</si>
  <si>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</si>
  <si>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</si>
  <si>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</si>
  <si>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</si>
  <si>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</si>
  <si>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</si>
  <si>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</si>
  <si>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</si>
  <si>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</si>
  <si>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</si>
  <si>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</si>
  <si>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</si>
  <si>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</si>
  <si>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</si>
  <si>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</si>
  <si>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</si>
  <si>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</si>
  <si>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</si>
  <si>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</si>
  <si>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</si>
  <si>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</si>
  <si>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</si>
  <si>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</si>
  <si>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</si>
  <si>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</si>
  <si>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</si>
  <si>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</si>
  <si>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</si>
  <si>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</si>
  <si>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</si>
  <si>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</si>
  <si>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</si>
  <si>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</si>
  <si>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</si>
  <si>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</si>
  <si>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</si>
  <si>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</si>
  <si>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</si>
  <si>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</si>
  <si>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</si>
  <si>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</si>
  <si>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</si>
  <si>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</si>
  <si>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</si>
  <si>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</si>
  <si>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</si>
  <si>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</si>
  <si>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</si>
  <si>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</si>
  <si>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</si>
  <si>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</si>
  <si>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</si>
  <si>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</si>
  <si>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</si>
  <si>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</si>
  <si>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</si>
  <si>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</si>
  <si>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</si>
  <si>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</si>
  <si>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</si>
  <si>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</si>
  <si>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</si>
  <si>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</si>
  <si>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</si>
  <si>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</si>
  <si>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Thane</t>
  </si>
  <si>
    <t>Shivdam</t>
  </si>
  <si>
    <t>Ambarnath</t>
  </si>
  <si>
    <t>Badlapur</t>
  </si>
  <si>
    <t>P51700050061</t>
  </si>
  <si>
    <t>Panvelkar Bhoomi</t>
  </si>
  <si>
    <t>Neral-Badlapur Road</t>
  </si>
  <si>
    <t>https://goo.gl/maps/DQWzGSAgTH9RuhnV6</t>
  </si>
  <si>
    <t>Survey No</t>
  </si>
  <si>
    <t>27, H.No. 3/7 &amp; S.No. 32/1</t>
  </si>
  <si>
    <t>Kharvai</t>
  </si>
  <si>
    <t>19.1513037, 73.2451084</t>
  </si>
  <si>
    <t>Tulsi Aagman</t>
  </si>
  <si>
    <t>Industrial Building</t>
  </si>
  <si>
    <t>Open Plot</t>
  </si>
  <si>
    <t>Sai Residency</t>
  </si>
  <si>
    <t>2.1KM from Badlapur Railway Station</t>
  </si>
  <si>
    <t xml:space="preserve">Building No 5 Blossom
Building No 6 Clover 
Building No 7 Daffodil 
Building No 8 Flora 
Building No 9 Lotus
</t>
  </si>
  <si>
    <t>05 Buildings</t>
  </si>
  <si>
    <t>Kulgaon Badlapur Nagarparisad (KBNP)</t>
  </si>
  <si>
    <t>KBNP/NRV/BD/6129-92</t>
  </si>
  <si>
    <t>Building No. 5 to 9 = St/Gr + 1st to 7th Floor</t>
  </si>
  <si>
    <t>As per RERA - 31/12/2025</t>
  </si>
  <si>
    <t>Multipurpose Hall, Yoga/Meditation Area, Jogging Track, 24x7 Security, Club House, Senior Citizen Sitout, etc</t>
  </si>
  <si>
    <t xml:space="preserve">Details of Commercial in Building   </t>
  </si>
  <si>
    <t xml:space="preserve">Details of Residential in Building   </t>
  </si>
  <si>
    <t>Building No 5 Blossom</t>
  </si>
  <si>
    <t xml:space="preserve">Ground Floor for Residential &amp; Parking </t>
  </si>
  <si>
    <t>1RK</t>
  </si>
  <si>
    <t>1st to 7th Floor</t>
  </si>
  <si>
    <t>1BHK</t>
  </si>
  <si>
    <t>Building No 6 Clover</t>
  </si>
  <si>
    <t>Building No 7 Daffodil</t>
  </si>
  <si>
    <t>Building No 8 Flora</t>
  </si>
  <si>
    <t>Building No 9 Lotus</t>
  </si>
  <si>
    <t>1.5BHK</t>
  </si>
  <si>
    <t>1st to 7th Floor for Residential</t>
  </si>
  <si>
    <t>Building No. 5</t>
  </si>
  <si>
    <t>Building No. 6</t>
  </si>
  <si>
    <t>Building No. 7</t>
  </si>
  <si>
    <t>Building No. 8</t>
  </si>
  <si>
    <t>Building No. 9</t>
  </si>
  <si>
    <t>Building No. 5 = St/Gr + 1st to 7th Floor</t>
  </si>
  <si>
    <t>Building No. 6 = St/Gr + 1st to 7th Floor</t>
  </si>
  <si>
    <t>Building No. 7 = St/Gr + 1st to 7th Floor</t>
  </si>
  <si>
    <t>Building No. 8 = St/Gr + 1st to 7th Floor</t>
  </si>
  <si>
    <t>Building No. 9 = St/Gr + 1st to 7th Floor</t>
  </si>
  <si>
    <t>We considered Gross carpet area = Net carpet + Balcony + C.B Area + Cornice Area + Sunbreaker Area.</t>
  </si>
  <si>
    <t>Sudhir Bhosale</t>
  </si>
  <si>
    <t>Flats - 160</t>
  </si>
  <si>
    <t>Approved Plans, CC</t>
  </si>
  <si>
    <t>by Sonia</t>
  </si>
  <si>
    <t>KBNP/NRV/BP/6192/2022-2023/Unique No. 92</t>
  </si>
  <si>
    <t>Built Up Area of Building No. 5, 6, 7, 8 &amp; 9 in sqmt</t>
  </si>
  <si>
    <t>Piyush 9869694166</t>
  </si>
  <si>
    <t>Shruti</t>
  </si>
  <si>
    <t>Building No. 5 to 8  = Construction work was stopped. Work is same as last visit (22/05/2023).
Building No. 9 = All work completed. Please provide 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</si>
</sst>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2"/>
      <color theme="2" tint="-0.89999084444715716"/>
      <name val="Times New Roman"/>
      <family val="1"/>
    </font>
    <font>
      <b/>
      <sz val="12"/>
      <color theme="2" tint="-0.899990844447157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0" fillId="0" borderId="0" xfId="1" applyFont="1"/>
    <xf numFmtId="0" fontId="24" fillId="0" borderId="31" xfId="0" applyFont="1" applyBorder="1"/>
    <xf numFmtId="1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17" xfId="1" applyFont="1" applyBorder="1" applyAlignment="1" applyProtection="1">
      <alignment horizontal="left" vertical="top"/>
      <protection locked="0"/>
    </xf>
    <xf numFmtId="0" fontId="7" fillId="0" borderId="24" xfId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21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horizontal="left" vertical="top" wrapText="1"/>
      <protection locked="0"/>
    </xf>
    <xf numFmtId="1" fontId="8" fillId="0" borderId="21" xfId="0" applyNumberFormat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 applyProtection="1">
      <alignment horizontal="center" vertical="top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27" fillId="0" borderId="1" xfId="1" applyFont="1" applyBorder="1" applyAlignment="1" applyProtection="1">
      <alignment horizontal="left" vertical="top" wrapText="1"/>
      <protection locked="0"/>
    </xf>
    <xf numFmtId="0" fontId="2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28" fillId="0" borderId="8" xfId="1" applyFont="1" applyBorder="1" applyAlignment="1" applyProtection="1">
      <alignment horizontal="left" vertical="top"/>
      <protection locked="0"/>
    </xf>
    <xf numFmtId="0" fontId="28" fillId="0" borderId="21" xfId="1" applyFont="1" applyBorder="1" applyAlignment="1" applyProtection="1">
      <alignment horizontal="left" vertical="top"/>
      <protection locked="0"/>
    </xf>
    <xf numFmtId="0" fontId="28" fillId="0" borderId="9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35" xfId="0" applyNumberFormat="1" applyFont="1" applyBorder="1" applyAlignment="1" applyProtection="1">
      <alignment horizontal="center" vertical="top" wrapText="1"/>
      <protection locked="0"/>
    </xf>
    <xf numFmtId="1" fontId="8" fillId="0" borderId="36" xfId="0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260969</xdr:colOff>
      <xdr:row>343</xdr:row>
      <xdr:rowOff>28575</xdr:rowOff>
    </xdr:from>
    <xdr:to>
      <xdr:col>7</xdr:col>
      <xdr:colOff>830</xdr:colOff>
      <xdr:row>361</xdr:row>
      <xdr:rowOff>28124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0119" y="62007750"/>
          <a:ext cx="463917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466725</xdr:colOff>
      <xdr:row>362</xdr:row>
      <xdr:rowOff>144493</xdr:rowOff>
    </xdr:from>
    <xdr:to>
      <xdr:col>7</xdr:col>
      <xdr:colOff>830652</xdr:colOff>
      <xdr:row>383</xdr:row>
      <xdr:rowOff>32889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6725" y="65924143"/>
          <a:ext cx="6107502" cy="408892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85725</xdr:colOff>
      <xdr:row>300</xdr:row>
      <xdr:rowOff>38100</xdr:rowOff>
    </xdr:from>
    <xdr:to>
      <xdr:col>6</xdr:col>
      <xdr:colOff>240707</xdr:colOff>
      <xdr:row>321</xdr:row>
      <xdr:rowOff>157573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V="1">
          <a:off x="904875" y="61531500"/>
          <a:ext cx="4612682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566956</xdr:colOff>
      <xdr:row>323</xdr:row>
      <xdr:rowOff>25516</xdr:rowOff>
    </xdr:from>
    <xdr:to>
      <xdr:col>6</xdr:col>
      <xdr:colOff>69256</xdr:colOff>
      <xdr:row>339</xdr:row>
      <xdr:rowOff>31750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1"/>
        <a:stretch/>
      </xdr:blipFill>
      <xdr:spPr>
        <a:xfrm rot="16200000">
          <a:off x="1718339" y="62888483"/>
          <a:ext cx="3155834" cy="3858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2</xdr:col>
      <xdr:colOff>209550</xdr:colOff>
      <xdr:row>305</xdr:row>
      <xdr:rowOff>9525</xdr:rowOff>
    </xdr:from>
    <xdr:ext cx="275653" cy="311496"/>
    <xdr:sp macro="" textlink="">
      <xdr:nvSpPr>
        <xdr:cNvPr id="15" name="TextBox 14"/>
        <xdr:cNvSpPr txBox="1"/>
      </xdr:nvSpPr>
      <xdr:spPr>
        <a:xfrm>
          <a:off x="1885950" y="62503050"/>
          <a:ext cx="2756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5</a:t>
          </a:r>
        </a:p>
      </xdr:txBody>
    </xdr:sp>
    <xdr:clientData/>
  </xdr:oneCellAnchor>
  <xdr:oneCellAnchor>
    <xdr:from>
      <xdr:col>2</xdr:col>
      <xdr:colOff>609600</xdr:colOff>
      <xdr:row>304</xdr:row>
      <xdr:rowOff>114300</xdr:rowOff>
    </xdr:from>
    <xdr:ext cx="275653" cy="311496"/>
    <xdr:sp macro="" textlink="">
      <xdr:nvSpPr>
        <xdr:cNvPr id="16" name="TextBox 15"/>
        <xdr:cNvSpPr txBox="1"/>
      </xdr:nvSpPr>
      <xdr:spPr>
        <a:xfrm>
          <a:off x="2286000" y="62407800"/>
          <a:ext cx="2756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6</a:t>
          </a:r>
        </a:p>
      </xdr:txBody>
    </xdr:sp>
    <xdr:clientData/>
  </xdr:oneCellAnchor>
  <xdr:oneCellAnchor>
    <xdr:from>
      <xdr:col>3</xdr:col>
      <xdr:colOff>38100</xdr:colOff>
      <xdr:row>303</xdr:row>
      <xdr:rowOff>114300</xdr:rowOff>
    </xdr:from>
    <xdr:ext cx="275653" cy="311496"/>
    <xdr:sp macro="" textlink="">
      <xdr:nvSpPr>
        <xdr:cNvPr id="17" name="TextBox 16"/>
        <xdr:cNvSpPr txBox="1"/>
      </xdr:nvSpPr>
      <xdr:spPr>
        <a:xfrm>
          <a:off x="2628900" y="62207775"/>
          <a:ext cx="2756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7</a:t>
          </a:r>
        </a:p>
      </xdr:txBody>
    </xdr:sp>
    <xdr:clientData/>
  </xdr:oneCellAnchor>
  <xdr:oneCellAnchor>
    <xdr:from>
      <xdr:col>3</xdr:col>
      <xdr:colOff>419100</xdr:colOff>
      <xdr:row>302</xdr:row>
      <xdr:rowOff>171450</xdr:rowOff>
    </xdr:from>
    <xdr:ext cx="275653" cy="311496"/>
    <xdr:sp macro="" textlink="">
      <xdr:nvSpPr>
        <xdr:cNvPr id="18" name="TextBox 17"/>
        <xdr:cNvSpPr txBox="1"/>
      </xdr:nvSpPr>
      <xdr:spPr>
        <a:xfrm>
          <a:off x="3009900" y="62064900"/>
          <a:ext cx="2756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8</a:t>
          </a:r>
        </a:p>
      </xdr:txBody>
    </xdr:sp>
    <xdr:clientData/>
  </xdr:oneCellAnchor>
  <xdr:oneCellAnchor>
    <xdr:from>
      <xdr:col>3</xdr:col>
      <xdr:colOff>381000</xdr:colOff>
      <xdr:row>308</xdr:row>
      <xdr:rowOff>104775</xdr:rowOff>
    </xdr:from>
    <xdr:ext cx="366639" cy="311496"/>
    <xdr:sp macro="" textlink="">
      <xdr:nvSpPr>
        <xdr:cNvPr id="19" name="TextBox 18"/>
        <xdr:cNvSpPr txBox="1"/>
      </xdr:nvSpPr>
      <xdr:spPr>
        <a:xfrm>
          <a:off x="2971800" y="63198375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15</a:t>
          </a:r>
        </a:p>
      </xdr:txBody>
    </xdr:sp>
    <xdr:clientData/>
  </xdr:oneCellAnchor>
  <xdr:oneCellAnchor>
    <xdr:from>
      <xdr:col>4</xdr:col>
      <xdr:colOff>161925</xdr:colOff>
      <xdr:row>309</xdr:row>
      <xdr:rowOff>114299</xdr:rowOff>
    </xdr:from>
    <xdr:ext cx="275653" cy="311496"/>
    <xdr:sp macro="" textlink="">
      <xdr:nvSpPr>
        <xdr:cNvPr id="20" name="TextBox 19"/>
        <xdr:cNvSpPr txBox="1"/>
      </xdr:nvSpPr>
      <xdr:spPr>
        <a:xfrm rot="19226750">
          <a:off x="3762375" y="63407924"/>
          <a:ext cx="2756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9</a:t>
          </a:r>
        </a:p>
      </xdr:txBody>
    </xdr:sp>
    <xdr:clientData/>
  </xdr:oneCellAnchor>
  <xdr:twoCellAnchor>
    <xdr:from>
      <xdr:col>4</xdr:col>
      <xdr:colOff>781050</xdr:colOff>
      <xdr:row>318</xdr:row>
      <xdr:rowOff>0</xdr:rowOff>
    </xdr:from>
    <xdr:to>
      <xdr:col>5</xdr:col>
      <xdr:colOff>342900</xdr:colOff>
      <xdr:row>318</xdr:row>
      <xdr:rowOff>9525</xdr:rowOff>
    </xdr:to>
    <xdr:cxnSp macro="">
      <xdr:nvCxnSpPr>
        <xdr:cNvPr id="22" name="Straight Arrow Connector 21"/>
        <xdr:cNvCxnSpPr/>
      </xdr:nvCxnSpPr>
      <xdr:spPr>
        <a:xfrm>
          <a:off x="4381500" y="65093850"/>
          <a:ext cx="400050" cy="952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409575</xdr:colOff>
      <xdr:row>317</xdr:row>
      <xdr:rowOff>47625</xdr:rowOff>
    </xdr:from>
    <xdr:ext cx="302903" cy="311496"/>
    <xdr:sp macro="" textlink="">
      <xdr:nvSpPr>
        <xdr:cNvPr id="24" name="TextBox 23"/>
        <xdr:cNvSpPr txBox="1"/>
      </xdr:nvSpPr>
      <xdr:spPr>
        <a:xfrm>
          <a:off x="4848225" y="64941450"/>
          <a:ext cx="30290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N</a:t>
          </a:r>
        </a:p>
      </xdr:txBody>
    </xdr:sp>
    <xdr:clientData/>
  </xdr:oneCellAnchor>
  <xdr:oneCellAnchor>
    <xdr:from>
      <xdr:col>1</xdr:col>
      <xdr:colOff>834000</xdr:colOff>
      <xdr:row>375</xdr:row>
      <xdr:rowOff>166125</xdr:rowOff>
    </xdr:from>
    <xdr:ext cx="264560" cy="256160"/>
    <xdr:sp macro="" textlink="">
      <xdr:nvSpPr>
        <xdr:cNvPr id="25" name="TextBox 24"/>
        <xdr:cNvSpPr txBox="1"/>
      </xdr:nvSpPr>
      <xdr:spPr>
        <a:xfrm rot="17627248">
          <a:off x="1657350" y="76857225"/>
          <a:ext cx="256160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8</a:t>
          </a:r>
        </a:p>
      </xdr:txBody>
    </xdr:sp>
    <xdr:clientData/>
  </xdr:oneCellAnchor>
  <xdr:oneCellAnchor>
    <xdr:from>
      <xdr:col>2</xdr:col>
      <xdr:colOff>114299</xdr:colOff>
      <xdr:row>374</xdr:row>
      <xdr:rowOff>39719</xdr:rowOff>
    </xdr:from>
    <xdr:ext cx="264560" cy="256160"/>
    <xdr:sp macro="" textlink="">
      <xdr:nvSpPr>
        <xdr:cNvPr id="26" name="TextBox 25"/>
        <xdr:cNvSpPr txBox="1"/>
      </xdr:nvSpPr>
      <xdr:spPr>
        <a:xfrm rot="17627248">
          <a:off x="1794899" y="76530794"/>
          <a:ext cx="256160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7</a:t>
          </a:r>
        </a:p>
      </xdr:txBody>
    </xdr:sp>
    <xdr:clientData/>
  </xdr:oneCellAnchor>
  <xdr:oneCellAnchor>
    <xdr:from>
      <xdr:col>2</xdr:col>
      <xdr:colOff>238956</xdr:colOff>
      <xdr:row>372</xdr:row>
      <xdr:rowOff>131037</xdr:rowOff>
    </xdr:from>
    <xdr:ext cx="264560" cy="260266"/>
    <xdr:sp macro="" textlink="">
      <xdr:nvSpPr>
        <xdr:cNvPr id="27" name="TextBox 26"/>
        <xdr:cNvSpPr txBox="1"/>
      </xdr:nvSpPr>
      <xdr:spPr>
        <a:xfrm rot="17627248">
          <a:off x="1917503" y="76224115"/>
          <a:ext cx="260266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6</a:t>
          </a:r>
        </a:p>
      </xdr:txBody>
    </xdr:sp>
    <xdr:clientData/>
  </xdr:oneCellAnchor>
  <xdr:oneCellAnchor>
    <xdr:from>
      <xdr:col>2</xdr:col>
      <xdr:colOff>333369</xdr:colOff>
      <xdr:row>371</xdr:row>
      <xdr:rowOff>11143</xdr:rowOff>
    </xdr:from>
    <xdr:ext cx="264560" cy="256160"/>
    <xdr:sp macro="" textlink="">
      <xdr:nvSpPr>
        <xdr:cNvPr id="28" name="TextBox 27"/>
        <xdr:cNvSpPr txBox="1"/>
      </xdr:nvSpPr>
      <xdr:spPr>
        <a:xfrm rot="17627248">
          <a:off x="2013969" y="75902143"/>
          <a:ext cx="256160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5</a:t>
          </a:r>
        </a:p>
      </xdr:txBody>
    </xdr:sp>
    <xdr:clientData/>
  </xdr:oneCellAnchor>
  <xdr:oneCellAnchor>
    <xdr:from>
      <xdr:col>3</xdr:col>
      <xdr:colOff>419100</xdr:colOff>
      <xdr:row>378</xdr:row>
      <xdr:rowOff>96868</xdr:rowOff>
    </xdr:from>
    <xdr:ext cx="264560" cy="256160"/>
    <xdr:sp macro="" textlink="">
      <xdr:nvSpPr>
        <xdr:cNvPr id="29" name="TextBox 28"/>
        <xdr:cNvSpPr txBox="1"/>
      </xdr:nvSpPr>
      <xdr:spPr>
        <a:xfrm rot="17627248">
          <a:off x="3014100" y="77388043"/>
          <a:ext cx="256160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9</a:t>
          </a:r>
        </a:p>
      </xdr:txBody>
    </xdr:sp>
    <xdr:clientData/>
  </xdr:oneCellAnchor>
  <xdr:twoCellAnchor>
    <xdr:from>
      <xdr:col>2</xdr:col>
      <xdr:colOff>211796</xdr:colOff>
      <xdr:row>366</xdr:row>
      <xdr:rowOff>21733</xdr:rowOff>
    </xdr:from>
    <xdr:to>
      <xdr:col>4</xdr:col>
      <xdr:colOff>337294</xdr:colOff>
      <xdr:row>380</xdr:row>
      <xdr:rowOff>112738</xdr:rowOff>
    </xdr:to>
    <xdr:sp macro="" textlink="">
      <xdr:nvSpPr>
        <xdr:cNvPr id="30" name="TextBox 29"/>
        <xdr:cNvSpPr txBox="1"/>
      </xdr:nvSpPr>
      <xdr:spPr>
        <a:xfrm rot="1479117">
          <a:off x="1892678" y="75482145"/>
          <a:ext cx="2052910" cy="2914887"/>
        </a:xfrm>
        <a:prstGeom prst="rect">
          <a:avLst/>
        </a:prstGeom>
        <a:noFill/>
        <a:ln w="5715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twoCellAnchor>
    <xdr:from>
      <xdr:col>8</xdr:col>
      <xdr:colOff>1127312</xdr:colOff>
      <xdr:row>263</xdr:row>
      <xdr:rowOff>105709</xdr:rowOff>
    </xdr:from>
    <xdr:to>
      <xdr:col>11</xdr:col>
      <xdr:colOff>44450</xdr:colOff>
      <xdr:row>265</xdr:row>
      <xdr:rowOff>184150</xdr:rowOff>
    </xdr:to>
    <xdr:sp macro="" textlink="">
      <xdr:nvSpPr>
        <xdr:cNvPr id="5" name="Rectangle 4"/>
        <xdr:cNvSpPr/>
      </xdr:nvSpPr>
      <xdr:spPr>
        <a:xfrm>
          <a:off x="7947212" y="51508959"/>
          <a:ext cx="1673038" cy="472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solidFill>
                <a:srgbClr val="C00000"/>
              </a:solidFill>
            </a:rPr>
            <a:t>Bldg No.</a:t>
          </a:r>
          <a:r>
            <a:rPr lang="en-IN" sz="2400" b="1" baseline="0">
              <a:solidFill>
                <a:srgbClr val="C00000"/>
              </a:solidFill>
            </a:rPr>
            <a:t> 09</a:t>
          </a:r>
          <a:endParaRPr lang="en-IN" sz="2400" b="1">
            <a:solidFill>
              <a:srgbClr val="C00000"/>
            </a:solidFill>
          </a:endParaRPr>
        </a:p>
      </xdr:txBody>
    </xdr:sp>
    <xdr:clientData/>
  </xdr:twoCellAnchor>
  <xdr:twoCellAnchor>
    <xdr:from>
      <xdr:col>8</xdr:col>
      <xdr:colOff>495299</xdr:colOff>
      <xdr:row>255</xdr:row>
      <xdr:rowOff>90487</xdr:rowOff>
    </xdr:from>
    <xdr:to>
      <xdr:col>16</xdr:col>
      <xdr:colOff>466724</xdr:colOff>
      <xdr:row>292</xdr:row>
      <xdr:rowOff>35925</xdr:rowOff>
    </xdr:to>
    <xdr:grpSp>
      <xdr:nvGrpSpPr>
        <xdr:cNvPr id="8" name="Group 7"/>
        <xdr:cNvGrpSpPr/>
      </xdr:nvGrpSpPr>
      <xdr:grpSpPr>
        <a:xfrm>
          <a:off x="7038974" y="50001487"/>
          <a:ext cx="6372225" cy="7336838"/>
          <a:chOff x="76199" y="50696812"/>
          <a:chExt cx="6372225" cy="7336838"/>
        </a:xfrm>
      </xdr:grpSpPr>
      <xdr:grpSp>
        <xdr:nvGrpSpPr>
          <xdr:cNvPr id="6" name="Group 5"/>
          <xdr:cNvGrpSpPr/>
        </xdr:nvGrpSpPr>
        <xdr:grpSpPr>
          <a:xfrm>
            <a:off x="76199" y="50696812"/>
            <a:ext cx="6372225" cy="7336838"/>
            <a:chOff x="85724" y="50611087"/>
            <a:chExt cx="6372225" cy="7336838"/>
          </a:xfrm>
        </xdr:grpSpPr>
        <xdr:pic>
          <xdr:nvPicPr>
            <xdr:cNvPr id="39" name="Picture 38" descr="https://vsjcllp.vsjadon.com/upload/insp-235821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43300" y="55786338"/>
              <a:ext cx="2865387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" name="Picture 40" descr="https://vsjcllp.vsjadon.com/upload/insp-235821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33750" y="53443187"/>
              <a:ext cx="3009369" cy="226853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" name="Picture 41" descr="https://vsjcllp.vsjadon.com/upload/insp-235821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47899" y="50620612"/>
              <a:ext cx="2066925" cy="274823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Picture 42" descr="https://vsjcllp.vsjadon.com/upload/insp-235821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8125" y="53443187"/>
              <a:ext cx="3009369" cy="226853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Picture 43" descr="https://vsjcllp.vsjadon.com/upload/insp-235821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2875" y="55783163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Picture 44" descr="https://vsjcllp.vsjadon.com/upload/insp-235821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91024" y="50611087"/>
              <a:ext cx="2066925" cy="274823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6" name="Picture 45" descr="https://vsjcllp.vsjadon.com/upload/insp-235821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47850" y="55787925"/>
              <a:ext cx="161775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https://vsjcllp.vsjadon.com/upload/insp-235821-87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5724" y="50620612"/>
              <a:ext cx="2066925" cy="274823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" name="TextBox 6"/>
          <xdr:cNvSpPr txBox="1"/>
        </xdr:nvSpPr>
        <xdr:spPr>
          <a:xfrm>
            <a:off x="1228725" y="50730149"/>
            <a:ext cx="8858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Bldg</a:t>
            </a:r>
            <a:r>
              <a:rPr lang="en-IN" sz="1200" b="1" baseline="0"/>
              <a:t> No. 9</a:t>
            </a:r>
            <a:endParaRPr lang="en-IN" sz="1200" b="1"/>
          </a:p>
        </xdr:txBody>
      </xdr:sp>
      <xdr:sp macro="" textlink="">
        <xdr:nvSpPr>
          <xdr:cNvPr id="50" name="TextBox 49"/>
          <xdr:cNvSpPr txBox="1"/>
        </xdr:nvSpPr>
        <xdr:spPr>
          <a:xfrm>
            <a:off x="3381374" y="50725387"/>
            <a:ext cx="8858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Bldg</a:t>
            </a:r>
            <a:r>
              <a:rPr lang="en-IN" sz="1200" b="1" baseline="0"/>
              <a:t> No. 9</a:t>
            </a:r>
            <a:endParaRPr lang="en-IN" sz="1200" b="1"/>
          </a:p>
        </xdr:txBody>
      </xdr:sp>
      <xdr:sp macro="" textlink="">
        <xdr:nvSpPr>
          <xdr:cNvPr id="51" name="TextBox 50"/>
          <xdr:cNvSpPr txBox="1"/>
        </xdr:nvSpPr>
        <xdr:spPr>
          <a:xfrm>
            <a:off x="295275" y="55854600"/>
            <a:ext cx="8858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Bldg</a:t>
            </a:r>
            <a:r>
              <a:rPr lang="en-IN" sz="1200" b="1" baseline="0"/>
              <a:t> No. 9</a:t>
            </a:r>
            <a:endParaRPr lang="en-IN" sz="1200" b="1"/>
          </a:p>
        </xdr:txBody>
      </xdr:sp>
    </xdr:grpSp>
    <xdr:clientData/>
  </xdr:twoCellAnchor>
  <xdr:twoCellAnchor>
    <xdr:from>
      <xdr:col>0</xdr:col>
      <xdr:colOff>247650</xdr:colOff>
      <xdr:row>256</xdr:row>
      <xdr:rowOff>0</xdr:rowOff>
    </xdr:from>
    <xdr:to>
      <xdr:col>7</xdr:col>
      <xdr:colOff>797152</xdr:colOff>
      <xdr:row>296</xdr:row>
      <xdr:rowOff>176854</xdr:rowOff>
    </xdr:to>
    <xdr:grpSp>
      <xdr:nvGrpSpPr>
        <xdr:cNvPr id="4" name="Group 3"/>
        <xdr:cNvGrpSpPr/>
      </xdr:nvGrpSpPr>
      <xdr:grpSpPr>
        <a:xfrm>
          <a:off x="247650" y="50111025"/>
          <a:ext cx="5902552" cy="8168329"/>
          <a:chOff x="247650" y="50349150"/>
          <a:chExt cx="5902552" cy="8168329"/>
        </a:xfrm>
      </xdr:grpSpPr>
      <xdr:pic>
        <xdr:nvPicPr>
          <xdr:cNvPr id="47" name="Picture 46" descr="insp-239562-1525.jpg (719×542)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81915" y="56357479"/>
            <a:ext cx="286538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insp-239562-843.jpg (719×956)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44895" y="50355873"/>
            <a:ext cx="2436778" cy="32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insp-239562-845.jpg (719×956)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51290" y="53716676"/>
            <a:ext cx="1895272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insp-239562-847.jpg (719×956)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7726" y="50349150"/>
            <a:ext cx="2436778" cy="32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Picture 53" descr="insp-239562-849.jpg (719×956)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7650" y="53716676"/>
            <a:ext cx="1895272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54" descr="insp-239562-851.jpg (719×96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91325" y="56350756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insp-239562-861.jpg (719×956)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54930" y="53716676"/>
            <a:ext cx="1895272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QWzGSAgTH9RuhnV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2"/>
  <sheetViews>
    <sheetView tabSelected="1" view="pageBreakPreview" zoomScaleNormal="100" zoomScaleSheetLayoutView="100" zoomScalePageLayoutView="85" workbookViewId="0">
      <selection activeCell="K11" sqref="K11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6.5703125" style="40" bestFit="1" customWidth="1"/>
    <col min="8" max="8" width="17.8554687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72" t="s">
        <v>171</v>
      </c>
      <c r="B1" s="172"/>
      <c r="C1" s="172"/>
      <c r="D1" s="172"/>
      <c r="E1" s="172"/>
      <c r="F1" s="172"/>
      <c r="G1" s="172"/>
      <c r="H1" s="172"/>
    </row>
    <row r="2" spans="1:8" ht="16.5" customHeight="1" x14ac:dyDescent="0.25">
      <c r="A2" s="139" t="s">
        <v>0</v>
      </c>
      <c r="B2" s="139"/>
      <c r="C2" s="139"/>
      <c r="D2" s="139"/>
      <c r="E2" s="139"/>
      <c r="F2" s="139"/>
      <c r="G2" s="139"/>
      <c r="H2" s="139"/>
    </row>
    <row r="3" spans="1:8" x14ac:dyDescent="0.25">
      <c r="A3" s="164" t="s">
        <v>1</v>
      </c>
      <c r="B3" s="164"/>
      <c r="C3" s="164"/>
      <c r="D3" s="164"/>
      <c r="E3" s="164" t="str">
        <f ca="1">TEXT(TODAY(),"DD/MM/YYYY")</f>
        <v>18/07/2025</v>
      </c>
      <c r="F3" s="164"/>
      <c r="G3" s="164"/>
      <c r="H3" s="164"/>
    </row>
    <row r="4" spans="1:8" ht="15" customHeight="1" x14ac:dyDescent="0.25">
      <c r="A4" s="164" t="s">
        <v>2</v>
      </c>
      <c r="B4" s="164"/>
      <c r="C4" s="164"/>
      <c r="D4" s="164"/>
      <c r="E4" s="164" t="s">
        <v>176</v>
      </c>
      <c r="F4" s="164"/>
      <c r="G4" s="164"/>
      <c r="H4" s="164"/>
    </row>
    <row r="5" spans="1:8" x14ac:dyDescent="0.25">
      <c r="A5" s="164" t="s">
        <v>3</v>
      </c>
      <c r="B5" s="164"/>
      <c r="C5" s="164"/>
      <c r="D5" s="164"/>
      <c r="E5" s="171">
        <v>45846</v>
      </c>
      <c r="F5" s="171"/>
      <c r="G5" s="171"/>
      <c r="H5" s="171"/>
    </row>
    <row r="6" spans="1:8" ht="16.5" customHeight="1" x14ac:dyDescent="0.25">
      <c r="A6" s="164" t="s">
        <v>4</v>
      </c>
      <c r="B6" s="164"/>
      <c r="C6" s="164"/>
      <c r="D6" s="164"/>
      <c r="E6" s="164" t="s">
        <v>182</v>
      </c>
      <c r="F6" s="164"/>
      <c r="G6" s="164"/>
      <c r="H6" s="164"/>
    </row>
    <row r="7" spans="1:8" ht="15" customHeight="1" x14ac:dyDescent="0.25">
      <c r="A7" s="164" t="s">
        <v>5</v>
      </c>
      <c r="B7" s="164"/>
      <c r="C7" s="164"/>
      <c r="D7" s="164"/>
      <c r="E7" s="164" t="s">
        <v>182</v>
      </c>
      <c r="F7" s="164"/>
      <c r="G7" s="164"/>
      <c r="H7" s="164"/>
    </row>
    <row r="8" spans="1:8" s="67" customFormat="1" x14ac:dyDescent="0.25">
      <c r="A8" s="92" t="s">
        <v>6</v>
      </c>
      <c r="B8" s="92"/>
      <c r="C8" s="92"/>
      <c r="D8" s="92"/>
      <c r="E8" s="173" t="s">
        <v>182</v>
      </c>
      <c r="F8" s="174"/>
      <c r="G8" s="174"/>
      <c r="H8" s="175"/>
    </row>
    <row r="9" spans="1:8" x14ac:dyDescent="0.25">
      <c r="A9" s="164" t="s">
        <v>174</v>
      </c>
      <c r="B9" s="164"/>
      <c r="C9" s="164"/>
      <c r="D9" s="164"/>
      <c r="E9" s="164" t="s">
        <v>231</v>
      </c>
      <c r="F9" s="164"/>
      <c r="G9" s="164"/>
      <c r="H9" s="164"/>
    </row>
    <row r="10" spans="1:8" x14ac:dyDescent="0.25">
      <c r="A10" s="164" t="s">
        <v>175</v>
      </c>
      <c r="B10" s="164"/>
      <c r="C10" s="164"/>
      <c r="D10" s="164"/>
      <c r="E10" s="164" t="s">
        <v>30</v>
      </c>
      <c r="F10" s="164"/>
      <c r="G10" s="164"/>
      <c r="H10" s="164"/>
    </row>
    <row r="11" spans="1:8" ht="80.25" customHeight="1" x14ac:dyDescent="0.25">
      <c r="A11" s="164" t="s">
        <v>7</v>
      </c>
      <c r="B11" s="164"/>
      <c r="C11" s="164"/>
      <c r="D11" s="164"/>
      <c r="E11" s="107" t="s">
        <v>194</v>
      </c>
      <c r="F11" s="164"/>
      <c r="G11" s="164"/>
      <c r="H11" s="164"/>
    </row>
    <row r="12" spans="1:8" x14ac:dyDescent="0.25">
      <c r="A12" s="105" t="s">
        <v>8</v>
      </c>
      <c r="B12" s="105"/>
      <c r="C12" s="105"/>
      <c r="D12" s="105"/>
      <c r="E12" s="107" t="s">
        <v>227</v>
      </c>
      <c r="F12" s="107"/>
      <c r="G12" s="107"/>
      <c r="H12" s="107"/>
    </row>
    <row r="13" spans="1:8" x14ac:dyDescent="0.25">
      <c r="A13" s="105" t="s">
        <v>9</v>
      </c>
      <c r="B13" s="105"/>
      <c r="C13" s="105"/>
      <c r="D13" s="105"/>
      <c r="E13" s="168" t="s">
        <v>181</v>
      </c>
      <c r="F13" s="169"/>
      <c r="G13" s="169"/>
      <c r="H13" s="169"/>
    </row>
    <row r="14" spans="1:8" ht="36.75" customHeight="1" x14ac:dyDescent="0.25">
      <c r="A14" s="167" t="s">
        <v>10</v>
      </c>
      <c r="B14" s="167"/>
      <c r="C14" s="16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Panvelkar Bhoomi, Survey No.27, H.No. 3/7 &amp; S.No. 32/1, near Tulsi Aagman, Neral-Badlapur Road, Shivdam, Kharvai, Badlapur, Ambarnath, Thane - 421503.</v>
      </c>
      <c r="D14" s="167"/>
      <c r="E14" s="167"/>
      <c r="F14" s="167"/>
      <c r="G14" s="167"/>
      <c r="H14" s="167"/>
    </row>
    <row r="15" spans="1:8" x14ac:dyDescent="0.25">
      <c r="A15" s="168" t="s">
        <v>185</v>
      </c>
      <c r="B15" s="168"/>
      <c r="C15" s="168" t="s">
        <v>186</v>
      </c>
      <c r="D15" s="168"/>
      <c r="E15" s="168"/>
      <c r="F15" s="168"/>
      <c r="G15" s="168"/>
      <c r="H15" s="168"/>
    </row>
    <row r="16" spans="1:8" ht="15.75" customHeight="1" x14ac:dyDescent="0.25">
      <c r="A16" s="107" t="s">
        <v>169</v>
      </c>
      <c r="B16" s="107"/>
      <c r="C16" s="107" t="s">
        <v>178</v>
      </c>
      <c r="D16" s="107"/>
      <c r="E16" s="107"/>
      <c r="F16" s="107"/>
      <c r="G16" s="107"/>
      <c r="H16" s="107"/>
    </row>
    <row r="17" spans="1:8" ht="15.75" customHeight="1" x14ac:dyDescent="0.25">
      <c r="A17" s="167" t="s">
        <v>11</v>
      </c>
      <c r="B17" s="167"/>
      <c r="C17" s="164" t="s">
        <v>183</v>
      </c>
      <c r="D17" s="164"/>
      <c r="E17" s="167" t="s">
        <v>74</v>
      </c>
      <c r="F17" s="167"/>
      <c r="G17" s="107" t="s">
        <v>187</v>
      </c>
      <c r="H17" s="107"/>
    </row>
    <row r="18" spans="1:8" x14ac:dyDescent="0.25">
      <c r="A18" s="105" t="s">
        <v>13</v>
      </c>
      <c r="B18" s="105"/>
      <c r="C18" s="107" t="s">
        <v>180</v>
      </c>
      <c r="D18" s="107"/>
      <c r="E18" s="167" t="s">
        <v>12</v>
      </c>
      <c r="F18" s="167"/>
      <c r="G18" s="170" t="s">
        <v>177</v>
      </c>
      <c r="H18" s="170"/>
    </row>
    <row r="19" spans="1:8" x14ac:dyDescent="0.25">
      <c r="A19" s="105" t="s">
        <v>75</v>
      </c>
      <c r="B19" s="105"/>
      <c r="C19" s="107" t="s">
        <v>179</v>
      </c>
      <c r="D19" s="107"/>
      <c r="E19" s="167" t="s">
        <v>14</v>
      </c>
      <c r="F19" s="167"/>
      <c r="G19" s="107">
        <v>421503</v>
      </c>
      <c r="H19" s="107"/>
    </row>
    <row r="20" spans="1:8" ht="32.25" customHeight="1" x14ac:dyDescent="0.25">
      <c r="A20" s="105" t="s">
        <v>127</v>
      </c>
      <c r="B20" s="105"/>
      <c r="C20" s="107" t="s">
        <v>189</v>
      </c>
      <c r="D20" s="107"/>
      <c r="E20" s="167" t="s">
        <v>15</v>
      </c>
      <c r="F20" s="167"/>
      <c r="G20" s="107" t="s">
        <v>193</v>
      </c>
      <c r="H20" s="107"/>
    </row>
    <row r="21" spans="1:8" ht="15" customHeight="1" x14ac:dyDescent="0.25">
      <c r="A21" s="167" t="s">
        <v>78</v>
      </c>
      <c r="B21" s="167"/>
      <c r="C21" s="167"/>
      <c r="D21" s="167"/>
      <c r="E21" s="164" t="s">
        <v>16</v>
      </c>
      <c r="F21" s="164"/>
      <c r="G21" s="164"/>
      <c r="H21" s="164"/>
    </row>
    <row r="22" spans="1:8" ht="18.75" customHeight="1" x14ac:dyDescent="0.25">
      <c r="A22" s="167"/>
      <c r="B22" s="167"/>
      <c r="C22" s="167"/>
      <c r="D22" s="167"/>
      <c r="E22" s="164"/>
      <c r="F22" s="164"/>
      <c r="G22" s="164"/>
      <c r="H22" s="164"/>
    </row>
    <row r="23" spans="1:8" ht="15" customHeight="1" x14ac:dyDescent="0.25">
      <c r="A23" s="167" t="s">
        <v>17</v>
      </c>
      <c r="B23" s="167"/>
      <c r="C23" s="167"/>
      <c r="D23" s="167"/>
      <c r="E23" s="107" t="s">
        <v>18</v>
      </c>
      <c r="F23" s="107"/>
      <c r="G23" s="107"/>
      <c r="H23" s="107"/>
    </row>
    <row r="24" spans="1:8" ht="15" customHeight="1" x14ac:dyDescent="0.25">
      <c r="A24" s="105" t="s">
        <v>19</v>
      </c>
      <c r="B24" s="105"/>
      <c r="C24" s="105"/>
      <c r="D24" s="105"/>
      <c r="E24" s="107" t="str">
        <f>IF(AND(G18="Mumbai"),"Upper Class","Middle Class")</f>
        <v>Middle Class</v>
      </c>
      <c r="F24" s="107"/>
      <c r="G24" s="107"/>
      <c r="H24" s="107"/>
    </row>
    <row r="25" spans="1:8" x14ac:dyDescent="0.25">
      <c r="A25" s="105" t="s">
        <v>20</v>
      </c>
      <c r="B25" s="105"/>
      <c r="C25" s="105"/>
      <c r="D25" s="105"/>
      <c r="E25" s="107" t="s">
        <v>21</v>
      </c>
      <c r="F25" s="107"/>
      <c r="G25" s="107"/>
      <c r="H25" s="107"/>
    </row>
    <row r="26" spans="1:8" ht="15.75" customHeight="1" x14ac:dyDescent="0.25">
      <c r="A26" s="105" t="s">
        <v>22</v>
      </c>
      <c r="B26" s="105"/>
      <c r="C26" s="105"/>
      <c r="D26" s="105"/>
      <c r="E26" s="107" t="str">
        <f>IF(AND(G18="Mumbai"),"Developed","Developing")</f>
        <v>Developing</v>
      </c>
      <c r="F26" s="107"/>
      <c r="G26" s="107"/>
      <c r="H26" s="107"/>
    </row>
    <row r="27" spans="1:8" x14ac:dyDescent="0.25">
      <c r="A27" s="105" t="s">
        <v>23</v>
      </c>
      <c r="B27" s="105"/>
      <c r="C27" s="105"/>
      <c r="D27" s="105"/>
      <c r="E27" s="107" t="s">
        <v>24</v>
      </c>
      <c r="F27" s="107"/>
      <c r="G27" s="107"/>
      <c r="H27" s="107"/>
    </row>
    <row r="28" spans="1:8" ht="15.75" customHeight="1" x14ac:dyDescent="0.25">
      <c r="A28" s="105" t="s">
        <v>83</v>
      </c>
      <c r="B28" s="105"/>
      <c r="C28" s="105"/>
      <c r="D28" s="105"/>
      <c r="E28" s="107" t="s">
        <v>84</v>
      </c>
      <c r="F28" s="107"/>
      <c r="G28" s="107"/>
      <c r="H28" s="107"/>
    </row>
    <row r="29" spans="1:8" ht="15" customHeight="1" x14ac:dyDescent="0.25">
      <c r="A29" s="105" t="s">
        <v>33</v>
      </c>
      <c r="B29" s="105"/>
      <c r="C29" s="105"/>
      <c r="D29" s="105"/>
      <c r="E29" s="107" t="b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0</v>
      </c>
      <c r="F29" s="107"/>
      <c r="G29" s="107"/>
      <c r="H29" s="107"/>
    </row>
    <row r="30" spans="1:8" ht="15.75" customHeight="1" x14ac:dyDescent="0.25">
      <c r="A30" s="105" t="s">
        <v>95</v>
      </c>
      <c r="B30" s="105"/>
      <c r="C30" s="105"/>
      <c r="D30" s="105"/>
      <c r="E30" s="107" t="s">
        <v>34</v>
      </c>
      <c r="F30" s="107"/>
      <c r="G30" s="107"/>
      <c r="H30" s="107"/>
    </row>
    <row r="31" spans="1:8" s="22" customFormat="1" x14ac:dyDescent="0.25">
      <c r="A31" s="166" t="s">
        <v>96</v>
      </c>
      <c r="B31" s="166"/>
      <c r="C31" s="165" t="s">
        <v>29</v>
      </c>
      <c r="D31" s="165"/>
      <c r="E31" s="165"/>
      <c r="F31" s="165" t="s">
        <v>31</v>
      </c>
      <c r="G31" s="165"/>
      <c r="H31" s="165"/>
    </row>
    <row r="32" spans="1:8" s="22" customFormat="1" x14ac:dyDescent="0.25">
      <c r="A32" s="156" t="s">
        <v>25</v>
      </c>
      <c r="B32" s="156" t="s">
        <v>30</v>
      </c>
      <c r="C32" s="157" t="s">
        <v>30</v>
      </c>
      <c r="D32" s="157"/>
      <c r="E32" s="157"/>
      <c r="F32" s="157" t="s">
        <v>183</v>
      </c>
      <c r="G32" s="157"/>
      <c r="H32" s="157"/>
    </row>
    <row r="33" spans="1:8" x14ac:dyDescent="0.25">
      <c r="A33" s="156" t="s">
        <v>26</v>
      </c>
      <c r="B33" s="156" t="s">
        <v>30</v>
      </c>
      <c r="C33" s="157" t="s">
        <v>30</v>
      </c>
      <c r="D33" s="157"/>
      <c r="E33" s="157"/>
      <c r="F33" s="157" t="s">
        <v>190</v>
      </c>
      <c r="G33" s="157"/>
      <c r="H33" s="157"/>
    </row>
    <row r="34" spans="1:8" s="22" customFormat="1" x14ac:dyDescent="0.25">
      <c r="A34" s="156" t="s">
        <v>28</v>
      </c>
      <c r="B34" s="156" t="s">
        <v>30</v>
      </c>
      <c r="C34" s="157" t="s">
        <v>30</v>
      </c>
      <c r="D34" s="157"/>
      <c r="E34" s="157"/>
      <c r="F34" s="157" t="s">
        <v>191</v>
      </c>
      <c r="G34" s="157"/>
      <c r="H34" s="157"/>
    </row>
    <row r="35" spans="1:8" x14ac:dyDescent="0.25">
      <c r="A35" s="156" t="s">
        <v>27</v>
      </c>
      <c r="B35" s="156" t="s">
        <v>30</v>
      </c>
      <c r="C35" s="157" t="s">
        <v>30</v>
      </c>
      <c r="D35" s="157"/>
      <c r="E35" s="157"/>
      <c r="F35" s="157" t="s">
        <v>192</v>
      </c>
      <c r="G35" s="157"/>
      <c r="H35" s="157"/>
    </row>
    <row r="36" spans="1:8" x14ac:dyDescent="0.25">
      <c r="A36" s="105" t="s">
        <v>32</v>
      </c>
      <c r="B36" s="105"/>
      <c r="C36" s="105"/>
      <c r="D36" s="105"/>
      <c r="E36" s="105"/>
      <c r="F36" s="105"/>
      <c r="G36" s="105"/>
      <c r="H36" s="105"/>
    </row>
    <row r="37" spans="1:8" ht="15.75" customHeight="1" x14ac:dyDescent="0.25">
      <c r="A37" s="105" t="s">
        <v>172</v>
      </c>
      <c r="B37" s="105"/>
      <c r="C37" s="92" t="s">
        <v>188</v>
      </c>
      <c r="D37" s="92"/>
      <c r="E37" s="92"/>
      <c r="F37" s="92"/>
      <c r="G37" s="92"/>
      <c r="H37" s="92"/>
    </row>
    <row r="38" spans="1:8" x14ac:dyDescent="0.25">
      <c r="A38" s="105" t="s">
        <v>168</v>
      </c>
      <c r="B38" s="105"/>
      <c r="C38" s="106" t="s">
        <v>184</v>
      </c>
      <c r="D38" s="107"/>
      <c r="E38" s="107"/>
      <c r="F38" s="107"/>
      <c r="G38" s="107"/>
      <c r="H38" s="107"/>
    </row>
    <row r="39" spans="1:8" x14ac:dyDescent="0.25">
      <c r="A39" s="159" t="s">
        <v>35</v>
      </c>
      <c r="B39" s="159"/>
      <c r="C39" s="159"/>
      <c r="D39" s="159"/>
      <c r="E39" s="159"/>
      <c r="F39" s="159"/>
      <c r="G39" s="159"/>
      <c r="H39" s="159"/>
    </row>
    <row r="40" spans="1:8" x14ac:dyDescent="0.25">
      <c r="A40" s="105" t="s">
        <v>36</v>
      </c>
      <c r="B40" s="105"/>
      <c r="C40" s="105"/>
      <c r="D40" s="105"/>
      <c r="E40" s="158">
        <v>11422.2</v>
      </c>
      <c r="F40" s="158"/>
      <c r="G40" s="158"/>
      <c r="H40" s="158"/>
    </row>
    <row r="41" spans="1:8" x14ac:dyDescent="0.25">
      <c r="A41" s="105" t="s">
        <v>37</v>
      </c>
      <c r="B41" s="105"/>
      <c r="C41" s="105"/>
      <c r="D41" s="105"/>
      <c r="E41" s="162">
        <v>1</v>
      </c>
      <c r="F41" s="162"/>
      <c r="G41" s="162"/>
      <c r="H41" s="162"/>
    </row>
    <row r="42" spans="1:8" x14ac:dyDescent="0.25">
      <c r="A42" s="105" t="s">
        <v>38</v>
      </c>
      <c r="B42" s="105"/>
      <c r="C42" s="105"/>
      <c r="D42" s="105"/>
      <c r="E42" s="162">
        <f>E44/E40-E41</f>
        <v>1.5847209819474184E-2</v>
      </c>
      <c r="F42" s="162"/>
      <c r="G42" s="162"/>
      <c r="H42" s="162"/>
    </row>
    <row r="43" spans="1:8" x14ac:dyDescent="0.25">
      <c r="A43" s="105" t="s">
        <v>39</v>
      </c>
      <c r="B43" s="105"/>
      <c r="C43" s="105"/>
      <c r="D43" s="105"/>
      <c r="E43" s="162">
        <f>E41+E42</f>
        <v>1.0158472098194742</v>
      </c>
      <c r="F43" s="162"/>
      <c r="G43" s="162"/>
      <c r="H43" s="162"/>
    </row>
    <row r="44" spans="1:8" x14ac:dyDescent="0.25">
      <c r="A44" s="105" t="s">
        <v>94</v>
      </c>
      <c r="B44" s="105"/>
      <c r="C44" s="105"/>
      <c r="D44" s="105"/>
      <c r="E44" s="163">
        <v>11603.21</v>
      </c>
      <c r="F44" s="163"/>
      <c r="G44" s="163"/>
      <c r="H44" s="163"/>
    </row>
    <row r="45" spans="1:8" x14ac:dyDescent="0.25">
      <c r="A45" s="164" t="s">
        <v>40</v>
      </c>
      <c r="B45" s="164"/>
      <c r="C45" s="164"/>
      <c r="D45" s="164"/>
      <c r="E45" s="164" t="s">
        <v>195</v>
      </c>
      <c r="F45" s="164"/>
      <c r="G45" s="164"/>
      <c r="H45" s="164"/>
    </row>
    <row r="46" spans="1:8" x14ac:dyDescent="0.25">
      <c r="A46" s="159" t="s">
        <v>41</v>
      </c>
      <c r="B46" s="159"/>
      <c r="C46" s="159"/>
      <c r="D46" s="159"/>
      <c r="E46" s="159"/>
      <c r="F46" s="159"/>
      <c r="G46" s="159"/>
      <c r="H46" s="159"/>
    </row>
    <row r="47" spans="1:8" ht="33.75" customHeight="1" x14ac:dyDescent="0.25">
      <c r="A47" s="111" t="s">
        <v>156</v>
      </c>
      <c r="B47" s="112"/>
      <c r="C47" s="113" t="s">
        <v>196</v>
      </c>
      <c r="D47" s="114"/>
      <c r="E47" s="114"/>
      <c r="F47" s="114"/>
      <c r="G47" s="114"/>
      <c r="H47" s="115"/>
    </row>
    <row r="48" spans="1:8" ht="15.75" customHeight="1" x14ac:dyDescent="0.25">
      <c r="A48" s="111" t="s">
        <v>42</v>
      </c>
      <c r="B48" s="112"/>
      <c r="C48" s="111" t="s">
        <v>197</v>
      </c>
      <c r="D48" s="209"/>
      <c r="E48" s="112"/>
      <c r="F48" s="18" t="s">
        <v>43</v>
      </c>
      <c r="G48" s="178">
        <v>44742</v>
      </c>
      <c r="H48" s="112"/>
    </row>
    <row r="49" spans="1:14" x14ac:dyDescent="0.25">
      <c r="A49" s="111" t="s">
        <v>44</v>
      </c>
      <c r="B49" s="112"/>
      <c r="C49" s="111" t="str">
        <f>C48</f>
        <v>KBNP/NRV/BD/6129-92</v>
      </c>
      <c r="D49" s="209"/>
      <c r="E49" s="112"/>
      <c r="F49" s="18" t="s">
        <v>43</v>
      </c>
      <c r="G49" s="178">
        <f>G48</f>
        <v>44742</v>
      </c>
      <c r="H49" s="112"/>
    </row>
    <row r="50" spans="1:14" s="23" customFormat="1" ht="30.75" customHeight="1" x14ac:dyDescent="0.25">
      <c r="A50" s="179" t="s">
        <v>160</v>
      </c>
      <c r="B50" s="180"/>
      <c r="C50" s="111" t="s">
        <v>229</v>
      </c>
      <c r="D50" s="209"/>
      <c r="E50" s="112"/>
      <c r="F50" s="18" t="s">
        <v>43</v>
      </c>
      <c r="G50" s="178">
        <f>G49</f>
        <v>44742</v>
      </c>
      <c r="H50" s="112"/>
    </row>
    <row r="51" spans="1:14" s="23" customFormat="1" x14ac:dyDescent="0.25">
      <c r="A51" s="181"/>
      <c r="B51" s="182"/>
      <c r="C51" s="111" t="s">
        <v>198</v>
      </c>
      <c r="D51" s="209"/>
      <c r="E51" s="209"/>
      <c r="F51" s="209"/>
      <c r="G51" s="209"/>
      <c r="H51" s="112"/>
    </row>
    <row r="52" spans="1:14" x14ac:dyDescent="0.25">
      <c r="A52" s="210" t="s">
        <v>45</v>
      </c>
      <c r="B52" s="211"/>
      <c r="C52" s="210" t="s">
        <v>108</v>
      </c>
      <c r="D52" s="212"/>
      <c r="E52" s="211"/>
      <c r="F52" s="46" t="s">
        <v>43</v>
      </c>
      <c r="G52" s="203" t="s">
        <v>30</v>
      </c>
      <c r="H52" s="204"/>
    </row>
    <row r="53" spans="1:14" x14ac:dyDescent="0.25">
      <c r="A53" s="191" t="s">
        <v>47</v>
      </c>
      <c r="B53" s="191"/>
      <c r="C53" s="191"/>
      <c r="D53" s="191"/>
      <c r="E53" s="191"/>
      <c r="F53" s="191"/>
      <c r="G53" s="191"/>
      <c r="H53" s="191"/>
    </row>
    <row r="54" spans="1:14" x14ac:dyDescent="0.25">
      <c r="A54" s="167" t="s">
        <v>93</v>
      </c>
      <c r="B54" s="167"/>
      <c r="C54" s="167"/>
      <c r="D54" s="105">
        <f>E44</f>
        <v>11603.21</v>
      </c>
      <c r="E54" s="105"/>
      <c r="F54" s="105"/>
      <c r="G54" s="105"/>
      <c r="H54" s="105"/>
    </row>
    <row r="55" spans="1:14" x14ac:dyDescent="0.25">
      <c r="A55" s="107" t="s">
        <v>48</v>
      </c>
      <c r="B55" s="164"/>
      <c r="C55" s="164"/>
      <c r="D55" s="164" t="s">
        <v>226</v>
      </c>
      <c r="E55" s="164"/>
      <c r="F55" s="164"/>
      <c r="G55" s="164"/>
      <c r="H55" s="164"/>
      <c r="I55" s="24"/>
    </row>
    <row r="56" spans="1:14" x14ac:dyDescent="0.25">
      <c r="A56" s="107" t="s">
        <v>230</v>
      </c>
      <c r="B56" s="164"/>
      <c r="C56" s="164"/>
      <c r="D56" s="164">
        <f>915.03+915.03+915.03+923.42+1082.17</f>
        <v>4750.68</v>
      </c>
      <c r="E56" s="164"/>
      <c r="F56" s="164"/>
      <c r="G56" s="164"/>
      <c r="H56" s="164"/>
      <c r="I56" s="24"/>
    </row>
    <row r="57" spans="1:14" x14ac:dyDescent="0.25">
      <c r="A57" s="77" t="s">
        <v>49</v>
      </c>
      <c r="B57" s="78"/>
      <c r="C57" s="79"/>
      <c r="D57" s="176" t="s">
        <v>198</v>
      </c>
      <c r="E57" s="177"/>
      <c r="F57" s="177"/>
      <c r="G57" s="177"/>
      <c r="H57" s="177"/>
    </row>
    <row r="58" spans="1:14" ht="15.75" customHeight="1" x14ac:dyDescent="0.25">
      <c r="A58" s="77" t="s">
        <v>91</v>
      </c>
      <c r="B58" s="78"/>
      <c r="C58" s="79"/>
      <c r="D58" s="119" t="s">
        <v>219</v>
      </c>
      <c r="E58" s="120"/>
      <c r="F58" s="120"/>
      <c r="G58" s="120"/>
      <c r="H58" s="121"/>
    </row>
    <row r="59" spans="1:14" ht="15.75" customHeight="1" x14ac:dyDescent="0.25">
      <c r="A59" s="80"/>
      <c r="B59" s="81"/>
      <c r="C59" s="82"/>
      <c r="D59" s="119" t="s">
        <v>220</v>
      </c>
      <c r="E59" s="120"/>
      <c r="F59" s="120"/>
      <c r="G59" s="120"/>
      <c r="H59" s="121"/>
    </row>
    <row r="60" spans="1:14" ht="15.75" customHeight="1" x14ac:dyDescent="0.25">
      <c r="A60" s="80"/>
      <c r="B60" s="81"/>
      <c r="C60" s="82"/>
      <c r="D60" s="119" t="s">
        <v>221</v>
      </c>
      <c r="E60" s="120"/>
      <c r="F60" s="120"/>
      <c r="G60" s="120"/>
      <c r="H60" s="121"/>
    </row>
    <row r="61" spans="1:14" ht="15.75" customHeight="1" x14ac:dyDescent="0.25">
      <c r="A61" s="80"/>
      <c r="B61" s="81"/>
      <c r="C61" s="82"/>
      <c r="D61" s="119" t="s">
        <v>222</v>
      </c>
      <c r="E61" s="120"/>
      <c r="F61" s="120"/>
      <c r="G61" s="120"/>
      <c r="H61" s="121"/>
    </row>
    <row r="62" spans="1:14" ht="15.75" customHeight="1" x14ac:dyDescent="0.25">
      <c r="A62" s="83"/>
      <c r="B62" s="84"/>
      <c r="C62" s="85"/>
      <c r="D62" s="122" t="s">
        <v>223</v>
      </c>
      <c r="E62" s="123"/>
      <c r="F62" s="123"/>
      <c r="G62" s="123"/>
      <c r="H62" s="124"/>
    </row>
    <row r="63" spans="1:14" ht="15.75" customHeight="1" x14ac:dyDescent="0.25">
      <c r="A63" s="105" t="s">
        <v>46</v>
      </c>
      <c r="B63" s="105"/>
      <c r="C63" s="105"/>
      <c r="D63" s="160" t="s">
        <v>199</v>
      </c>
      <c r="E63" s="160"/>
      <c r="F63" s="160"/>
      <c r="G63" s="160"/>
      <c r="H63" s="160"/>
      <c r="J63" s="25"/>
      <c r="K63" s="24"/>
      <c r="N63" s="24"/>
    </row>
    <row r="64" spans="1:14" ht="15.75" customHeight="1" x14ac:dyDescent="0.25">
      <c r="A64" s="105" t="s">
        <v>89</v>
      </c>
      <c r="B64" s="105"/>
      <c r="C64" s="105"/>
      <c r="D64" s="161" t="str">
        <f>(IF(G52="NA","60 Years After Completion",IF(G52&lt;&gt;"NA",""&amp;60-ROUNDDOWN((E3-G52)/360,0)&amp;" Years"," ")))</f>
        <v>60 Years After Completion</v>
      </c>
      <c r="E64" s="161"/>
      <c r="F64" s="161"/>
      <c r="G64" s="161"/>
      <c r="H64" s="161"/>
      <c r="N64" s="24"/>
    </row>
    <row r="65" spans="1:14" ht="15.75" customHeight="1" x14ac:dyDescent="0.25">
      <c r="A65" s="105" t="s">
        <v>90</v>
      </c>
      <c r="B65" s="105"/>
      <c r="C65" s="105"/>
      <c r="D65" s="167" t="s">
        <v>24</v>
      </c>
      <c r="E65" s="167"/>
      <c r="F65" s="167"/>
      <c r="G65" s="167"/>
      <c r="H65" s="167"/>
      <c r="J65" s="26"/>
      <c r="K65" s="26"/>
    </row>
    <row r="66" spans="1:14" ht="35.25" customHeight="1" x14ac:dyDescent="0.25">
      <c r="A66" s="105" t="s">
        <v>76</v>
      </c>
      <c r="B66" s="105"/>
      <c r="C66" s="105"/>
      <c r="D66" s="107" t="s">
        <v>200</v>
      </c>
      <c r="E66" s="167"/>
      <c r="F66" s="167"/>
      <c r="G66" s="167"/>
      <c r="H66" s="167"/>
    </row>
    <row r="67" spans="1:14" x14ac:dyDescent="0.25">
      <c r="A67" s="167" t="s">
        <v>153</v>
      </c>
      <c r="B67" s="167"/>
      <c r="C67" s="167"/>
      <c r="D67" s="167" t="s">
        <v>30</v>
      </c>
      <c r="E67" s="167"/>
      <c r="F67" s="167"/>
      <c r="G67" s="167"/>
      <c r="H67" s="167"/>
      <c r="I67" s="27"/>
      <c r="J67" s="27"/>
      <c r="K67" s="27"/>
      <c r="L67" s="27"/>
      <c r="M67" s="27"/>
      <c r="N67" s="27"/>
    </row>
    <row r="68" spans="1:14" ht="15.75" customHeight="1" x14ac:dyDescent="0.25">
      <c r="A68" s="195" t="s">
        <v>88</v>
      </c>
      <c r="B68" s="195"/>
      <c r="C68" s="195"/>
      <c r="D68" s="186" t="str">
        <f ca="1">(IF(G74&gt;95%,"Nothing",IF(G74&gt;0%,"Cement, Aggregate, Steel, etc",IF(G74=0%,"Work not yet Started"))))</f>
        <v>Cement, Aggregate, Steel, etc</v>
      </c>
      <c r="E68" s="186"/>
      <c r="F68" s="186"/>
      <c r="G68" s="186"/>
      <c r="H68" s="186"/>
      <c r="J68" s="26"/>
    </row>
    <row r="69" spans="1:14" ht="33.75" customHeight="1" thickBot="1" x14ac:dyDescent="0.3">
      <c r="A69" s="185" t="s">
        <v>121</v>
      </c>
      <c r="B69" s="185"/>
      <c r="C69" s="185"/>
      <c r="D69" s="186" t="str">
        <f ca="1">(IF(D68="Nothing","Yes",IF(D68="Cement, Aggregate, Steel, etc","Under Construction",IF(D68="Work not yet Started","Work not yet Started"))))</f>
        <v>Under Construction</v>
      </c>
      <c r="E69" s="186"/>
      <c r="F69" s="186" t="str">
        <f ca="1">(IF(D68="Nothing","Yes",IF(D68="Cement, Aggregate, Steel, etc","Under Construction",IF(D68="Work not yet Started","Work not yet Started"))))</f>
        <v>Under Construction</v>
      </c>
      <c r="G69" s="186"/>
      <c r="H69" s="186"/>
    </row>
    <row r="70" spans="1:14" ht="15.75" customHeight="1" x14ac:dyDescent="0.25">
      <c r="A70" s="183" t="s">
        <v>145</v>
      </c>
      <c r="B70" s="184"/>
      <c r="C70" s="145" t="str">
        <f>D58</f>
        <v>Building No. 5 = St/Gr + 1st to 7th Floor</v>
      </c>
      <c r="D70" s="146"/>
      <c r="E70" s="146"/>
      <c r="F70" s="146"/>
      <c r="G70" s="146"/>
      <c r="H70" s="147"/>
      <c r="I70" s="50" t="str">
        <f ca="1">IF(D83=100%,"All work Completed. Possession granted to the Building.",IF(D82=100%,"All work Completed, Waiting for OC",I71&amp;""&amp;I72&amp;""&amp;J71&amp;""&amp;J70&amp;" "&amp;J72))</f>
        <v>Excavation, Plinth, RCC Slab Completed, Brickwork upto 4 Floor Completed</v>
      </c>
      <c r="J70" s="51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Brickwork upto 4 Floor</v>
      </c>
    </row>
    <row r="71" spans="1:14" x14ac:dyDescent="0.25">
      <c r="A71" s="16" t="s">
        <v>147</v>
      </c>
      <c r="B71" s="54">
        <f>IF(AND(ISNUMBER(SEARCH("1B",C70))),1,IF(AND(ISNUMBER(SEARCH("2B",C70))),2,IF(AND(ISNUMBER(SEARCH("3B",C70))),3,IF(AND(ISNUMBER(SEARCH("4B",C70))),4,IF(ISNUMBER(SEARCH("5B",C70)),5,0)))))</f>
        <v>0</v>
      </c>
      <c r="C71" s="48" t="s">
        <v>73</v>
      </c>
      <c r="D71" s="48">
        <v>1</v>
      </c>
      <c r="E71" s="48" t="s">
        <v>72</v>
      </c>
      <c r="F71" s="65">
        <v>0</v>
      </c>
      <c r="G71" s="49" t="s">
        <v>82</v>
      </c>
      <c r="H71" s="17">
        <f ca="1">--TRIM(RIGHT(SUBSTITUTE(LEFT(C70,_xlfn.AGGREGATE(16,6,FIND({0,1,2,3,4,5,6,7,8,9},C70,ROW(INDIRECT("1:"&amp;LEN(C70)))),1))," ",REPT(" ",LEN(C70))),LEN(C70)))</f>
        <v>7</v>
      </c>
      <c r="I71" s="52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</v>
      </c>
      <c r="J71" s="53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2" spans="1:14" x14ac:dyDescent="0.25">
      <c r="A72" s="91" t="s">
        <v>92</v>
      </c>
      <c r="B72" s="92"/>
      <c r="C72" s="93" t="str">
        <f ca="1">I70</f>
        <v>Excavation, Plinth, RCC Slab Completed, Brickwork upto 4 Floor Completed</v>
      </c>
      <c r="D72" s="93"/>
      <c r="E72" s="93"/>
      <c r="F72" s="93"/>
      <c r="G72" s="93"/>
      <c r="H72" s="94"/>
      <c r="I72" s="52" t="str">
        <f ca="1">IF(I71&lt;&gt;""," Completed","")</f>
        <v xml:space="preserve"> Completed</v>
      </c>
      <c r="J72" s="53" t="str">
        <f ca="1">IF(J70&lt;&gt;"","Completed","")</f>
        <v>Completed</v>
      </c>
    </row>
    <row r="73" spans="1:14" ht="15.75" customHeight="1" x14ac:dyDescent="0.25">
      <c r="A73" s="73" t="s">
        <v>50</v>
      </c>
      <c r="B73" s="74"/>
      <c r="C73" s="44" t="s">
        <v>144</v>
      </c>
      <c r="D73" s="44" t="s">
        <v>85</v>
      </c>
      <c r="E73" s="74" t="s">
        <v>87</v>
      </c>
      <c r="F73" s="74"/>
      <c r="G73" s="74" t="s">
        <v>86</v>
      </c>
      <c r="H73" s="95"/>
      <c r="I73" s="14" t="s">
        <v>146</v>
      </c>
      <c r="J73" s="28">
        <f ca="1">H71*25%</f>
        <v>1.75</v>
      </c>
    </row>
    <row r="74" spans="1:14" x14ac:dyDescent="0.25">
      <c r="A74" s="73" t="s">
        <v>133</v>
      </c>
      <c r="B74" s="74"/>
      <c r="C74" s="44">
        <f ca="1">J75</f>
        <v>7</v>
      </c>
      <c r="D74" s="19">
        <f ca="1">((100/H71)*C74)/100</f>
        <v>1</v>
      </c>
      <c r="E74" s="96">
        <f ca="1">(((C75/H71*10)+(40/(D71+F71+H71)*C76)+(7.5/(H71)*C77)+(7.5/(H71)*C78)+(10/H71*C79)+(10/H71*C80)+(5/H71*C81)+(5/H71*C82)+(5/H71*C83))/100)</f>
        <v>0.54285714285714282</v>
      </c>
      <c r="F74" s="97"/>
      <c r="G74" s="96">
        <f ca="1">((((C74/H71)*20)+((C75/H71)*25)+(30/(H71+F71+D71)*C76)+(5/H71*C77)+(5/H71*C78)+(5/H71*C79)+(5/H71*C80)+(0/H71*C81)+(0/H71*C82)+(5/H71*C83))/100)</f>
        <v>0.77857142857142858</v>
      </c>
      <c r="H74" s="102"/>
      <c r="I74" s="14" t="s">
        <v>103</v>
      </c>
      <c r="J74" s="29">
        <f ca="1">H71*50%</f>
        <v>3.5</v>
      </c>
    </row>
    <row r="75" spans="1:14" x14ac:dyDescent="0.25">
      <c r="A75" s="73" t="s">
        <v>51</v>
      </c>
      <c r="B75" s="74"/>
      <c r="C75" s="44">
        <f ca="1">J83</f>
        <v>7</v>
      </c>
      <c r="D75" s="19">
        <f ca="1">((100/H71)*C75)/100</f>
        <v>1</v>
      </c>
      <c r="E75" s="98"/>
      <c r="F75" s="99"/>
      <c r="G75" s="98"/>
      <c r="H75" s="103"/>
      <c r="I75" s="14" t="s">
        <v>104</v>
      </c>
      <c r="J75" s="29">
        <f ca="1">H71</f>
        <v>7</v>
      </c>
    </row>
    <row r="76" spans="1:14" ht="15.75" customHeight="1" x14ac:dyDescent="0.25">
      <c r="A76" s="73" t="s">
        <v>134</v>
      </c>
      <c r="B76" s="74"/>
      <c r="C76" s="44">
        <v>8</v>
      </c>
      <c r="D76" s="19">
        <f ca="1">((100/(D71+F71+H71))*C76)/100</f>
        <v>1</v>
      </c>
      <c r="E76" s="98"/>
      <c r="F76" s="99"/>
      <c r="G76" s="98"/>
      <c r="H76" s="103"/>
      <c r="I76" s="14" t="s">
        <v>105</v>
      </c>
      <c r="J76" s="30">
        <f ca="1">(IF(B71&gt;1,(H71/(B71+2)),H71/4))</f>
        <v>1.75</v>
      </c>
    </row>
    <row r="77" spans="1:14" ht="15.75" customHeight="1" x14ac:dyDescent="0.25">
      <c r="A77" s="73" t="s">
        <v>141</v>
      </c>
      <c r="B77" s="74" t="s">
        <v>135</v>
      </c>
      <c r="C77" s="44">
        <v>4</v>
      </c>
      <c r="D77" s="19">
        <f ca="1">((100/H71)*C77)/100</f>
        <v>0.57142857142857151</v>
      </c>
      <c r="E77" s="98"/>
      <c r="F77" s="99"/>
      <c r="G77" s="98"/>
      <c r="H77" s="103"/>
      <c r="I77" s="14" t="s">
        <v>106</v>
      </c>
      <c r="J77" s="30">
        <f ca="1">(IF(B71&gt;1,(H71/(B71+2)+J76),H71/4+J76))</f>
        <v>3.5</v>
      </c>
    </row>
    <row r="78" spans="1:14" ht="15.75" customHeight="1" x14ac:dyDescent="0.25">
      <c r="A78" s="73" t="s">
        <v>142</v>
      </c>
      <c r="B78" s="74" t="s">
        <v>135</v>
      </c>
      <c r="C78" s="44">
        <v>0</v>
      </c>
      <c r="D78" s="19">
        <f ca="1">((100/H71)*C78)/100</f>
        <v>0</v>
      </c>
      <c r="E78" s="98"/>
      <c r="F78" s="99"/>
      <c r="G78" s="98"/>
      <c r="H78" s="103"/>
      <c r="I78" s="14" t="s">
        <v>151</v>
      </c>
      <c r="J78" s="30">
        <f>(IF(B71&gt;1,(H71/(B71+2)+J77),0))</f>
        <v>0</v>
      </c>
    </row>
    <row r="79" spans="1:14" ht="15" customHeight="1" x14ac:dyDescent="0.25">
      <c r="A79" s="73" t="s">
        <v>140</v>
      </c>
      <c r="B79" s="74" t="s">
        <v>137</v>
      </c>
      <c r="C79" s="44">
        <v>0</v>
      </c>
      <c r="D79" s="19">
        <f ca="1">((100/(H71))*C79)/100</f>
        <v>0</v>
      </c>
      <c r="E79" s="98"/>
      <c r="F79" s="99"/>
      <c r="G79" s="98"/>
      <c r="H79" s="103"/>
      <c r="I79" s="14" t="s">
        <v>148</v>
      </c>
      <c r="J79" s="30">
        <f>(IF(B71&gt;2,(H71/(B71+2)+J78),0))</f>
        <v>0</v>
      </c>
    </row>
    <row r="80" spans="1:14" ht="15.75" customHeight="1" x14ac:dyDescent="0.25">
      <c r="A80" s="73" t="s">
        <v>136</v>
      </c>
      <c r="B80" s="74" t="s">
        <v>136</v>
      </c>
      <c r="C80" s="44">
        <v>0</v>
      </c>
      <c r="D80" s="19">
        <f ca="1">((100/H71)*C80)/100</f>
        <v>0</v>
      </c>
      <c r="E80" s="98"/>
      <c r="F80" s="99"/>
      <c r="G80" s="98"/>
      <c r="H80" s="103"/>
      <c r="I80" s="14" t="s">
        <v>149</v>
      </c>
      <c r="J80" s="31">
        <f>(IF(B71&gt;3,(H71/(B71+2)+J79),0))</f>
        <v>0</v>
      </c>
    </row>
    <row r="81" spans="1:10" ht="15.75" customHeight="1" x14ac:dyDescent="0.25">
      <c r="A81" s="73" t="s">
        <v>143</v>
      </c>
      <c r="B81" s="74"/>
      <c r="C81" s="44">
        <v>0</v>
      </c>
      <c r="D81" s="19">
        <f ca="1">((100/H71)*C81)/100</f>
        <v>0</v>
      </c>
      <c r="E81" s="98"/>
      <c r="F81" s="99"/>
      <c r="G81" s="98"/>
      <c r="H81" s="103"/>
      <c r="I81" s="14" t="s">
        <v>150</v>
      </c>
      <c r="J81" s="30">
        <f>(IF(B71&gt;4,(H71/(B71+2)+J80),0))</f>
        <v>0</v>
      </c>
    </row>
    <row r="82" spans="1:10" ht="15.75" customHeight="1" x14ac:dyDescent="0.25">
      <c r="A82" s="73" t="s">
        <v>138</v>
      </c>
      <c r="B82" s="74" t="s">
        <v>138</v>
      </c>
      <c r="C82" s="44">
        <v>0</v>
      </c>
      <c r="D82" s="19">
        <f ca="1">((100/(H71))*C82)/100</f>
        <v>0</v>
      </c>
      <c r="E82" s="98"/>
      <c r="F82" s="99"/>
      <c r="G82" s="98"/>
      <c r="H82" s="103"/>
      <c r="I82" s="14" t="s">
        <v>152</v>
      </c>
      <c r="J82" s="30">
        <f ca="1">(IF(B71=1,(H71/(B71+3)+J77),IF(B71=0,(H71/4+J77),IF(B71&gt;1,0))))</f>
        <v>5.25</v>
      </c>
    </row>
    <row r="83" spans="1:10" ht="16.5" thickBot="1" x14ac:dyDescent="0.3">
      <c r="A83" s="75" t="s">
        <v>139</v>
      </c>
      <c r="B83" s="76"/>
      <c r="C83" s="45">
        <v>0</v>
      </c>
      <c r="D83" s="20">
        <f ca="1">((100/(H71))*C83)/100</f>
        <v>0</v>
      </c>
      <c r="E83" s="100"/>
      <c r="F83" s="101"/>
      <c r="G83" s="100"/>
      <c r="H83" s="104"/>
      <c r="I83" s="15" t="s">
        <v>107</v>
      </c>
      <c r="J83" s="32">
        <f ca="1">(IF(B71&gt;1.5,(H71/(B71+2)+J77+MAX(0,J78-J77)+MAX(0,J79-J78)+MAX(0,J80-J79)+MAX(0,J81-J80)+MAX(0,J82-J81)),IF(B71=1,(H71/(B71+3)+J82),IF(B71=0,H71/4+J82))))</f>
        <v>7</v>
      </c>
    </row>
    <row r="84" spans="1:10" ht="15.75" customHeight="1" x14ac:dyDescent="0.25">
      <c r="A84" s="183" t="s">
        <v>145</v>
      </c>
      <c r="B84" s="184"/>
      <c r="C84" s="145" t="str">
        <f>D59</f>
        <v>Building No. 6 = St/Gr + 1st to 7th Floor</v>
      </c>
      <c r="D84" s="146"/>
      <c r="E84" s="146"/>
      <c r="F84" s="146"/>
      <c r="G84" s="146"/>
      <c r="H84" s="147"/>
      <c r="I84" s="50" t="str">
        <f ca="1">IF(D97=100%,"All work Completed. Possession granted to the Building.",IF(D96=100%,"All work Completed, Waiting for OC",I85&amp;""&amp;I86&amp;""&amp;J85&amp;""&amp;J84&amp;" "&amp;J86))</f>
        <v>Excavation, Plinth, RCC Slab Completed, Brickwork upto 4 Floor Completed</v>
      </c>
      <c r="J84" s="51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>, Brickwork upto 4 Floor</v>
      </c>
    </row>
    <row r="85" spans="1:10" x14ac:dyDescent="0.25">
      <c r="A85" s="16" t="s">
        <v>147</v>
      </c>
      <c r="B85" s="55">
        <f>IF(AND(ISNUMBER(SEARCH("1B",C84))),1,IF(AND(ISNUMBER(SEARCH("2B",C84))),2,IF(AND(ISNUMBER(SEARCH("3B",C84))),3,IF(AND(ISNUMBER(SEARCH("4B",C84))),4,IF(ISNUMBER(SEARCH("5B",C84)),5,0)))))</f>
        <v>0</v>
      </c>
      <c r="C85" s="48" t="s">
        <v>73</v>
      </c>
      <c r="D85" s="48">
        <v>1</v>
      </c>
      <c r="E85" s="48" t="s">
        <v>72</v>
      </c>
      <c r="F85" s="65">
        <v>0</v>
      </c>
      <c r="G85" s="49" t="s">
        <v>82</v>
      </c>
      <c r="H85" s="17">
        <f ca="1">--TRIM(RIGHT(SUBSTITUTE(LEFT(C84,_xlfn.AGGREGATE(16,6,FIND({0,1,2,3,4,5,6,7,8,9},C84,ROW(INDIRECT("1:"&amp;LEN(C84)))),1))," ",REPT(" ",LEN(C84))),LEN(C84)))</f>
        <v>7</v>
      </c>
      <c r="I85" s="52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Plinth, RCC Slab</v>
      </c>
      <c r="J85" s="53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</row>
    <row r="86" spans="1:10" x14ac:dyDescent="0.25">
      <c r="A86" s="91" t="s">
        <v>92</v>
      </c>
      <c r="B86" s="92"/>
      <c r="C86" s="93" t="str">
        <f ca="1">(IF($G$52="NA",I84,"All work Completed. OC Received."))</f>
        <v>Excavation, Plinth, RCC Slab Completed, Brickwork upto 4 Floor Completed</v>
      </c>
      <c r="D86" s="93"/>
      <c r="E86" s="93"/>
      <c r="F86" s="93"/>
      <c r="G86" s="93"/>
      <c r="H86" s="94"/>
      <c r="I86" s="52" t="str">
        <f ca="1">IF(I85&lt;&gt;""," Completed","")</f>
        <v xml:space="preserve"> Completed</v>
      </c>
      <c r="J86" s="53" t="str">
        <f ca="1">IF(J84&lt;&gt;"","Completed","")</f>
        <v>Completed</v>
      </c>
    </row>
    <row r="87" spans="1:10" ht="15.75" customHeight="1" x14ac:dyDescent="0.25">
      <c r="A87" s="73" t="s">
        <v>50</v>
      </c>
      <c r="B87" s="74"/>
      <c r="C87" s="44" t="s">
        <v>144</v>
      </c>
      <c r="D87" s="44" t="s">
        <v>85</v>
      </c>
      <c r="E87" s="74" t="s">
        <v>87</v>
      </c>
      <c r="F87" s="74"/>
      <c r="G87" s="74" t="s">
        <v>86</v>
      </c>
      <c r="H87" s="95"/>
      <c r="I87" s="14" t="s">
        <v>146</v>
      </c>
      <c r="J87" s="28">
        <f ca="1">H85*25%</f>
        <v>1.75</v>
      </c>
    </row>
    <row r="88" spans="1:10" x14ac:dyDescent="0.25">
      <c r="A88" s="73" t="s">
        <v>133</v>
      </c>
      <c r="B88" s="74"/>
      <c r="C88" s="44">
        <f ca="1">J89</f>
        <v>7</v>
      </c>
      <c r="D88" s="19">
        <f ca="1">((100/H85)*C88)/100</f>
        <v>1</v>
      </c>
      <c r="E88" s="96">
        <f ca="1">(((C89/H85*10)+(40/(D85+F85+H85)*C90)+(7.5/(H85)*C91)+(7.5/(H85)*C92)+(10/H85*C93)+(10/H85*C94)+(5/H85*C95)+(5/H85*C96)+(5/H85*C97))/100)</f>
        <v>0.54285714285714282</v>
      </c>
      <c r="F88" s="97"/>
      <c r="G88" s="96">
        <f ca="1">((((C88/H85)*20)+((C89/H85)*25)+(30/(H85+F85+D85)*C90)+(5/H85*C91)+(5/H85*C92)+(5/H85*C93)+(5/H85*C94)+(0/H85*C95)+(0/H85*C96)+(5/H85*C97))/100)</f>
        <v>0.77857142857142858</v>
      </c>
      <c r="H88" s="102"/>
      <c r="I88" s="14" t="s">
        <v>103</v>
      </c>
      <c r="J88" s="29">
        <f ca="1">H85*50%</f>
        <v>3.5</v>
      </c>
    </row>
    <row r="89" spans="1:10" x14ac:dyDescent="0.25">
      <c r="A89" s="73" t="s">
        <v>51</v>
      </c>
      <c r="B89" s="74"/>
      <c r="C89" s="56">
        <v>7</v>
      </c>
      <c r="D89" s="19">
        <f ca="1">((100/H85)*C89)/100</f>
        <v>1</v>
      </c>
      <c r="E89" s="98"/>
      <c r="F89" s="99"/>
      <c r="G89" s="98"/>
      <c r="H89" s="103"/>
      <c r="I89" s="14" t="s">
        <v>104</v>
      </c>
      <c r="J89" s="29">
        <f ca="1">H85</f>
        <v>7</v>
      </c>
    </row>
    <row r="90" spans="1:10" ht="15.75" customHeight="1" x14ac:dyDescent="0.25">
      <c r="A90" s="73" t="s">
        <v>134</v>
      </c>
      <c r="B90" s="74"/>
      <c r="C90" s="44">
        <v>8</v>
      </c>
      <c r="D90" s="19">
        <f ca="1">((100/(D85+F85+H85))*C90)/100</f>
        <v>1</v>
      </c>
      <c r="E90" s="98"/>
      <c r="F90" s="99"/>
      <c r="G90" s="98"/>
      <c r="H90" s="103"/>
      <c r="I90" s="14" t="s">
        <v>105</v>
      </c>
      <c r="J90" s="30">
        <f ca="1">(IF(B85&gt;1,(H85/(B85+2)),H85/4))</f>
        <v>1.75</v>
      </c>
    </row>
    <row r="91" spans="1:10" ht="15.75" customHeight="1" x14ac:dyDescent="0.25">
      <c r="A91" s="73" t="s">
        <v>141</v>
      </c>
      <c r="B91" s="74" t="s">
        <v>135</v>
      </c>
      <c r="C91" s="44">
        <v>4</v>
      </c>
      <c r="D91" s="19">
        <f ca="1">((100/H85)*C91)/100</f>
        <v>0.57142857142857151</v>
      </c>
      <c r="E91" s="98"/>
      <c r="F91" s="99"/>
      <c r="G91" s="98"/>
      <c r="H91" s="103"/>
      <c r="I91" s="14" t="s">
        <v>106</v>
      </c>
      <c r="J91" s="30">
        <f ca="1">(IF(B85&gt;1,(H85/(B85+2)+J90),H85/4+J90))</f>
        <v>3.5</v>
      </c>
    </row>
    <row r="92" spans="1:10" ht="15.75" customHeight="1" x14ac:dyDescent="0.25">
      <c r="A92" s="73" t="s">
        <v>142</v>
      </c>
      <c r="B92" s="74" t="s">
        <v>135</v>
      </c>
      <c r="C92" s="44">
        <v>0</v>
      </c>
      <c r="D92" s="19">
        <f ca="1">((100/H85)*C92)/100</f>
        <v>0</v>
      </c>
      <c r="E92" s="98"/>
      <c r="F92" s="99"/>
      <c r="G92" s="98"/>
      <c r="H92" s="103"/>
      <c r="I92" s="14" t="s">
        <v>151</v>
      </c>
      <c r="J92" s="30">
        <f>(IF(B85&gt;1,(H85/(B85+2)+J91),0))</f>
        <v>0</v>
      </c>
    </row>
    <row r="93" spans="1:10" ht="15" customHeight="1" x14ac:dyDescent="0.25">
      <c r="A93" s="73" t="s">
        <v>140</v>
      </c>
      <c r="B93" s="74" t="s">
        <v>137</v>
      </c>
      <c r="C93" s="44">
        <v>0</v>
      </c>
      <c r="D93" s="19">
        <f ca="1">((100/(H85))*C93)/100</f>
        <v>0</v>
      </c>
      <c r="E93" s="98"/>
      <c r="F93" s="99"/>
      <c r="G93" s="98"/>
      <c r="H93" s="103"/>
      <c r="I93" s="14" t="s">
        <v>148</v>
      </c>
      <c r="J93" s="30">
        <f>(IF(B85&gt;2,(H85/(B85+2)+J92),0))</f>
        <v>0</v>
      </c>
    </row>
    <row r="94" spans="1:10" ht="15.75" customHeight="1" x14ac:dyDescent="0.25">
      <c r="A94" s="73" t="s">
        <v>136</v>
      </c>
      <c r="B94" s="74" t="s">
        <v>136</v>
      </c>
      <c r="C94" s="44">
        <v>0</v>
      </c>
      <c r="D94" s="19">
        <f ca="1">((100/H85)*C94)/100</f>
        <v>0</v>
      </c>
      <c r="E94" s="98"/>
      <c r="F94" s="99"/>
      <c r="G94" s="98"/>
      <c r="H94" s="103"/>
      <c r="I94" s="14" t="s">
        <v>149</v>
      </c>
      <c r="J94" s="31">
        <f>(IF(B85&gt;3,(H85/(B85+2)+J93),0))</f>
        <v>0</v>
      </c>
    </row>
    <row r="95" spans="1:10" ht="15.75" customHeight="1" x14ac:dyDescent="0.25">
      <c r="A95" s="73" t="s">
        <v>143</v>
      </c>
      <c r="B95" s="74"/>
      <c r="C95" s="44">
        <v>0</v>
      </c>
      <c r="D95" s="19">
        <f ca="1">((100/H85)*C95)/100</f>
        <v>0</v>
      </c>
      <c r="E95" s="98"/>
      <c r="F95" s="99"/>
      <c r="G95" s="98"/>
      <c r="H95" s="103"/>
      <c r="I95" s="14" t="s">
        <v>150</v>
      </c>
      <c r="J95" s="30">
        <f>(IF(B85&gt;4,(H85/(B85+2)+J94),0))</f>
        <v>0</v>
      </c>
    </row>
    <row r="96" spans="1:10" ht="15.75" customHeight="1" x14ac:dyDescent="0.25">
      <c r="A96" s="73" t="s">
        <v>138</v>
      </c>
      <c r="B96" s="74" t="s">
        <v>138</v>
      </c>
      <c r="C96" s="44">
        <v>0</v>
      </c>
      <c r="D96" s="19">
        <f ca="1">((100/(H85))*C96)/100</f>
        <v>0</v>
      </c>
      <c r="E96" s="98"/>
      <c r="F96" s="99"/>
      <c r="G96" s="98"/>
      <c r="H96" s="103"/>
      <c r="I96" s="14" t="s">
        <v>152</v>
      </c>
      <c r="J96" s="30">
        <f ca="1">(IF(B85=1,(H85/(B85+3)+J91),IF(B85=0,(H85/4+J91),IF(B85&gt;1,0))))</f>
        <v>5.25</v>
      </c>
    </row>
    <row r="97" spans="1:10" ht="16.5" thickBot="1" x14ac:dyDescent="0.3">
      <c r="A97" s="75" t="s">
        <v>139</v>
      </c>
      <c r="B97" s="76"/>
      <c r="C97" s="45">
        <v>0</v>
      </c>
      <c r="D97" s="20">
        <f ca="1">((100/(H85))*C97)/100</f>
        <v>0</v>
      </c>
      <c r="E97" s="100"/>
      <c r="F97" s="101"/>
      <c r="G97" s="100"/>
      <c r="H97" s="104"/>
      <c r="I97" s="15" t="s">
        <v>107</v>
      </c>
      <c r="J97" s="32">
        <f ca="1">(IF(B85&gt;1.5,(H85/(B85+2)+J91+MAX(0,J92-J91)+MAX(0,J93-J92)+MAX(0,J94-J93)+MAX(0,J95-J94)+MAX(0,J96-J95)),IF(B85=1,(H85/(B85+3)+J96),IF(B85=0,H85/4+J96))))</f>
        <v>7</v>
      </c>
    </row>
    <row r="98" spans="1:10" ht="15.75" customHeight="1" x14ac:dyDescent="0.25">
      <c r="A98" s="183" t="s">
        <v>145</v>
      </c>
      <c r="B98" s="184"/>
      <c r="C98" s="145" t="str">
        <f>D60</f>
        <v>Building No. 7 = St/Gr + 1st to 7th Floor</v>
      </c>
      <c r="D98" s="146"/>
      <c r="E98" s="146"/>
      <c r="F98" s="146"/>
      <c r="G98" s="146"/>
      <c r="H98" s="147"/>
      <c r="I98" s="50" t="str">
        <f ca="1">IF(D111=100%,"All work Completed. Possession granted to the Building.",IF(D110=100%,"All work Completed, Waiting for OC",I99&amp;""&amp;I100&amp;""&amp;J99&amp;""&amp;J98&amp;" "&amp;J100))</f>
        <v>Excavation, Plinth, RCC Slab Completed, Brickwork upto 4 Floor Completed</v>
      </c>
      <c r="J98" s="51" t="str">
        <f ca="1">(IF(C104=(D99+F99+H99),"",IF(C104&gt;0,", RCC upto "&amp;C104&amp;" Slab","")))&amp;(IF(C105=H99,"",IF(C105&gt;0,", Brickwork upto "&amp;C105&amp;" Floor","")))&amp;(IF(C106=H99,"",IF(C106&gt;0,", Internal Plaster upto "&amp;C106&amp;" Floor","")))&amp;(IF(C107=H99,"",IF(C107&gt;0,", External Plaster upto "&amp;C107&amp;" Floor","")))&amp;(IF(C108=H99,"",IF(C108&gt;0,", Flooring upto "&amp;C108&amp;" Floor","")))&amp;(IF(C109=H99,"",IF(C109&gt;0,", Painting upto "&amp;C109&amp;" Floor","")))&amp;(IF(C110=H99,"",IF(C110&gt;0,", Finishing upto "&amp;C110&amp;" Floor","")))&amp;(IF(C111=H99,"",IF(C111&gt;0,", Possession upto "&amp;C111&amp;" Floor","")))</f>
        <v>, Brickwork upto 4 Floor</v>
      </c>
    </row>
    <row r="99" spans="1:10" x14ac:dyDescent="0.25">
      <c r="A99" s="16" t="s">
        <v>147</v>
      </c>
      <c r="B99" s="55">
        <f>IF(AND(ISNUMBER(SEARCH("1B",C98))),1,IF(AND(ISNUMBER(SEARCH("2B",C98))),2,IF(AND(ISNUMBER(SEARCH("3B",C98))),3,IF(AND(ISNUMBER(SEARCH("4B",C98))),4,IF(ISNUMBER(SEARCH("5B",C98)),5,0)))))</f>
        <v>0</v>
      </c>
      <c r="C99" s="48" t="s">
        <v>73</v>
      </c>
      <c r="D99" s="48">
        <v>1</v>
      </c>
      <c r="E99" s="48" t="s">
        <v>72</v>
      </c>
      <c r="F99" s="65">
        <v>0</v>
      </c>
      <c r="G99" s="49" t="s">
        <v>82</v>
      </c>
      <c r="H99" s="17">
        <f ca="1">--TRIM(RIGHT(SUBSTITUTE(LEFT(C98,_xlfn.AGGREGATE(16,6,FIND({0,1,2,3,4,5,6,7,8,9},C98,ROW(INDIRECT("1:"&amp;LEN(C98)))),1))," ",REPT(" ",LEN(C98))),LEN(C98)))</f>
        <v>7</v>
      </c>
      <c r="I99" s="52" t="str">
        <f ca="1">IF(D102=100%,"Excavation","")&amp;IF(D103=100%,", Plinth","")&amp;IF(D104=100%,", RCC Slab","")&amp;IF(D105=100%,", Brickwork","")&amp;IF(D106=100%,", Internal Plaster","")&amp;IF(D107=100%,", External Plaster","")&amp;IF(D108=100%,", Flooring","")&amp;IF(D109=100%,", Painting","")&amp;IF(D110=100%,", Building common Amenities","")</f>
        <v>Excavation, Plinth, RCC Slab</v>
      </c>
      <c r="J99" s="53" t="str">
        <f ca="1">(IF(C102=0,"Work not yet Started.",IF(D102=25%,"Piling work in process",IF(D102=50%,"Excavation work in process",IF(D102=100%,"","0")))))&amp;(IF(C103=0%,"",IF(C103=J104,", Footing work is process",IF(C103=J105,", Footing work Completed",IF(C103=J106,", 1st Basement Completed",IF(C103=J107,", 1st &amp; 2nd Basement Completed",IF(C103=J108,", 1st to 3rd Basement Completed",IF(C103=J109,", 1st to 4th Basement Completed",IF(C103=J110,", Plinth work is process",IF(C103=J111,"","0"))))))))))</f>
        <v/>
      </c>
    </row>
    <row r="100" spans="1:10" x14ac:dyDescent="0.25">
      <c r="A100" s="91" t="s">
        <v>92</v>
      </c>
      <c r="B100" s="92"/>
      <c r="C100" s="93" t="str">
        <f ca="1">(IF($G$52="NA",I98,"All work Completed. OC Received."))</f>
        <v>Excavation, Plinth, RCC Slab Completed, Brickwork upto 4 Floor Completed</v>
      </c>
      <c r="D100" s="93"/>
      <c r="E100" s="93"/>
      <c r="F100" s="93"/>
      <c r="G100" s="93"/>
      <c r="H100" s="94"/>
      <c r="I100" s="52" t="str">
        <f ca="1">IF(I99&lt;&gt;""," Completed","")</f>
        <v xml:space="preserve"> Completed</v>
      </c>
      <c r="J100" s="53" t="str">
        <f ca="1">IF(J98&lt;&gt;"","Completed","")</f>
        <v>Completed</v>
      </c>
    </row>
    <row r="101" spans="1:10" ht="15.75" customHeight="1" x14ac:dyDescent="0.25">
      <c r="A101" s="73" t="s">
        <v>50</v>
      </c>
      <c r="B101" s="74"/>
      <c r="C101" s="44" t="s">
        <v>144</v>
      </c>
      <c r="D101" s="44" t="s">
        <v>85</v>
      </c>
      <c r="E101" s="74" t="s">
        <v>87</v>
      </c>
      <c r="F101" s="74"/>
      <c r="G101" s="74" t="s">
        <v>86</v>
      </c>
      <c r="H101" s="95"/>
      <c r="I101" s="14" t="s">
        <v>146</v>
      </c>
      <c r="J101" s="28">
        <f ca="1">H99*25%</f>
        <v>1.75</v>
      </c>
    </row>
    <row r="102" spans="1:10" x14ac:dyDescent="0.25">
      <c r="A102" s="73" t="s">
        <v>133</v>
      </c>
      <c r="B102" s="74"/>
      <c r="C102" s="44">
        <f ca="1">J103</f>
        <v>7</v>
      </c>
      <c r="D102" s="19">
        <f ca="1">((100/H99)*C102)/100</f>
        <v>1</v>
      </c>
      <c r="E102" s="96">
        <f ca="1">(((C103/H99*10)+(40/(D99+F99+H99)*C104)+(7.5/(H99)*C105)+(7.5/(H99)*C106)+(10/H99*C107)+(10/H99*C108)+(5/H99*C109)+(5/H99*C110)+(5/H99*C111))/100)</f>
        <v>0.54285714285714282</v>
      </c>
      <c r="F102" s="97"/>
      <c r="G102" s="96">
        <f ca="1">((((C102/H99)*20)+((C103/H99)*25)+(30/(H99+F99+D99)*C104)+(5/H99*C105)+(5/H99*C106)+(5/H99*C107)+(5/H99*C108)+(0/H99*C109)+(0/H99*C110)+(5/H99*C111))/100)</f>
        <v>0.77857142857142858</v>
      </c>
      <c r="H102" s="102"/>
      <c r="I102" s="14" t="s">
        <v>103</v>
      </c>
      <c r="J102" s="29">
        <f ca="1">H99*50%</f>
        <v>3.5</v>
      </c>
    </row>
    <row r="103" spans="1:10" x14ac:dyDescent="0.25">
      <c r="A103" s="73" t="s">
        <v>51</v>
      </c>
      <c r="B103" s="74"/>
      <c r="C103" s="44">
        <f ca="1">J111</f>
        <v>7</v>
      </c>
      <c r="D103" s="19">
        <f ca="1">((100/H99)*C103)/100</f>
        <v>1</v>
      </c>
      <c r="E103" s="98"/>
      <c r="F103" s="99"/>
      <c r="G103" s="98"/>
      <c r="H103" s="103"/>
      <c r="I103" s="14" t="s">
        <v>104</v>
      </c>
      <c r="J103" s="29">
        <f ca="1">H99</f>
        <v>7</v>
      </c>
    </row>
    <row r="104" spans="1:10" ht="15.75" customHeight="1" x14ac:dyDescent="0.25">
      <c r="A104" s="73" t="s">
        <v>134</v>
      </c>
      <c r="B104" s="74"/>
      <c r="C104" s="44">
        <f ca="1">D99+H99</f>
        <v>8</v>
      </c>
      <c r="D104" s="19">
        <f ca="1">((100/(D99+F99+H99))*C104)/100</f>
        <v>1</v>
      </c>
      <c r="E104" s="98"/>
      <c r="F104" s="99"/>
      <c r="G104" s="98"/>
      <c r="H104" s="103"/>
      <c r="I104" s="14" t="s">
        <v>105</v>
      </c>
      <c r="J104" s="30">
        <f ca="1">(IF(B99&gt;1,(H99/(B99+2)),H99/4))</f>
        <v>1.75</v>
      </c>
    </row>
    <row r="105" spans="1:10" ht="15.75" customHeight="1" x14ac:dyDescent="0.25">
      <c r="A105" s="73" t="s">
        <v>141</v>
      </c>
      <c r="B105" s="74" t="s">
        <v>135</v>
      </c>
      <c r="C105" s="44">
        <v>4</v>
      </c>
      <c r="D105" s="19">
        <f ca="1">((100/H99)*C105)/100</f>
        <v>0.57142857142857151</v>
      </c>
      <c r="E105" s="98"/>
      <c r="F105" s="99"/>
      <c r="G105" s="98"/>
      <c r="H105" s="103"/>
      <c r="I105" s="14" t="s">
        <v>106</v>
      </c>
      <c r="J105" s="30">
        <f ca="1">(IF(B99&gt;1,(H99/(B99+2)+J104),H99/4+J104))</f>
        <v>3.5</v>
      </c>
    </row>
    <row r="106" spans="1:10" ht="15.75" customHeight="1" x14ac:dyDescent="0.25">
      <c r="A106" s="73" t="s">
        <v>142</v>
      </c>
      <c r="B106" s="74" t="s">
        <v>135</v>
      </c>
      <c r="C106" s="44">
        <v>0</v>
      </c>
      <c r="D106" s="19">
        <f ca="1">((100/H99)*C106)/100</f>
        <v>0</v>
      </c>
      <c r="E106" s="98"/>
      <c r="F106" s="99"/>
      <c r="G106" s="98"/>
      <c r="H106" s="103"/>
      <c r="I106" s="14" t="s">
        <v>151</v>
      </c>
      <c r="J106" s="30">
        <f>(IF(B99&gt;1,(H99/(B99+2)+J105),0))</f>
        <v>0</v>
      </c>
    </row>
    <row r="107" spans="1:10" ht="15" customHeight="1" x14ac:dyDescent="0.25">
      <c r="A107" s="73" t="s">
        <v>140</v>
      </c>
      <c r="B107" s="74" t="s">
        <v>137</v>
      </c>
      <c r="C107" s="44">
        <v>0</v>
      </c>
      <c r="D107" s="19">
        <f ca="1">((100/(H99))*C107)/100</f>
        <v>0</v>
      </c>
      <c r="E107" s="98"/>
      <c r="F107" s="99"/>
      <c r="G107" s="98"/>
      <c r="H107" s="103"/>
      <c r="I107" s="14" t="s">
        <v>148</v>
      </c>
      <c r="J107" s="30">
        <f>(IF(B99&gt;2,(H99/(B99+2)+J106),0))</f>
        <v>0</v>
      </c>
    </row>
    <row r="108" spans="1:10" ht="15.75" customHeight="1" x14ac:dyDescent="0.25">
      <c r="A108" s="73" t="s">
        <v>136</v>
      </c>
      <c r="B108" s="74" t="s">
        <v>136</v>
      </c>
      <c r="C108" s="44">
        <v>0</v>
      </c>
      <c r="D108" s="19">
        <f ca="1">((100/H99)*C108)/100</f>
        <v>0</v>
      </c>
      <c r="E108" s="98"/>
      <c r="F108" s="99"/>
      <c r="G108" s="98"/>
      <c r="H108" s="103"/>
      <c r="I108" s="14" t="s">
        <v>149</v>
      </c>
      <c r="J108" s="31">
        <f>(IF(B99&gt;3,(H99/(B99+2)+J107),0))</f>
        <v>0</v>
      </c>
    </row>
    <row r="109" spans="1:10" ht="15.75" customHeight="1" x14ac:dyDescent="0.25">
      <c r="A109" s="73" t="s">
        <v>143</v>
      </c>
      <c r="B109" s="74"/>
      <c r="C109" s="44">
        <v>0</v>
      </c>
      <c r="D109" s="19">
        <f ca="1">((100/H99)*C109)/100</f>
        <v>0</v>
      </c>
      <c r="E109" s="98"/>
      <c r="F109" s="99"/>
      <c r="G109" s="98"/>
      <c r="H109" s="103"/>
      <c r="I109" s="14" t="s">
        <v>150</v>
      </c>
      <c r="J109" s="30">
        <f>(IF(B99&gt;4,(H99/(B99+2)+J108),0))</f>
        <v>0</v>
      </c>
    </row>
    <row r="110" spans="1:10" ht="15.75" customHeight="1" x14ac:dyDescent="0.25">
      <c r="A110" s="73" t="s">
        <v>138</v>
      </c>
      <c r="B110" s="74" t="s">
        <v>138</v>
      </c>
      <c r="C110" s="44">
        <v>0</v>
      </c>
      <c r="D110" s="19">
        <f ca="1">((100/(H99))*C110)/100</f>
        <v>0</v>
      </c>
      <c r="E110" s="98"/>
      <c r="F110" s="99"/>
      <c r="G110" s="98"/>
      <c r="H110" s="103"/>
      <c r="I110" s="14" t="s">
        <v>152</v>
      </c>
      <c r="J110" s="30">
        <f ca="1">(IF(B99=1,(H99/(B99+3)+J105),IF(B99=0,(H99/4+J105),IF(B99&gt;1,0))))</f>
        <v>5.25</v>
      </c>
    </row>
    <row r="111" spans="1:10" ht="16.5" thickBot="1" x14ac:dyDescent="0.3">
      <c r="A111" s="75" t="s">
        <v>139</v>
      </c>
      <c r="B111" s="76"/>
      <c r="C111" s="45">
        <v>0</v>
      </c>
      <c r="D111" s="20">
        <f ca="1">((100/(H99))*C111)/100</f>
        <v>0</v>
      </c>
      <c r="E111" s="100"/>
      <c r="F111" s="101"/>
      <c r="G111" s="100"/>
      <c r="H111" s="104"/>
      <c r="I111" s="15" t="s">
        <v>107</v>
      </c>
      <c r="J111" s="32">
        <f ca="1">(IF(B99&gt;1.5,(H99/(B99+2)+J105+MAX(0,J106-J105)+MAX(0,J107-J106)+MAX(0,J108-J107)+MAX(0,J109-J108)+MAX(0,J110-J109)),IF(B99=1,(H99/(B99+3)+J110),IF(B99=0,H99/4+J110))))</f>
        <v>7</v>
      </c>
    </row>
    <row r="112" spans="1:10" s="23" customFormat="1" ht="15.75" customHeight="1" x14ac:dyDescent="0.25">
      <c r="A112" s="86" t="s">
        <v>145</v>
      </c>
      <c r="B112" s="87"/>
      <c r="C112" s="88" t="str">
        <f>D61</f>
        <v>Building No. 8 = St/Gr + 1st to 7th Floor</v>
      </c>
      <c r="D112" s="89"/>
      <c r="E112" s="89"/>
      <c r="F112" s="89"/>
      <c r="G112" s="89"/>
      <c r="H112" s="90"/>
      <c r="I112" s="50" t="str">
        <f ca="1">IF(D125=100%,"All work Completed. Possession granted to the Building.",IF(D124=100%,"All work Completed, Waiting for OC",I113&amp;""&amp;I114&amp;""&amp;J113&amp;""&amp;J112&amp;" "&amp;J114))</f>
        <v>Excavation, Plinth, RCC Slab Completed, Brickwork upto 4 Floor Completed</v>
      </c>
      <c r="J112" s="68" t="str">
        <f ca="1">(IF(C118=(D113+F113+H113),"",IF(C118&gt;0,", RCC upto "&amp;C118&amp;" Slab","")))&amp;(IF(C119=H113,"",IF(C119&gt;0,", Brickwork upto "&amp;C119&amp;" Floor","")))&amp;(IF(C120=H113,"",IF(C120&gt;0,", Internal Plaster upto "&amp;C120&amp;" Floor","")))&amp;(IF(C121=H113,"",IF(C121&gt;0,", External Plaster upto "&amp;C121&amp;" Floor","")))&amp;(IF(C122=H113,"",IF(C122&gt;0,", Flooring upto "&amp;C122&amp;" Floor","")))&amp;(IF(C123=H113,"",IF(C123&gt;0,", Painting upto "&amp;C123&amp;" Floor","")))&amp;(IF(C124=H113,"",IF(C124&gt;0,", Finishing upto "&amp;C124&amp;" Floor","")))&amp;(IF(C125=H113,"",IF(C125&gt;0,", Possession upto "&amp;C125&amp;" Floor","")))</f>
        <v>, Brickwork upto 4 Floor</v>
      </c>
    </row>
    <row r="113" spans="1:10" x14ac:dyDescent="0.25">
      <c r="A113" s="16" t="s">
        <v>147</v>
      </c>
      <c r="B113" s="65">
        <f>IF(AND(ISNUMBER(SEARCH("1B",C112))),1,IF(AND(ISNUMBER(SEARCH("2B",C112))),2,IF(AND(ISNUMBER(SEARCH("3B",C112))),3,IF(AND(ISNUMBER(SEARCH("4B",C112))),4,IF(ISNUMBER(SEARCH("5B",C112)),5,0)))))</f>
        <v>0</v>
      </c>
      <c r="C113" s="65" t="s">
        <v>73</v>
      </c>
      <c r="D113" s="65">
        <v>1</v>
      </c>
      <c r="E113" s="65" t="s">
        <v>72</v>
      </c>
      <c r="F113" s="66">
        <v>0</v>
      </c>
      <c r="G113" s="49" t="s">
        <v>82</v>
      </c>
      <c r="H113" s="17">
        <f ca="1">--TRIM(RIGHT(SUBSTITUTE(LEFT(C112,_xlfn.AGGREGATE(16,6,FIND({0,1,2,3,4,5,6,7,8,9},C112,ROW(INDIRECT("1:"&amp;LEN(C112)))),1))," ",REPT(" ",LEN(C112))),LEN(C112)))</f>
        <v>7</v>
      </c>
      <c r="I113" s="52" t="str">
        <f ca="1">IF(D116=100%,"Excavation","")&amp;IF(D117=100%,", Plinth","")&amp;IF(D118=100%,", RCC Slab","")&amp;IF(D119=100%,", Brickwork","")&amp;IF(D120=100%,", Internal Plaster","")&amp;IF(D121=100%,", External Plaster","")&amp;IF(D122=100%,", Flooring","")&amp;IF(D123=100%,", Painting","")&amp;IF(D124=100%,", Building common Amenities","")</f>
        <v>Excavation, Plinth, RCC Slab</v>
      </c>
      <c r="J113" s="53" t="str">
        <f ca="1">(IF(C116=0,"Work not yet Started.",IF(D116=25%,"Piling work in process",IF(D116=50%,"Excavation work in process",IF(D116=100%,"","0")))))&amp;(IF(C117=0%,"",IF(C117=J118,", Footing work is process",IF(C117=J119,", Footing work Completed",IF(C117=J120,", 1st Basement Completed",IF(C117=J121,", 1st &amp; 2nd Basement Completed",IF(C117=J122,", 1st to 3rd Basement Completed",IF(C117=J123,", 1st to 4th Basement Completed",IF(C117=J124,", Plinth work is process",IF(C117=J125,"","0"))))))))))</f>
        <v/>
      </c>
    </row>
    <row r="114" spans="1:10" x14ac:dyDescent="0.25">
      <c r="A114" s="91" t="s">
        <v>92</v>
      </c>
      <c r="B114" s="92"/>
      <c r="C114" s="93" t="str">
        <f ca="1">(IF($G$52="NA",I112,"All work Completed. OC Received."))</f>
        <v>Excavation, Plinth, RCC Slab Completed, Brickwork upto 4 Floor Completed</v>
      </c>
      <c r="D114" s="93"/>
      <c r="E114" s="93"/>
      <c r="F114" s="93"/>
      <c r="G114" s="93"/>
      <c r="H114" s="94"/>
      <c r="I114" s="52" t="str">
        <f ca="1">IF(I113&lt;&gt;""," Completed","")</f>
        <v xml:space="preserve"> Completed</v>
      </c>
      <c r="J114" s="53" t="str">
        <f ca="1">IF(J112&lt;&gt;"","Completed","")</f>
        <v>Completed</v>
      </c>
    </row>
    <row r="115" spans="1:10" ht="15.75" customHeight="1" x14ac:dyDescent="0.25">
      <c r="A115" s="73" t="s">
        <v>50</v>
      </c>
      <c r="B115" s="74"/>
      <c r="C115" s="63" t="s">
        <v>144</v>
      </c>
      <c r="D115" s="63" t="s">
        <v>85</v>
      </c>
      <c r="E115" s="74" t="s">
        <v>87</v>
      </c>
      <c r="F115" s="74"/>
      <c r="G115" s="74" t="s">
        <v>86</v>
      </c>
      <c r="H115" s="95"/>
      <c r="I115" s="14" t="s">
        <v>146</v>
      </c>
      <c r="J115" s="28">
        <f ca="1">H113*25%</f>
        <v>1.75</v>
      </c>
    </row>
    <row r="116" spans="1:10" x14ac:dyDescent="0.25">
      <c r="A116" s="73" t="s">
        <v>133</v>
      </c>
      <c r="B116" s="74"/>
      <c r="C116" s="63">
        <f ca="1">J117</f>
        <v>7</v>
      </c>
      <c r="D116" s="19">
        <f ca="1">((100/H113)*C116)/100</f>
        <v>1</v>
      </c>
      <c r="E116" s="96">
        <f ca="1">(((C117/H113*10)+(40/(D113+F113+H113)*C118)+(7.5/(H113)*C119)+(7.5/(H113)*C120)+(10/H113*C121)+(10/H113*C122)+(5/H113*C123)+(5/H113*C124)+(5/H113*C125))/100)</f>
        <v>0.54285714285714282</v>
      </c>
      <c r="F116" s="97"/>
      <c r="G116" s="96">
        <f ca="1">((((C116/H113)*20)+((C117/H113)*25)+(30/(H113+F113+D113)*C118)+(5/H113*C119)+(5/H113*C120)+(5/H113*C121)+(5/H113*C122)+(0/H113*C123)+(0/H113*C124)+(5/H113*C125))/100)</f>
        <v>0.77857142857142858</v>
      </c>
      <c r="H116" s="102"/>
      <c r="I116" s="14" t="s">
        <v>103</v>
      </c>
      <c r="J116" s="29">
        <f ca="1">H113*50%</f>
        <v>3.5</v>
      </c>
    </row>
    <row r="117" spans="1:10" x14ac:dyDescent="0.25">
      <c r="A117" s="73" t="s">
        <v>51</v>
      </c>
      <c r="B117" s="74"/>
      <c r="C117" s="63">
        <f ca="1">J125</f>
        <v>7</v>
      </c>
      <c r="D117" s="19">
        <f ca="1">((100/H113)*C117)/100</f>
        <v>1</v>
      </c>
      <c r="E117" s="98"/>
      <c r="F117" s="99"/>
      <c r="G117" s="98"/>
      <c r="H117" s="103"/>
      <c r="I117" s="14" t="s">
        <v>104</v>
      </c>
      <c r="J117" s="29">
        <f ca="1">H113</f>
        <v>7</v>
      </c>
    </row>
    <row r="118" spans="1:10" ht="15.75" customHeight="1" x14ac:dyDescent="0.25">
      <c r="A118" s="73" t="s">
        <v>134</v>
      </c>
      <c r="B118" s="74"/>
      <c r="C118" s="63">
        <f ca="1">D113+H113</f>
        <v>8</v>
      </c>
      <c r="D118" s="19">
        <f ca="1">((100/(D113+F113+H113))*C118)/100</f>
        <v>1</v>
      </c>
      <c r="E118" s="98"/>
      <c r="F118" s="99"/>
      <c r="G118" s="98"/>
      <c r="H118" s="103"/>
      <c r="I118" s="14" t="s">
        <v>105</v>
      </c>
      <c r="J118" s="30">
        <f ca="1">(IF(B113&gt;1,(H113/(B113+2)),H113/4))</f>
        <v>1.75</v>
      </c>
    </row>
    <row r="119" spans="1:10" ht="15.75" customHeight="1" x14ac:dyDescent="0.25">
      <c r="A119" s="73" t="s">
        <v>141</v>
      </c>
      <c r="B119" s="74" t="s">
        <v>135</v>
      </c>
      <c r="C119" s="63">
        <v>4</v>
      </c>
      <c r="D119" s="19">
        <f ca="1">((100/H113)*C119)/100</f>
        <v>0.57142857142857151</v>
      </c>
      <c r="E119" s="98"/>
      <c r="F119" s="99"/>
      <c r="G119" s="98"/>
      <c r="H119" s="103"/>
      <c r="I119" s="14" t="s">
        <v>106</v>
      </c>
      <c r="J119" s="30">
        <f ca="1">(IF(B113&gt;1,(H113/(B113+2)+J118),H113/4+J118))</f>
        <v>3.5</v>
      </c>
    </row>
    <row r="120" spans="1:10" ht="15.75" customHeight="1" x14ac:dyDescent="0.25">
      <c r="A120" s="73" t="s">
        <v>142</v>
      </c>
      <c r="B120" s="74" t="s">
        <v>135</v>
      </c>
      <c r="C120" s="63">
        <v>0</v>
      </c>
      <c r="D120" s="19">
        <f ca="1">((100/H113)*C120)/100</f>
        <v>0</v>
      </c>
      <c r="E120" s="98"/>
      <c r="F120" s="99"/>
      <c r="G120" s="98"/>
      <c r="H120" s="103"/>
      <c r="I120" s="14" t="s">
        <v>151</v>
      </c>
      <c r="J120" s="30">
        <f>(IF(B113&gt;1,(H113/(B113+2)+J119),0))</f>
        <v>0</v>
      </c>
    </row>
    <row r="121" spans="1:10" ht="15" customHeight="1" x14ac:dyDescent="0.25">
      <c r="A121" s="73" t="s">
        <v>140</v>
      </c>
      <c r="B121" s="74" t="s">
        <v>137</v>
      </c>
      <c r="C121" s="63">
        <v>0</v>
      </c>
      <c r="D121" s="19">
        <f ca="1">((100/(H113))*C121)/100</f>
        <v>0</v>
      </c>
      <c r="E121" s="98"/>
      <c r="F121" s="99"/>
      <c r="G121" s="98"/>
      <c r="H121" s="103"/>
      <c r="I121" s="14" t="s">
        <v>148</v>
      </c>
      <c r="J121" s="30">
        <f>(IF(B113&gt;2,(H113/(B113+2)+J120),0))</f>
        <v>0</v>
      </c>
    </row>
    <row r="122" spans="1:10" ht="15.75" customHeight="1" x14ac:dyDescent="0.25">
      <c r="A122" s="73" t="s">
        <v>136</v>
      </c>
      <c r="B122" s="74" t="s">
        <v>136</v>
      </c>
      <c r="C122" s="63">
        <v>0</v>
      </c>
      <c r="D122" s="19">
        <f ca="1">((100/H113)*C122)/100</f>
        <v>0</v>
      </c>
      <c r="E122" s="98"/>
      <c r="F122" s="99"/>
      <c r="G122" s="98"/>
      <c r="H122" s="103"/>
      <c r="I122" s="14" t="s">
        <v>149</v>
      </c>
      <c r="J122" s="31">
        <f>(IF(B113&gt;3,(H113/(B113+2)+J121),0))</f>
        <v>0</v>
      </c>
    </row>
    <row r="123" spans="1:10" ht="15.75" customHeight="1" x14ac:dyDescent="0.25">
      <c r="A123" s="73" t="s">
        <v>143</v>
      </c>
      <c r="B123" s="74"/>
      <c r="C123" s="63">
        <v>0</v>
      </c>
      <c r="D123" s="19">
        <f ca="1">((100/H113)*C123)/100</f>
        <v>0</v>
      </c>
      <c r="E123" s="98"/>
      <c r="F123" s="99"/>
      <c r="G123" s="98"/>
      <c r="H123" s="103"/>
      <c r="I123" s="14" t="s">
        <v>150</v>
      </c>
      <c r="J123" s="30">
        <f>(IF(B113&gt;4,(H113/(B113+2)+J122),0))</f>
        <v>0</v>
      </c>
    </row>
    <row r="124" spans="1:10" ht="15.75" customHeight="1" x14ac:dyDescent="0.25">
      <c r="A124" s="73" t="s">
        <v>138</v>
      </c>
      <c r="B124" s="74" t="s">
        <v>138</v>
      </c>
      <c r="C124" s="63">
        <v>0</v>
      </c>
      <c r="D124" s="19">
        <f ca="1">((100/(H113))*C124)/100</f>
        <v>0</v>
      </c>
      <c r="E124" s="98"/>
      <c r="F124" s="99"/>
      <c r="G124" s="98"/>
      <c r="H124" s="103"/>
      <c r="I124" s="14" t="s">
        <v>152</v>
      </c>
      <c r="J124" s="30">
        <f ca="1">(IF(B113=1,(H113/(B113+3)+J119),IF(B113=0,(H113/4+J119),IF(B113&gt;1,0))))</f>
        <v>5.25</v>
      </c>
    </row>
    <row r="125" spans="1:10" ht="16.5" thickBot="1" x14ac:dyDescent="0.3">
      <c r="A125" s="75" t="s">
        <v>139</v>
      </c>
      <c r="B125" s="76"/>
      <c r="C125" s="64">
        <v>0</v>
      </c>
      <c r="D125" s="20">
        <f ca="1">((100/(H113))*C125)/100</f>
        <v>0</v>
      </c>
      <c r="E125" s="100"/>
      <c r="F125" s="101"/>
      <c r="G125" s="100"/>
      <c r="H125" s="104"/>
      <c r="I125" s="15" t="s">
        <v>107</v>
      </c>
      <c r="J125" s="32">
        <f ca="1">(IF(B113&gt;1.5,(H113/(B113+2)+J119+MAX(0,J120-J119)+MAX(0,J121-J120)+MAX(0,J122-J121)+MAX(0,J123-J122)+MAX(0,J124-J123)),IF(B113=1,(H113/(B113+3)+J124),IF(B113=0,H113/4+J124))))</f>
        <v>7</v>
      </c>
    </row>
    <row r="126" spans="1:10" ht="15.75" customHeight="1" x14ac:dyDescent="0.25">
      <c r="A126" s="86" t="s">
        <v>145</v>
      </c>
      <c r="B126" s="87"/>
      <c r="C126" s="88" t="str">
        <f>D62</f>
        <v>Building No. 9 = St/Gr + 1st to 7th Floor</v>
      </c>
      <c r="D126" s="89"/>
      <c r="E126" s="89"/>
      <c r="F126" s="89"/>
      <c r="G126" s="89"/>
      <c r="H126" s="90"/>
      <c r="I126" s="50" t="str">
        <f ca="1">IF(D139=100%,"All work Completed. Possession granted to the Building.",IF(D138=100%,"All work Completed, Waiting for OC",I127&amp;""&amp;I128&amp;""&amp;J127&amp;""&amp;J126&amp;" "&amp;J128))</f>
        <v>All work Completed. Possession granted to the Building.</v>
      </c>
      <c r="J126" s="51" t="str">
        <f ca="1">(IF(C132=(D127+F127+H127),"",IF(C132&gt;0,", RCC upto "&amp;C132&amp;" Slab","")))&amp;(IF(C133=H127,"",IF(C133&gt;0,", Brickwork upto "&amp;C133&amp;" Floor","")))&amp;(IF(C134=H127,"",IF(C134&gt;0,", Internal Plaster upto "&amp;C134&amp;" Floor","")))&amp;(IF(C135=H127,"",IF(C135&gt;0,", External Plaster upto "&amp;C135&amp;" Floor","")))&amp;(IF(C136=H127,"",IF(C136&gt;0,", Flooring upto "&amp;C136&amp;" Floor","")))&amp;(IF(C137=H127,"",IF(C137&gt;0,", Painting upto "&amp;C137&amp;" Floor","")))&amp;(IF(C138=H127,"",IF(C138&gt;0,", Finishing upto "&amp;C138&amp;" Floor","")))&amp;(IF(C139=H127,"",IF(C139&gt;0,", Possession upto "&amp;C139&amp;" Floor","")))</f>
        <v/>
      </c>
    </row>
    <row r="127" spans="1:10" x14ac:dyDescent="0.25">
      <c r="A127" s="16" t="s">
        <v>147</v>
      </c>
      <c r="B127" s="65">
        <f>IF(AND(ISNUMBER(SEARCH("1B",C126))),1,IF(AND(ISNUMBER(SEARCH("2B",C126))),2,IF(AND(ISNUMBER(SEARCH("3B",C126))),3,IF(AND(ISNUMBER(SEARCH("4B",C126))),4,IF(ISNUMBER(SEARCH("5B",C126)),5,0)))))</f>
        <v>0</v>
      </c>
      <c r="C127" s="65" t="s">
        <v>73</v>
      </c>
      <c r="D127" s="65">
        <v>1</v>
      </c>
      <c r="E127" s="65" t="s">
        <v>72</v>
      </c>
      <c r="F127" s="66">
        <v>0</v>
      </c>
      <c r="G127" s="49" t="s">
        <v>82</v>
      </c>
      <c r="H127" s="17">
        <f ca="1">--TRIM(RIGHT(SUBSTITUTE(LEFT(C126,_xlfn.AGGREGATE(16,6,FIND({0,1,2,3,4,5,6,7,8,9},C126,ROW(INDIRECT("1:"&amp;LEN(C126)))),1))," ",REPT(" ",LEN(C126))),LEN(C126)))</f>
        <v>7</v>
      </c>
      <c r="I127" s="52" t="str">
        <f ca="1">IF(D130=100%,"Excavation","")&amp;IF(D131=100%,", Plinth","")&amp;IF(D132=100%,", RCC Slab","")&amp;IF(D133=100%,", Brickwork","")&amp;IF(D134=100%,", Internal Plaster","")&amp;IF(D135=100%,", External Plaster","")&amp;IF(D136=100%,", Flooring","")&amp;IF(D137=100%,", Painting","")&amp;IF(D138=100%,", Building common Amenities","")</f>
        <v>Excavation, Plinth, RCC Slab, Brickwork, Internal Plaster, External Plaster, Flooring, Painting, Building common Amenities</v>
      </c>
      <c r="J127" s="53" t="str">
        <f ca="1">(IF(C130=0,"Work not yet Started.",IF(D130=25%,"Piling work in process",IF(D130=50%,"Excavation work in process",IF(D130=100%,"","0")))))&amp;(IF(C131=0%,"",IF(C131=J132,", Footing work is process",IF(C131=J133,", Footing work Completed",IF(C131=J134,", 1st Basement Completed",IF(C131=J135,", 1st &amp; 2nd Basement Completed",IF(C131=J136,", 1st to 3rd Basement Completed",IF(C131=J137,", 1st to 4th Basement Completed",IF(C131=J138,", Plinth work is process",IF(C131=J139,"","0"))))))))))</f>
        <v/>
      </c>
    </row>
    <row r="128" spans="1:10" x14ac:dyDescent="0.25">
      <c r="A128" s="91" t="s">
        <v>92</v>
      </c>
      <c r="B128" s="92"/>
      <c r="C128" s="93" t="str">
        <f ca="1">(IF($G$52="NA",I126,"All work Completed. OC Received."))</f>
        <v>All work Completed. Possession granted to the Building.</v>
      </c>
      <c r="D128" s="93"/>
      <c r="E128" s="93"/>
      <c r="F128" s="93"/>
      <c r="G128" s="93"/>
      <c r="H128" s="94"/>
      <c r="I128" s="52" t="str">
        <f ca="1">IF(I127&lt;&gt;""," Completed","")</f>
        <v xml:space="preserve"> Completed</v>
      </c>
      <c r="J128" s="53" t="str">
        <f ca="1">IF(J126&lt;&gt;"","Completed","")</f>
        <v/>
      </c>
    </row>
    <row r="129" spans="1:10" ht="15.75" customHeight="1" x14ac:dyDescent="0.25">
      <c r="A129" s="73" t="s">
        <v>50</v>
      </c>
      <c r="B129" s="74"/>
      <c r="C129" s="63" t="s">
        <v>144</v>
      </c>
      <c r="D129" s="63" t="s">
        <v>85</v>
      </c>
      <c r="E129" s="74" t="s">
        <v>87</v>
      </c>
      <c r="F129" s="74"/>
      <c r="G129" s="74" t="s">
        <v>86</v>
      </c>
      <c r="H129" s="95"/>
      <c r="I129" s="14" t="s">
        <v>146</v>
      </c>
      <c r="J129" s="28">
        <f ca="1">H127*25%</f>
        <v>1.75</v>
      </c>
    </row>
    <row r="130" spans="1:10" x14ac:dyDescent="0.25">
      <c r="A130" s="73" t="s">
        <v>133</v>
      </c>
      <c r="B130" s="74"/>
      <c r="C130" s="63">
        <f ca="1">J131</f>
        <v>7</v>
      </c>
      <c r="D130" s="19">
        <f ca="1">((100/H127)*C130)/100</f>
        <v>1</v>
      </c>
      <c r="E130" s="96">
        <f ca="1">(((C131/H127*10)+(40/(D127+F127+H127)*C132)+(7.5/(H127)*C133)+(7.5/(H127)*C134)+(10/H127*C135)+(10/H127*C136)+(5/H127*C137)+(5/H127*C138)+(5/H127*C139))/100)</f>
        <v>1</v>
      </c>
      <c r="F130" s="97"/>
      <c r="G130" s="96">
        <f ca="1">((((C130/H127)*20)+((C131/H127)*25)+(30/(H127+F127+D127)*C132)+(5/H127*C133)+(5/H127*C134)+(5/H127*C135)+(5/H127*C136)+(0/H127*C137)+(0/H127*C138)+(5/H127*C139))/100)</f>
        <v>1</v>
      </c>
      <c r="H130" s="102"/>
      <c r="I130" s="14" t="s">
        <v>103</v>
      </c>
      <c r="J130" s="29">
        <f ca="1">H127*50%</f>
        <v>3.5</v>
      </c>
    </row>
    <row r="131" spans="1:10" x14ac:dyDescent="0.25">
      <c r="A131" s="73" t="s">
        <v>51</v>
      </c>
      <c r="B131" s="74"/>
      <c r="C131" s="63">
        <f ca="1">J139</f>
        <v>7</v>
      </c>
      <c r="D131" s="19">
        <f ca="1">((100/H127)*C131)/100</f>
        <v>1</v>
      </c>
      <c r="E131" s="98"/>
      <c r="F131" s="99"/>
      <c r="G131" s="98"/>
      <c r="H131" s="103"/>
      <c r="I131" s="14" t="s">
        <v>104</v>
      </c>
      <c r="J131" s="29">
        <f ca="1">H127</f>
        <v>7</v>
      </c>
    </row>
    <row r="132" spans="1:10" ht="15.75" customHeight="1" x14ac:dyDescent="0.25">
      <c r="A132" s="73" t="s">
        <v>134</v>
      </c>
      <c r="B132" s="74"/>
      <c r="C132" s="63">
        <f ca="1">D127+H127</f>
        <v>8</v>
      </c>
      <c r="D132" s="19">
        <f ca="1">((100/(D127+F127+H127))*C132)/100</f>
        <v>1</v>
      </c>
      <c r="E132" s="98"/>
      <c r="F132" s="99"/>
      <c r="G132" s="98"/>
      <c r="H132" s="103"/>
      <c r="I132" s="14" t="s">
        <v>105</v>
      </c>
      <c r="J132" s="30">
        <f ca="1">(IF(B127&gt;1,(H127/(B127+2)),H127/4))</f>
        <v>1.75</v>
      </c>
    </row>
    <row r="133" spans="1:10" ht="15.75" customHeight="1" x14ac:dyDescent="0.25">
      <c r="A133" s="73" t="s">
        <v>141</v>
      </c>
      <c r="B133" s="74" t="s">
        <v>135</v>
      </c>
      <c r="C133" s="63">
        <v>7</v>
      </c>
      <c r="D133" s="19">
        <f ca="1">((100/H127)*C133)/100</f>
        <v>1</v>
      </c>
      <c r="E133" s="98"/>
      <c r="F133" s="99"/>
      <c r="G133" s="98"/>
      <c r="H133" s="103"/>
      <c r="I133" s="14" t="s">
        <v>106</v>
      </c>
      <c r="J133" s="30">
        <f ca="1">(IF(B127&gt;1,(H127/(B127+2)+J132),H127/4+J132))</f>
        <v>3.5</v>
      </c>
    </row>
    <row r="134" spans="1:10" ht="15.75" customHeight="1" x14ac:dyDescent="0.25">
      <c r="A134" s="73" t="s">
        <v>142</v>
      </c>
      <c r="B134" s="74" t="s">
        <v>135</v>
      </c>
      <c r="C134" s="63">
        <v>7</v>
      </c>
      <c r="D134" s="19">
        <f ca="1">((100/H127)*C134)/100</f>
        <v>1</v>
      </c>
      <c r="E134" s="98"/>
      <c r="F134" s="99"/>
      <c r="G134" s="98"/>
      <c r="H134" s="103"/>
      <c r="I134" s="14" t="s">
        <v>151</v>
      </c>
      <c r="J134" s="30">
        <f>(IF(B127&gt;1,(H127/(B127+2)+J133),0))</f>
        <v>0</v>
      </c>
    </row>
    <row r="135" spans="1:10" ht="15" customHeight="1" x14ac:dyDescent="0.25">
      <c r="A135" s="73" t="s">
        <v>140</v>
      </c>
      <c r="B135" s="74" t="s">
        <v>137</v>
      </c>
      <c r="C135" s="63">
        <v>7</v>
      </c>
      <c r="D135" s="19">
        <f ca="1">((100/(H127))*C135)/100</f>
        <v>1</v>
      </c>
      <c r="E135" s="98"/>
      <c r="F135" s="99"/>
      <c r="G135" s="98"/>
      <c r="H135" s="103"/>
      <c r="I135" s="14" t="s">
        <v>148</v>
      </c>
      <c r="J135" s="30">
        <f>(IF(B127&gt;2,(H127/(B127+2)+J134),0))</f>
        <v>0</v>
      </c>
    </row>
    <row r="136" spans="1:10" ht="15.75" customHeight="1" x14ac:dyDescent="0.25">
      <c r="A136" s="73" t="s">
        <v>136</v>
      </c>
      <c r="B136" s="74" t="s">
        <v>136</v>
      </c>
      <c r="C136" s="63">
        <v>7</v>
      </c>
      <c r="D136" s="19">
        <f ca="1">((100/H127)*C136)/100</f>
        <v>1</v>
      </c>
      <c r="E136" s="98"/>
      <c r="F136" s="99"/>
      <c r="G136" s="98"/>
      <c r="H136" s="103"/>
      <c r="I136" s="14" t="s">
        <v>149</v>
      </c>
      <c r="J136" s="31">
        <f>(IF(B127&gt;3,(H127/(B127+2)+J135),0))</f>
        <v>0</v>
      </c>
    </row>
    <row r="137" spans="1:10" ht="15.75" customHeight="1" x14ac:dyDescent="0.25">
      <c r="A137" s="73" t="s">
        <v>143</v>
      </c>
      <c r="B137" s="74"/>
      <c r="C137" s="63">
        <v>7</v>
      </c>
      <c r="D137" s="19">
        <f ca="1">((100/H127)*C137)/100</f>
        <v>1</v>
      </c>
      <c r="E137" s="98"/>
      <c r="F137" s="99"/>
      <c r="G137" s="98"/>
      <c r="H137" s="103"/>
      <c r="I137" s="14" t="s">
        <v>150</v>
      </c>
      <c r="J137" s="30">
        <f>(IF(B127&gt;4,(H127/(B127+2)+J136),0))</f>
        <v>0</v>
      </c>
    </row>
    <row r="138" spans="1:10" ht="15.75" customHeight="1" x14ac:dyDescent="0.25">
      <c r="A138" s="73" t="s">
        <v>138</v>
      </c>
      <c r="B138" s="74" t="s">
        <v>138</v>
      </c>
      <c r="C138" s="63">
        <v>7</v>
      </c>
      <c r="D138" s="19">
        <f ca="1">((100/(H127))*C138)/100</f>
        <v>1</v>
      </c>
      <c r="E138" s="98"/>
      <c r="F138" s="99"/>
      <c r="G138" s="98"/>
      <c r="H138" s="103"/>
      <c r="I138" s="14" t="s">
        <v>152</v>
      </c>
      <c r="J138" s="30">
        <f ca="1">(IF(B127=1,(H127/(B127+3)+J133),IF(B127=0,(H127/4+J133),IF(B127&gt;1,0))))</f>
        <v>5.25</v>
      </c>
    </row>
    <row r="139" spans="1:10" ht="16.5" thickBot="1" x14ac:dyDescent="0.3">
      <c r="A139" s="75" t="s">
        <v>139</v>
      </c>
      <c r="B139" s="76"/>
      <c r="C139" s="64">
        <v>7</v>
      </c>
      <c r="D139" s="20">
        <f ca="1">((100/(H127))*C139)/100</f>
        <v>1</v>
      </c>
      <c r="E139" s="100"/>
      <c r="F139" s="101"/>
      <c r="G139" s="100"/>
      <c r="H139" s="104"/>
      <c r="I139" s="15" t="s">
        <v>107</v>
      </c>
      <c r="J139" s="32">
        <f ca="1">(IF(B127&gt;1.5,(H127/(B127+2)+J133+MAX(0,J134-J133)+MAX(0,J135-J134)+MAX(0,J136-J135)+MAX(0,J137-J136)+MAX(0,J138-J137)),IF(B127=1,(H127/(B127+3)+J138),IF(B127=0,H127/4+J138))))</f>
        <v>7</v>
      </c>
    </row>
    <row r="140" spans="1:10" x14ac:dyDescent="0.25">
      <c r="A140" s="127" t="s">
        <v>162</v>
      </c>
      <c r="B140" s="127"/>
      <c r="C140" s="127"/>
      <c r="D140" s="127"/>
      <c r="E140" s="127"/>
      <c r="F140" s="194" t="s">
        <v>166</v>
      </c>
      <c r="G140" s="194"/>
      <c r="H140" s="194"/>
    </row>
    <row r="141" spans="1:10" x14ac:dyDescent="0.25">
      <c r="A141" s="105" t="s">
        <v>165</v>
      </c>
      <c r="B141" s="105"/>
      <c r="C141" s="105"/>
      <c r="D141" s="105"/>
      <c r="E141" s="105"/>
      <c r="F141" s="116">
        <v>4000</v>
      </c>
      <c r="G141" s="116"/>
      <c r="H141" s="116"/>
    </row>
    <row r="142" spans="1:10" hidden="1" x14ac:dyDescent="0.25">
      <c r="A142" s="105" t="s">
        <v>164</v>
      </c>
      <c r="B142" s="105"/>
      <c r="C142" s="105"/>
      <c r="D142" s="105"/>
      <c r="E142" s="105"/>
      <c r="F142" s="116"/>
      <c r="G142" s="116"/>
      <c r="H142" s="116"/>
    </row>
    <row r="143" spans="1:10" s="33" customFormat="1" hidden="1" x14ac:dyDescent="0.25">
      <c r="A143" s="105" t="s">
        <v>163</v>
      </c>
      <c r="B143" s="105"/>
      <c r="C143" s="105"/>
      <c r="D143" s="105"/>
      <c r="E143" s="105"/>
      <c r="F143" s="116"/>
      <c r="G143" s="116"/>
      <c r="H143" s="116"/>
    </row>
    <row r="144" spans="1:10" s="33" customFormat="1" hidden="1" x14ac:dyDescent="0.25">
      <c r="A144" s="105" t="s">
        <v>97</v>
      </c>
      <c r="B144" s="105"/>
      <c r="C144" s="105"/>
      <c r="D144" s="105"/>
      <c r="E144" s="105"/>
      <c r="F144" s="116"/>
      <c r="G144" s="116"/>
      <c r="H144" s="116"/>
    </row>
    <row r="145" spans="1:8" s="33" customFormat="1" hidden="1" x14ac:dyDescent="0.25">
      <c r="A145" s="105" t="s">
        <v>98</v>
      </c>
      <c r="B145" s="105"/>
      <c r="C145" s="105"/>
      <c r="D145" s="105"/>
      <c r="E145" s="105"/>
      <c r="F145" s="116"/>
      <c r="G145" s="116"/>
      <c r="H145" s="116"/>
    </row>
    <row r="146" spans="1:8" s="33" customFormat="1" hidden="1" x14ac:dyDescent="0.25">
      <c r="A146" s="105" t="s">
        <v>167</v>
      </c>
      <c r="B146" s="105"/>
      <c r="C146" s="105"/>
      <c r="D146" s="105"/>
      <c r="E146" s="105"/>
      <c r="F146" s="116"/>
      <c r="G146" s="116"/>
      <c r="H146" s="116"/>
    </row>
    <row r="147" spans="1:8" s="33" customFormat="1" hidden="1" x14ac:dyDescent="0.25">
      <c r="A147" s="105" t="s">
        <v>99</v>
      </c>
      <c r="B147" s="105"/>
      <c r="C147" s="105"/>
      <c r="D147" s="105"/>
      <c r="E147" s="105"/>
      <c r="F147" s="116"/>
      <c r="G147" s="116"/>
      <c r="H147" s="116"/>
    </row>
    <row r="148" spans="1:8" s="33" customFormat="1" hidden="1" x14ac:dyDescent="0.25">
      <c r="A148" s="105" t="s">
        <v>100</v>
      </c>
      <c r="B148" s="105"/>
      <c r="C148" s="105"/>
      <c r="D148" s="105"/>
      <c r="E148" s="105"/>
      <c r="F148" s="116"/>
      <c r="G148" s="116"/>
      <c r="H148" s="116"/>
    </row>
    <row r="149" spans="1:8" s="33" customFormat="1" hidden="1" x14ac:dyDescent="0.25">
      <c r="A149" s="105" t="s">
        <v>101</v>
      </c>
      <c r="B149" s="105"/>
      <c r="C149" s="105"/>
      <c r="D149" s="105"/>
      <c r="E149" s="105"/>
      <c r="F149" s="116"/>
      <c r="G149" s="116"/>
      <c r="H149" s="116"/>
    </row>
    <row r="150" spans="1:8" s="33" customFormat="1" hidden="1" x14ac:dyDescent="0.25">
      <c r="A150" s="105" t="s">
        <v>102</v>
      </c>
      <c r="B150" s="105"/>
      <c r="C150" s="105"/>
      <c r="D150" s="105"/>
      <c r="E150" s="105"/>
      <c r="F150" s="116"/>
      <c r="G150" s="116"/>
      <c r="H150" s="116"/>
    </row>
    <row r="151" spans="1:8" x14ac:dyDescent="0.25">
      <c r="A151" s="105" t="s">
        <v>52</v>
      </c>
      <c r="B151" s="105"/>
      <c r="C151" s="105"/>
      <c r="D151" s="105"/>
      <c r="E151" s="105"/>
      <c r="F151" s="116">
        <v>200000</v>
      </c>
      <c r="G151" s="116"/>
      <c r="H151" s="116"/>
    </row>
    <row r="152" spans="1:8" s="34" customFormat="1" x14ac:dyDescent="0.25">
      <c r="A152" s="159" t="s">
        <v>53</v>
      </c>
      <c r="B152" s="159"/>
      <c r="C152" s="159"/>
      <c r="D152" s="159"/>
      <c r="E152" s="159"/>
      <c r="F152" s="116">
        <f>F141*0.8</f>
        <v>3200</v>
      </c>
      <c r="G152" s="116"/>
      <c r="H152" s="116"/>
    </row>
    <row r="153" spans="1:8" s="35" customFormat="1" ht="15.75" hidden="1" customHeight="1" x14ac:dyDescent="0.25">
      <c r="A153" s="189" t="s">
        <v>77</v>
      </c>
      <c r="B153" s="189"/>
      <c r="C153" s="189"/>
      <c r="D153" s="189"/>
      <c r="E153" s="189"/>
      <c r="F153" s="189"/>
      <c r="G153" s="189"/>
      <c r="H153" s="189"/>
    </row>
    <row r="154" spans="1:8" s="35" customFormat="1" ht="15.75" hidden="1" customHeight="1" x14ac:dyDescent="0.25">
      <c r="A154" s="154" t="s">
        <v>54</v>
      </c>
      <c r="B154" s="154"/>
      <c r="C154" s="192" t="s">
        <v>80</v>
      </c>
      <c r="D154" s="192"/>
      <c r="E154" s="193" t="s">
        <v>55</v>
      </c>
      <c r="F154" s="193"/>
      <c r="G154" s="154" t="s">
        <v>56</v>
      </c>
      <c r="H154" s="154"/>
    </row>
    <row r="155" spans="1:8" s="35" customFormat="1" hidden="1" x14ac:dyDescent="0.25">
      <c r="A155" s="190"/>
      <c r="B155" s="190"/>
      <c r="C155" s="153"/>
      <c r="D155" s="153"/>
      <c r="E155" s="126"/>
      <c r="F155" s="126"/>
      <c r="G155" s="155"/>
      <c r="H155" s="155"/>
    </row>
    <row r="156" spans="1:8" s="35" customFormat="1" hidden="1" x14ac:dyDescent="0.25">
      <c r="A156" s="190"/>
      <c r="B156" s="190"/>
      <c r="C156" s="153"/>
      <c r="D156" s="153"/>
      <c r="E156" s="126"/>
      <c r="F156" s="126"/>
      <c r="G156" s="155"/>
      <c r="H156" s="155"/>
    </row>
    <row r="157" spans="1:8" s="35" customFormat="1" hidden="1" x14ac:dyDescent="0.25">
      <c r="A157" s="189" t="s">
        <v>155</v>
      </c>
      <c r="B157" s="189"/>
      <c r="C157" s="192"/>
      <c r="D157" s="192"/>
      <c r="E157" s="193"/>
      <c r="F157" s="193"/>
      <c r="G157" s="154"/>
      <c r="H157" s="154"/>
    </row>
    <row r="158" spans="1:8" s="35" customFormat="1" x14ac:dyDescent="0.25">
      <c r="A158" s="189" t="s">
        <v>71</v>
      </c>
      <c r="B158" s="189"/>
      <c r="C158" s="189"/>
      <c r="D158" s="189"/>
      <c r="E158" s="189"/>
      <c r="F158" s="189"/>
      <c r="G158" s="189"/>
      <c r="H158" s="189"/>
    </row>
    <row r="159" spans="1:8" s="35" customFormat="1" ht="15.75" customHeight="1" x14ac:dyDescent="0.25">
      <c r="A159" s="154" t="s">
        <v>54</v>
      </c>
      <c r="B159" s="154"/>
      <c r="C159" s="192" t="s">
        <v>80</v>
      </c>
      <c r="D159" s="192"/>
      <c r="E159" s="193" t="s">
        <v>55</v>
      </c>
      <c r="F159" s="193"/>
      <c r="G159" s="154" t="s">
        <v>56</v>
      </c>
      <c r="H159" s="154"/>
    </row>
    <row r="160" spans="1:8" s="35" customFormat="1" x14ac:dyDescent="0.25">
      <c r="A160" s="190" t="s">
        <v>214</v>
      </c>
      <c r="B160" s="190"/>
      <c r="C160" s="153">
        <f>COUNT(D182:D185)+COUNT(D187:D190)*7</f>
        <v>32</v>
      </c>
      <c r="D160" s="153"/>
      <c r="E160" s="125">
        <f>SUM(D182:D185)+SUM(D187:D190)*7</f>
        <v>11782.748016</v>
      </c>
      <c r="F160" s="125"/>
      <c r="G160" s="125">
        <f>SUM(F182:F185)+SUM(F187:F190)*7</f>
        <v>17674.122023999997</v>
      </c>
      <c r="H160" s="125"/>
    </row>
    <row r="161" spans="1:14" s="35" customFormat="1" x14ac:dyDescent="0.25">
      <c r="A161" s="152" t="s">
        <v>215</v>
      </c>
      <c r="B161" s="152"/>
      <c r="C161" s="153">
        <f>COUNT(D193:D196)+COUNT(D198:D201)*7</f>
        <v>32</v>
      </c>
      <c r="D161" s="153"/>
      <c r="E161" s="125">
        <f>SUM(D193:D196)+SUM(D198:D201)*7</f>
        <v>11782.748016</v>
      </c>
      <c r="F161" s="125"/>
      <c r="G161" s="125">
        <f>SUM(F193:F196)+SUM(F198:F201)*7</f>
        <v>17674.122023999997</v>
      </c>
      <c r="H161" s="125"/>
    </row>
    <row r="162" spans="1:14" s="35" customFormat="1" ht="15.75" customHeight="1" x14ac:dyDescent="0.25">
      <c r="A162" s="152" t="s">
        <v>216</v>
      </c>
      <c r="B162" s="152"/>
      <c r="C162" s="153">
        <f>COUNT(D204:D207)+COUNT(D209:D212)*7</f>
        <v>32</v>
      </c>
      <c r="D162" s="153"/>
      <c r="E162" s="125">
        <f>SUM(D204:D207)+SUM(D209:D212)*7</f>
        <v>11782.748016</v>
      </c>
      <c r="F162" s="126"/>
      <c r="G162" s="125">
        <f>SUM(F204:F207)+SUM(F209:F212)*7</f>
        <v>17674.122023999997</v>
      </c>
      <c r="H162" s="126"/>
    </row>
    <row r="163" spans="1:14" s="35" customFormat="1" ht="15.75" customHeight="1" x14ac:dyDescent="0.25">
      <c r="A163" s="152" t="s">
        <v>217</v>
      </c>
      <c r="B163" s="152"/>
      <c r="C163" s="153">
        <f>COUNT(D215:D218)+COUNT(D220:D223)*7</f>
        <v>32</v>
      </c>
      <c r="D163" s="153"/>
      <c r="E163" s="125">
        <f>SUM(D215:D218)+SUM(D220:D223)*7</f>
        <v>11874.887855999999</v>
      </c>
      <c r="F163" s="126"/>
      <c r="G163" s="125">
        <f>SUM(F215:F218)+SUM(F220:F223)*7</f>
        <v>17812.331783999998</v>
      </c>
      <c r="H163" s="126"/>
    </row>
    <row r="164" spans="1:14" s="35" customFormat="1" ht="15.75" customHeight="1" x14ac:dyDescent="0.25">
      <c r="A164" s="152" t="s">
        <v>218</v>
      </c>
      <c r="B164" s="152"/>
      <c r="C164" s="153">
        <f>COUNT(D226:D229)+COUNT(D231:D234)*7</f>
        <v>32</v>
      </c>
      <c r="D164" s="153"/>
      <c r="E164" s="125">
        <f>SUM(D226:D229)+SUM(D231:D234)*7</f>
        <v>14046.384923999998</v>
      </c>
      <c r="F164" s="126"/>
      <c r="G164" s="125">
        <f>SUM(F226:F229)+SUM(F231:F234)*7</f>
        <v>21069.577385999997</v>
      </c>
      <c r="H164" s="126"/>
    </row>
    <row r="165" spans="1:14" s="35" customFormat="1" ht="16.5" thickBot="1" x14ac:dyDescent="0.3">
      <c r="A165" s="143" t="s">
        <v>155</v>
      </c>
      <c r="B165" s="143"/>
      <c r="C165" s="205">
        <f>SUM(C160:D164)</f>
        <v>160</v>
      </c>
      <c r="D165" s="205"/>
      <c r="E165" s="201">
        <f>SUM(E160:F164)</f>
        <v>61269.516828</v>
      </c>
      <c r="F165" s="202"/>
      <c r="G165" s="199">
        <f>SUM(G160:H164)</f>
        <v>91904.275241999974</v>
      </c>
      <c r="H165" s="200"/>
    </row>
    <row r="166" spans="1:14" s="35" customFormat="1" ht="16.5" thickBot="1" x14ac:dyDescent="0.3">
      <c r="A166" s="206" t="s">
        <v>173</v>
      </c>
      <c r="B166" s="207"/>
      <c r="C166" s="216">
        <f>C157+C165</f>
        <v>160</v>
      </c>
      <c r="D166" s="216"/>
      <c r="E166" s="140">
        <f>E157+E165</f>
        <v>61269.516828</v>
      </c>
      <c r="F166" s="140"/>
      <c r="G166" s="141">
        <f>G157+G165</f>
        <v>91904.275241999974</v>
      </c>
      <c r="H166" s="142"/>
    </row>
    <row r="167" spans="1:14" s="34" customFormat="1" x14ac:dyDescent="0.25">
      <c r="A167" s="194" t="s">
        <v>57</v>
      </c>
      <c r="B167" s="194"/>
      <c r="C167" s="194"/>
      <c r="D167" s="194"/>
      <c r="E167" s="194"/>
      <c r="F167" s="194"/>
      <c r="G167" s="194"/>
      <c r="H167" s="194"/>
    </row>
    <row r="168" spans="1:14" hidden="1" x14ac:dyDescent="0.25">
      <c r="A168" s="139" t="s">
        <v>201</v>
      </c>
      <c r="B168" s="139"/>
      <c r="C168" s="139"/>
      <c r="D168" s="139"/>
      <c r="E168" s="139"/>
      <c r="F168" s="139"/>
      <c r="G168" s="139"/>
      <c r="H168" s="139"/>
    </row>
    <row r="169" spans="1:14" ht="47.25" hidden="1" customHeight="1" x14ac:dyDescent="0.25">
      <c r="A169" s="117" t="s">
        <v>124</v>
      </c>
      <c r="B169" s="117" t="s">
        <v>123</v>
      </c>
      <c r="C169" s="117" t="s">
        <v>58</v>
      </c>
      <c r="D169" s="117" t="s">
        <v>59</v>
      </c>
      <c r="E169" s="148" t="s">
        <v>161</v>
      </c>
      <c r="F169" s="43" t="s">
        <v>154</v>
      </c>
      <c r="G169" s="133" t="s">
        <v>61</v>
      </c>
      <c r="H169" s="150"/>
    </row>
    <row r="170" spans="1:14" s="37" customFormat="1" hidden="1" x14ac:dyDescent="0.25">
      <c r="A170" s="118"/>
      <c r="B170" s="118"/>
      <c r="C170" s="118"/>
      <c r="D170" s="118"/>
      <c r="E170" s="149"/>
      <c r="F170" s="13">
        <v>0.6</v>
      </c>
      <c r="G170" s="134"/>
      <c r="H170" s="151"/>
    </row>
    <row r="171" spans="1:14" s="37" customFormat="1" hidden="1" x14ac:dyDescent="0.25">
      <c r="A171" s="135" t="s">
        <v>122</v>
      </c>
      <c r="B171" s="136"/>
      <c r="C171" s="136"/>
      <c r="D171" s="136"/>
      <c r="E171" s="136"/>
      <c r="F171" s="136"/>
      <c r="G171" s="136"/>
      <c r="H171" s="137"/>
      <c r="J171" s="36"/>
    </row>
    <row r="172" spans="1:14" s="37" customFormat="1" hidden="1" x14ac:dyDescent="0.25">
      <c r="A172" s="131">
        <v>1</v>
      </c>
      <c r="B172" s="132"/>
      <c r="C172" s="42"/>
      <c r="D172" s="42"/>
      <c r="E172" s="42">
        <v>0</v>
      </c>
      <c r="F172" s="42">
        <f>(D172+E172)*(($F$170)+1)</f>
        <v>0</v>
      </c>
      <c r="G172" s="131" t="str">
        <f>A171</f>
        <v>Ground Floor</v>
      </c>
      <c r="H172" s="132"/>
      <c r="I172" s="36"/>
      <c r="L172" s="138"/>
      <c r="M172" s="138"/>
      <c r="N172" s="36"/>
    </row>
    <row r="173" spans="1:14" s="37" customFormat="1" hidden="1" x14ac:dyDescent="0.25">
      <c r="A173" s="131">
        <f>A172+1</f>
        <v>2</v>
      </c>
      <c r="B173" s="132"/>
      <c r="C173" s="42"/>
      <c r="D173" s="42"/>
      <c r="E173" s="42">
        <v>0</v>
      </c>
      <c r="F173" s="42">
        <f>(D173+E173)*(($F$170)+1)</f>
        <v>0</v>
      </c>
      <c r="G173" s="131" t="str">
        <f>G172</f>
        <v>Ground Floor</v>
      </c>
      <c r="H173" s="132"/>
      <c r="I173" s="36"/>
      <c r="L173" s="138"/>
      <c r="M173" s="138"/>
      <c r="N173" s="36"/>
    </row>
    <row r="174" spans="1:14" s="37" customFormat="1" hidden="1" x14ac:dyDescent="0.25">
      <c r="A174" s="131">
        <f>A173+1</f>
        <v>3</v>
      </c>
      <c r="B174" s="132"/>
      <c r="C174" s="42"/>
      <c r="D174" s="42"/>
      <c r="E174" s="42">
        <v>0</v>
      </c>
      <c r="F174" s="42">
        <f>(D174+E174)*(($F$170)+1)</f>
        <v>0</v>
      </c>
      <c r="G174" s="131" t="str">
        <f>G173</f>
        <v>Ground Floor</v>
      </c>
      <c r="H174" s="132"/>
      <c r="I174" s="36"/>
      <c r="L174" s="138"/>
      <c r="M174" s="138"/>
      <c r="N174" s="36"/>
    </row>
    <row r="175" spans="1:14" s="37" customFormat="1" hidden="1" x14ac:dyDescent="0.25">
      <c r="A175" s="131">
        <f>A174+1</f>
        <v>4</v>
      </c>
      <c r="B175" s="132"/>
      <c r="C175" s="42"/>
      <c r="D175" s="42"/>
      <c r="E175" s="42">
        <v>0</v>
      </c>
      <c r="F175" s="42">
        <f>(D175+E175)*(($F$170)+1)</f>
        <v>0</v>
      </c>
      <c r="G175" s="131" t="str">
        <f>G174</f>
        <v>Ground Floor</v>
      </c>
      <c r="H175" s="132"/>
      <c r="I175" s="36"/>
      <c r="L175" s="138"/>
      <c r="M175" s="138"/>
      <c r="N175" s="36"/>
    </row>
    <row r="176" spans="1:14" s="37" customFormat="1" hidden="1" x14ac:dyDescent="0.25">
      <c r="A176" s="131"/>
      <c r="B176" s="144"/>
      <c r="C176" s="144"/>
      <c r="D176" s="144"/>
      <c r="E176" s="144"/>
      <c r="F176" s="144"/>
      <c r="G176" s="144"/>
      <c r="H176" s="132"/>
      <c r="I176" s="36"/>
      <c r="N176" s="36"/>
    </row>
    <row r="177" spans="1:14" x14ac:dyDescent="0.25">
      <c r="A177" s="139" t="s">
        <v>202</v>
      </c>
      <c r="B177" s="139"/>
      <c r="C177" s="139"/>
      <c r="D177" s="139"/>
      <c r="E177" s="139"/>
      <c r="F177" s="139"/>
      <c r="G177" s="139"/>
      <c r="H177" s="139"/>
    </row>
    <row r="178" spans="1:14" ht="47.25" customHeight="1" x14ac:dyDescent="0.25">
      <c r="A178" s="133" t="s">
        <v>125</v>
      </c>
      <c r="B178" s="133" t="s">
        <v>126</v>
      </c>
      <c r="C178" s="117" t="s">
        <v>58</v>
      </c>
      <c r="D178" s="117" t="s">
        <v>59</v>
      </c>
      <c r="E178" s="148" t="s">
        <v>60</v>
      </c>
      <c r="F178" s="43" t="s">
        <v>154</v>
      </c>
      <c r="G178" s="133" t="s">
        <v>61</v>
      </c>
      <c r="H178" s="150"/>
      <c r="I178" s="36"/>
    </row>
    <row r="179" spans="1:14" s="37" customFormat="1" x14ac:dyDescent="0.25">
      <c r="A179" s="134"/>
      <c r="B179" s="134"/>
      <c r="C179" s="118"/>
      <c r="D179" s="118"/>
      <c r="E179" s="149"/>
      <c r="F179" s="13">
        <v>0.5</v>
      </c>
      <c r="G179" s="134"/>
      <c r="H179" s="151"/>
      <c r="I179" s="36"/>
      <c r="J179" s="72">
        <v>10.763999999999999</v>
      </c>
    </row>
    <row r="180" spans="1:14" s="57" customFormat="1" x14ac:dyDescent="0.25">
      <c r="A180" s="135" t="s">
        <v>203</v>
      </c>
      <c r="B180" s="136"/>
      <c r="C180" s="136"/>
      <c r="D180" s="136"/>
      <c r="E180" s="136"/>
      <c r="F180" s="136"/>
      <c r="G180" s="136"/>
      <c r="H180" s="137"/>
      <c r="J180" s="36"/>
    </row>
    <row r="181" spans="1:14" s="37" customFormat="1" x14ac:dyDescent="0.25">
      <c r="A181" s="135" t="s">
        <v>204</v>
      </c>
      <c r="B181" s="136"/>
      <c r="C181" s="136"/>
      <c r="D181" s="136"/>
      <c r="E181" s="136"/>
      <c r="F181" s="136"/>
      <c r="G181" s="136"/>
      <c r="H181" s="137"/>
      <c r="J181" s="36">
        <f>SUM(D182:D185)+SUM(D187:D190)*7</f>
        <v>11782.748016</v>
      </c>
    </row>
    <row r="182" spans="1:14" s="37" customFormat="1" x14ac:dyDescent="0.25">
      <c r="A182" s="131">
        <v>1</v>
      </c>
      <c r="B182" s="132"/>
      <c r="C182" s="42" t="s">
        <v>205</v>
      </c>
      <c r="D182" s="72">
        <f>(29.4)*10.764</f>
        <v>316.46159999999998</v>
      </c>
      <c r="E182" s="42">
        <v>0</v>
      </c>
      <c r="F182" s="42">
        <f>D182*(($F$179)+1)+(IF(E182&lt;101,E182,IF(E182&lt;201,E182/2,IF(E182&lt;=301,E182/3,E182/4))))</f>
        <v>474.69239999999996</v>
      </c>
      <c r="G182" s="131" t="str">
        <f>A181</f>
        <v xml:space="preserve">Ground Floor for Residential &amp; Parking </v>
      </c>
      <c r="H182" s="132"/>
      <c r="I182" s="69">
        <f>(5.29*2.74+2.7*2.81+2.74*1.07+2.3*0.3+2.75*1.04)</f>
        <v>28.563400000000001</v>
      </c>
      <c r="J182" s="70"/>
      <c r="K182" s="37">
        <f>5.29*2.74+2.74*2.81+2.74*1.07+0.23*1.9+0.23*2.35+1.04*2.7</f>
        <v>28.911300000000004</v>
      </c>
      <c r="L182" s="138"/>
      <c r="M182" s="138"/>
      <c r="N182" s="36"/>
    </row>
    <row r="183" spans="1:14" s="37" customFormat="1" x14ac:dyDescent="0.25">
      <c r="A183" s="131">
        <f>A182+1</f>
        <v>2</v>
      </c>
      <c r="B183" s="132"/>
      <c r="C183" s="42" t="s">
        <v>205</v>
      </c>
      <c r="D183" s="72">
        <f>(22.43)*10.764</f>
        <v>241.43651999999997</v>
      </c>
      <c r="E183" s="42">
        <v>0</v>
      </c>
      <c r="F183" s="42">
        <f>D183*(($F$179)+1)+(IF(E183&lt;101,E183,IF(E183&lt;201,E183/2,IF(E183&lt;=301,E183/3,E183/4))))</f>
        <v>362.15477999999996</v>
      </c>
      <c r="G183" s="131" t="str">
        <f>G182</f>
        <v xml:space="preserve">Ground Floor for Residential &amp; Parking </v>
      </c>
      <c r="H183" s="132"/>
      <c r="I183" s="69">
        <f>(2.74*4.11+2.44*2.3+2.74*1.07+0.3*2.4+2.44*0.85)</f>
        <v>22.599199999999996</v>
      </c>
      <c r="J183" s="71"/>
      <c r="K183" s="37">
        <f>2.74*4.11+2.44*2.3+2.74*1.07+0.23*2.45+0.85*2.44</f>
        <v>22.442700000000002</v>
      </c>
      <c r="L183" s="138"/>
      <c r="M183" s="138"/>
      <c r="N183" s="36"/>
    </row>
    <row r="184" spans="1:14" s="37" customFormat="1" x14ac:dyDescent="0.25">
      <c r="A184" s="131">
        <f>A183+1</f>
        <v>3</v>
      </c>
      <c r="B184" s="132"/>
      <c r="C184" s="42" t="s">
        <v>205</v>
      </c>
      <c r="D184" s="72">
        <f>(22.43)*10.764</f>
        <v>241.43651999999997</v>
      </c>
      <c r="E184" s="42">
        <v>0</v>
      </c>
      <c r="F184" s="42">
        <f>D184*(($F$179)+1)+(IF(E184&lt;101,E184,IF(E184&lt;201,E184/2,IF(E184&lt;=301,E184/3,E184/4))))</f>
        <v>362.15477999999996</v>
      </c>
      <c r="G184" s="131" t="str">
        <f>G183</f>
        <v xml:space="preserve">Ground Floor for Residential &amp; Parking </v>
      </c>
      <c r="H184" s="132"/>
      <c r="I184" s="69">
        <f>(2.74*4.11+2.44*2.3+2.74*1.2+0.3*2.4+2.44*0.85)</f>
        <v>22.955399999999997</v>
      </c>
      <c r="J184" s="71" t="s">
        <v>228</v>
      </c>
      <c r="L184" s="138"/>
      <c r="M184" s="138"/>
      <c r="N184" s="36"/>
    </row>
    <row r="185" spans="1:14" s="37" customFormat="1" x14ac:dyDescent="0.25">
      <c r="A185" s="131">
        <f>A184+1</f>
        <v>4</v>
      </c>
      <c r="B185" s="132"/>
      <c r="C185" s="42" t="s">
        <v>205</v>
      </c>
      <c r="D185" s="72">
        <f>(20.84)*10.764</f>
        <v>224.32175999999998</v>
      </c>
      <c r="E185" s="42">
        <v>0</v>
      </c>
      <c r="F185" s="42">
        <f>D185*(($F$179)+1)+(IF(E185&lt;101,E185,IF(E185&lt;201,E185/2,IF(E185&lt;=301,E185/3,E185/4))))</f>
        <v>336.48263999999995</v>
      </c>
      <c r="G185" s="131" t="str">
        <f>G184</f>
        <v xml:space="preserve">Ground Floor for Residential &amp; Parking </v>
      </c>
      <c r="H185" s="132"/>
      <c r="I185" s="69">
        <f>(2.74*3.5+2.44*2.74+2.74*1.07+0.25*1.4+2.74*0.46)</f>
        <v>20.817800000000002</v>
      </c>
      <c r="J185" s="71"/>
      <c r="L185" s="138"/>
      <c r="M185" s="138"/>
      <c r="N185" s="36"/>
    </row>
    <row r="186" spans="1:14" s="37" customFormat="1" x14ac:dyDescent="0.25">
      <c r="A186" s="135" t="s">
        <v>213</v>
      </c>
      <c r="B186" s="136"/>
      <c r="C186" s="136"/>
      <c r="D186" s="136"/>
      <c r="E186" s="136"/>
      <c r="F186" s="136"/>
      <c r="G186" s="136"/>
      <c r="H186" s="137"/>
      <c r="I186" s="36"/>
    </row>
    <row r="187" spans="1:14" s="37" customFormat="1" x14ac:dyDescent="0.25">
      <c r="A187" s="131">
        <v>1</v>
      </c>
      <c r="B187" s="132"/>
      <c r="C187" s="42" t="s">
        <v>205</v>
      </c>
      <c r="D187" s="72">
        <f>(29.4+1.2*2.74+0.75*2.7)*10.764</f>
        <v>373.650732</v>
      </c>
      <c r="E187" s="42">
        <v>0</v>
      </c>
      <c r="F187" s="42">
        <f>D187*(($F$179)+1)+(IF(E187&lt;101,E187,IF(E187&lt;201,E187/2,IF(E187&lt;=301,E187/3,E187/4))))</f>
        <v>560.47609799999998</v>
      </c>
      <c r="G187" s="131" t="str">
        <f>A186</f>
        <v>1st to 7th Floor for Residential</v>
      </c>
      <c r="H187" s="132"/>
      <c r="I187" s="62">
        <f>(5.29*2.74+2.7*2.81+2.74*1.07+2.3*0.3+2.75*1.04+2.75*0.75+2.74*2.81)</f>
        <v>38.325299999999999</v>
      </c>
      <c r="J187" s="37">
        <f>5.29*2.74+2.74*2.81+0.23*2.3+2.74*1.07+0.23*1.4+1.04*2.7</f>
        <v>28.784800000000001</v>
      </c>
    </row>
    <row r="188" spans="1:14" s="37" customFormat="1" x14ac:dyDescent="0.25">
      <c r="A188" s="131">
        <v>2</v>
      </c>
      <c r="B188" s="132"/>
      <c r="C188" s="42" t="s">
        <v>207</v>
      </c>
      <c r="D188" s="72">
        <f>(31.34+1.2*2.74+0.75*2.74)*10.764</f>
        <v>394.85581199999996</v>
      </c>
      <c r="E188" s="42">
        <v>0</v>
      </c>
      <c r="F188" s="42">
        <f>D188*(($F$179)+1)+(IF(E188&lt;101,E188,IF(E188&lt;201,E188/2,IF(E188&lt;=301,E188/3,E188/4))))</f>
        <v>592.28371799999991</v>
      </c>
      <c r="G188" s="131" t="str">
        <f>G187</f>
        <v>1st to 7th Floor for Residential</v>
      </c>
      <c r="H188" s="132"/>
      <c r="I188" s="62">
        <f>(2.74*3.65+2.44*2.3+2.74*2.81+2.74*1.07+2.3*0.4+2.44*0.85+2.74*0.61+2.74*0.75+2.74*1.2)</f>
        <v>36.252600000000001</v>
      </c>
      <c r="J188" s="37">
        <f>2.74*3.65+2.44*2.3+2.74*2.81+2.74*1.07+0.61*2.74+2.44*0.85+0.23*2.35</f>
        <v>30.530099999999997</v>
      </c>
    </row>
    <row r="189" spans="1:14" s="37" customFormat="1" x14ac:dyDescent="0.25">
      <c r="A189" s="131">
        <v>3</v>
      </c>
      <c r="B189" s="132"/>
      <c r="C189" s="42" t="s">
        <v>207</v>
      </c>
      <c r="D189" s="72">
        <f>(31.34+1.2*2.74+0.75*2.74)*10.764</f>
        <v>394.85581199999996</v>
      </c>
      <c r="E189" s="42">
        <v>0</v>
      </c>
      <c r="F189" s="42">
        <f>D189*(($F$179)+1)+(IF(E189&lt;101,E189,IF(E189&lt;201,E189/2,IF(E189&lt;=301,E189/3,E189/4))))</f>
        <v>592.28371799999991</v>
      </c>
      <c r="G189" s="131" t="str">
        <f>G188</f>
        <v>1st to 7th Floor for Residential</v>
      </c>
      <c r="H189" s="132"/>
      <c r="I189" s="62">
        <f>(2.74*3.65+2.44*2.3+2.74*2.81+2.74*1.07+2.3*0.4+2.44*0.85+2.74*0.61+2.74*0.75+2.74*1.2)</f>
        <v>36.252600000000001</v>
      </c>
    </row>
    <row r="190" spans="1:14" s="37" customFormat="1" x14ac:dyDescent="0.25">
      <c r="A190" s="131">
        <v>4</v>
      </c>
      <c r="B190" s="132"/>
      <c r="C190" s="42" t="s">
        <v>205</v>
      </c>
      <c r="D190" s="72">
        <f>(29.4+1.2*2.74+0.75*2.7)*10.764</f>
        <v>373.650732</v>
      </c>
      <c r="E190" s="42">
        <v>0</v>
      </c>
      <c r="F190" s="42">
        <f>D190*(($F$179)+1)+(IF(E190&lt;101,E190,IF(E190&lt;201,E190/2,IF(E190&lt;=301,E190/3,E190/4))))</f>
        <v>560.47609799999998</v>
      </c>
      <c r="G190" s="131" t="str">
        <f>G189</f>
        <v>1st to 7th Floor for Residential</v>
      </c>
      <c r="H190" s="132"/>
      <c r="I190" s="62">
        <f>(5.29*2.74+2.7*2.81+2.74*1.07+2.3*0.3+2.75*1.04+2.75*0.75+2.74*2.81)</f>
        <v>38.325299999999999</v>
      </c>
    </row>
    <row r="191" spans="1:14" s="60" customFormat="1" x14ac:dyDescent="0.25">
      <c r="A191" s="135" t="s">
        <v>208</v>
      </c>
      <c r="B191" s="136"/>
      <c r="C191" s="136"/>
      <c r="D191" s="136"/>
      <c r="E191" s="136"/>
      <c r="F191" s="136"/>
      <c r="G191" s="136"/>
      <c r="H191" s="137"/>
      <c r="J191" s="36"/>
    </row>
    <row r="192" spans="1:14" s="60" customFormat="1" x14ac:dyDescent="0.25">
      <c r="A192" s="135" t="s">
        <v>204</v>
      </c>
      <c r="B192" s="136"/>
      <c r="C192" s="136"/>
      <c r="D192" s="136"/>
      <c r="E192" s="136"/>
      <c r="F192" s="136"/>
      <c r="G192" s="136"/>
      <c r="H192" s="137"/>
      <c r="J192" s="36"/>
    </row>
    <row r="193" spans="1:14" s="60" customFormat="1" x14ac:dyDescent="0.25">
      <c r="A193" s="131">
        <v>1</v>
      </c>
      <c r="B193" s="132"/>
      <c r="C193" s="58" t="s">
        <v>205</v>
      </c>
      <c r="D193" s="72">
        <f>(29.4)*10.764</f>
        <v>316.46159999999998</v>
      </c>
      <c r="E193" s="58">
        <v>0</v>
      </c>
      <c r="F193" s="58">
        <f>D193*(($F$179)+1)+(IF(E193&lt;101,E193,IF(E193&lt;201,E193/2,IF(E193&lt;=301,E193/3,E193/4))))</f>
        <v>474.69239999999996</v>
      </c>
      <c r="G193" s="131" t="str">
        <f>A192</f>
        <v xml:space="preserve">Ground Floor for Residential &amp; Parking </v>
      </c>
      <c r="H193" s="132"/>
      <c r="I193" s="36"/>
      <c r="J193" s="61"/>
      <c r="L193" s="138"/>
      <c r="M193" s="138"/>
      <c r="N193" s="36"/>
    </row>
    <row r="194" spans="1:14" s="60" customFormat="1" x14ac:dyDescent="0.25">
      <c r="A194" s="131">
        <f>A193+1</f>
        <v>2</v>
      </c>
      <c r="B194" s="132"/>
      <c r="C194" s="58" t="s">
        <v>205</v>
      </c>
      <c r="D194" s="72">
        <f>(22.43)*10.764</f>
        <v>241.43651999999997</v>
      </c>
      <c r="E194" s="58">
        <v>0</v>
      </c>
      <c r="F194" s="58">
        <f>D194*(($F$179)+1)+(IF(E194&lt;101,E194,IF(E194&lt;201,E194/2,IF(E194&lt;=301,E194/3,E194/4))))</f>
        <v>362.15477999999996</v>
      </c>
      <c r="G194" s="131" t="str">
        <f>G193</f>
        <v xml:space="preserve">Ground Floor for Residential &amp; Parking </v>
      </c>
      <c r="H194" s="132"/>
      <c r="I194" s="36"/>
      <c r="J194" s="61"/>
      <c r="L194" s="138"/>
      <c r="M194" s="138"/>
      <c r="N194" s="36"/>
    </row>
    <row r="195" spans="1:14" s="60" customFormat="1" x14ac:dyDescent="0.25">
      <c r="A195" s="131">
        <f>A194+1</f>
        <v>3</v>
      </c>
      <c r="B195" s="132"/>
      <c r="C195" s="58" t="s">
        <v>205</v>
      </c>
      <c r="D195" s="72">
        <f>(22.43)*10.764</f>
        <v>241.43651999999997</v>
      </c>
      <c r="E195" s="58">
        <v>0</v>
      </c>
      <c r="F195" s="58">
        <f>D195*(($F$179)+1)+(IF(E195&lt;101,E195,IF(E195&lt;201,E195/2,IF(E195&lt;=301,E195/3,E195/4))))</f>
        <v>362.15477999999996</v>
      </c>
      <c r="G195" s="131" t="str">
        <f>G194</f>
        <v xml:space="preserve">Ground Floor for Residential &amp; Parking </v>
      </c>
      <c r="H195" s="132"/>
      <c r="I195" s="36"/>
      <c r="J195" s="61"/>
      <c r="L195" s="138"/>
      <c r="M195" s="138"/>
      <c r="N195" s="36"/>
    </row>
    <row r="196" spans="1:14" s="60" customFormat="1" x14ac:dyDescent="0.25">
      <c r="A196" s="131">
        <f>A195+1</f>
        <v>4</v>
      </c>
      <c r="B196" s="132"/>
      <c r="C196" s="58" t="s">
        <v>205</v>
      </c>
      <c r="D196" s="72">
        <f>(20.84)*10.764</f>
        <v>224.32175999999998</v>
      </c>
      <c r="E196" s="58">
        <v>0</v>
      </c>
      <c r="F196" s="58">
        <f>D196*(($F$179)+1)+(IF(E196&lt;101,E196,IF(E196&lt;201,E196/2,IF(E196&lt;=301,E196/3,E196/4))))</f>
        <v>336.48263999999995</v>
      </c>
      <c r="G196" s="131" t="str">
        <f>G195</f>
        <v xml:space="preserve">Ground Floor for Residential &amp; Parking </v>
      </c>
      <c r="H196" s="132"/>
      <c r="I196" s="36"/>
      <c r="J196" s="61"/>
      <c r="L196" s="138"/>
      <c r="M196" s="138"/>
      <c r="N196" s="36"/>
    </row>
    <row r="197" spans="1:14" s="60" customFormat="1" x14ac:dyDescent="0.25">
      <c r="A197" s="135" t="s">
        <v>213</v>
      </c>
      <c r="B197" s="136"/>
      <c r="C197" s="136"/>
      <c r="D197" s="136"/>
      <c r="E197" s="136"/>
      <c r="F197" s="136"/>
      <c r="G197" s="136"/>
      <c r="H197" s="137"/>
      <c r="I197" s="36"/>
    </row>
    <row r="198" spans="1:14" s="60" customFormat="1" ht="15.75" customHeight="1" x14ac:dyDescent="0.25">
      <c r="A198" s="131">
        <v>1</v>
      </c>
      <c r="B198" s="132"/>
      <c r="C198" s="62" t="s">
        <v>205</v>
      </c>
      <c r="D198" s="72">
        <f>(29.4+1.2*2.74+0.75*2.7)*10.764</f>
        <v>373.650732</v>
      </c>
      <c r="E198" s="58">
        <v>0</v>
      </c>
      <c r="F198" s="58">
        <f>D198*(($F$179)+1)+(IF(E198&lt;101,E198,IF(E198&lt;201,E198/2,IF(E198&lt;=301,E198/3,E198/4))))</f>
        <v>560.47609799999998</v>
      </c>
      <c r="G198" s="131" t="str">
        <f>A197</f>
        <v>1st to 7th Floor for Residential</v>
      </c>
      <c r="H198" s="132"/>
      <c r="I198" s="36"/>
    </row>
    <row r="199" spans="1:14" s="37" customFormat="1" x14ac:dyDescent="0.25">
      <c r="A199" s="131">
        <v>2</v>
      </c>
      <c r="B199" s="132"/>
      <c r="C199" s="62" t="s">
        <v>207</v>
      </c>
      <c r="D199" s="72">
        <f>(31.34+1.2*2.74+0.75*2.74)*10.764</f>
        <v>394.85581199999996</v>
      </c>
      <c r="E199" s="42">
        <v>0</v>
      </c>
      <c r="F199" s="42">
        <f>D199*(($F$179)+1)+(IF(E199&lt;101,E199,IF(E199&lt;201,E199/2,IF(E199&lt;=301,E199/3,E199/4))))</f>
        <v>592.28371799999991</v>
      </c>
      <c r="G199" s="131" t="str">
        <f>G198</f>
        <v>1st to 7th Floor for Residential</v>
      </c>
      <c r="H199" s="132"/>
      <c r="I199" s="36"/>
    </row>
    <row r="200" spans="1:14" s="37" customFormat="1" x14ac:dyDescent="0.25">
      <c r="A200" s="131">
        <v>3</v>
      </c>
      <c r="B200" s="132"/>
      <c r="C200" s="62" t="s">
        <v>207</v>
      </c>
      <c r="D200" s="72">
        <f>(31.34+1.2*2.74+0.75*2.74)*10.764</f>
        <v>394.85581199999996</v>
      </c>
      <c r="E200" s="42">
        <v>0</v>
      </c>
      <c r="F200" s="42">
        <f>D200*(($F$179)+1)+(IF(E200&lt;101,E200,IF(E200&lt;201,E200/2,IF(E200&lt;=301,E200/3,E200/4))))</f>
        <v>592.28371799999991</v>
      </c>
      <c r="G200" s="131" t="str">
        <f>G199</f>
        <v>1st to 7th Floor for Residential</v>
      </c>
      <c r="H200" s="132"/>
      <c r="I200" s="36"/>
    </row>
    <row r="201" spans="1:14" s="37" customFormat="1" x14ac:dyDescent="0.25">
      <c r="A201" s="131">
        <v>4</v>
      </c>
      <c r="B201" s="132"/>
      <c r="C201" s="62" t="s">
        <v>205</v>
      </c>
      <c r="D201" s="72">
        <f>(29.4+1.2*2.74+0.75*2.7)*10.764</f>
        <v>373.650732</v>
      </c>
      <c r="E201" s="42">
        <v>0</v>
      </c>
      <c r="F201" s="42">
        <f>D201*(($F$179)+1)+(IF(E201&lt;101,E201,IF(E201&lt;201,E201/2,IF(E201&lt;=301,E201/3,E201/4))))</f>
        <v>560.47609799999998</v>
      </c>
      <c r="G201" s="131" t="str">
        <f>G200</f>
        <v>1st to 7th Floor for Residential</v>
      </c>
      <c r="H201" s="132"/>
      <c r="I201" s="36"/>
    </row>
    <row r="202" spans="1:14" s="60" customFormat="1" x14ac:dyDescent="0.25">
      <c r="A202" s="213" t="s">
        <v>209</v>
      </c>
      <c r="B202" s="214"/>
      <c r="C202" s="214"/>
      <c r="D202" s="214"/>
      <c r="E202" s="214"/>
      <c r="F202" s="214"/>
      <c r="G202" s="214"/>
      <c r="H202" s="215"/>
      <c r="J202" s="36"/>
    </row>
    <row r="203" spans="1:14" s="60" customFormat="1" x14ac:dyDescent="0.25">
      <c r="A203" s="135" t="s">
        <v>204</v>
      </c>
      <c r="B203" s="136"/>
      <c r="C203" s="136"/>
      <c r="D203" s="136"/>
      <c r="E203" s="136"/>
      <c r="F203" s="136"/>
      <c r="G203" s="136"/>
      <c r="H203" s="137"/>
      <c r="J203" s="36"/>
    </row>
    <row r="204" spans="1:14" s="60" customFormat="1" x14ac:dyDescent="0.25">
      <c r="A204" s="131">
        <v>1</v>
      </c>
      <c r="B204" s="132"/>
      <c r="C204" s="58" t="s">
        <v>205</v>
      </c>
      <c r="D204" s="72">
        <f>(29.4)*10.764</f>
        <v>316.46159999999998</v>
      </c>
      <c r="E204" s="58">
        <v>0</v>
      </c>
      <c r="F204" s="58">
        <f>D204*(($F$179)+1)+(IF(E204&lt;101,E204,IF(E204&lt;201,E204/2,IF(E204&lt;=301,E204/3,E204/4))))</f>
        <v>474.69239999999996</v>
      </c>
      <c r="G204" s="131" t="str">
        <f>A203</f>
        <v xml:space="preserve">Ground Floor for Residential &amp; Parking </v>
      </c>
      <c r="H204" s="132"/>
      <c r="I204" s="36">
        <f>COUNT(D204:D207)+COUNT(D209:D212)*7</f>
        <v>32</v>
      </c>
      <c r="J204" s="61">
        <f>SUM(D204:D207)+SUM(D209:D212)*7</f>
        <v>11782.748016</v>
      </c>
      <c r="L204" s="138"/>
      <c r="M204" s="138"/>
      <c r="N204" s="36"/>
    </row>
    <row r="205" spans="1:14" s="60" customFormat="1" x14ac:dyDescent="0.25">
      <c r="A205" s="131">
        <f>A204+1</f>
        <v>2</v>
      </c>
      <c r="B205" s="132"/>
      <c r="C205" s="58" t="s">
        <v>205</v>
      </c>
      <c r="D205" s="72">
        <f>(22.43)*10.764</f>
        <v>241.43651999999997</v>
      </c>
      <c r="E205" s="58">
        <v>0</v>
      </c>
      <c r="F205" s="58">
        <f>D205*(($F$179)+1)+(IF(E205&lt;101,E205,IF(E205&lt;201,E205/2,IF(E205&lt;=301,E205/3,E205/4))))</f>
        <v>362.15477999999996</v>
      </c>
      <c r="G205" s="131" t="str">
        <f>G204</f>
        <v xml:space="preserve">Ground Floor for Residential &amp; Parking </v>
      </c>
      <c r="H205" s="132"/>
      <c r="I205" s="36"/>
      <c r="J205" s="61"/>
      <c r="L205" s="138"/>
      <c r="M205" s="138"/>
      <c r="N205" s="36"/>
    </row>
    <row r="206" spans="1:14" s="60" customFormat="1" x14ac:dyDescent="0.25">
      <c r="A206" s="131">
        <f>A205+1</f>
        <v>3</v>
      </c>
      <c r="B206" s="132"/>
      <c r="C206" s="58" t="s">
        <v>205</v>
      </c>
      <c r="D206" s="72">
        <f>(22.43)*10.764</f>
        <v>241.43651999999997</v>
      </c>
      <c r="E206" s="58">
        <v>0</v>
      </c>
      <c r="F206" s="58">
        <f>D206*(($F$179)+1)+(IF(E206&lt;101,E206,IF(E206&lt;201,E206/2,IF(E206&lt;=301,E206/3,E206/4))))</f>
        <v>362.15477999999996</v>
      </c>
      <c r="G206" s="131" t="str">
        <f>G205</f>
        <v xml:space="preserve">Ground Floor for Residential &amp; Parking </v>
      </c>
      <c r="H206" s="132"/>
      <c r="I206" s="36"/>
      <c r="J206" s="61"/>
      <c r="L206" s="138"/>
      <c r="M206" s="138"/>
      <c r="N206" s="36"/>
    </row>
    <row r="207" spans="1:14" s="60" customFormat="1" x14ac:dyDescent="0.25">
      <c r="A207" s="131">
        <f>A206+1</f>
        <v>4</v>
      </c>
      <c r="B207" s="132"/>
      <c r="C207" s="58" t="s">
        <v>205</v>
      </c>
      <c r="D207" s="72">
        <f>(20.84)*10.764</f>
        <v>224.32175999999998</v>
      </c>
      <c r="E207" s="58">
        <v>0</v>
      </c>
      <c r="F207" s="58">
        <f>D207*(($F$179)+1)+(IF(E207&lt;101,E207,IF(E207&lt;201,E207/2,IF(E207&lt;=301,E207/3,E207/4))))</f>
        <v>336.48263999999995</v>
      </c>
      <c r="G207" s="131" t="str">
        <f>G206</f>
        <v xml:space="preserve">Ground Floor for Residential &amp; Parking </v>
      </c>
      <c r="H207" s="132"/>
      <c r="I207" s="36"/>
      <c r="J207" s="61"/>
      <c r="L207" s="138"/>
      <c r="M207" s="138"/>
      <c r="N207" s="36"/>
    </row>
    <row r="208" spans="1:14" s="60" customFormat="1" x14ac:dyDescent="0.25">
      <c r="A208" s="135" t="s">
        <v>206</v>
      </c>
      <c r="B208" s="136"/>
      <c r="C208" s="136"/>
      <c r="D208" s="136"/>
      <c r="E208" s="136"/>
      <c r="F208" s="136"/>
      <c r="G208" s="136"/>
      <c r="H208" s="137"/>
      <c r="I208" s="36"/>
    </row>
    <row r="209" spans="1:14" s="60" customFormat="1" ht="15.75" customHeight="1" x14ac:dyDescent="0.25">
      <c r="A209" s="131">
        <v>1</v>
      </c>
      <c r="B209" s="132"/>
      <c r="C209" s="58" t="s">
        <v>205</v>
      </c>
      <c r="D209" s="72">
        <f>(29.4+1.2*2.74+0.75*2.7)*10.764</f>
        <v>373.650732</v>
      </c>
      <c r="E209" s="58">
        <v>0</v>
      </c>
      <c r="F209" s="58">
        <f>D209*(($F$179)+1)+(IF(E209&lt;101,E209,IF(E209&lt;201,E209/2,IF(E209&lt;=301,E209/3,E209/4))))</f>
        <v>560.47609799999998</v>
      </c>
      <c r="G209" s="131" t="str">
        <f>A208</f>
        <v>1st to 7th Floor</v>
      </c>
      <c r="H209" s="132"/>
      <c r="I209" s="36"/>
    </row>
    <row r="210" spans="1:14" s="60" customFormat="1" x14ac:dyDescent="0.25">
      <c r="A210" s="131">
        <v>2</v>
      </c>
      <c r="B210" s="132"/>
      <c r="C210" s="58" t="s">
        <v>207</v>
      </c>
      <c r="D210" s="72">
        <f>(31.34+1.2*2.74+0.75*2.74)*10.764</f>
        <v>394.85581199999996</v>
      </c>
      <c r="E210" s="58">
        <v>0</v>
      </c>
      <c r="F210" s="58">
        <f>D210*(($F$179)+1)+(IF(E210&lt;101,E210,IF(E210&lt;201,E210/2,IF(E210&lt;=301,E210/3,E210/4))))</f>
        <v>592.28371799999991</v>
      </c>
      <c r="G210" s="131" t="str">
        <f>G209</f>
        <v>1st to 7th Floor</v>
      </c>
      <c r="H210" s="132"/>
      <c r="I210" s="36"/>
    </row>
    <row r="211" spans="1:14" s="60" customFormat="1" x14ac:dyDescent="0.25">
      <c r="A211" s="131">
        <v>3</v>
      </c>
      <c r="B211" s="132"/>
      <c r="C211" s="58" t="s">
        <v>207</v>
      </c>
      <c r="D211" s="72">
        <f>(31.34+1.2*2.74+0.75*2.74)*10.764</f>
        <v>394.85581199999996</v>
      </c>
      <c r="E211" s="58">
        <v>0</v>
      </c>
      <c r="F211" s="58">
        <f>D211*(($F$179)+1)+(IF(E211&lt;101,E211,IF(E211&lt;201,E211/2,IF(E211&lt;=301,E211/3,E211/4))))</f>
        <v>592.28371799999991</v>
      </c>
      <c r="G211" s="131" t="str">
        <f>G210</f>
        <v>1st to 7th Floor</v>
      </c>
      <c r="H211" s="132"/>
      <c r="I211" s="36"/>
    </row>
    <row r="212" spans="1:14" s="60" customFormat="1" x14ac:dyDescent="0.25">
      <c r="A212" s="131">
        <v>4</v>
      </c>
      <c r="B212" s="132"/>
      <c r="C212" s="58" t="s">
        <v>205</v>
      </c>
      <c r="D212" s="72">
        <f>(29.4+1.2*2.74+0.75*2.7)*10.764</f>
        <v>373.650732</v>
      </c>
      <c r="E212" s="58">
        <v>0</v>
      </c>
      <c r="F212" s="58">
        <f>D212*(($F$179)+1)+(IF(E212&lt;101,E212,IF(E212&lt;201,E212/2,IF(E212&lt;=301,E212/3,E212/4))))</f>
        <v>560.47609799999998</v>
      </c>
      <c r="G212" s="131" t="str">
        <f>G211</f>
        <v>1st to 7th Floor</v>
      </c>
      <c r="H212" s="132"/>
      <c r="I212" s="36"/>
    </row>
    <row r="213" spans="1:14" s="60" customFormat="1" x14ac:dyDescent="0.25">
      <c r="A213" s="135" t="s">
        <v>210</v>
      </c>
      <c r="B213" s="136"/>
      <c r="C213" s="136"/>
      <c r="D213" s="136"/>
      <c r="E213" s="136"/>
      <c r="F213" s="136"/>
      <c r="G213" s="136"/>
      <c r="H213" s="137"/>
      <c r="J213" s="36"/>
    </row>
    <row r="214" spans="1:14" s="60" customFormat="1" x14ac:dyDescent="0.25">
      <c r="A214" s="135" t="s">
        <v>204</v>
      </c>
      <c r="B214" s="136"/>
      <c r="C214" s="136"/>
      <c r="D214" s="136"/>
      <c r="E214" s="136"/>
      <c r="F214" s="136"/>
      <c r="G214" s="136"/>
      <c r="H214" s="137"/>
      <c r="J214" s="36"/>
    </row>
    <row r="215" spans="1:14" s="60" customFormat="1" x14ac:dyDescent="0.25">
      <c r="A215" s="131">
        <v>1</v>
      </c>
      <c r="B215" s="132"/>
      <c r="C215" s="58" t="s">
        <v>205</v>
      </c>
      <c r="D215" s="72">
        <f>(29.4)*10.764</f>
        <v>316.46159999999998</v>
      </c>
      <c r="E215" s="58">
        <v>0</v>
      </c>
      <c r="F215" s="58">
        <f>D215*(($F$179)+1)+(IF(E215&lt;101,E215,IF(E215&lt;201,E215/2,IF(E215&lt;=301,E215/3,E215/4))))</f>
        <v>474.69239999999996</v>
      </c>
      <c r="G215" s="131" t="str">
        <f>A214</f>
        <v xml:space="preserve">Ground Floor for Residential &amp; Parking </v>
      </c>
      <c r="H215" s="132"/>
      <c r="I215" s="36">
        <f>COUNT(D215:D218)+COUNT(D220:D223)*7</f>
        <v>32</v>
      </c>
      <c r="J215" s="61">
        <f>SUM(D215:D218)+SUM(D220:D223)*7</f>
        <v>11874.887855999999</v>
      </c>
      <c r="K215" s="60">
        <f>5.29*2.74+2.74*2.81+0.23*2.3+2.74*1.07+1.04*2.7</f>
        <v>28.462800000000001</v>
      </c>
      <c r="L215" s="138"/>
      <c r="M215" s="138"/>
      <c r="N215" s="36"/>
    </row>
    <row r="216" spans="1:14" s="60" customFormat="1" x14ac:dyDescent="0.25">
      <c r="A216" s="131">
        <f>A215+1</f>
        <v>2</v>
      </c>
      <c r="B216" s="132"/>
      <c r="C216" s="58" t="s">
        <v>205</v>
      </c>
      <c r="D216" s="72">
        <f>(22.43)*10.764</f>
        <v>241.43651999999997</v>
      </c>
      <c r="E216" s="58">
        <v>0</v>
      </c>
      <c r="F216" s="58">
        <f>D216*(($F$179)+1)+(IF(E216&lt;101,E216,IF(E216&lt;201,E216/2,IF(E216&lt;=301,E216/3,E216/4))))</f>
        <v>362.15477999999996</v>
      </c>
      <c r="G216" s="131" t="str">
        <f>G215</f>
        <v xml:space="preserve">Ground Floor for Residential &amp; Parking </v>
      </c>
      <c r="H216" s="132"/>
      <c r="I216" s="72">
        <v>10.763999999999999</v>
      </c>
      <c r="J216" s="61"/>
      <c r="L216" s="138"/>
      <c r="M216" s="138"/>
      <c r="N216" s="36"/>
    </row>
    <row r="217" spans="1:14" s="60" customFormat="1" x14ac:dyDescent="0.25">
      <c r="A217" s="131">
        <f>A216+1</f>
        <v>3</v>
      </c>
      <c r="B217" s="132"/>
      <c r="C217" s="58" t="s">
        <v>205</v>
      </c>
      <c r="D217" s="72">
        <f>(22.43)*10.764</f>
        <v>241.43651999999997</v>
      </c>
      <c r="E217" s="58">
        <v>0</v>
      </c>
      <c r="F217" s="58">
        <f>D217*(($F$179)+1)+(IF(E217&lt;101,E217,IF(E217&lt;201,E217/2,IF(E217&lt;=301,E217/3,E217/4))))</f>
        <v>362.15477999999996</v>
      </c>
      <c r="G217" s="131" t="str">
        <f>G216</f>
        <v xml:space="preserve">Ground Floor for Residential &amp; Parking </v>
      </c>
      <c r="H217" s="132"/>
      <c r="I217" s="36"/>
      <c r="J217" s="61"/>
      <c r="L217" s="138"/>
      <c r="M217" s="138"/>
      <c r="N217" s="36"/>
    </row>
    <row r="218" spans="1:14" s="60" customFormat="1" x14ac:dyDescent="0.25">
      <c r="A218" s="131">
        <f>A217+1</f>
        <v>4</v>
      </c>
      <c r="B218" s="132"/>
      <c r="C218" s="58" t="s">
        <v>205</v>
      </c>
      <c r="D218" s="72">
        <f>(29.4)*10.764</f>
        <v>316.46159999999998</v>
      </c>
      <c r="E218" s="58">
        <v>0</v>
      </c>
      <c r="F218" s="58">
        <f>D218*(($F$179)+1)+(IF(E218&lt;101,E218,IF(E218&lt;201,E218/2,IF(E218&lt;=301,E218/3,E218/4))))</f>
        <v>474.69239999999996</v>
      </c>
      <c r="G218" s="131" t="str">
        <f>G217</f>
        <v xml:space="preserve">Ground Floor for Residential &amp; Parking </v>
      </c>
      <c r="H218" s="132"/>
      <c r="I218" s="36"/>
      <c r="J218" s="61"/>
      <c r="L218" s="138"/>
      <c r="M218" s="138"/>
      <c r="N218" s="36"/>
    </row>
    <row r="219" spans="1:14" s="60" customFormat="1" x14ac:dyDescent="0.25">
      <c r="A219" s="135" t="s">
        <v>206</v>
      </c>
      <c r="B219" s="136"/>
      <c r="C219" s="136"/>
      <c r="D219" s="136"/>
      <c r="E219" s="136"/>
      <c r="F219" s="136"/>
      <c r="G219" s="136"/>
      <c r="H219" s="137"/>
      <c r="I219" s="36"/>
    </row>
    <row r="220" spans="1:14" s="60" customFormat="1" ht="15.75" customHeight="1" x14ac:dyDescent="0.25">
      <c r="A220" s="131">
        <v>1</v>
      </c>
      <c r="B220" s="132"/>
      <c r="C220" s="58" t="s">
        <v>205</v>
      </c>
      <c r="D220" s="72">
        <f>(29.4+1.2*2.74+0.75*2.7)*10.764</f>
        <v>373.650732</v>
      </c>
      <c r="E220" s="58">
        <v>0</v>
      </c>
      <c r="F220" s="58">
        <f>D220*(($F$179)+1)+(IF(E220&lt;101,E220,IF(E220&lt;201,E220/2,IF(E220&lt;=301,E220/3,E220/4))))</f>
        <v>560.47609799999998</v>
      </c>
      <c r="G220" s="131" t="str">
        <f>A219</f>
        <v>1st to 7th Floor</v>
      </c>
      <c r="H220" s="132"/>
      <c r="I220" s="36"/>
    </row>
    <row r="221" spans="1:14" s="60" customFormat="1" x14ac:dyDescent="0.25">
      <c r="A221" s="131">
        <v>2</v>
      </c>
      <c r="B221" s="132"/>
      <c r="C221" s="58" t="s">
        <v>207</v>
      </c>
      <c r="D221" s="72">
        <f>(31.34+1.2*2.74+0.75*2.74)*10.764</f>
        <v>394.85581199999996</v>
      </c>
      <c r="E221" s="58">
        <v>0</v>
      </c>
      <c r="F221" s="58">
        <f>D221*(($F$179)+1)+(IF(E221&lt;101,E221,IF(E221&lt;201,E221/2,IF(E221&lt;=301,E221/3,E221/4))))</f>
        <v>592.28371799999991</v>
      </c>
      <c r="G221" s="131" t="str">
        <f>G220</f>
        <v>1st to 7th Floor</v>
      </c>
      <c r="H221" s="132"/>
      <c r="I221" s="36"/>
    </row>
    <row r="222" spans="1:14" s="60" customFormat="1" x14ac:dyDescent="0.25">
      <c r="A222" s="131">
        <v>3</v>
      </c>
      <c r="B222" s="132"/>
      <c r="C222" s="58" t="s">
        <v>207</v>
      </c>
      <c r="D222" s="72">
        <f>(31.34+1.2*2.74+0.75*2.74)*10.764</f>
        <v>394.85581199999996</v>
      </c>
      <c r="E222" s="58">
        <v>0</v>
      </c>
      <c r="F222" s="58">
        <f>D222*(($F$179)+1)+(IF(E222&lt;101,E222,IF(E222&lt;201,E222/2,IF(E222&lt;=301,E222/3,E222/4))))</f>
        <v>592.28371799999991</v>
      </c>
      <c r="G222" s="131" t="str">
        <f>G221</f>
        <v>1st to 7th Floor</v>
      </c>
      <c r="H222" s="132"/>
      <c r="I222" s="36"/>
    </row>
    <row r="223" spans="1:14" s="60" customFormat="1" x14ac:dyDescent="0.25">
      <c r="A223" s="131">
        <v>4</v>
      </c>
      <c r="B223" s="132"/>
      <c r="C223" s="58" t="s">
        <v>205</v>
      </c>
      <c r="D223" s="72">
        <f>(29.4+1.2*2.74+0.75*2.7)*10.764</f>
        <v>373.650732</v>
      </c>
      <c r="E223" s="58">
        <v>0</v>
      </c>
      <c r="F223" s="58">
        <f>D223*(($F$179)+1)+(IF(E223&lt;101,E223,IF(E223&lt;201,E223/2,IF(E223&lt;=301,E223/3,E223/4))))</f>
        <v>560.47609799999998</v>
      </c>
      <c r="G223" s="131" t="str">
        <f>G222</f>
        <v>1st to 7th Floor</v>
      </c>
      <c r="H223" s="132"/>
      <c r="I223" s="36"/>
    </row>
    <row r="224" spans="1:14" s="60" customFormat="1" x14ac:dyDescent="0.25">
      <c r="A224" s="135" t="s">
        <v>211</v>
      </c>
      <c r="B224" s="136"/>
      <c r="C224" s="136"/>
      <c r="D224" s="136"/>
      <c r="E224" s="136"/>
      <c r="F224" s="136"/>
      <c r="G224" s="136"/>
      <c r="H224" s="137"/>
      <c r="J224" s="36"/>
    </row>
    <row r="225" spans="1:14" s="60" customFormat="1" x14ac:dyDescent="0.25">
      <c r="A225" s="135" t="s">
        <v>204</v>
      </c>
      <c r="B225" s="136"/>
      <c r="C225" s="136"/>
      <c r="D225" s="136"/>
      <c r="E225" s="136"/>
      <c r="F225" s="136"/>
      <c r="G225" s="136"/>
      <c r="H225" s="137"/>
      <c r="J225" s="36"/>
    </row>
    <row r="226" spans="1:14" s="60" customFormat="1" x14ac:dyDescent="0.25">
      <c r="A226" s="131">
        <v>1</v>
      </c>
      <c r="B226" s="132"/>
      <c r="C226" s="58" t="s">
        <v>207</v>
      </c>
      <c r="D226" s="72">
        <f>(32.19)*10.764</f>
        <v>346.49315999999993</v>
      </c>
      <c r="E226" s="58">
        <v>0</v>
      </c>
      <c r="F226" s="58">
        <f>D226*(($F$179)+1)+(IF(E226&lt;101,E226,IF(E226&lt;201,E226/2,IF(E226&lt;=301,E226/3,E226/4))))</f>
        <v>519.73973999999987</v>
      </c>
      <c r="G226" s="131" t="str">
        <f>A225</f>
        <v xml:space="preserve">Ground Floor for Residential &amp; Parking </v>
      </c>
      <c r="H226" s="132"/>
      <c r="I226" s="36"/>
      <c r="J226" s="61">
        <f>SUM(D226:D229)+SUM(D231:D234)*7</f>
        <v>14046.384923999998</v>
      </c>
      <c r="L226" s="138"/>
      <c r="M226" s="138"/>
      <c r="N226" s="36"/>
    </row>
    <row r="227" spans="1:14" s="60" customFormat="1" x14ac:dyDescent="0.25">
      <c r="A227" s="131">
        <f>A226+1</f>
        <v>2</v>
      </c>
      <c r="B227" s="132"/>
      <c r="C227" s="58" t="s">
        <v>207</v>
      </c>
      <c r="D227" s="72">
        <f>(32.06)*10.764</f>
        <v>345.09384</v>
      </c>
      <c r="E227" s="58">
        <v>0</v>
      </c>
      <c r="F227" s="58">
        <f>D227*(($F$179)+1)+(IF(E227&lt;101,E227,IF(E227&lt;201,E227/2,IF(E227&lt;=301,E227/3,E227/4))))</f>
        <v>517.64076</v>
      </c>
      <c r="G227" s="131" t="str">
        <f>G226</f>
        <v xml:space="preserve">Ground Floor for Residential &amp; Parking </v>
      </c>
      <c r="H227" s="132"/>
      <c r="I227" s="36"/>
      <c r="J227" s="61"/>
      <c r="L227" s="138"/>
      <c r="M227" s="138"/>
      <c r="N227" s="36"/>
    </row>
    <row r="228" spans="1:14" s="60" customFormat="1" x14ac:dyDescent="0.25">
      <c r="A228" s="131">
        <f>A227+1</f>
        <v>3</v>
      </c>
      <c r="B228" s="132"/>
      <c r="C228" s="58" t="s">
        <v>207</v>
      </c>
      <c r="D228" s="72">
        <f>(32.06)*10.764</f>
        <v>345.09384</v>
      </c>
      <c r="E228" s="58">
        <v>0</v>
      </c>
      <c r="F228" s="58">
        <f>D228*(($F$179)+1)+(IF(E228&lt;101,E228,IF(E228&lt;201,E228/2,IF(E228&lt;=301,E228/3,E228/4))))</f>
        <v>517.64076</v>
      </c>
      <c r="G228" s="131" t="str">
        <f>G227</f>
        <v xml:space="preserve">Ground Floor for Residential &amp; Parking </v>
      </c>
      <c r="H228" s="132"/>
      <c r="I228" s="36"/>
      <c r="J228" s="61"/>
      <c r="L228" s="138"/>
      <c r="M228" s="138"/>
      <c r="N228" s="36"/>
    </row>
    <row r="229" spans="1:14" s="60" customFormat="1" x14ac:dyDescent="0.25">
      <c r="A229" s="131">
        <f>A228+1</f>
        <v>4</v>
      </c>
      <c r="B229" s="132"/>
      <c r="C229" s="58" t="s">
        <v>205</v>
      </c>
      <c r="D229" s="72">
        <f>(23.16)*10.764</f>
        <v>249.29423999999997</v>
      </c>
      <c r="E229" s="58">
        <v>0</v>
      </c>
      <c r="F229" s="58">
        <f>D229*(($F$179)+1)+(IF(E229&lt;101,E229,IF(E229&lt;201,E229/2,IF(E229&lt;=301,E229/3,E229/4))))</f>
        <v>373.94135999999997</v>
      </c>
      <c r="G229" s="131" t="str">
        <f>G228</f>
        <v xml:space="preserve">Ground Floor for Residential &amp; Parking </v>
      </c>
      <c r="H229" s="132"/>
      <c r="I229" s="36"/>
      <c r="J229" s="61"/>
      <c r="L229" s="138"/>
      <c r="M229" s="138"/>
      <c r="N229" s="36"/>
    </row>
    <row r="230" spans="1:14" s="60" customFormat="1" x14ac:dyDescent="0.25">
      <c r="A230" s="135" t="s">
        <v>206</v>
      </c>
      <c r="B230" s="136"/>
      <c r="C230" s="136"/>
      <c r="D230" s="136"/>
      <c r="E230" s="136"/>
      <c r="F230" s="136"/>
      <c r="G230" s="136"/>
      <c r="H230" s="137"/>
      <c r="I230" s="36"/>
    </row>
    <row r="231" spans="1:14" s="60" customFormat="1" ht="15.75" customHeight="1" x14ac:dyDescent="0.25">
      <c r="A231" s="131">
        <v>1</v>
      </c>
      <c r="B231" s="132"/>
      <c r="C231" s="58" t="s">
        <v>207</v>
      </c>
      <c r="D231" s="72">
        <f>(32.06+1.2*2.74+0.75*2.29+0.75*2.74)*10.764</f>
        <v>421.09306199999997</v>
      </c>
      <c r="E231" s="58">
        <v>0</v>
      </c>
      <c r="F231" s="58">
        <f>D231*(($F$179)+1)+(IF(E231&lt;101,E231,IF(E231&lt;201,E231/2,IF(E231&lt;=301,E231/3,E231/4))))</f>
        <v>631.63959299999999</v>
      </c>
      <c r="G231" s="131" t="str">
        <f>A230</f>
        <v>1st to 7th Floor</v>
      </c>
      <c r="H231" s="132"/>
      <c r="I231" s="36"/>
    </row>
    <row r="232" spans="1:14" s="60" customFormat="1" x14ac:dyDescent="0.25">
      <c r="A232" s="131">
        <f>A231+1</f>
        <v>2</v>
      </c>
      <c r="B232" s="132"/>
      <c r="C232" s="58" t="s">
        <v>212</v>
      </c>
      <c r="D232" s="72">
        <f>(40.67+1.2*2.74+1.2*2.74+0.75*(2.29+2.74))*10.764</f>
        <v>549.1631339999999</v>
      </c>
      <c r="E232" s="58">
        <v>0</v>
      </c>
      <c r="F232" s="58">
        <f>D232*(($F$179)+1)+(IF(E232&lt;101,E232,IF(E232&lt;201,E232/2,IF(E232&lt;=301,E232/3,E232/4))))</f>
        <v>823.74470099999985</v>
      </c>
      <c r="G232" s="131" t="str">
        <f>G231</f>
        <v>1st to 7th Floor</v>
      </c>
      <c r="H232" s="132"/>
      <c r="I232" s="36"/>
    </row>
    <row r="233" spans="1:14" s="60" customFormat="1" x14ac:dyDescent="0.25">
      <c r="A233" s="131">
        <f>A232+1</f>
        <v>3</v>
      </c>
      <c r="B233" s="132"/>
      <c r="C233" s="58" t="s">
        <v>207</v>
      </c>
      <c r="D233" s="72">
        <f>(32.06+1.2*2.74+1.2*2.74+0.75*2.29)*10.764</f>
        <v>434.36507399999994</v>
      </c>
      <c r="E233" s="58">
        <v>0</v>
      </c>
      <c r="F233" s="58">
        <f>D233*(($F$179)+1)+(IF(E233&lt;101,E233,IF(E233&lt;201,E233/2,IF(E233&lt;=301,E233/3,E233/4))))</f>
        <v>651.54761099999996</v>
      </c>
      <c r="G233" s="131" t="str">
        <f>G232</f>
        <v>1st to 7th Floor</v>
      </c>
      <c r="H233" s="132"/>
      <c r="I233" s="36"/>
      <c r="J233" s="60">
        <f>(2.74*3.2+2.29*2.29+2.74*4.26+1.22*1.52+0.91*1.22+0.91*2.29+0.75*2.29+1.2*2.74+1.2*2.74+0.5*2.74+1.65*0.25)*10.764</f>
        <v>439.26807599999995</v>
      </c>
    </row>
    <row r="234" spans="1:14" s="60" customFormat="1" x14ac:dyDescent="0.25">
      <c r="A234" s="131">
        <f>A233+1</f>
        <v>4</v>
      </c>
      <c r="B234" s="132"/>
      <c r="C234" s="58" t="s">
        <v>207</v>
      </c>
      <c r="D234" s="72">
        <f>(31.8+1.2*2.74+0.75*(2.29+2.74))*10.764</f>
        <v>418.294422</v>
      </c>
      <c r="E234" s="58">
        <v>0</v>
      </c>
      <c r="F234" s="58">
        <f>D234*(($F$179)+1)+(IF(E234&lt;101,E234,IF(E234&lt;201,E234/2,IF(E234&lt;=301,E234/3,E234/4))))</f>
        <v>627.44163300000002</v>
      </c>
      <c r="G234" s="131" t="str">
        <f>G233</f>
        <v>1st to 7th Floor</v>
      </c>
      <c r="H234" s="132"/>
      <c r="I234" s="36"/>
    </row>
    <row r="235" spans="1:14" s="35" customFormat="1" x14ac:dyDescent="0.25">
      <c r="A235" s="128" t="s">
        <v>69</v>
      </c>
      <c r="B235" s="129"/>
      <c r="C235" s="129"/>
      <c r="D235" s="129"/>
      <c r="E235" s="129"/>
      <c r="F235" s="129"/>
      <c r="G235" s="129"/>
      <c r="H235" s="130"/>
    </row>
    <row r="236" spans="1:14" s="35" customFormat="1" ht="32.25" customHeight="1" x14ac:dyDescent="0.25">
      <c r="A236" s="59" t="s">
        <v>158</v>
      </c>
      <c r="B236" s="196" t="s">
        <v>233</v>
      </c>
      <c r="C236" s="197"/>
      <c r="D236" s="197"/>
      <c r="E236" s="197"/>
      <c r="F236" s="197"/>
      <c r="G236" s="197"/>
      <c r="H236" s="198"/>
    </row>
    <row r="237" spans="1:14" s="35" customFormat="1" x14ac:dyDescent="0.25">
      <c r="A237" s="47" t="s">
        <v>158</v>
      </c>
      <c r="B237" s="196" t="str">
        <f>(IF(F178="Saleable area Loading :","We have considered Saleable area of Flats as per our Calculation.","We considered Saleable area of Flat as per Builder area Sheet."))</f>
        <v>We have considered Saleable area of Flats as per our Calculation.</v>
      </c>
      <c r="C237" s="197"/>
      <c r="D237" s="197"/>
      <c r="E237" s="197"/>
      <c r="F237" s="197"/>
      <c r="G237" s="197"/>
      <c r="H237" s="198"/>
    </row>
    <row r="238" spans="1:14" s="35" customFormat="1" x14ac:dyDescent="0.25">
      <c r="A238" s="47" t="s">
        <v>158</v>
      </c>
      <c r="B238" s="196" t="str">
        <f>(IF(F169="Saleable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8" s="197"/>
      <c r="D238" s="197"/>
      <c r="E238" s="197"/>
      <c r="F238" s="197"/>
      <c r="G238" s="197"/>
      <c r="H238" s="198"/>
    </row>
    <row r="239" spans="1:14" s="35" customFormat="1" x14ac:dyDescent="0.25">
      <c r="A239" s="47" t="s">
        <v>158</v>
      </c>
      <c r="B239" s="108" t="s">
        <v>128</v>
      </c>
      <c r="C239" s="109"/>
      <c r="D239" s="109"/>
      <c r="E239" s="109"/>
      <c r="F239" s="109"/>
      <c r="G239" s="109"/>
      <c r="H239" s="110"/>
    </row>
    <row r="240" spans="1:14" s="35" customFormat="1" ht="36" customHeight="1" x14ac:dyDescent="0.25">
      <c r="A240" s="47" t="s">
        <v>158</v>
      </c>
      <c r="B240" s="108" t="s">
        <v>224</v>
      </c>
      <c r="C240" s="109"/>
      <c r="D240" s="109"/>
      <c r="E240" s="109"/>
      <c r="F240" s="109"/>
      <c r="G240" s="109"/>
      <c r="H240" s="110"/>
    </row>
    <row r="241" spans="1:8" s="35" customFormat="1" x14ac:dyDescent="0.25">
      <c r="A241" s="47" t="s">
        <v>158</v>
      </c>
      <c r="B241" s="108" t="s">
        <v>157</v>
      </c>
      <c r="C241" s="109"/>
      <c r="D241" s="109"/>
      <c r="E241" s="109"/>
      <c r="F241" s="109"/>
      <c r="G241" s="109"/>
      <c r="H241" s="110"/>
    </row>
    <row r="242" spans="1:8" s="35" customFormat="1" x14ac:dyDescent="0.25">
      <c r="A242" s="47" t="s">
        <v>158</v>
      </c>
      <c r="B242" s="108" t="s">
        <v>129</v>
      </c>
      <c r="C242" s="109"/>
      <c r="D242" s="109"/>
      <c r="E242" s="109"/>
      <c r="F242" s="109"/>
      <c r="G242" s="109"/>
      <c r="H242" s="110"/>
    </row>
    <row r="243" spans="1:8" s="35" customFormat="1" ht="34.5" customHeight="1" x14ac:dyDescent="0.25">
      <c r="A243" s="47" t="s">
        <v>158</v>
      </c>
      <c r="B243" s="108" t="s">
        <v>159</v>
      </c>
      <c r="C243" s="109"/>
      <c r="D243" s="109"/>
      <c r="E243" s="109"/>
      <c r="F243" s="109"/>
      <c r="G243" s="109"/>
      <c r="H243" s="110"/>
    </row>
    <row r="244" spans="1:8" s="35" customFormat="1" x14ac:dyDescent="0.25">
      <c r="A244" s="47" t="s">
        <v>158</v>
      </c>
      <c r="B244" s="108" t="s">
        <v>130</v>
      </c>
      <c r="C244" s="109"/>
      <c r="D244" s="109"/>
      <c r="E244" s="109"/>
      <c r="F244" s="109"/>
      <c r="G244" s="109"/>
      <c r="H244" s="110"/>
    </row>
    <row r="245" spans="1:8" x14ac:dyDescent="0.25">
      <c r="A245" s="191" t="s">
        <v>62</v>
      </c>
      <c r="B245" s="191"/>
      <c r="C245" s="191"/>
      <c r="D245" s="191"/>
      <c r="E245" s="191"/>
      <c r="F245" s="191"/>
      <c r="G245" s="191"/>
      <c r="H245" s="191"/>
    </row>
    <row r="246" spans="1:8" x14ac:dyDescent="0.25">
      <c r="A246" s="105" t="s">
        <v>63</v>
      </c>
      <c r="B246" s="105"/>
      <c r="C246" s="105"/>
      <c r="D246" s="105"/>
      <c r="E246" s="105"/>
      <c r="F246" s="105"/>
      <c r="G246" s="105"/>
      <c r="H246" s="105"/>
    </row>
    <row r="247" spans="1:8" ht="15.75" customHeight="1" x14ac:dyDescent="0.25">
      <c r="A247" s="208" t="s">
        <v>64</v>
      </c>
      <c r="B247" s="208"/>
      <c r="C247" s="208"/>
      <c r="D247" s="208"/>
      <c r="E247" s="208"/>
      <c r="F247" s="208"/>
      <c r="G247" s="208"/>
      <c r="H247" s="208"/>
    </row>
    <row r="248" spans="1:8" x14ac:dyDescent="0.25">
      <c r="A248" s="105" t="s">
        <v>65</v>
      </c>
      <c r="B248" s="105"/>
      <c r="C248" s="105"/>
      <c r="D248" s="105"/>
      <c r="E248" s="105"/>
      <c r="F248" s="105"/>
      <c r="G248" s="105"/>
      <c r="H248" s="105"/>
    </row>
    <row r="249" spans="1:8" x14ac:dyDescent="0.25">
      <c r="A249" s="105" t="s">
        <v>66</v>
      </c>
      <c r="B249" s="105"/>
      <c r="C249" s="105"/>
      <c r="D249" s="105"/>
      <c r="E249" s="105"/>
      <c r="F249" s="105"/>
      <c r="G249" s="105"/>
      <c r="H249" s="105"/>
    </row>
    <row r="250" spans="1:8" x14ac:dyDescent="0.25">
      <c r="A250" s="105" t="s">
        <v>131</v>
      </c>
      <c r="B250" s="105"/>
      <c r="C250" s="105"/>
      <c r="D250" s="105"/>
      <c r="E250" s="105"/>
      <c r="F250" s="105"/>
      <c r="G250" s="105"/>
      <c r="H250" s="105"/>
    </row>
    <row r="251" spans="1:8" hidden="1" x14ac:dyDescent="0.25">
      <c r="A251" s="167" t="s">
        <v>132</v>
      </c>
      <c r="B251" s="167"/>
      <c r="C251" s="167"/>
      <c r="D251" s="167"/>
      <c r="E251" s="167"/>
      <c r="F251" s="167"/>
      <c r="G251" s="167"/>
      <c r="H251" s="167"/>
    </row>
    <row r="252" spans="1:8" x14ac:dyDescent="0.25">
      <c r="A252" s="188" t="s">
        <v>79</v>
      </c>
      <c r="B252" s="188"/>
      <c r="C252" s="188" t="s">
        <v>225</v>
      </c>
      <c r="D252" s="188"/>
      <c r="E252" s="188" t="s">
        <v>109</v>
      </c>
      <c r="F252" s="188"/>
      <c r="G252" s="188" t="s">
        <v>232</v>
      </c>
      <c r="H252" s="188"/>
    </row>
    <row r="253" spans="1:8" x14ac:dyDescent="0.25">
      <c r="A253" s="187" t="s">
        <v>81</v>
      </c>
      <c r="B253" s="187"/>
      <c r="C253" s="187"/>
      <c r="D253" s="187"/>
      <c r="E253" s="187"/>
      <c r="F253" s="187"/>
      <c r="G253" s="187"/>
      <c r="H253" s="187"/>
    </row>
    <row r="254" spans="1:8" x14ac:dyDescent="0.25">
      <c r="A254" s="187"/>
      <c r="B254" s="187"/>
      <c r="C254" s="187"/>
      <c r="D254" s="187"/>
      <c r="E254" s="187"/>
      <c r="F254" s="187"/>
      <c r="G254" s="187"/>
      <c r="H254" s="187"/>
    </row>
    <row r="255" spans="1:8" x14ac:dyDescent="0.25">
      <c r="A255" s="187"/>
      <c r="B255" s="187"/>
      <c r="C255" s="187"/>
      <c r="D255" s="187"/>
      <c r="E255" s="187"/>
      <c r="F255" s="187"/>
      <c r="G255" s="187"/>
      <c r="H255" s="187"/>
    </row>
    <row r="256" spans="1:8" x14ac:dyDescent="0.25">
      <c r="A256" s="38" t="s">
        <v>67</v>
      </c>
      <c r="B256" s="39"/>
      <c r="C256" s="39"/>
      <c r="D256" s="38" t="str">
        <f>E8</f>
        <v>Panvelkar Bhoomi</v>
      </c>
      <c r="F256" s="39"/>
      <c r="G256" s="39"/>
      <c r="H256" s="39"/>
    </row>
    <row r="257" spans="1:8" x14ac:dyDescent="0.25">
      <c r="A257" s="39"/>
      <c r="B257" s="39"/>
      <c r="C257" s="39"/>
      <c r="D257" s="39"/>
      <c r="E257" s="39"/>
      <c r="F257" s="39"/>
      <c r="G257" s="39"/>
      <c r="H257" s="39"/>
    </row>
    <row r="258" spans="1:8" x14ac:dyDescent="0.25">
      <c r="A258" s="39"/>
      <c r="B258" s="39"/>
      <c r="C258" s="39"/>
      <c r="D258" s="39"/>
      <c r="E258" s="39"/>
      <c r="F258" s="39"/>
      <c r="G258" s="39"/>
      <c r="H258" s="39"/>
    </row>
    <row r="259" spans="1:8" ht="15" customHeight="1" x14ac:dyDescent="0.25"/>
    <row r="299" spans="1:1" x14ac:dyDescent="0.25">
      <c r="A299" s="41" t="s">
        <v>170</v>
      </c>
    </row>
    <row r="342" spans="1:1" x14ac:dyDescent="0.25">
      <c r="A342" s="41" t="s">
        <v>68</v>
      </c>
    </row>
  </sheetData>
  <mergeCells count="479">
    <mergeCell ref="A208:H208"/>
    <mergeCell ref="A209:B209"/>
    <mergeCell ref="G209:H209"/>
    <mergeCell ref="A212:B212"/>
    <mergeCell ref="G212:H212"/>
    <mergeCell ref="A213:H213"/>
    <mergeCell ref="A214:H214"/>
    <mergeCell ref="A215:B215"/>
    <mergeCell ref="G215:H215"/>
    <mergeCell ref="L215:M215"/>
    <mergeCell ref="A216:B216"/>
    <mergeCell ref="G216:H216"/>
    <mergeCell ref="L216:M216"/>
    <mergeCell ref="L229:M229"/>
    <mergeCell ref="A226:B226"/>
    <mergeCell ref="G226:H226"/>
    <mergeCell ref="L217:M217"/>
    <mergeCell ref="A218:B218"/>
    <mergeCell ref="G218:H218"/>
    <mergeCell ref="L218:M218"/>
    <mergeCell ref="A219:H219"/>
    <mergeCell ref="A220:B220"/>
    <mergeCell ref="G220:H220"/>
    <mergeCell ref="A217:B217"/>
    <mergeCell ref="G217:H217"/>
    <mergeCell ref="L226:M226"/>
    <mergeCell ref="A227:B227"/>
    <mergeCell ref="G227:H227"/>
    <mergeCell ref="L227:M227"/>
    <mergeCell ref="A228:B228"/>
    <mergeCell ref="G228:H228"/>
    <mergeCell ref="L228:M228"/>
    <mergeCell ref="L204:M204"/>
    <mergeCell ref="A205:B205"/>
    <mergeCell ref="G205:H205"/>
    <mergeCell ref="L205:M205"/>
    <mergeCell ref="A206:B206"/>
    <mergeCell ref="G206:H206"/>
    <mergeCell ref="L206:M206"/>
    <mergeCell ref="A207:B207"/>
    <mergeCell ref="G207:H207"/>
    <mergeCell ref="L207:M207"/>
    <mergeCell ref="A48:B48"/>
    <mergeCell ref="L196:M196"/>
    <mergeCell ref="A191:H191"/>
    <mergeCell ref="A192:H192"/>
    <mergeCell ref="A193:B193"/>
    <mergeCell ref="G193:H193"/>
    <mergeCell ref="L193:M193"/>
    <mergeCell ref="A194:B194"/>
    <mergeCell ref="G194:H194"/>
    <mergeCell ref="L194:M194"/>
    <mergeCell ref="A195:B195"/>
    <mergeCell ref="G195:H195"/>
    <mergeCell ref="L195:M195"/>
    <mergeCell ref="D60:H60"/>
    <mergeCell ref="C51:H51"/>
    <mergeCell ref="G50:H50"/>
    <mergeCell ref="D54:H54"/>
    <mergeCell ref="C50:E50"/>
    <mergeCell ref="D58:H58"/>
    <mergeCell ref="D59:H59"/>
    <mergeCell ref="C49:E49"/>
    <mergeCell ref="A52:B52"/>
    <mergeCell ref="C52:E52"/>
    <mergeCell ref="A49:B49"/>
    <mergeCell ref="E41:H41"/>
    <mergeCell ref="A41:D41"/>
    <mergeCell ref="A250:H250"/>
    <mergeCell ref="A247:H247"/>
    <mergeCell ref="G190:H190"/>
    <mergeCell ref="A159:B159"/>
    <mergeCell ref="D178:D179"/>
    <mergeCell ref="E178:E179"/>
    <mergeCell ref="G178:H179"/>
    <mergeCell ref="A92:B92"/>
    <mergeCell ref="A93:B93"/>
    <mergeCell ref="A94:B94"/>
    <mergeCell ref="A84:B84"/>
    <mergeCell ref="C84:H84"/>
    <mergeCell ref="A108:B108"/>
    <mergeCell ref="A79:B79"/>
    <mergeCell ref="F141:H141"/>
    <mergeCell ref="G155:H155"/>
    <mergeCell ref="A111:B111"/>
    <mergeCell ref="A198:B198"/>
    <mergeCell ref="G198:H198"/>
    <mergeCell ref="A196:B196"/>
    <mergeCell ref="C48:E48"/>
    <mergeCell ref="G48:H48"/>
    <mergeCell ref="G52:H52"/>
    <mergeCell ref="G188:H188"/>
    <mergeCell ref="F150:H150"/>
    <mergeCell ref="F148:H148"/>
    <mergeCell ref="A168:H168"/>
    <mergeCell ref="G154:H154"/>
    <mergeCell ref="A149:E149"/>
    <mergeCell ref="C155:D155"/>
    <mergeCell ref="E155:F155"/>
    <mergeCell ref="B169:B170"/>
    <mergeCell ref="A169:A170"/>
    <mergeCell ref="C178:C179"/>
    <mergeCell ref="C165:D165"/>
    <mergeCell ref="A181:H181"/>
    <mergeCell ref="G185:H185"/>
    <mergeCell ref="F149:H149"/>
    <mergeCell ref="E154:F154"/>
    <mergeCell ref="A154:B154"/>
    <mergeCell ref="A156:B156"/>
    <mergeCell ref="A166:B166"/>
    <mergeCell ref="A55:C55"/>
    <mergeCell ref="D55:H55"/>
    <mergeCell ref="A187:B187"/>
    <mergeCell ref="C159:D159"/>
    <mergeCell ref="A53:H53"/>
    <mergeCell ref="A54:C54"/>
    <mergeCell ref="A56:C56"/>
    <mergeCell ref="D56:H56"/>
    <mergeCell ref="A230:H230"/>
    <mergeCell ref="A231:B231"/>
    <mergeCell ref="G231:H231"/>
    <mergeCell ref="A232:B232"/>
    <mergeCell ref="G232:H232"/>
    <mergeCell ref="A221:B221"/>
    <mergeCell ref="G221:H221"/>
    <mergeCell ref="A222:B222"/>
    <mergeCell ref="G222:H222"/>
    <mergeCell ref="A223:B223"/>
    <mergeCell ref="G223:H223"/>
    <mergeCell ref="A224:H224"/>
    <mergeCell ref="A225:H225"/>
    <mergeCell ref="G165:H165"/>
    <mergeCell ref="E165:F165"/>
    <mergeCell ref="A210:B210"/>
    <mergeCell ref="G210:H210"/>
    <mergeCell ref="A211:B211"/>
    <mergeCell ref="G211:H211"/>
    <mergeCell ref="A202:H202"/>
    <mergeCell ref="E163:F163"/>
    <mergeCell ref="C156:D156"/>
    <mergeCell ref="G163:H163"/>
    <mergeCell ref="A246:H246"/>
    <mergeCell ref="E159:F159"/>
    <mergeCell ref="B244:H244"/>
    <mergeCell ref="G174:H174"/>
    <mergeCell ref="G172:H172"/>
    <mergeCell ref="G173:H173"/>
    <mergeCell ref="G175:H175"/>
    <mergeCell ref="B242:H242"/>
    <mergeCell ref="B238:H238"/>
    <mergeCell ref="A200:B200"/>
    <mergeCell ref="G200:H200"/>
    <mergeCell ref="G199:H199"/>
    <mergeCell ref="A197:H197"/>
    <mergeCell ref="A199:B199"/>
    <mergeCell ref="A201:B201"/>
    <mergeCell ref="A167:H167"/>
    <mergeCell ref="G201:H201"/>
    <mergeCell ref="B236:H236"/>
    <mergeCell ref="B237:H237"/>
    <mergeCell ref="A162:B162"/>
    <mergeCell ref="B239:H239"/>
    <mergeCell ref="C100:H100"/>
    <mergeCell ref="A101:B101"/>
    <mergeCell ref="E101:F101"/>
    <mergeCell ref="E102:F111"/>
    <mergeCell ref="F140:H140"/>
    <mergeCell ref="F144:H144"/>
    <mergeCell ref="F147:H147"/>
    <mergeCell ref="C162:D162"/>
    <mergeCell ref="D67:H67"/>
    <mergeCell ref="A68:C68"/>
    <mergeCell ref="D68:H68"/>
    <mergeCell ref="A74:B74"/>
    <mergeCell ref="G73:H73"/>
    <mergeCell ref="A97:B97"/>
    <mergeCell ref="A102:B102"/>
    <mergeCell ref="G161:H161"/>
    <mergeCell ref="C154:D154"/>
    <mergeCell ref="A81:B81"/>
    <mergeCell ref="C160:D160"/>
    <mergeCell ref="E160:F160"/>
    <mergeCell ref="G160:H160"/>
    <mergeCell ref="F146:H146"/>
    <mergeCell ref="A141:E141"/>
    <mergeCell ref="A98:B98"/>
    <mergeCell ref="A253:H255"/>
    <mergeCell ref="A252:B252"/>
    <mergeCell ref="E252:F252"/>
    <mergeCell ref="C252:D252"/>
    <mergeCell ref="G252:H252"/>
    <mergeCell ref="A153:H153"/>
    <mergeCell ref="A151:E151"/>
    <mergeCell ref="F151:H151"/>
    <mergeCell ref="A152:E152"/>
    <mergeCell ref="F152:H152"/>
    <mergeCell ref="A160:B160"/>
    <mergeCell ref="A155:B155"/>
    <mergeCell ref="A248:H248"/>
    <mergeCell ref="A158:H158"/>
    <mergeCell ref="A251:H251"/>
    <mergeCell ref="A249:H249"/>
    <mergeCell ref="A245:H245"/>
    <mergeCell ref="A157:B157"/>
    <mergeCell ref="C157:D157"/>
    <mergeCell ref="E157:F157"/>
    <mergeCell ref="G157:H157"/>
    <mergeCell ref="A161:B161"/>
    <mergeCell ref="C161:D161"/>
    <mergeCell ref="E161:F161"/>
    <mergeCell ref="A45:D45"/>
    <mergeCell ref="A46:H46"/>
    <mergeCell ref="D57:H57"/>
    <mergeCell ref="A57:C57"/>
    <mergeCell ref="G49:H49"/>
    <mergeCell ref="A50:B51"/>
    <mergeCell ref="A80:B80"/>
    <mergeCell ref="A73:B73"/>
    <mergeCell ref="A76:B76"/>
    <mergeCell ref="A72:B72"/>
    <mergeCell ref="A70:B70"/>
    <mergeCell ref="C70:H70"/>
    <mergeCell ref="A78:B78"/>
    <mergeCell ref="A65:C65"/>
    <mergeCell ref="D65:H65"/>
    <mergeCell ref="C72:H72"/>
    <mergeCell ref="A75:B75"/>
    <mergeCell ref="A77:B77"/>
    <mergeCell ref="E73:F73"/>
    <mergeCell ref="A66:C66"/>
    <mergeCell ref="D66:H66"/>
    <mergeCell ref="A69:C69"/>
    <mergeCell ref="D69:H69"/>
    <mergeCell ref="A67:C6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6:B16"/>
    <mergeCell ref="C16:H16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37:H37"/>
    <mergeCell ref="A43:D43"/>
    <mergeCell ref="F35:H3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A36:H36"/>
    <mergeCell ref="A35:B35"/>
    <mergeCell ref="C35:E35"/>
    <mergeCell ref="G102:H111"/>
    <mergeCell ref="A40:D40"/>
    <mergeCell ref="E40:H40"/>
    <mergeCell ref="F32:H32"/>
    <mergeCell ref="F33:H33"/>
    <mergeCell ref="A39:H39"/>
    <mergeCell ref="A63:C63"/>
    <mergeCell ref="A64:C64"/>
    <mergeCell ref="D63:H63"/>
    <mergeCell ref="E74:F83"/>
    <mergeCell ref="G74:H83"/>
    <mergeCell ref="A82:B82"/>
    <mergeCell ref="A83:B83"/>
    <mergeCell ref="D64:H64"/>
    <mergeCell ref="A42:D42"/>
    <mergeCell ref="E42:H42"/>
    <mergeCell ref="E43:H43"/>
    <mergeCell ref="E44:H44"/>
    <mergeCell ref="E45:H45"/>
    <mergeCell ref="A37:B37"/>
    <mergeCell ref="A44:D44"/>
    <mergeCell ref="C98:H98"/>
    <mergeCell ref="A171:H171"/>
    <mergeCell ref="E169:E170"/>
    <mergeCell ref="G169:H170"/>
    <mergeCell ref="A88:B88"/>
    <mergeCell ref="E88:F97"/>
    <mergeCell ref="A95:B95"/>
    <mergeCell ref="A96:B96"/>
    <mergeCell ref="A86:B86"/>
    <mergeCell ref="C86:H86"/>
    <mergeCell ref="A150:E150"/>
    <mergeCell ref="A163:B163"/>
    <mergeCell ref="C163:D163"/>
    <mergeCell ref="G159:H159"/>
    <mergeCell ref="E156:F156"/>
    <mergeCell ref="G156:H156"/>
    <mergeCell ref="A164:B164"/>
    <mergeCell ref="C164:D164"/>
    <mergeCell ref="E164:F164"/>
    <mergeCell ref="A100:B100"/>
    <mergeCell ref="A144:E144"/>
    <mergeCell ref="A146:E146"/>
    <mergeCell ref="A148:E148"/>
    <mergeCell ref="A147:E147"/>
    <mergeCell ref="L185:M185"/>
    <mergeCell ref="G164:H164"/>
    <mergeCell ref="A173:B173"/>
    <mergeCell ref="A174:B174"/>
    <mergeCell ref="A177:H177"/>
    <mergeCell ref="G182:H182"/>
    <mergeCell ref="L182:M182"/>
    <mergeCell ref="A183:B183"/>
    <mergeCell ref="G183:H183"/>
    <mergeCell ref="L183:M183"/>
    <mergeCell ref="A184:B184"/>
    <mergeCell ref="G184:H184"/>
    <mergeCell ref="L184:M184"/>
    <mergeCell ref="E166:F166"/>
    <mergeCell ref="G166:H166"/>
    <mergeCell ref="A180:H180"/>
    <mergeCell ref="A165:B165"/>
    <mergeCell ref="L175:M175"/>
    <mergeCell ref="L174:M174"/>
    <mergeCell ref="L173:M173"/>
    <mergeCell ref="L172:M172"/>
    <mergeCell ref="A176:H176"/>
    <mergeCell ref="C166:D166"/>
    <mergeCell ref="A178:A179"/>
    <mergeCell ref="B240:H240"/>
    <mergeCell ref="A235:H235"/>
    <mergeCell ref="A190:B190"/>
    <mergeCell ref="G189:H189"/>
    <mergeCell ref="C169:C170"/>
    <mergeCell ref="B178:B179"/>
    <mergeCell ref="A186:H186"/>
    <mergeCell ref="A185:B185"/>
    <mergeCell ref="A182:B182"/>
    <mergeCell ref="A175:B175"/>
    <mergeCell ref="A188:B188"/>
    <mergeCell ref="A189:B189"/>
    <mergeCell ref="A172:B172"/>
    <mergeCell ref="A234:B234"/>
    <mergeCell ref="G234:H234"/>
    <mergeCell ref="G187:H187"/>
    <mergeCell ref="A233:B233"/>
    <mergeCell ref="G233:H233"/>
    <mergeCell ref="A203:H203"/>
    <mergeCell ref="A204:B204"/>
    <mergeCell ref="G204:H204"/>
    <mergeCell ref="A229:B229"/>
    <mergeCell ref="G229:H229"/>
    <mergeCell ref="G196:H196"/>
    <mergeCell ref="A105:B105"/>
    <mergeCell ref="A106:B106"/>
    <mergeCell ref="A107:B107"/>
    <mergeCell ref="E162:F162"/>
    <mergeCell ref="G162:H162"/>
    <mergeCell ref="A109:B109"/>
    <mergeCell ref="A110:B110"/>
    <mergeCell ref="A140:E140"/>
    <mergeCell ref="F143:H143"/>
    <mergeCell ref="A126:B126"/>
    <mergeCell ref="C126:H126"/>
    <mergeCell ref="A128:B128"/>
    <mergeCell ref="C128:H128"/>
    <mergeCell ref="A129:B129"/>
    <mergeCell ref="E129:F129"/>
    <mergeCell ref="G129:H129"/>
    <mergeCell ref="A130:B130"/>
    <mergeCell ref="E130:F139"/>
    <mergeCell ref="G130:H139"/>
    <mergeCell ref="A131:B131"/>
    <mergeCell ref="A132:B132"/>
    <mergeCell ref="A133:B133"/>
    <mergeCell ref="A134:B134"/>
    <mergeCell ref="A135:B135"/>
    <mergeCell ref="A38:B38"/>
    <mergeCell ref="C38:H38"/>
    <mergeCell ref="B243:H243"/>
    <mergeCell ref="A47:B47"/>
    <mergeCell ref="C47:H47"/>
    <mergeCell ref="B241:H241"/>
    <mergeCell ref="A103:B103"/>
    <mergeCell ref="A104:B104"/>
    <mergeCell ref="G88:H97"/>
    <mergeCell ref="A89:B89"/>
    <mergeCell ref="A90:B90"/>
    <mergeCell ref="A91:B91"/>
    <mergeCell ref="F142:H142"/>
    <mergeCell ref="A142:E142"/>
    <mergeCell ref="D169:D170"/>
    <mergeCell ref="A143:E143"/>
    <mergeCell ref="A87:B87"/>
    <mergeCell ref="E87:F87"/>
    <mergeCell ref="G87:H87"/>
    <mergeCell ref="G101:H101"/>
    <mergeCell ref="A145:E145"/>
    <mergeCell ref="F145:H145"/>
    <mergeCell ref="D61:H61"/>
    <mergeCell ref="D62:H62"/>
    <mergeCell ref="A136:B136"/>
    <mergeCell ref="A137:B137"/>
    <mergeCell ref="A138:B138"/>
    <mergeCell ref="A139:B139"/>
    <mergeCell ref="A58:C62"/>
    <mergeCell ref="A112:B112"/>
    <mergeCell ref="C112:H112"/>
    <mergeCell ref="A114:B114"/>
    <mergeCell ref="C114:H114"/>
    <mergeCell ref="A115:B115"/>
    <mergeCell ref="E115:F115"/>
    <mergeCell ref="G115:H115"/>
    <mergeCell ref="A116:B116"/>
    <mergeCell ref="E116:F125"/>
    <mergeCell ref="G116:H125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9" max="16383" man="1"/>
    <brk id="111" max="16383" man="1"/>
    <brk id="255" max="16383" man="1"/>
    <brk id="298" max="16383" man="1"/>
    <brk id="34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7" t="s">
        <v>110</v>
      </c>
      <c r="C3" s="217"/>
      <c r="D3" s="217"/>
      <c r="E3" s="217"/>
      <c r="F3" s="217"/>
      <c r="G3" s="217"/>
      <c r="H3" s="217"/>
    </row>
    <row r="4" spans="1:9" x14ac:dyDescent="0.2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2025-07-18T07:46:38Z</cp:lastPrinted>
  <dcterms:created xsi:type="dcterms:W3CDTF">2019-07-16T09:29:46Z</dcterms:created>
  <dcterms:modified xsi:type="dcterms:W3CDTF">2025-07-18T07:48:19Z</dcterms:modified>
</cp:coreProperties>
</file>