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5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C89" i="1" l="1"/>
  <c r="C88" i="1"/>
  <c r="C66" i="1"/>
  <c r="J105" i="1"/>
  <c r="J104" i="1"/>
  <c r="J103" i="1"/>
  <c r="J102" i="1"/>
  <c r="J74" i="1" l="1"/>
  <c r="J88" i="1"/>
  <c r="J91" i="1" l="1"/>
  <c r="J77" i="1"/>
  <c r="J90" i="1"/>
  <c r="J76" i="1"/>
  <c r="J89" i="1"/>
  <c r="J75" i="1"/>
  <c r="B81" i="1" l="1"/>
  <c r="C73" i="1"/>
  <c r="H81" i="1"/>
  <c r="J83" i="1" l="1"/>
  <c r="J84" i="1"/>
  <c r="J85" i="1"/>
  <c r="J86" i="1"/>
  <c r="J87" i="1" s="1"/>
  <c r="J80" i="1"/>
  <c r="J82" i="1" s="1"/>
  <c r="D92" i="1"/>
  <c r="D90" i="1"/>
  <c r="D88" i="1"/>
  <c r="D86" i="1"/>
  <c r="D93" i="1"/>
  <c r="D91" i="1"/>
  <c r="D89" i="1"/>
  <c r="D87" i="1"/>
  <c r="D84" i="1"/>
  <c r="D54" i="1"/>
  <c r="J159" i="1"/>
  <c r="D231" i="1" l="1"/>
  <c r="F231" i="1" s="1"/>
  <c r="D230" i="1"/>
  <c r="F230" i="1" s="1"/>
  <c r="D229" i="1"/>
  <c r="F229" i="1" s="1"/>
  <c r="D228" i="1"/>
  <c r="F228" i="1" s="1"/>
  <c r="D226" i="1"/>
  <c r="F226" i="1" s="1"/>
  <c r="D225" i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4" i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5" i="1"/>
  <c r="F205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D195" i="1"/>
  <c r="D194" i="1"/>
  <c r="F194" i="1" s="1"/>
  <c r="D193" i="1"/>
  <c r="F193" i="1" s="1"/>
  <c r="D192" i="1"/>
  <c r="F192" i="1" s="1"/>
  <c r="D191" i="1"/>
  <c r="D190" i="1"/>
  <c r="F190" i="1" s="1"/>
  <c r="D189" i="1"/>
  <c r="F189" i="1" s="1"/>
  <c r="D188" i="1"/>
  <c r="F188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6" i="1"/>
  <c r="D175" i="1"/>
  <c r="D173" i="1"/>
  <c r="D172" i="1"/>
  <c r="D171" i="1"/>
  <c r="D170" i="1"/>
  <c r="D168" i="1"/>
  <c r="D167" i="1"/>
  <c r="D166" i="1"/>
  <c r="D165" i="1"/>
  <c r="D164" i="1"/>
  <c r="D163" i="1"/>
  <c r="D162" i="1"/>
  <c r="J160" i="1"/>
  <c r="G198" i="1"/>
  <c r="G199" i="1" s="1"/>
  <c r="G200" i="1" s="1"/>
  <c r="G201" i="1" s="1"/>
  <c r="G202" i="1" s="1"/>
  <c r="G203" i="1" s="1"/>
  <c r="G204" i="1" s="1"/>
  <c r="G205" i="1" s="1"/>
  <c r="F214" i="1"/>
  <c r="A208" i="1"/>
  <c r="A209" i="1" s="1"/>
  <c r="A210" i="1" s="1"/>
  <c r="A211" i="1" s="1"/>
  <c r="A212" i="1" s="1"/>
  <c r="A213" i="1" s="1"/>
  <c r="A214" i="1" s="1"/>
  <c r="G207" i="1"/>
  <c r="G208" i="1" s="1"/>
  <c r="G209" i="1" s="1"/>
  <c r="G210" i="1" s="1"/>
  <c r="G211" i="1" s="1"/>
  <c r="G212" i="1" s="1"/>
  <c r="G213" i="1" s="1"/>
  <c r="G214" i="1" s="1"/>
  <c r="A226" i="1"/>
  <c r="A227" i="1" s="1"/>
  <c r="A228" i="1" s="1"/>
  <c r="A229" i="1" s="1"/>
  <c r="A230" i="1" s="1"/>
  <c r="A231" i="1" s="1"/>
  <c r="G225" i="1"/>
  <c r="G226" i="1" s="1"/>
  <c r="G227" i="1" s="1"/>
  <c r="G228" i="1" s="1"/>
  <c r="G229" i="1" s="1"/>
  <c r="G230" i="1" s="1"/>
  <c r="G231" i="1" s="1"/>
  <c r="F225" i="1"/>
  <c r="A218" i="1"/>
  <c r="A219" i="1" s="1"/>
  <c r="A220" i="1" s="1"/>
  <c r="A221" i="1" s="1"/>
  <c r="A222" i="1" s="1"/>
  <c r="A223" i="1" s="1"/>
  <c r="G217" i="1"/>
  <c r="G218" i="1" s="1"/>
  <c r="G219" i="1" s="1"/>
  <c r="G220" i="1" s="1"/>
  <c r="G221" i="1" s="1"/>
  <c r="G222" i="1" s="1"/>
  <c r="G223" i="1" s="1"/>
  <c r="A199" i="1"/>
  <c r="A200" i="1" s="1"/>
  <c r="A201" i="1" s="1"/>
  <c r="A202" i="1" s="1"/>
  <c r="A203" i="1" s="1"/>
  <c r="A204" i="1" s="1"/>
  <c r="A205" i="1" s="1"/>
  <c r="F195" i="1"/>
  <c r="F191" i="1"/>
  <c r="A189" i="1"/>
  <c r="A190" i="1" s="1"/>
  <c r="A191" i="1" s="1"/>
  <c r="A192" i="1" s="1"/>
  <c r="A193" i="1" s="1"/>
  <c r="A194" i="1" s="1"/>
  <c r="A195" i="1" s="1"/>
  <c r="G188" i="1"/>
  <c r="A180" i="1"/>
  <c r="A181" i="1" s="1"/>
  <c r="A182" i="1" s="1"/>
  <c r="A183" i="1" s="1"/>
  <c r="A184" i="1" s="1"/>
  <c r="A185" i="1" s="1"/>
  <c r="A186" i="1" s="1"/>
  <c r="G179" i="1"/>
  <c r="G130" i="1" l="1"/>
  <c r="C130" i="1"/>
  <c r="C131" i="1"/>
  <c r="C132" i="1"/>
  <c r="C129" i="1"/>
  <c r="G131" i="1"/>
  <c r="E130" i="1"/>
  <c r="E129" i="1"/>
  <c r="E131" i="1"/>
  <c r="G132" i="1"/>
  <c r="E132" i="1"/>
  <c r="F176" i="1"/>
  <c r="F175" i="1"/>
  <c r="F173" i="1"/>
  <c r="F172" i="1"/>
  <c r="F171" i="1"/>
  <c r="A171" i="1"/>
  <c r="A172" i="1" s="1"/>
  <c r="A173" i="1" s="1"/>
  <c r="A174" i="1" s="1"/>
  <c r="A175" i="1" s="1"/>
  <c r="A176" i="1" s="1"/>
  <c r="G170" i="1"/>
  <c r="F170" i="1"/>
  <c r="F163" i="1"/>
  <c r="F165" i="1"/>
  <c r="F166" i="1"/>
  <c r="F167" i="1"/>
  <c r="F162" i="1"/>
  <c r="J162" i="1"/>
  <c r="F168" i="1"/>
  <c r="F164" i="1"/>
  <c r="A163" i="1"/>
  <c r="A164" i="1" s="1"/>
  <c r="A165" i="1" s="1"/>
  <c r="A166" i="1" s="1"/>
  <c r="A167" i="1" s="1"/>
  <c r="A168" i="1" s="1"/>
  <c r="G162" i="1"/>
  <c r="F148" i="1"/>
  <c r="F147" i="1"/>
  <c r="F146" i="1"/>
  <c r="F145" i="1"/>
  <c r="F144" i="1"/>
  <c r="F143" i="1"/>
  <c r="A143" i="1"/>
  <c r="A144" i="1" s="1"/>
  <c r="A145" i="1" s="1"/>
  <c r="A146" i="1" s="1"/>
  <c r="A147" i="1" s="1"/>
  <c r="A148" i="1" s="1"/>
  <c r="G142" i="1"/>
  <c r="F142" i="1"/>
  <c r="C133" i="1" l="1"/>
  <c r="C134" i="1" s="1"/>
  <c r="E133" i="1"/>
  <c r="E134" i="1" s="1"/>
  <c r="G129" i="1"/>
  <c r="G133" i="1" s="1"/>
  <c r="G134" i="1" s="1"/>
  <c r="E42" i="1" l="1"/>
  <c r="E43" i="1" s="1"/>
  <c r="C14" i="1" l="1"/>
  <c r="E29" i="1" l="1"/>
  <c r="F234" i="1" l="1"/>
  <c r="F235" i="1"/>
  <c r="F236" i="1"/>
  <c r="F233" i="1"/>
  <c r="A234" i="1"/>
  <c r="A235" i="1" s="1"/>
  <c r="A236" i="1" s="1"/>
  <c r="G233" i="1"/>
  <c r="G234" i="1" s="1"/>
  <c r="G235" i="1" s="1"/>
  <c r="G236" i="1" s="1"/>
  <c r="F121" i="1" l="1"/>
  <c r="F151" i="1" l="1"/>
  <c r="F152" i="1"/>
  <c r="F153" i="1"/>
  <c r="F150" i="1"/>
  <c r="B263" i="1" l="1"/>
  <c r="A256" i="1"/>
  <c r="A250" i="1"/>
  <c r="A244" i="1"/>
  <c r="F260" i="1" l="1"/>
  <c r="F259" i="1"/>
  <c r="F258" i="1"/>
  <c r="F257" i="1"/>
  <c r="F256" i="1"/>
  <c r="F254" i="1"/>
  <c r="F253" i="1"/>
  <c r="F252" i="1"/>
  <c r="F251" i="1"/>
  <c r="F250" i="1"/>
  <c r="F248" i="1"/>
  <c r="F247" i="1"/>
  <c r="F246" i="1"/>
  <c r="F245" i="1"/>
  <c r="F244" i="1"/>
  <c r="F242" i="1"/>
  <c r="F241" i="1"/>
  <c r="F239" i="1"/>
  <c r="F238" i="1"/>
  <c r="F240" i="1"/>
  <c r="A251" i="1"/>
  <c r="A257" i="1"/>
  <c r="A245" i="1"/>
  <c r="B264" i="1" l="1"/>
  <c r="A246" i="1"/>
  <c r="A258" i="1"/>
  <c r="A25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86" i="1"/>
  <c r="G256" i="1"/>
  <c r="G257" i="1" s="1"/>
  <c r="G258" i="1" s="1"/>
  <c r="G259" i="1" s="1"/>
  <c r="G260" i="1" s="1"/>
  <c r="G250" i="1"/>
  <c r="G251" i="1" s="1"/>
  <c r="G252" i="1" s="1"/>
  <c r="G253" i="1" s="1"/>
  <c r="G254" i="1" s="1"/>
  <c r="G244" i="1"/>
  <c r="G245" i="1" s="1"/>
  <c r="G246" i="1" s="1"/>
  <c r="G247" i="1" s="1"/>
  <c r="G248" i="1" s="1"/>
  <c r="G238" i="1"/>
  <c r="G239" i="1" s="1"/>
  <c r="G240" i="1" s="1"/>
  <c r="G241" i="1" s="1"/>
  <c r="G242" i="1" s="1"/>
  <c r="A238" i="1"/>
  <c r="A239" i="1" s="1"/>
  <c r="A240" i="1" s="1"/>
  <c r="A241" i="1" s="1"/>
  <c r="A242" i="1" s="1"/>
  <c r="A151" i="1"/>
  <c r="A152" i="1" s="1"/>
  <c r="A153" i="1" s="1"/>
  <c r="G150" i="1"/>
  <c r="G151" i="1" s="1"/>
  <c r="G152" i="1" s="1"/>
  <c r="G153" i="1" s="1"/>
  <c r="G49" i="1"/>
  <c r="G50" i="1" s="1"/>
  <c r="C49" i="1"/>
  <c r="E26" i="1"/>
  <c r="E24" i="1"/>
  <c r="E7" i="1"/>
  <c r="E3" i="1"/>
  <c r="H67" i="1"/>
  <c r="A247" i="1"/>
  <c r="A259" i="1"/>
  <c r="A253" i="1"/>
  <c r="D60" i="1" l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A248" i="1"/>
  <c r="A254" i="1"/>
  <c r="A260" i="1"/>
  <c r="J73" i="1" l="1"/>
  <c r="J92" i="1" s="1"/>
  <c r="D72" i="1"/>
  <c r="J68" i="1"/>
  <c r="D70" i="1"/>
  <c r="J78" i="1" l="1"/>
  <c r="J79" i="1" l="1"/>
  <c r="C71" i="1" s="1"/>
  <c r="G70" i="1" s="1"/>
  <c r="D64" i="1" s="1"/>
  <c r="J93" i="1"/>
  <c r="C85" i="1" s="1"/>
  <c r="J67" i="1" l="1"/>
  <c r="D71" i="1"/>
  <c r="D65" i="1"/>
  <c r="F65" i="1"/>
  <c r="E70" i="1"/>
  <c r="I67" i="1" l="1"/>
  <c r="I68" i="1" s="1"/>
  <c r="D85" i="1"/>
  <c r="I81" i="1" s="1"/>
  <c r="G84" i="1"/>
  <c r="E84" i="1"/>
  <c r="J81" i="1"/>
  <c r="H95" i="1"/>
  <c r="D107" i="1" l="1"/>
  <c r="D103" i="1"/>
  <c r="J100" i="1"/>
  <c r="J101" i="1" s="1"/>
  <c r="J106" i="1" s="1"/>
  <c r="D106" i="1"/>
  <c r="D100" i="1"/>
  <c r="J94" i="1"/>
  <c r="J96" i="1" s="1"/>
  <c r="J99" i="1"/>
  <c r="C98" i="1" s="1"/>
  <c r="J97" i="1"/>
  <c r="D102" i="1"/>
  <c r="D104" i="1"/>
  <c r="D105" i="1"/>
  <c r="D101" i="1"/>
  <c r="J98" i="1"/>
  <c r="I66" i="1"/>
  <c r="C68" i="1" s="1"/>
  <c r="I82" i="1"/>
  <c r="I80" i="1" s="1"/>
  <c r="C82" i="1" s="1"/>
  <c r="J107" i="1" l="1"/>
  <c r="D98" i="1"/>
  <c r="C99" i="1" l="1"/>
  <c r="E98" i="1" s="1"/>
  <c r="J95" i="1" l="1"/>
  <c r="D99" i="1"/>
  <c r="I95" i="1" s="1"/>
  <c r="I96" i="1" s="1"/>
  <c r="G98" i="1"/>
  <c r="I94" i="1" l="1"/>
  <c r="C96" i="1" s="1"/>
</calcChain>
</file>

<file path=xl/sharedStrings.xml><?xml version="1.0" encoding="utf-8"?>
<sst xmlns="http://schemas.openxmlformats.org/spreadsheetml/2006/main" count="367" uniqueCount="239">
  <si>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</si>
  <si>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</si>
  <si>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</si>
  <si>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</si>
  <si>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</si>
  <si>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</si>
  <si>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</si>
  <si>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</si>
  <si>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</si>
  <si>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</si>
  <si>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</si>
  <si>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</si>
  <si>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</si>
  <si>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</si>
  <si>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</si>
  <si>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</si>
  <si>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</si>
  <si>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</si>
  <si>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</si>
  <si>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</si>
  <si>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</si>
  <si>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</si>
  <si>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</si>
  <si>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</si>
  <si>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</si>
  <si>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</si>
  <si>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</si>
  <si>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</si>
  <si>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</si>
  <si>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</si>
  <si>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</si>
  <si>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</si>
  <si>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</si>
  <si>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</si>
  <si>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</si>
  <si>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</si>
  <si>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</si>
  <si>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</si>
  <si>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</si>
  <si>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</si>
  <si>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</si>
  <si>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</si>
  <si>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</si>
  <si>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</si>
  <si>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</si>
  <si>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</si>
  <si>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</si>
  <si>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</si>
  <si>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</si>
  <si>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</si>
  <si>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</si>
  <si>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</si>
  <si>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</si>
  <si>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</si>
  <si>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</si>
  <si>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</si>
  <si>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</si>
  <si>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</si>
  <si>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</si>
  <si>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</si>
  <si>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</si>
  <si>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</si>
  <si>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</si>
  <si>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</si>
  <si>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</si>
  <si>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</si>
  <si>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</si>
  <si>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</si>
  <si>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</si>
  <si>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</si>
  <si>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</si>
  <si>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</si>
  <si>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</si>
  <si>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</si>
  <si>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</si>
  <si>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</si>
  <si>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</si>
  <si>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</si>
  <si>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</si>
  <si>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</si>
  <si>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</si>
  <si>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</si>
  <si>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</si>
  <si>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</si>
  <si>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</si>
  <si>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</si>
  <si>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</si>
  <si>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</si>
  <si>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</si>
  <si>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</si>
  <si>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</si>
  <si>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</si>
  <si>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</si>
  <si>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</si>
  <si>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</si>
  <si>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</si>
  <si>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</si>
  <si>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</si>
  <si>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</si>
  <si>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</si>
  <si>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</si>
  <si>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</si>
  <si>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</si>
  <si>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</si>
  <si>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</si>
  <si>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</si>
  <si>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</si>
  <si>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</si>
  <si>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</si>
  <si>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</si>
  <si>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</si>
  <si>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</si>
  <si>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</si>
  <si>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</si>
  <si>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</si>
  <si>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</si>
  <si>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</si>
  <si>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</si>
  <si>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</si>
  <si>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</si>
  <si>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</si>
  <si>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</si>
  <si>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</si>
  <si>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</si>
  <si>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</si>
  <si>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</si>
  <si>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</si>
  <si>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</si>
  <si>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</si>
  <si>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</si>
  <si>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</si>
  <si>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</si>
  <si>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</si>
  <si>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</si>
  <si>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</si>
  <si>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</si>
  <si>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</si>
  <si>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</si>
  <si>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</si>
  <si>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</si>
  <si>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</si>
  <si>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</si>
  <si>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</si>
  <si>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</si>
  <si>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</si>
  <si>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</si>
  <si>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</si>
  <si>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</si>
  <si>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</si>
  <si>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</si>
  <si>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</si>
  <si>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</si>
  <si>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</si>
  <si>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</si>
  <si>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</si>
  <si>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</si>
  <si>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</si>
  <si>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</si>
  <si>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</si>
  <si>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</si>
  <si>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</si>
  <si>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</si>
  <si>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</si>
  <si>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</si>
  <si>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</si>
  <si>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</si>
  <si>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</si>
  <si>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</si>
  <si>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</si>
  <si>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</si>
  <si>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</si>
  <si>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Provided Contact Details ( Name &amp; Contact No.)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</si>
  <si>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</si>
  <si>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</si>
  <si>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</si>
  <si>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</si>
  <si>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Axis Thane</t>
  </si>
  <si>
    <t>Macrotech Developers Limited</t>
  </si>
  <si>
    <t>Mr. Rajendra Giri 9820248856</t>
  </si>
  <si>
    <t>P51700048779</t>
  </si>
  <si>
    <t>Open Plot</t>
  </si>
  <si>
    <t>Kalyan Shilphata Road</t>
  </si>
  <si>
    <t>Central Ave Road</t>
  </si>
  <si>
    <t>Ira Global School</t>
  </si>
  <si>
    <t>Directorate of Town Planning and Pricing Thane</t>
  </si>
  <si>
    <t xml:space="preserve">As per RERA - 31/12/2028 </t>
  </si>
  <si>
    <t>Children Play Area, Gymnasium, Library, Indoor Games, Senior Citizen Area, Green Lawn</t>
  </si>
  <si>
    <t>Runwal Gardens</t>
  </si>
  <si>
    <t>Thane</t>
  </si>
  <si>
    <t>Kalyan</t>
  </si>
  <si>
    <t>Dombivli East</t>
  </si>
  <si>
    <t>Coral A, Coral B, Coral C, Coral D</t>
  </si>
  <si>
    <t>Approved Plans, CC</t>
  </si>
  <si>
    <t>Antarli</t>
  </si>
  <si>
    <t>4 Wings</t>
  </si>
  <si>
    <t>Survey No</t>
  </si>
  <si>
    <t>53/1, 53/2, 53/3, 54/3B, 54/3C, 54/4, 54/5, 54/6 &amp; others</t>
  </si>
  <si>
    <t>Ekatmik Nagar Vasahat/Mouje-Antarli, Khoni, Hedutane, Kole, Gharivali, Katai &amp; Mangaon, Ta-Kalyan &amp; Mouje-Umbroli, Ta-Ambarnath SSTN/5059</t>
  </si>
  <si>
    <t>Cluster 10.05</t>
  </si>
  <si>
    <t>Coral Wing A + B</t>
  </si>
  <si>
    <t>Ground Floor For Commercial, Amenity/ Common Area &amp; Meter Room</t>
  </si>
  <si>
    <t>Refuge Area</t>
  </si>
  <si>
    <t>We considered Gross carpet area = Net carpet.</t>
  </si>
  <si>
    <t>Wing A</t>
  </si>
  <si>
    <t>Wing B</t>
  </si>
  <si>
    <t>Wing C</t>
  </si>
  <si>
    <t>Wing D</t>
  </si>
  <si>
    <t>Flats - 416</t>
  </si>
  <si>
    <t>Sector O</t>
  </si>
  <si>
    <t>Cluster 15.05</t>
  </si>
  <si>
    <t>Mangaon</t>
  </si>
  <si>
    <t>Ekatmik Nagar Vasahat/MJ-Antarli, Khoni &amp; etc,/ Sector "B, D, I1, I2, O, P &amp; R"/SSTN/5059</t>
  </si>
  <si>
    <t>Cluster 15.05 Coral Wing A, B, C &amp; D = Gr + 1st to 14th Floor</t>
  </si>
  <si>
    <t>Cluster 15.05 Coral A, B, C &amp; D Wing = G + 1st to 14th Floor</t>
  </si>
  <si>
    <t>Crown Dombivli 1 Sector O (Cluster 15.05)</t>
  </si>
  <si>
    <t>Site Person - Contact Details (Name &amp; Contact No.)</t>
  </si>
  <si>
    <t>Coral A &amp; B Wing = G + 1st to 14th Floor</t>
  </si>
  <si>
    <t>Coral C &amp; D Wing = G + 1st to 14th Floor</t>
  </si>
  <si>
    <t>1st to 7th, 9th to 12th Floor
14th Floor (15th Floor as per Builder) For Residential</t>
  </si>
  <si>
    <t>8th Floor
13th Floor (14th Floor as per Builder) (Part Refuge Area)</t>
  </si>
  <si>
    <t>Coral</t>
  </si>
  <si>
    <t>The ground floor layout is on hold and in the planning segments, according to Mr. Rajendra Giri. Therefore, the ground floor modification will be performed in the next updated plans.</t>
  </si>
  <si>
    <t>Provisional Building Common Area Maintenance (CAM) Charges for 18 months*</t>
  </si>
  <si>
    <t>City management charges for 60 months*</t>
  </si>
  <si>
    <t>Utility Connection &amp; Related Expenses*</t>
  </si>
  <si>
    <t>Land Under Construction (LUC) Reimbursement Charges*</t>
  </si>
  <si>
    <t>Ground Floor Plan is not drafted for Building Coral A to D.</t>
  </si>
  <si>
    <t xml:space="preserve">Commencement-CC No
Valid Up to: </t>
  </si>
  <si>
    <t>5.5KM from Dombivli Railway Station</t>
  </si>
  <si>
    <t>19.1809539,73.0954437</t>
  </si>
  <si>
    <t>https://goo.gl/maps/8nzWw87s2HkvY9F3A</t>
  </si>
  <si>
    <t>6900 to 7000 &amp; 2.25L to 4L by sanket on 30/05/2023</t>
  </si>
  <si>
    <t xml:space="preserve"> Sector O (Cluster 15.05)</t>
  </si>
  <si>
    <t>Coral C Wing = G + 1st to 14th Floor</t>
  </si>
  <si>
    <t>Coral D Wing = G + 1st to 14th Floor</t>
  </si>
  <si>
    <t>Internal visit was not allowed. Photoghraphs are taken from gate.</t>
  </si>
  <si>
    <t>Krishna Kambali</t>
  </si>
  <si>
    <t>Shruti</t>
  </si>
  <si>
    <t>Wing A, B, C &amp; D = Construction work is in process at the time of Visit. Internal photographs not allowed.
Wing D = Work is same as last visit (06/02/2025).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</si>
</sst>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_ * #,##0.000_ ;_ * \-#,##0.00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2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9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8" xfId="1" applyFont="1" applyBorder="1"/>
    <xf numFmtId="0" fontId="17" fillId="0" borderId="8" xfId="0" applyFont="1" applyBorder="1" applyProtection="1">
      <protection hidden="1"/>
    </xf>
    <xf numFmtId="1" fontId="0" fillId="0" borderId="8" xfId="0" applyNumberFormat="1" applyBorder="1"/>
    <xf numFmtId="1" fontId="0" fillId="0" borderId="8" xfId="0" applyNumberFormat="1" applyBorder="1" applyAlignment="1">
      <alignment horizontal="right"/>
    </xf>
    <xf numFmtId="1" fontId="0" fillId="0" borderId="10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/>
    <xf numFmtId="0" fontId="25" fillId="0" borderId="23" xfId="0" applyFont="1" applyBorder="1"/>
    <xf numFmtId="0" fontId="25" fillId="0" borderId="1" xfId="0" applyFont="1" applyBorder="1"/>
    <xf numFmtId="0" fontId="25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0" fontId="7" fillId="0" borderId="0" xfId="1" applyFont="1" applyFill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67" fontId="16" fillId="0" borderId="0" xfId="1" applyNumberFormat="1" applyFont="1"/>
    <xf numFmtId="169" fontId="16" fillId="0" borderId="0" xfId="1" applyNumberFormat="1" applyFont="1"/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1" xfId="0" applyFont="1" applyFill="1" applyBorder="1"/>
    <xf numFmtId="0" fontId="25" fillId="0" borderId="7" xfId="0" applyFont="1" applyBorder="1"/>
    <xf numFmtId="0" fontId="7" fillId="0" borderId="3" xfId="1" applyFont="1" applyBorder="1" applyAlignment="1" applyProtection="1">
      <alignment horizontal="center" vertical="top" wrapText="1"/>
      <protection locked="0"/>
    </xf>
    <xf numFmtId="9" fontId="7" fillId="0" borderId="3" xfId="8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29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10" fillId="0" borderId="15" xfId="1" applyFont="1" applyBorder="1" applyAlignment="1" applyProtection="1">
      <alignment horizontal="left" vertical="top" wrapText="1"/>
      <protection locked="0"/>
    </xf>
    <xf numFmtId="0" fontId="10" fillId="0" borderId="2" xfId="1" applyFont="1" applyBorder="1" applyAlignment="1" applyProtection="1">
      <alignment horizontal="left" vertical="top" wrapText="1"/>
      <protection locked="0"/>
    </xf>
    <xf numFmtId="0" fontId="10" fillId="0" borderId="28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3" xfId="8" applyFont="1" applyFill="1" applyBorder="1" applyAlignment="1" applyProtection="1">
      <alignment horizontal="center" vertical="center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9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8" xfId="8" applyFont="1" applyFill="1" applyBorder="1" applyAlignment="1" applyProtection="1">
      <alignment horizontal="center" vertical="center" wrapText="1"/>
      <protection locked="0"/>
    </xf>
    <xf numFmtId="9" fontId="8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17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13" fillId="0" borderId="17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0" fontId="8" fillId="0" borderId="12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1" fontId="8" fillId="0" borderId="25" xfId="0" applyNumberFormat="1" applyFont="1" applyBorder="1" applyAlignment="1" applyProtection="1">
      <alignment horizontal="center" vertical="center" wrapText="1"/>
      <protection locked="0"/>
    </xf>
    <xf numFmtId="1" fontId="10" fillId="0" borderId="25" xfId="0" applyNumberFormat="1" applyFont="1" applyBorder="1" applyAlignment="1" applyProtection="1">
      <alignment horizontal="center" vertical="center"/>
      <protection locked="0"/>
    </xf>
    <xf numFmtId="1" fontId="10" fillId="0" borderId="25" xfId="0" applyNumberFormat="1" applyFont="1" applyBorder="1" applyAlignment="1" applyProtection="1">
      <alignment horizontal="center" vertical="top" wrapText="1"/>
      <protection locked="0"/>
    </xf>
    <xf numFmtId="1" fontId="8" fillId="0" borderId="25" xfId="0" applyNumberFormat="1" applyFont="1" applyBorder="1" applyAlignment="1" applyProtection="1">
      <alignment horizontal="center" vertical="top" wrapText="1"/>
      <protection locked="0"/>
    </xf>
    <xf numFmtId="1" fontId="8" fillId="0" borderId="26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0" fillId="0" borderId="6" xfId="1" applyFont="1" applyBorder="1" applyAlignment="1" applyProtection="1">
      <alignment horizontal="left" vertical="top"/>
      <protection locked="0"/>
    </xf>
    <xf numFmtId="0" fontId="10" fillId="0" borderId="17" xfId="1" applyFont="1" applyBorder="1" applyAlignment="1" applyProtection="1">
      <alignment horizontal="left" vertical="top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6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329043</xdr:colOff>
      <xdr:row>372</xdr:row>
      <xdr:rowOff>95249</xdr:rowOff>
    </xdr:from>
    <xdr:to>
      <xdr:col>7</xdr:col>
      <xdr:colOff>580020</xdr:colOff>
      <xdr:row>412</xdr:row>
      <xdr:rowOff>48887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043" y="91725749"/>
          <a:ext cx="5946927" cy="79546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557894</xdr:colOff>
      <xdr:row>377</xdr:row>
      <xdr:rowOff>176893</xdr:rowOff>
    </xdr:from>
    <xdr:to>
      <xdr:col>5</xdr:col>
      <xdr:colOff>530680</xdr:colOff>
      <xdr:row>384</xdr:row>
      <xdr:rowOff>40821</xdr:rowOff>
    </xdr:to>
    <xdr:sp macro="" textlink="">
      <xdr:nvSpPr>
        <xdr:cNvPr id="12" name="Rectangle 11"/>
        <xdr:cNvSpPr/>
      </xdr:nvSpPr>
      <xdr:spPr>
        <a:xfrm>
          <a:off x="2967719" y="92807518"/>
          <a:ext cx="1696811" cy="1264103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3</xdr:col>
      <xdr:colOff>816429</xdr:colOff>
      <xdr:row>374</xdr:row>
      <xdr:rowOff>176893</xdr:rowOff>
    </xdr:from>
    <xdr:ext cx="834011" cy="468013"/>
    <xdr:sp macro="" textlink="">
      <xdr:nvSpPr>
        <xdr:cNvPr id="13" name="TextBox 12"/>
        <xdr:cNvSpPr txBox="1"/>
      </xdr:nvSpPr>
      <xdr:spPr>
        <a:xfrm>
          <a:off x="3226254" y="92207443"/>
          <a:ext cx="834011" cy="46801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/>
            <a:t>Ruby</a:t>
          </a:r>
        </a:p>
      </xdr:txBody>
    </xdr:sp>
    <xdr:clientData/>
  </xdr:oneCellAnchor>
  <xdr:twoCellAnchor>
    <xdr:from>
      <xdr:col>3</xdr:col>
      <xdr:colOff>666750</xdr:colOff>
      <xdr:row>384</xdr:row>
      <xdr:rowOff>108857</xdr:rowOff>
    </xdr:from>
    <xdr:to>
      <xdr:col>5</xdr:col>
      <xdr:colOff>299357</xdr:colOff>
      <xdr:row>391</xdr:row>
      <xdr:rowOff>152399</xdr:rowOff>
    </xdr:to>
    <xdr:sp macro="" textlink="">
      <xdr:nvSpPr>
        <xdr:cNvPr id="14" name="Rectangle 13"/>
        <xdr:cNvSpPr/>
      </xdr:nvSpPr>
      <xdr:spPr>
        <a:xfrm>
          <a:off x="3076575" y="94139657"/>
          <a:ext cx="1356632" cy="1443717"/>
        </a:xfrm>
        <a:prstGeom prst="rect">
          <a:avLst/>
        </a:prstGeom>
        <a:noFill/>
        <a:ln w="762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7030A0"/>
            </a:solidFill>
          </a:endParaRPr>
        </a:p>
      </xdr:txBody>
    </xdr:sp>
    <xdr:clientData/>
  </xdr:twoCellAnchor>
  <xdr:oneCellAnchor>
    <xdr:from>
      <xdr:col>2</xdr:col>
      <xdr:colOff>587829</xdr:colOff>
      <xdr:row>386</xdr:row>
      <xdr:rowOff>193222</xdr:rowOff>
    </xdr:from>
    <xdr:ext cx="785536" cy="468013"/>
    <xdr:sp macro="" textlink="">
      <xdr:nvSpPr>
        <xdr:cNvPr id="15" name="TextBox 14"/>
        <xdr:cNvSpPr txBox="1"/>
      </xdr:nvSpPr>
      <xdr:spPr>
        <a:xfrm>
          <a:off x="2149929" y="94624072"/>
          <a:ext cx="785536" cy="46801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/>
            <a:t>Opal</a:t>
          </a:r>
        </a:p>
      </xdr:txBody>
    </xdr:sp>
    <xdr:clientData/>
  </xdr:oneCellAnchor>
  <xdr:twoCellAnchor>
    <xdr:from>
      <xdr:col>4</xdr:col>
      <xdr:colOff>40822</xdr:colOff>
      <xdr:row>392</xdr:row>
      <xdr:rowOff>54427</xdr:rowOff>
    </xdr:from>
    <xdr:to>
      <xdr:col>5</xdr:col>
      <xdr:colOff>342900</xdr:colOff>
      <xdr:row>403</xdr:row>
      <xdr:rowOff>190500</xdr:rowOff>
    </xdr:to>
    <xdr:sp macro="" textlink="">
      <xdr:nvSpPr>
        <xdr:cNvPr id="16" name="Rectangle 15"/>
        <xdr:cNvSpPr/>
      </xdr:nvSpPr>
      <xdr:spPr>
        <a:xfrm>
          <a:off x="3393622" y="95685427"/>
          <a:ext cx="1083128" cy="2336348"/>
        </a:xfrm>
        <a:prstGeom prst="rect">
          <a:avLst/>
        </a:prstGeom>
        <a:noFill/>
        <a:ln w="762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7030A0"/>
            </a:solidFill>
          </a:endParaRPr>
        </a:p>
      </xdr:txBody>
    </xdr:sp>
    <xdr:clientData/>
  </xdr:twoCellAnchor>
  <xdr:oneCellAnchor>
    <xdr:from>
      <xdr:col>2</xdr:col>
      <xdr:colOff>821871</xdr:colOff>
      <xdr:row>397</xdr:row>
      <xdr:rowOff>182337</xdr:rowOff>
    </xdr:from>
    <xdr:ext cx="849976" cy="468013"/>
    <xdr:sp macro="" textlink="">
      <xdr:nvSpPr>
        <xdr:cNvPr id="17" name="TextBox 16"/>
        <xdr:cNvSpPr txBox="1"/>
      </xdr:nvSpPr>
      <xdr:spPr>
        <a:xfrm>
          <a:off x="2383971" y="96813462"/>
          <a:ext cx="849976" cy="468013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/>
            <a:t>Coral</a:t>
          </a:r>
        </a:p>
      </xdr:txBody>
    </xdr:sp>
    <xdr:clientData/>
  </xdr:oneCellAnchor>
  <xdr:twoCellAnchor editAs="oneCell">
    <xdr:from>
      <xdr:col>0</xdr:col>
      <xdr:colOff>277091</xdr:colOff>
      <xdr:row>329</xdr:row>
      <xdr:rowOff>173182</xdr:rowOff>
    </xdr:from>
    <xdr:to>
      <xdr:col>7</xdr:col>
      <xdr:colOff>513224</xdr:colOff>
      <xdr:row>370</xdr:row>
      <xdr:rowOff>120633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816818" y="55273841"/>
          <a:ext cx="8112974" cy="59251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147205</xdr:colOff>
      <xdr:row>332</xdr:row>
      <xdr:rowOff>147206</xdr:rowOff>
    </xdr:from>
    <xdr:to>
      <xdr:col>5</xdr:col>
      <xdr:colOff>545523</xdr:colOff>
      <xdr:row>343</xdr:row>
      <xdr:rowOff>173183</xdr:rowOff>
    </xdr:to>
    <xdr:sp macro="" textlink="">
      <xdr:nvSpPr>
        <xdr:cNvPr id="19" name="Rectangle 18"/>
        <xdr:cNvSpPr/>
      </xdr:nvSpPr>
      <xdr:spPr>
        <a:xfrm>
          <a:off x="3498273" y="54751433"/>
          <a:ext cx="1177636" cy="2216727"/>
        </a:xfrm>
        <a:prstGeom prst="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303065</xdr:colOff>
      <xdr:row>416</xdr:row>
      <xdr:rowOff>86590</xdr:rowOff>
    </xdr:from>
    <xdr:to>
      <xdr:col>7</xdr:col>
      <xdr:colOff>539198</xdr:colOff>
      <xdr:row>431</xdr:row>
      <xdr:rowOff>89096</xdr:rowOff>
    </xdr:to>
    <xdr:pic>
      <xdr:nvPicPr>
        <xdr:cNvPr id="20" name="Picture 19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3065" y="71818499"/>
          <a:ext cx="5925156" cy="298989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303065</xdr:colOff>
      <xdr:row>432</xdr:row>
      <xdr:rowOff>170987</xdr:rowOff>
    </xdr:from>
    <xdr:to>
      <xdr:col>7</xdr:col>
      <xdr:colOff>539198</xdr:colOff>
      <xdr:row>453</xdr:row>
      <xdr:rowOff>33319</xdr:rowOff>
    </xdr:to>
    <xdr:pic>
      <xdr:nvPicPr>
        <xdr:cNvPr id="21" name="Picture 20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3065" y="75089442"/>
          <a:ext cx="5925156" cy="40446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509649</xdr:colOff>
      <xdr:row>438</xdr:row>
      <xdr:rowOff>141019</xdr:rowOff>
    </xdr:from>
    <xdr:to>
      <xdr:col>6</xdr:col>
      <xdr:colOff>306778</xdr:colOff>
      <xdr:row>444</xdr:row>
      <xdr:rowOff>34636</xdr:rowOff>
    </xdr:to>
    <xdr:sp macro="" textlink="">
      <xdr:nvSpPr>
        <xdr:cNvPr id="22" name="Rectangle 21"/>
        <xdr:cNvSpPr/>
      </xdr:nvSpPr>
      <xdr:spPr>
        <a:xfrm>
          <a:off x="2916876" y="76254428"/>
          <a:ext cx="2299607" cy="1088572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9</xdr:col>
      <xdr:colOff>0</xdr:colOff>
      <xdr:row>288</xdr:row>
      <xdr:rowOff>0</xdr:rowOff>
    </xdr:from>
    <xdr:ext cx="1163908" cy="264560"/>
    <xdr:sp macro="" textlink="">
      <xdr:nvSpPr>
        <xdr:cNvPr id="40" name="TextBox 39"/>
        <xdr:cNvSpPr txBox="1"/>
      </xdr:nvSpPr>
      <xdr:spPr>
        <a:xfrm>
          <a:off x="7698441" y="53564118"/>
          <a:ext cx="1163908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Coral A &amp; B Wing</a:t>
          </a:r>
        </a:p>
      </xdr:txBody>
    </xdr:sp>
    <xdr:clientData/>
  </xdr:oneCellAnchor>
  <xdr:twoCellAnchor>
    <xdr:from>
      <xdr:col>9</xdr:col>
      <xdr:colOff>581954</xdr:colOff>
      <xdr:row>289</xdr:row>
      <xdr:rowOff>74060</xdr:rowOff>
    </xdr:from>
    <xdr:to>
      <xdr:col>10</xdr:col>
      <xdr:colOff>133350</xdr:colOff>
      <xdr:row>294</xdr:row>
      <xdr:rowOff>120650</xdr:rowOff>
    </xdr:to>
    <xdr:cxnSp macro="">
      <xdr:nvCxnSpPr>
        <xdr:cNvPr id="41" name="Straight Arrow Connector 40"/>
        <xdr:cNvCxnSpPr>
          <a:stCxn id="40" idx="2"/>
        </xdr:cNvCxnSpPr>
      </xdr:nvCxnSpPr>
      <xdr:spPr>
        <a:xfrm>
          <a:off x="8280395" y="53828678"/>
          <a:ext cx="313396" cy="1055119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56403</xdr:colOff>
      <xdr:row>287</xdr:row>
      <xdr:rowOff>176680</xdr:rowOff>
    </xdr:from>
    <xdr:to>
      <xdr:col>21</xdr:col>
      <xdr:colOff>575607</xdr:colOff>
      <xdr:row>319</xdr:row>
      <xdr:rowOff>131489</xdr:rowOff>
    </xdr:to>
    <xdr:grpSp>
      <xdr:nvGrpSpPr>
        <xdr:cNvPr id="4" name="Group 3"/>
        <xdr:cNvGrpSpPr/>
      </xdr:nvGrpSpPr>
      <xdr:grpSpPr>
        <a:xfrm>
          <a:off x="10724403" y="53348592"/>
          <a:ext cx="5830792" cy="6398191"/>
          <a:chOff x="285750" y="52050950"/>
          <a:chExt cx="6102348" cy="6247659"/>
        </a:xfrm>
      </xdr:grpSpPr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5750" y="52050950"/>
            <a:ext cx="2979282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9630" y="56138609"/>
            <a:ext cx="2866716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08816" y="52050950"/>
            <a:ext cx="2979282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53964" y="56138609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5" name="TextBox 34"/>
          <xdr:cNvSpPr txBox="1"/>
        </xdr:nvSpPr>
        <xdr:spPr>
          <a:xfrm>
            <a:off x="2384730" y="57154609"/>
            <a:ext cx="932371" cy="26456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Coral D Wing</a:t>
            </a:r>
          </a:p>
        </xdr:txBody>
      </xdr:sp>
    </xdr:grpSp>
    <xdr:clientData/>
  </xdr:twoCellAnchor>
  <xdr:twoCellAnchor>
    <xdr:from>
      <xdr:col>0</xdr:col>
      <xdr:colOff>235325</xdr:colOff>
      <xdr:row>286</xdr:row>
      <xdr:rowOff>67235</xdr:rowOff>
    </xdr:from>
    <xdr:to>
      <xdr:col>7</xdr:col>
      <xdr:colOff>425641</xdr:colOff>
      <xdr:row>326</xdr:row>
      <xdr:rowOff>163878</xdr:rowOff>
    </xdr:to>
    <xdr:grpSp>
      <xdr:nvGrpSpPr>
        <xdr:cNvPr id="6" name="Group 5"/>
        <xdr:cNvGrpSpPr/>
      </xdr:nvGrpSpPr>
      <xdr:grpSpPr>
        <a:xfrm>
          <a:off x="235325" y="53037441"/>
          <a:ext cx="5894110" cy="8153672"/>
          <a:chOff x="235325" y="53227941"/>
          <a:chExt cx="5894110" cy="8153672"/>
        </a:xfrm>
      </xdr:grpSpPr>
      <xdr:grpSp>
        <xdr:nvGrpSpPr>
          <xdr:cNvPr id="3" name="Group 2"/>
          <xdr:cNvGrpSpPr/>
        </xdr:nvGrpSpPr>
        <xdr:grpSpPr>
          <a:xfrm>
            <a:off x="235325" y="53227941"/>
            <a:ext cx="5894110" cy="8153672"/>
            <a:chOff x="0" y="52970206"/>
            <a:chExt cx="5894110" cy="8153672"/>
          </a:xfrm>
        </xdr:grpSpPr>
        <xdr:pic>
          <xdr:nvPicPr>
            <xdr:cNvPr id="36" name="Picture 35" descr="insp-239570-1525.jpg (1079×810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14619" y="58963878"/>
              <a:ext cx="2877332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" name="Picture 37" descr="insp-239570-862.jpg (959×1280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06079" y="56329528"/>
              <a:ext cx="1888031" cy="252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9" name="Picture 38" descr="insp-239570-860.jpg (1079×810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58963878"/>
              <a:ext cx="287733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" name="Picture 41" descr="insp-239570-880.jpg (959×1280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24785" y="52970208"/>
              <a:ext cx="2427469" cy="324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3" name="Picture 42" descr="insp-239570-883.jpg (959×1280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011666" y="56329528"/>
              <a:ext cx="1888031" cy="252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4" name="Picture 43" descr="insp-239570-931.jpg (959×1280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253" y="56329528"/>
              <a:ext cx="1888031" cy="252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5" name="Picture 44" descr="insp-239570-931.jpg (959×1280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2206" y="52970206"/>
              <a:ext cx="2427469" cy="324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6" name="TextBox 45"/>
          <xdr:cNvSpPr txBox="1"/>
        </xdr:nvSpPr>
        <xdr:spPr>
          <a:xfrm>
            <a:off x="959224" y="53963048"/>
            <a:ext cx="1823513" cy="37414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800" b="1" cap="none" spc="0">
                <a:ln w="0"/>
                <a:solidFill>
                  <a:srgbClr val="C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Coral A &amp; B Wing</a:t>
            </a:r>
          </a:p>
        </xdr:txBody>
      </xdr:sp>
      <xdr:sp macro="" textlink="">
        <xdr:nvSpPr>
          <xdr:cNvPr id="47" name="TextBox 46"/>
          <xdr:cNvSpPr txBox="1"/>
        </xdr:nvSpPr>
        <xdr:spPr>
          <a:xfrm>
            <a:off x="3946712" y="53431889"/>
            <a:ext cx="857927" cy="37414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800" b="1" cap="none" spc="0">
                <a:ln w="0"/>
                <a:solidFill>
                  <a:srgbClr val="C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Coral C</a:t>
            </a:r>
          </a:p>
        </xdr:txBody>
      </xdr:sp>
      <xdr:cxnSp macro="">
        <xdr:nvCxnSpPr>
          <xdr:cNvPr id="48" name="Straight Arrow Connector 47"/>
          <xdr:cNvCxnSpPr/>
        </xdr:nvCxnSpPr>
        <xdr:spPr>
          <a:xfrm flipH="1">
            <a:off x="4179794" y="53734549"/>
            <a:ext cx="297324" cy="703627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9" name="Straight Arrow Connector 48"/>
          <xdr:cNvCxnSpPr/>
        </xdr:nvCxnSpPr>
        <xdr:spPr>
          <a:xfrm flipH="1">
            <a:off x="2953871" y="57047009"/>
            <a:ext cx="297324" cy="703627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0" name="TextBox 49"/>
          <xdr:cNvSpPr txBox="1"/>
        </xdr:nvSpPr>
        <xdr:spPr>
          <a:xfrm>
            <a:off x="2911288" y="56665907"/>
            <a:ext cx="881267" cy="37414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800" b="1" cap="none" spc="0">
                <a:ln w="0"/>
                <a:solidFill>
                  <a:srgbClr val="C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Coral D</a:t>
            </a:r>
          </a:p>
        </xdr:txBody>
      </xdr:sp>
    </xdr:grpSp>
    <xdr:clientData/>
  </xdr:twoCellAnchor>
  <xdr:twoCellAnchor editAs="oneCell">
    <xdr:from>
      <xdr:col>8</xdr:col>
      <xdr:colOff>537882</xdr:colOff>
      <xdr:row>86</xdr:row>
      <xdr:rowOff>123264</xdr:rowOff>
    </xdr:from>
    <xdr:to>
      <xdr:col>15</xdr:col>
      <xdr:colOff>358587</xdr:colOff>
      <xdr:row>112</xdr:row>
      <xdr:rowOff>291353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29286" t="22214" r="28766" b="12060"/>
        <a:stretch/>
      </xdr:blipFill>
      <xdr:spPr>
        <a:xfrm>
          <a:off x="7070911" y="21537705"/>
          <a:ext cx="5457264" cy="4807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8nzWw87s2HkvY9F3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15"/>
  <sheetViews>
    <sheetView tabSelected="1" view="pageBreakPreview" zoomScale="85" zoomScaleNormal="100" zoomScaleSheetLayoutView="85" workbookViewId="0">
      <selection activeCell="I7" sqref="I7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12.4257812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50" t="s">
        <v>173</v>
      </c>
      <c r="B1" s="150"/>
      <c r="C1" s="150"/>
      <c r="D1" s="150"/>
      <c r="E1" s="150"/>
      <c r="F1" s="150"/>
      <c r="G1" s="150"/>
      <c r="H1" s="150"/>
    </row>
    <row r="2" spans="1:8" ht="16.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</row>
    <row r="3" spans="1:8" x14ac:dyDescent="0.25">
      <c r="A3" s="125" t="s">
        <v>1</v>
      </c>
      <c r="B3" s="125"/>
      <c r="C3" s="125"/>
      <c r="D3" s="125"/>
      <c r="E3" s="125" t="str">
        <f ca="1">TEXT(TODAY(),"DD/MM/YYYY")</f>
        <v>08/07/2025</v>
      </c>
      <c r="F3" s="125"/>
      <c r="G3" s="125"/>
      <c r="H3" s="125"/>
    </row>
    <row r="4" spans="1:8" ht="15" customHeight="1" x14ac:dyDescent="0.25">
      <c r="A4" s="125" t="s">
        <v>2</v>
      </c>
      <c r="B4" s="125"/>
      <c r="C4" s="125"/>
      <c r="D4" s="125"/>
      <c r="E4" s="125" t="s">
        <v>176</v>
      </c>
      <c r="F4" s="125"/>
      <c r="G4" s="125"/>
      <c r="H4" s="125"/>
    </row>
    <row r="5" spans="1:8" x14ac:dyDescent="0.25">
      <c r="A5" s="125" t="s">
        <v>3</v>
      </c>
      <c r="B5" s="125"/>
      <c r="C5" s="125"/>
      <c r="D5" s="125"/>
      <c r="E5" s="151">
        <v>45845</v>
      </c>
      <c r="F5" s="125"/>
      <c r="G5" s="125"/>
      <c r="H5" s="125"/>
    </row>
    <row r="6" spans="1:8" ht="16.5" customHeight="1" x14ac:dyDescent="0.25">
      <c r="A6" s="125" t="s">
        <v>4</v>
      </c>
      <c r="B6" s="125"/>
      <c r="C6" s="125"/>
      <c r="D6" s="125"/>
      <c r="E6" s="125" t="s">
        <v>177</v>
      </c>
      <c r="F6" s="125"/>
      <c r="G6" s="125"/>
      <c r="H6" s="125"/>
    </row>
    <row r="7" spans="1:8" ht="15" customHeight="1" x14ac:dyDescent="0.25">
      <c r="A7" s="125" t="s">
        <v>5</v>
      </c>
      <c r="B7" s="125"/>
      <c r="C7" s="125"/>
      <c r="D7" s="125"/>
      <c r="E7" s="125" t="str">
        <f>E6</f>
        <v>Macrotech Developers Limited</v>
      </c>
      <c r="F7" s="125"/>
      <c r="G7" s="125"/>
      <c r="H7" s="125"/>
    </row>
    <row r="8" spans="1:8" ht="16.5" customHeight="1" x14ac:dyDescent="0.25">
      <c r="A8" s="125" t="s">
        <v>6</v>
      </c>
      <c r="B8" s="125"/>
      <c r="C8" s="125"/>
      <c r="D8" s="125"/>
      <c r="E8" s="108" t="s">
        <v>214</v>
      </c>
      <c r="F8" s="78"/>
      <c r="G8" s="78"/>
      <c r="H8" s="78"/>
    </row>
    <row r="9" spans="1:8" x14ac:dyDescent="0.25">
      <c r="A9" s="125" t="s">
        <v>171</v>
      </c>
      <c r="B9" s="125"/>
      <c r="C9" s="125"/>
      <c r="D9" s="125"/>
      <c r="E9" s="125" t="s">
        <v>178</v>
      </c>
      <c r="F9" s="125"/>
      <c r="G9" s="125"/>
      <c r="H9" s="125"/>
    </row>
    <row r="10" spans="1:8" hidden="1" x14ac:dyDescent="0.25">
      <c r="A10" s="125" t="s">
        <v>215</v>
      </c>
      <c r="B10" s="125"/>
      <c r="C10" s="125"/>
      <c r="D10" s="125"/>
      <c r="E10" s="125" t="s">
        <v>178</v>
      </c>
      <c r="F10" s="125"/>
      <c r="G10" s="125"/>
      <c r="H10" s="125"/>
    </row>
    <row r="11" spans="1:8" x14ac:dyDescent="0.25">
      <c r="A11" s="125" t="s">
        <v>7</v>
      </c>
      <c r="B11" s="125"/>
      <c r="C11" s="125"/>
      <c r="D11" s="125"/>
      <c r="E11" s="99" t="s">
        <v>191</v>
      </c>
      <c r="F11" s="99"/>
      <c r="G11" s="99"/>
      <c r="H11" s="99"/>
    </row>
    <row r="12" spans="1:8" x14ac:dyDescent="0.25">
      <c r="A12" s="73" t="s">
        <v>8</v>
      </c>
      <c r="B12" s="73"/>
      <c r="C12" s="73"/>
      <c r="D12" s="73"/>
      <c r="E12" s="99" t="s">
        <v>192</v>
      </c>
      <c r="F12" s="99"/>
      <c r="G12" s="99"/>
      <c r="H12" s="99"/>
    </row>
    <row r="13" spans="1:8" x14ac:dyDescent="0.25">
      <c r="A13" s="73" t="s">
        <v>9</v>
      </c>
      <c r="B13" s="73"/>
      <c r="C13" s="73"/>
      <c r="D13" s="73"/>
      <c r="E13" s="152" t="s">
        <v>179</v>
      </c>
      <c r="F13" s="153"/>
      <c r="G13" s="153"/>
      <c r="H13" s="153"/>
    </row>
    <row r="14" spans="1:8" ht="51" customHeight="1" x14ac:dyDescent="0.25">
      <c r="A14" s="98" t="s">
        <v>10</v>
      </c>
      <c r="B14" s="98"/>
      <c r="C14" s="9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Crown Dombivli 1 Sector O (Cluster 15.05), Survey No.53/1, 53/2, 53/3, 54/3B, 54/3C, 54/4, 54/5, 54/6 &amp; others, near Runwal Gardens, Kalyan Shilphata Road, Mangaon, Antarli, Dombivli East, Kalyan, Thane - 421203.</v>
      </c>
      <c r="D14" s="98"/>
      <c r="E14" s="98"/>
      <c r="F14" s="98"/>
      <c r="G14" s="98"/>
      <c r="H14" s="98"/>
    </row>
    <row r="15" spans="1:8" x14ac:dyDescent="0.25">
      <c r="A15" s="99" t="s">
        <v>195</v>
      </c>
      <c r="B15" s="99"/>
      <c r="C15" s="99" t="s">
        <v>196</v>
      </c>
      <c r="D15" s="99"/>
      <c r="E15" s="99"/>
      <c r="F15" s="99"/>
      <c r="G15" s="99"/>
      <c r="H15" s="99"/>
    </row>
    <row r="16" spans="1:8" ht="15.75" customHeight="1" x14ac:dyDescent="0.25">
      <c r="A16" s="99" t="s">
        <v>170</v>
      </c>
      <c r="B16" s="99"/>
      <c r="C16" s="99" t="s">
        <v>210</v>
      </c>
      <c r="D16" s="99"/>
      <c r="E16" s="99"/>
      <c r="F16" s="99"/>
      <c r="G16" s="99"/>
      <c r="H16" s="99"/>
    </row>
    <row r="17" spans="1:8" ht="15.75" customHeight="1" x14ac:dyDescent="0.25">
      <c r="A17" s="98" t="s">
        <v>11</v>
      </c>
      <c r="B17" s="98"/>
      <c r="C17" s="125" t="s">
        <v>181</v>
      </c>
      <c r="D17" s="125"/>
      <c r="E17" s="98" t="s">
        <v>75</v>
      </c>
      <c r="F17" s="98"/>
      <c r="G17" s="99" t="s">
        <v>193</v>
      </c>
      <c r="H17" s="99"/>
    </row>
    <row r="18" spans="1:8" x14ac:dyDescent="0.25">
      <c r="A18" s="73" t="s">
        <v>13</v>
      </c>
      <c r="B18" s="73"/>
      <c r="C18" s="99" t="s">
        <v>190</v>
      </c>
      <c r="D18" s="99"/>
      <c r="E18" s="98" t="s">
        <v>12</v>
      </c>
      <c r="F18" s="98"/>
      <c r="G18" s="154" t="s">
        <v>188</v>
      </c>
      <c r="H18" s="154"/>
    </row>
    <row r="19" spans="1:8" x14ac:dyDescent="0.25">
      <c r="A19" s="73" t="s">
        <v>76</v>
      </c>
      <c r="B19" s="73"/>
      <c r="C19" s="99" t="s">
        <v>189</v>
      </c>
      <c r="D19" s="99"/>
      <c r="E19" s="98" t="s">
        <v>14</v>
      </c>
      <c r="F19" s="98"/>
      <c r="G19" s="99">
        <v>421203</v>
      </c>
      <c r="H19" s="99"/>
    </row>
    <row r="20" spans="1:8" ht="32.25" customHeight="1" x14ac:dyDescent="0.25">
      <c r="A20" s="73" t="s">
        <v>126</v>
      </c>
      <c r="B20" s="73"/>
      <c r="C20" s="99" t="s">
        <v>187</v>
      </c>
      <c r="D20" s="99"/>
      <c r="E20" s="98" t="s">
        <v>15</v>
      </c>
      <c r="F20" s="98"/>
      <c r="G20" s="152" t="s">
        <v>228</v>
      </c>
      <c r="H20" s="152"/>
    </row>
    <row r="21" spans="1:8" ht="15" customHeight="1" x14ac:dyDescent="0.25">
      <c r="A21" s="98" t="s">
        <v>79</v>
      </c>
      <c r="B21" s="98"/>
      <c r="C21" s="98"/>
      <c r="D21" s="98"/>
      <c r="E21" s="125" t="s">
        <v>16</v>
      </c>
      <c r="F21" s="125"/>
      <c r="G21" s="125"/>
      <c r="H21" s="125"/>
    </row>
    <row r="22" spans="1:8" ht="18.75" customHeight="1" x14ac:dyDescent="0.25">
      <c r="A22" s="98"/>
      <c r="B22" s="98"/>
      <c r="C22" s="98"/>
      <c r="D22" s="98"/>
      <c r="E22" s="125"/>
      <c r="F22" s="125"/>
      <c r="G22" s="125"/>
      <c r="H22" s="125"/>
    </row>
    <row r="23" spans="1:8" ht="15" customHeight="1" x14ac:dyDescent="0.25">
      <c r="A23" s="98" t="s">
        <v>17</v>
      </c>
      <c r="B23" s="98"/>
      <c r="C23" s="98"/>
      <c r="D23" s="98"/>
      <c r="E23" s="99" t="s">
        <v>18</v>
      </c>
      <c r="F23" s="99"/>
      <c r="G23" s="99"/>
      <c r="H23" s="99"/>
    </row>
    <row r="24" spans="1:8" ht="15" customHeight="1" x14ac:dyDescent="0.25">
      <c r="A24" s="73" t="s">
        <v>19</v>
      </c>
      <c r="B24" s="73"/>
      <c r="C24" s="73"/>
      <c r="D24" s="73"/>
      <c r="E24" s="99" t="str">
        <f>IF(AND(G18="Mumbai"),"Upper Class","Middle Class")</f>
        <v>Middle Class</v>
      </c>
      <c r="F24" s="99"/>
      <c r="G24" s="99"/>
      <c r="H24" s="99"/>
    </row>
    <row r="25" spans="1:8" x14ac:dyDescent="0.25">
      <c r="A25" s="73" t="s">
        <v>20</v>
      </c>
      <c r="B25" s="73"/>
      <c r="C25" s="73"/>
      <c r="D25" s="73"/>
      <c r="E25" s="99" t="s">
        <v>21</v>
      </c>
      <c r="F25" s="99"/>
      <c r="G25" s="99"/>
      <c r="H25" s="99"/>
    </row>
    <row r="26" spans="1:8" ht="15.75" customHeight="1" x14ac:dyDescent="0.25">
      <c r="A26" s="73" t="s">
        <v>22</v>
      </c>
      <c r="B26" s="73"/>
      <c r="C26" s="73"/>
      <c r="D26" s="73"/>
      <c r="E26" s="99" t="str">
        <f>IF(AND(G18="Mumbai"),"Developed","Developing")</f>
        <v>Developing</v>
      </c>
      <c r="F26" s="99"/>
      <c r="G26" s="99"/>
      <c r="H26" s="99"/>
    </row>
    <row r="27" spans="1:8" x14ac:dyDescent="0.25">
      <c r="A27" s="73" t="s">
        <v>23</v>
      </c>
      <c r="B27" s="73"/>
      <c r="C27" s="73"/>
      <c r="D27" s="73"/>
      <c r="E27" s="99" t="s">
        <v>24</v>
      </c>
      <c r="F27" s="99"/>
      <c r="G27" s="99"/>
      <c r="H27" s="99"/>
    </row>
    <row r="28" spans="1:8" ht="15.75" customHeight="1" x14ac:dyDescent="0.25">
      <c r="A28" s="73" t="s">
        <v>84</v>
      </c>
      <c r="B28" s="73"/>
      <c r="C28" s="73"/>
      <c r="D28" s="73"/>
      <c r="E28" s="99" t="s">
        <v>85</v>
      </c>
      <c r="F28" s="99"/>
      <c r="G28" s="99"/>
      <c r="H28" s="99"/>
    </row>
    <row r="29" spans="1:8" ht="15" customHeight="1" x14ac:dyDescent="0.25">
      <c r="A29" s="73" t="s">
        <v>33</v>
      </c>
      <c r="B29" s="73"/>
      <c r="C29" s="73"/>
      <c r="D29" s="73"/>
      <c r="E29" s="99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99"/>
      <c r="G29" s="99"/>
      <c r="H29" s="99"/>
    </row>
    <row r="30" spans="1:8" ht="15.75" customHeight="1" x14ac:dyDescent="0.25">
      <c r="A30" s="73" t="s">
        <v>96</v>
      </c>
      <c r="B30" s="73"/>
      <c r="C30" s="73"/>
      <c r="D30" s="73"/>
      <c r="E30" s="99" t="s">
        <v>34</v>
      </c>
      <c r="F30" s="99"/>
      <c r="G30" s="99"/>
      <c r="H30" s="99"/>
    </row>
    <row r="31" spans="1:8" s="20" customFormat="1" x14ac:dyDescent="0.25">
      <c r="A31" s="158" t="s">
        <v>97</v>
      </c>
      <c r="B31" s="158"/>
      <c r="C31" s="157" t="s">
        <v>29</v>
      </c>
      <c r="D31" s="157"/>
      <c r="E31" s="157"/>
      <c r="F31" s="157" t="s">
        <v>31</v>
      </c>
      <c r="G31" s="157"/>
      <c r="H31" s="157"/>
    </row>
    <row r="32" spans="1:8" s="20" customFormat="1" x14ac:dyDescent="0.25">
      <c r="A32" s="155" t="s">
        <v>25</v>
      </c>
      <c r="B32" s="155" t="s">
        <v>30</v>
      </c>
      <c r="C32" s="156" t="s">
        <v>30</v>
      </c>
      <c r="D32" s="156"/>
      <c r="E32" s="156"/>
      <c r="F32" s="156" t="s">
        <v>180</v>
      </c>
      <c r="G32" s="156"/>
      <c r="H32" s="156"/>
    </row>
    <row r="33" spans="1:8" x14ac:dyDescent="0.25">
      <c r="A33" s="155" t="s">
        <v>26</v>
      </c>
      <c r="B33" s="155" t="s">
        <v>30</v>
      </c>
      <c r="C33" s="156" t="s">
        <v>30</v>
      </c>
      <c r="D33" s="156"/>
      <c r="E33" s="156"/>
      <c r="F33" s="156" t="s">
        <v>181</v>
      </c>
      <c r="G33" s="156"/>
      <c r="H33" s="156"/>
    </row>
    <row r="34" spans="1:8" s="20" customFormat="1" x14ac:dyDescent="0.25">
      <c r="A34" s="155" t="s">
        <v>28</v>
      </c>
      <c r="B34" s="155" t="s">
        <v>30</v>
      </c>
      <c r="C34" s="156" t="s">
        <v>30</v>
      </c>
      <c r="D34" s="156"/>
      <c r="E34" s="156"/>
      <c r="F34" s="156" t="s">
        <v>182</v>
      </c>
      <c r="G34" s="156"/>
      <c r="H34" s="156"/>
    </row>
    <row r="35" spans="1:8" x14ac:dyDescent="0.25">
      <c r="A35" s="155" t="s">
        <v>27</v>
      </c>
      <c r="B35" s="155" t="s">
        <v>30</v>
      </c>
      <c r="C35" s="156" t="s">
        <v>30</v>
      </c>
      <c r="D35" s="156"/>
      <c r="E35" s="156"/>
      <c r="F35" s="156" t="s">
        <v>183</v>
      </c>
      <c r="G35" s="156"/>
      <c r="H35" s="156"/>
    </row>
    <row r="36" spans="1:8" x14ac:dyDescent="0.25">
      <c r="A36" s="73" t="s">
        <v>32</v>
      </c>
      <c r="B36" s="73"/>
      <c r="C36" s="73"/>
      <c r="D36" s="73"/>
      <c r="E36" s="73"/>
      <c r="F36" s="73"/>
      <c r="G36" s="73"/>
      <c r="H36" s="73"/>
    </row>
    <row r="37" spans="1:8" ht="15.75" customHeight="1" x14ac:dyDescent="0.25">
      <c r="A37" s="129" t="s">
        <v>174</v>
      </c>
      <c r="B37" s="129"/>
      <c r="C37" s="73" t="s">
        <v>229</v>
      </c>
      <c r="D37" s="73"/>
      <c r="E37" s="73"/>
      <c r="F37" s="73"/>
      <c r="G37" s="73"/>
      <c r="H37" s="73"/>
    </row>
    <row r="38" spans="1:8" x14ac:dyDescent="0.25">
      <c r="A38" s="129" t="s">
        <v>169</v>
      </c>
      <c r="B38" s="129"/>
      <c r="C38" s="192" t="s">
        <v>230</v>
      </c>
      <c r="D38" s="99"/>
      <c r="E38" s="99"/>
      <c r="F38" s="99"/>
      <c r="G38" s="99"/>
      <c r="H38" s="99"/>
    </row>
    <row r="39" spans="1:8" x14ac:dyDescent="0.25">
      <c r="A39" s="129" t="s">
        <v>35</v>
      </c>
      <c r="B39" s="129"/>
      <c r="C39" s="129"/>
      <c r="D39" s="129"/>
      <c r="E39" s="129"/>
      <c r="F39" s="129"/>
      <c r="G39" s="129"/>
      <c r="H39" s="129"/>
    </row>
    <row r="40" spans="1:8" x14ac:dyDescent="0.25">
      <c r="A40" s="73" t="s">
        <v>36</v>
      </c>
      <c r="B40" s="73"/>
      <c r="C40" s="73"/>
      <c r="D40" s="73"/>
      <c r="E40" s="159">
        <v>134781.95000000001</v>
      </c>
      <c r="F40" s="159"/>
      <c r="G40" s="159"/>
      <c r="H40" s="159"/>
    </row>
    <row r="41" spans="1:8" x14ac:dyDescent="0.25">
      <c r="A41" s="73" t="s">
        <v>37</v>
      </c>
      <c r="B41" s="73"/>
      <c r="C41" s="73"/>
      <c r="D41" s="73"/>
      <c r="E41" s="174">
        <v>1.8</v>
      </c>
      <c r="F41" s="174"/>
      <c r="G41" s="174"/>
      <c r="H41" s="174"/>
    </row>
    <row r="42" spans="1:8" x14ac:dyDescent="0.25">
      <c r="A42" s="73" t="s">
        <v>38</v>
      </c>
      <c r="B42" s="73"/>
      <c r="C42" s="73"/>
      <c r="D42" s="73"/>
      <c r="E42" s="174">
        <f>E44/E40-E41</f>
        <v>1.8247455983534884</v>
      </c>
      <c r="F42" s="174"/>
      <c r="G42" s="174"/>
      <c r="H42" s="174"/>
    </row>
    <row r="43" spans="1:8" x14ac:dyDescent="0.25">
      <c r="A43" s="73" t="s">
        <v>39</v>
      </c>
      <c r="B43" s="73"/>
      <c r="C43" s="73"/>
      <c r="D43" s="73"/>
      <c r="E43" s="174">
        <f>E41+E42</f>
        <v>3.6247455983534884</v>
      </c>
      <c r="F43" s="174"/>
      <c r="G43" s="174"/>
      <c r="H43" s="174"/>
    </row>
    <row r="44" spans="1:8" x14ac:dyDescent="0.25">
      <c r="A44" s="73" t="s">
        <v>95</v>
      </c>
      <c r="B44" s="73"/>
      <c r="C44" s="73"/>
      <c r="D44" s="73"/>
      <c r="E44" s="176">
        <v>488550.28</v>
      </c>
      <c r="F44" s="176"/>
      <c r="G44" s="176"/>
      <c r="H44" s="176"/>
    </row>
    <row r="45" spans="1:8" x14ac:dyDescent="0.25">
      <c r="A45" s="125" t="s">
        <v>40</v>
      </c>
      <c r="B45" s="125"/>
      <c r="C45" s="125"/>
      <c r="D45" s="125"/>
      <c r="E45" s="125" t="s">
        <v>194</v>
      </c>
      <c r="F45" s="125"/>
      <c r="G45" s="125"/>
      <c r="H45" s="125"/>
    </row>
    <row r="46" spans="1:8" x14ac:dyDescent="0.25">
      <c r="A46" s="129" t="s">
        <v>41</v>
      </c>
      <c r="B46" s="129"/>
      <c r="C46" s="129"/>
      <c r="D46" s="129"/>
      <c r="E46" s="129"/>
      <c r="F46" s="129"/>
      <c r="G46" s="129"/>
      <c r="H46" s="129"/>
    </row>
    <row r="47" spans="1:8" ht="33.75" customHeight="1" x14ac:dyDescent="0.25">
      <c r="A47" s="121" t="s">
        <v>158</v>
      </c>
      <c r="B47" s="122"/>
      <c r="C47" s="193" t="s">
        <v>184</v>
      </c>
      <c r="D47" s="194"/>
      <c r="E47" s="194"/>
      <c r="F47" s="194"/>
      <c r="G47" s="194"/>
      <c r="H47" s="195"/>
    </row>
    <row r="48" spans="1:8" ht="66" customHeight="1" x14ac:dyDescent="0.25">
      <c r="A48" s="121" t="s">
        <v>42</v>
      </c>
      <c r="B48" s="122"/>
      <c r="C48" s="121" t="s">
        <v>197</v>
      </c>
      <c r="D48" s="123"/>
      <c r="E48" s="122"/>
      <c r="F48" s="17" t="s">
        <v>43</v>
      </c>
      <c r="G48" s="124">
        <v>45069</v>
      </c>
      <c r="H48" s="122"/>
    </row>
    <row r="49" spans="1:14" ht="66" customHeight="1" x14ac:dyDescent="0.25">
      <c r="A49" s="121" t="s">
        <v>44</v>
      </c>
      <c r="B49" s="122"/>
      <c r="C49" s="121" t="str">
        <f>C48</f>
        <v>Ekatmik Nagar Vasahat/Mouje-Antarli, Khoni, Hedutane, Kole, Gharivali, Katai &amp; Mangaon, Ta-Kalyan &amp; Mouje-Umbroli, Ta-Ambarnath SSTN/5059</v>
      </c>
      <c r="D49" s="123"/>
      <c r="E49" s="122"/>
      <c r="F49" s="17" t="s">
        <v>43</v>
      </c>
      <c r="G49" s="124">
        <f>G48</f>
        <v>45069</v>
      </c>
      <c r="H49" s="166"/>
    </row>
    <row r="50" spans="1:14" s="21" customFormat="1" ht="48.75" customHeight="1" x14ac:dyDescent="0.25">
      <c r="A50" s="167" t="s">
        <v>227</v>
      </c>
      <c r="B50" s="168"/>
      <c r="C50" s="121" t="s">
        <v>211</v>
      </c>
      <c r="D50" s="123"/>
      <c r="E50" s="122"/>
      <c r="F50" s="17" t="s">
        <v>43</v>
      </c>
      <c r="G50" s="124">
        <f>G49</f>
        <v>45069</v>
      </c>
      <c r="H50" s="122"/>
    </row>
    <row r="51" spans="1:14" s="21" customFormat="1" x14ac:dyDescent="0.25">
      <c r="A51" s="169"/>
      <c r="B51" s="170"/>
      <c r="C51" s="121" t="s">
        <v>212</v>
      </c>
      <c r="D51" s="123"/>
      <c r="E51" s="123"/>
      <c r="F51" s="123"/>
      <c r="G51" s="123"/>
      <c r="H51" s="122"/>
    </row>
    <row r="52" spans="1:14" x14ac:dyDescent="0.25">
      <c r="A52" s="171" t="s">
        <v>45</v>
      </c>
      <c r="B52" s="172"/>
      <c r="C52" s="171" t="s">
        <v>106</v>
      </c>
      <c r="D52" s="173"/>
      <c r="E52" s="172"/>
      <c r="F52" s="42" t="s">
        <v>43</v>
      </c>
      <c r="G52" s="177" t="s">
        <v>30</v>
      </c>
      <c r="H52" s="178"/>
    </row>
    <row r="53" spans="1:14" x14ac:dyDescent="0.25">
      <c r="A53" s="148" t="s">
        <v>47</v>
      </c>
      <c r="B53" s="148"/>
      <c r="C53" s="148"/>
      <c r="D53" s="148"/>
      <c r="E53" s="148"/>
      <c r="F53" s="148"/>
      <c r="G53" s="148"/>
      <c r="H53" s="148"/>
    </row>
    <row r="54" spans="1:14" x14ac:dyDescent="0.25">
      <c r="A54" s="98" t="s">
        <v>94</v>
      </c>
      <c r="B54" s="98"/>
      <c r="C54" s="98"/>
      <c r="D54" s="125">
        <f>12669.1*2</f>
        <v>25338.2</v>
      </c>
      <c r="E54" s="125"/>
      <c r="F54" s="125"/>
      <c r="G54" s="125"/>
      <c r="H54" s="125"/>
    </row>
    <row r="55" spans="1:14" x14ac:dyDescent="0.25">
      <c r="A55" s="99" t="s">
        <v>48</v>
      </c>
      <c r="B55" s="125"/>
      <c r="C55" s="125"/>
      <c r="D55" s="125" t="s">
        <v>207</v>
      </c>
      <c r="E55" s="125"/>
      <c r="F55" s="125"/>
      <c r="G55" s="125"/>
      <c r="H55" s="125"/>
      <c r="I55" s="22"/>
    </row>
    <row r="56" spans="1:14" x14ac:dyDescent="0.25">
      <c r="A56" s="163" t="s">
        <v>49</v>
      </c>
      <c r="B56" s="164"/>
      <c r="C56" s="165"/>
      <c r="D56" s="161" t="s">
        <v>213</v>
      </c>
      <c r="E56" s="162"/>
      <c r="F56" s="162"/>
      <c r="G56" s="162"/>
      <c r="H56" s="162"/>
    </row>
    <row r="57" spans="1:14" ht="17.25" customHeight="1" x14ac:dyDescent="0.25">
      <c r="A57" s="163" t="s">
        <v>92</v>
      </c>
      <c r="B57" s="164"/>
      <c r="C57" s="165"/>
      <c r="D57" s="99" t="s">
        <v>216</v>
      </c>
      <c r="E57" s="125"/>
      <c r="F57" s="125"/>
      <c r="G57" s="125"/>
      <c r="H57" s="125"/>
    </row>
    <row r="58" spans="1:14" x14ac:dyDescent="0.25">
      <c r="A58" s="179"/>
      <c r="B58" s="180"/>
      <c r="C58" s="181"/>
      <c r="D58" s="99" t="s">
        <v>217</v>
      </c>
      <c r="E58" s="125"/>
      <c r="F58" s="125"/>
      <c r="G58" s="125"/>
      <c r="H58" s="125"/>
    </row>
    <row r="59" spans="1:14" ht="15.75" customHeight="1" x14ac:dyDescent="0.25">
      <c r="A59" s="73" t="s">
        <v>46</v>
      </c>
      <c r="B59" s="73"/>
      <c r="C59" s="73"/>
      <c r="D59" s="160" t="s">
        <v>185</v>
      </c>
      <c r="E59" s="160"/>
      <c r="F59" s="160"/>
      <c r="G59" s="160"/>
      <c r="H59" s="160"/>
      <c r="J59" s="23"/>
      <c r="K59" s="22"/>
      <c r="N59" s="22"/>
    </row>
    <row r="60" spans="1:14" ht="15.75" customHeight="1" x14ac:dyDescent="0.25">
      <c r="A60" s="73" t="s">
        <v>90</v>
      </c>
      <c r="B60" s="73"/>
      <c r="C60" s="73"/>
      <c r="D60" s="175" t="str">
        <f>(IF(G52="NA","60 Years After Completion",IF(G52&lt;&gt;"NA",""&amp;60-ROUNDDOWN((E3-G52)/360,0)&amp;" Years"," ")))</f>
        <v>60 Years After Completion</v>
      </c>
      <c r="E60" s="175"/>
      <c r="F60" s="175"/>
      <c r="G60" s="175"/>
      <c r="H60" s="175"/>
      <c r="N60" s="22"/>
    </row>
    <row r="61" spans="1:14" ht="15.75" customHeight="1" x14ac:dyDescent="0.25">
      <c r="A61" s="73" t="s">
        <v>91</v>
      </c>
      <c r="B61" s="73"/>
      <c r="C61" s="73"/>
      <c r="D61" s="98" t="s">
        <v>24</v>
      </c>
      <c r="E61" s="98"/>
      <c r="F61" s="98"/>
      <c r="G61" s="98"/>
      <c r="H61" s="98"/>
      <c r="J61" s="24"/>
      <c r="K61" s="24"/>
    </row>
    <row r="62" spans="1:14" ht="30.75" customHeight="1" x14ac:dyDescent="0.25">
      <c r="A62" s="73" t="s">
        <v>77</v>
      </c>
      <c r="B62" s="73"/>
      <c r="C62" s="73"/>
      <c r="D62" s="99" t="s">
        <v>186</v>
      </c>
      <c r="E62" s="98"/>
      <c r="F62" s="98"/>
      <c r="G62" s="98"/>
      <c r="H62" s="98"/>
    </row>
    <row r="63" spans="1:14" x14ac:dyDescent="0.25">
      <c r="A63" s="98" t="s">
        <v>154</v>
      </c>
      <c r="B63" s="98"/>
      <c r="C63" s="98"/>
      <c r="D63" s="98" t="s">
        <v>30</v>
      </c>
      <c r="E63" s="98"/>
      <c r="F63" s="98"/>
      <c r="G63" s="98"/>
      <c r="H63" s="98"/>
      <c r="I63" s="25"/>
      <c r="J63" s="25"/>
      <c r="K63" s="25"/>
      <c r="L63" s="25"/>
      <c r="M63" s="25"/>
      <c r="N63" s="25"/>
    </row>
    <row r="64" spans="1:14" ht="15.75" customHeight="1" x14ac:dyDescent="0.25">
      <c r="A64" s="73" t="s">
        <v>89</v>
      </c>
      <c r="B64" s="73"/>
      <c r="C64" s="73"/>
      <c r="D64" s="99" t="str">
        <f ca="1">(IF(G70&gt;95%,"Nothing",IF(G70&gt;0%,"Cement, Aggregate, Steel, etc",IF(G70=0%,"Work not yet Started"))))</f>
        <v>Cement, Aggregate, Steel, etc</v>
      </c>
      <c r="E64" s="99"/>
      <c r="F64" s="99"/>
      <c r="G64" s="99"/>
      <c r="H64" s="99"/>
      <c r="J64" s="24"/>
    </row>
    <row r="65" spans="1:13" ht="33.75" customHeight="1" thickBot="1" x14ac:dyDescent="0.3">
      <c r="A65" s="98" t="s">
        <v>119</v>
      </c>
      <c r="B65" s="98"/>
      <c r="C65" s="98"/>
      <c r="D65" s="99" t="str">
        <f ca="1">(IF(D64="Nothing","Yes",IF(D64="Cement, Aggregate, Steel, etc","Under Construction",IF(D64="Work not yet Started","Work not yet Started"))))</f>
        <v>Under Construction</v>
      </c>
      <c r="E65" s="99"/>
      <c r="F65" s="99" t="str">
        <f ca="1">(IF(D64="Nothing","Yes",IF(D64="Cement, Aggregate, Steel, etc","Under Construction",IF(D64="Work not yet Started","Work not yet Started"))))</f>
        <v>Under Construction</v>
      </c>
      <c r="G65" s="99"/>
      <c r="H65" s="99"/>
    </row>
    <row r="66" spans="1:13" ht="15.75" customHeight="1" x14ac:dyDescent="0.25">
      <c r="A66" s="100" t="s">
        <v>144</v>
      </c>
      <c r="B66" s="100"/>
      <c r="C66" s="100" t="str">
        <f>D57</f>
        <v>Coral A &amp; B Wing = G + 1st to 14th Floor</v>
      </c>
      <c r="D66" s="100"/>
      <c r="E66" s="100"/>
      <c r="F66" s="100"/>
      <c r="G66" s="100"/>
      <c r="H66" s="100"/>
      <c r="I66" s="68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13 Floor, Painting upto 12 Floor, Finishing upto 4 Floor Completed</v>
      </c>
      <c r="J66" s="45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13 Floor, Painting upto 12 Floor, Finishing upto 4 Floor</v>
      </c>
    </row>
    <row r="67" spans="1:13" x14ac:dyDescent="0.25">
      <c r="A67" s="67" t="s">
        <v>146</v>
      </c>
      <c r="B67" s="67">
        <v>0</v>
      </c>
      <c r="C67" s="49" t="s">
        <v>74</v>
      </c>
      <c r="D67" s="49">
        <v>1</v>
      </c>
      <c r="E67" s="49" t="s">
        <v>73</v>
      </c>
      <c r="F67" s="49">
        <v>0</v>
      </c>
      <c r="G67" s="49" t="s">
        <v>83</v>
      </c>
      <c r="H67" s="49">
        <f ca="1">--TRIM(RIGHT(SUBSTITUTE(LEFT(C66,_xlfn.AGGREGATE(16,6,FIND({0,1,2,3,4,5,6,7,8,9},C66,ROW(INDIRECT("1:"&amp;LEN(C66)))),1))," ",REPT(" ",LEN(C66))),LEN(C66)))</f>
        <v>14</v>
      </c>
      <c r="I67" s="69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47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3" ht="51.75" customHeight="1" x14ac:dyDescent="0.25">
      <c r="A68" s="78" t="s">
        <v>93</v>
      </c>
      <c r="B68" s="78"/>
      <c r="C68" s="79" t="str">
        <f ca="1">I66</f>
        <v>Excavation, Plinth, RCC Slab, Brickwork, Internal Plaster, External Plaster Completed, Flooring upto 13 Floor, Painting upto 12 Floor, Finishing upto 4 Floor Completed</v>
      </c>
      <c r="D68" s="79"/>
      <c r="E68" s="79"/>
      <c r="F68" s="79"/>
      <c r="G68" s="79"/>
      <c r="H68" s="79"/>
      <c r="I68" s="69" t="str">
        <f ca="1">IF(I67&lt;&gt;""," Completed","")</f>
        <v xml:space="preserve"> Completed</v>
      </c>
      <c r="J68" s="47" t="str">
        <f ca="1">IF(J66&lt;&gt;"","Completed","")</f>
        <v>Completed</v>
      </c>
    </row>
    <row r="69" spans="1:13" ht="15.75" customHeight="1" x14ac:dyDescent="0.25">
      <c r="A69" s="75" t="s">
        <v>50</v>
      </c>
      <c r="B69" s="75"/>
      <c r="C69" s="65" t="s">
        <v>143</v>
      </c>
      <c r="D69" s="65" t="s">
        <v>86</v>
      </c>
      <c r="E69" s="75" t="s">
        <v>88</v>
      </c>
      <c r="F69" s="75"/>
      <c r="G69" s="75" t="s">
        <v>87</v>
      </c>
      <c r="H69" s="75"/>
      <c r="I69" s="14" t="s">
        <v>145</v>
      </c>
      <c r="J69" s="26">
        <f ca="1">H67*25%</f>
        <v>3.5</v>
      </c>
    </row>
    <row r="70" spans="1:13" x14ac:dyDescent="0.25">
      <c r="A70" s="75" t="s">
        <v>132</v>
      </c>
      <c r="B70" s="75"/>
      <c r="C70" s="65">
        <f ca="1">J71</f>
        <v>14</v>
      </c>
      <c r="D70" s="18">
        <f ca="1">((100/H67)*C70)/100</f>
        <v>1</v>
      </c>
      <c r="E70" s="80">
        <f ca="1">(((C71/H67*10)+(40/(D67+F67+H67)*C72)+(7.5/(H67)*C73)+(7.5/(H67)*C74)+(10/H67*C75)+(10/H67*C76)+(5/H67*C77)+(5/H67*C78)+(5/H67*C79))/100)</f>
        <v>0.90000000000000013</v>
      </c>
      <c r="F70" s="80"/>
      <c r="G70" s="80">
        <f ca="1">((((C70/H67)*20)+((C71/H67)*25)+(30/(H67+F67+D67)*C72)+(5/H67*C73)+(5/H67*C74)+(5/H67*C75)+(5/H67*C76)+(0/H67*C77)+(0/H67*C78)+(5/H67*C79))/100)</f>
        <v>0.9464285714285714</v>
      </c>
      <c r="H70" s="80"/>
      <c r="I70" s="14" t="s">
        <v>101</v>
      </c>
      <c r="J70" s="27">
        <f ca="1">H67*50%</f>
        <v>7</v>
      </c>
    </row>
    <row r="71" spans="1:13" x14ac:dyDescent="0.25">
      <c r="A71" s="75" t="s">
        <v>51</v>
      </c>
      <c r="B71" s="75"/>
      <c r="C71" s="56">
        <f ca="1">J79</f>
        <v>14</v>
      </c>
      <c r="D71" s="18">
        <f ca="1">((100/H67)*C71)/100</f>
        <v>1</v>
      </c>
      <c r="E71" s="80"/>
      <c r="F71" s="80"/>
      <c r="G71" s="80"/>
      <c r="H71" s="80"/>
      <c r="I71" s="14" t="s">
        <v>102</v>
      </c>
      <c r="J71" s="27">
        <f ca="1">H67</f>
        <v>14</v>
      </c>
    </row>
    <row r="72" spans="1:13" ht="15.75" customHeight="1" x14ac:dyDescent="0.25">
      <c r="A72" s="75" t="s">
        <v>133</v>
      </c>
      <c r="B72" s="75"/>
      <c r="C72" s="65">
        <v>15</v>
      </c>
      <c r="D72" s="18">
        <f ca="1">((100/(D67+F67+H67))*C72)/100</f>
        <v>1</v>
      </c>
      <c r="E72" s="80"/>
      <c r="F72" s="80"/>
      <c r="G72" s="80"/>
      <c r="H72" s="80"/>
      <c r="I72" s="14" t="s">
        <v>103</v>
      </c>
      <c r="J72" s="28">
        <f ca="1">(IF(B67&gt;1,(H67/(B67+2)),H67/4))</f>
        <v>3.5</v>
      </c>
    </row>
    <row r="73" spans="1:13" ht="15.75" customHeight="1" x14ac:dyDescent="0.25">
      <c r="A73" s="75" t="s">
        <v>140</v>
      </c>
      <c r="B73" s="75" t="s">
        <v>134</v>
      </c>
      <c r="C73" s="65">
        <f>C72-1</f>
        <v>14</v>
      </c>
      <c r="D73" s="18">
        <f ca="1">((100/H67)*C73)/100</f>
        <v>1</v>
      </c>
      <c r="E73" s="80"/>
      <c r="F73" s="80"/>
      <c r="G73" s="80"/>
      <c r="H73" s="80"/>
      <c r="I73" s="14" t="s">
        <v>104</v>
      </c>
      <c r="J73" s="28">
        <f ca="1">(IF(B67&gt;1,(H67/(B67+2)+J72),H67/4+J72))</f>
        <v>7</v>
      </c>
    </row>
    <row r="74" spans="1:13" ht="15.75" customHeight="1" x14ac:dyDescent="0.25">
      <c r="A74" s="75" t="s">
        <v>141</v>
      </c>
      <c r="B74" s="75" t="s">
        <v>134</v>
      </c>
      <c r="C74" s="56">
        <v>14</v>
      </c>
      <c r="D74" s="18">
        <f ca="1">((100/H67)*C74)/100</f>
        <v>1</v>
      </c>
      <c r="E74" s="80"/>
      <c r="F74" s="80"/>
      <c r="G74" s="80"/>
      <c r="H74" s="80"/>
      <c r="I74" s="14" t="s">
        <v>152</v>
      </c>
      <c r="J74" s="28">
        <f>(IF(B67&gt;1,(H67/(B67+2)+J73),0))</f>
        <v>0</v>
      </c>
    </row>
    <row r="75" spans="1:13" ht="15" customHeight="1" x14ac:dyDescent="0.25">
      <c r="A75" s="75" t="s">
        <v>139</v>
      </c>
      <c r="B75" s="75" t="s">
        <v>136</v>
      </c>
      <c r="C75" s="56">
        <v>14</v>
      </c>
      <c r="D75" s="18">
        <f ca="1">((100/(H67))*C75)/100</f>
        <v>1</v>
      </c>
      <c r="E75" s="80"/>
      <c r="F75" s="80"/>
      <c r="G75" s="80"/>
      <c r="H75" s="80"/>
      <c r="I75" s="14" t="s">
        <v>147</v>
      </c>
      <c r="J75" s="28">
        <f>(IF(B67&gt;2,(H67/(B67+2)+J74),0))</f>
        <v>0</v>
      </c>
    </row>
    <row r="76" spans="1:13" ht="15.75" customHeight="1" x14ac:dyDescent="0.25">
      <c r="A76" s="75" t="s">
        <v>135</v>
      </c>
      <c r="B76" s="75" t="s">
        <v>135</v>
      </c>
      <c r="C76" s="65">
        <v>13</v>
      </c>
      <c r="D76" s="18">
        <f ca="1">((100/H67)*C76)/100</f>
        <v>0.9285714285714286</v>
      </c>
      <c r="E76" s="80"/>
      <c r="F76" s="80"/>
      <c r="G76" s="80"/>
      <c r="H76" s="80"/>
      <c r="I76" s="14" t="s">
        <v>148</v>
      </c>
      <c r="J76" s="29">
        <f>(IF(B67&gt;3,(H67/(B67+2)+J75),0))</f>
        <v>0</v>
      </c>
    </row>
    <row r="77" spans="1:13" ht="15.75" customHeight="1" x14ac:dyDescent="0.25">
      <c r="A77" s="75" t="s">
        <v>142</v>
      </c>
      <c r="B77" s="75"/>
      <c r="C77" s="65">
        <v>12</v>
      </c>
      <c r="D77" s="18">
        <f ca="1">((100/H67)*C77)/100</f>
        <v>0.85714285714285721</v>
      </c>
      <c r="E77" s="80"/>
      <c r="F77" s="80"/>
      <c r="G77" s="80"/>
      <c r="H77" s="80"/>
      <c r="I77" s="14" t="s">
        <v>149</v>
      </c>
      <c r="J77" s="28">
        <f>(IF(B67&gt;4,(H67/(B67+2)+J76),0))</f>
        <v>0</v>
      </c>
    </row>
    <row r="78" spans="1:13" ht="15.75" customHeight="1" x14ac:dyDescent="0.25">
      <c r="A78" s="75" t="s">
        <v>137</v>
      </c>
      <c r="B78" s="75" t="s">
        <v>137</v>
      </c>
      <c r="C78" s="65">
        <v>4</v>
      </c>
      <c r="D78" s="18">
        <f ca="1">((100/(H67))*C78)/100</f>
        <v>0.28571428571428575</v>
      </c>
      <c r="E78" s="80"/>
      <c r="F78" s="80"/>
      <c r="G78" s="80"/>
      <c r="H78" s="80"/>
      <c r="I78" s="14" t="s">
        <v>153</v>
      </c>
      <c r="J78" s="28">
        <f ca="1">(IF(B67=1,(H67/(B67+3)+J73),IF(B67=0,(H67/4+J73),IF(B67&gt;1,0))))</f>
        <v>10.5</v>
      </c>
    </row>
    <row r="79" spans="1:13" ht="16.5" thickBot="1" x14ac:dyDescent="0.3">
      <c r="A79" s="75" t="s">
        <v>138</v>
      </c>
      <c r="B79" s="75"/>
      <c r="C79" s="65">
        <v>0</v>
      </c>
      <c r="D79" s="18">
        <f ca="1">((100/(H67))*C79)/100</f>
        <v>0</v>
      </c>
      <c r="E79" s="80"/>
      <c r="F79" s="80"/>
      <c r="G79" s="80"/>
      <c r="H79" s="80"/>
      <c r="I79" s="15" t="s">
        <v>105</v>
      </c>
      <c r="J79" s="30">
        <f ca="1">(IF(B67&gt;1.5,(H67/(B67+2)+J73+MAX(0,J74-J73)+MAX(0,J75-J74)+MAX(0,J76-J75)+MAX(0,J77-J76)+MAX(0,J78-J77)),IF(B67=1,(H67/(B67+3)+J78),IF(B67=0,H67/4+J78))))</f>
        <v>14</v>
      </c>
      <c r="M79" s="51"/>
    </row>
    <row r="80" spans="1:13" ht="15.75" customHeight="1" x14ac:dyDescent="0.25">
      <c r="A80" s="102" t="s">
        <v>232</v>
      </c>
      <c r="B80" s="103"/>
      <c r="C80" s="104" t="s">
        <v>233</v>
      </c>
      <c r="D80" s="105"/>
      <c r="E80" s="105"/>
      <c r="F80" s="105"/>
      <c r="G80" s="105"/>
      <c r="H80" s="106"/>
      <c r="I80" s="44" t="str">
        <f ca="1">IF(D93=100%,"All work Completed. Possession granted to the Building.",IF(D92=100%,"All work Completed, Waiting for OC",I81&amp;""&amp;I82&amp;""&amp;J81&amp;""&amp;J80&amp;" "&amp;J82))</f>
        <v>Excavation, Plinth Completed, Footing work Completed, RCC upto 9 Slab, Brickwork upto 8 Floor, Internal Plaster upto 6 Floor, External Plaster upto 5.6 Floor Completed</v>
      </c>
      <c r="J80" s="45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RCC upto 9 Slab, Brickwork upto 8 Floor, Internal Plaster upto 6 Floor, External Plaster upto 5.6 Floor</v>
      </c>
    </row>
    <row r="81" spans="1:10" x14ac:dyDescent="0.25">
      <c r="A81" s="16" t="s">
        <v>146</v>
      </c>
      <c r="B81" s="63" t="str">
        <f>IF(AND(ISNUMBER(SEARCH("1B",C80))),"1",IF(AND(ISNUMBER(SEARCH("2B",C80))),"2",IF(AND(ISNUMBER(SEARCH("3B",C80))),"3",IF(AND(ISNUMBER(SEARCH("4B",C80))),"4",IF(ISNUMBER(SEARCH("5B",C80)),"5","0")))))</f>
        <v>0</v>
      </c>
      <c r="C81" s="49" t="s">
        <v>74</v>
      </c>
      <c r="D81" s="49">
        <v>1</v>
      </c>
      <c r="E81" s="49" t="s">
        <v>73</v>
      </c>
      <c r="F81" s="49">
        <v>0</v>
      </c>
      <c r="G81" s="49" t="s">
        <v>83</v>
      </c>
      <c r="H81" s="50">
        <f ca="1">--TRIM(RIGHT(SUBSTITUTE(LEFT(C80,_xlfn.AGGREGATE(16,6,FIND({0,1,2,3,4,5,6,7,8,9},C80,ROW(INDIRECT("1:"&amp;LEN(C80)))),1))," ",REPT(" ",LEN(C80))),LEN(C80)))</f>
        <v>14</v>
      </c>
      <c r="I81" s="46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</v>
      </c>
      <c r="J81" s="47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>, Footing work Completed</v>
      </c>
    </row>
    <row r="82" spans="1:10" ht="47.45" customHeight="1" x14ac:dyDescent="0.25">
      <c r="A82" s="107" t="s">
        <v>93</v>
      </c>
      <c r="B82" s="78"/>
      <c r="C82" s="108" t="str">
        <f ca="1">I80</f>
        <v>Excavation, Plinth Completed, Footing work Completed, RCC upto 9 Slab, Brickwork upto 8 Floor, Internal Plaster upto 6 Floor, External Plaster upto 5.6 Floor Completed</v>
      </c>
      <c r="D82" s="108"/>
      <c r="E82" s="108"/>
      <c r="F82" s="108"/>
      <c r="G82" s="108"/>
      <c r="H82" s="109"/>
      <c r="I82" s="46" t="str">
        <f ca="1">IF(I81&lt;&gt;""," Completed","")</f>
        <v xml:space="preserve"> Completed</v>
      </c>
      <c r="J82" s="47" t="str">
        <f ca="1">IF(J80&lt;&gt;"","Completed","")</f>
        <v>Completed</v>
      </c>
    </row>
    <row r="83" spans="1:10" ht="15.75" customHeight="1" x14ac:dyDescent="0.25">
      <c r="A83" s="74" t="s">
        <v>50</v>
      </c>
      <c r="B83" s="75"/>
      <c r="C83" s="62" t="s">
        <v>143</v>
      </c>
      <c r="D83" s="62" t="s">
        <v>86</v>
      </c>
      <c r="E83" s="75" t="s">
        <v>88</v>
      </c>
      <c r="F83" s="75"/>
      <c r="G83" s="75" t="s">
        <v>87</v>
      </c>
      <c r="H83" s="110"/>
      <c r="I83" s="14" t="s">
        <v>145</v>
      </c>
      <c r="J83" s="26">
        <f ca="1">H81*25%</f>
        <v>3.5</v>
      </c>
    </row>
    <row r="84" spans="1:10" x14ac:dyDescent="0.25">
      <c r="A84" s="74" t="s">
        <v>132</v>
      </c>
      <c r="B84" s="75"/>
      <c r="C84" s="62">
        <v>14</v>
      </c>
      <c r="D84" s="18">
        <f ca="1">((100/H81)*C84)/100</f>
        <v>1</v>
      </c>
      <c r="E84" s="111">
        <f ca="1">(((C85/H81*10)+(40/(D81+F81+H81)*C86)+(7.5/(H81)*C87)+(7.5/(H81)*C88)+(10/H81*C89)+(10/H81*C90)+(5/H81*C91)+(5/H81*C92)+(5/H81*C93))/100)</f>
        <v>0.45500000000000002</v>
      </c>
      <c r="F84" s="112"/>
      <c r="G84" s="111">
        <f ca="1">((((C84/H81)*20)+((C85/H81)*25)+(30/(H81+F81+D81)*C86)+(5/H81*C87)+(5/H81*C88)+(5/H81*C89)+(5/H81*C90)+(0/H81*C91)+(0/H81*C92)+(5/H81*C93))/100)</f>
        <v>0.7</v>
      </c>
      <c r="H84" s="115"/>
      <c r="I84" s="14" t="s">
        <v>101</v>
      </c>
      <c r="J84" s="27">
        <f ca="1">H81*50%</f>
        <v>7</v>
      </c>
    </row>
    <row r="85" spans="1:10" x14ac:dyDescent="0.25">
      <c r="A85" s="74" t="s">
        <v>51</v>
      </c>
      <c r="B85" s="75"/>
      <c r="C85" s="56">
        <f ca="1">J93</f>
        <v>14</v>
      </c>
      <c r="D85" s="18">
        <f ca="1">((100/H81)*C85)/100</f>
        <v>1</v>
      </c>
      <c r="E85" s="113"/>
      <c r="F85" s="114"/>
      <c r="G85" s="113"/>
      <c r="H85" s="116"/>
      <c r="I85" s="14" t="s">
        <v>102</v>
      </c>
      <c r="J85" s="27">
        <f ca="1">H81</f>
        <v>14</v>
      </c>
    </row>
    <row r="86" spans="1:10" ht="15.75" customHeight="1" x14ac:dyDescent="0.25">
      <c r="A86" s="74" t="s">
        <v>133</v>
      </c>
      <c r="B86" s="75"/>
      <c r="C86" s="62">
        <v>9</v>
      </c>
      <c r="D86" s="18">
        <f ca="1">((100/(D81+F81+H81))*C86)/100</f>
        <v>0.6</v>
      </c>
      <c r="E86" s="113"/>
      <c r="F86" s="114"/>
      <c r="G86" s="113"/>
      <c r="H86" s="116"/>
      <c r="I86" s="14" t="s">
        <v>103</v>
      </c>
      <c r="J86" s="28">
        <f ca="1">(IF(B81&gt;1,(H81/(B81+2)),H81/4))</f>
        <v>7</v>
      </c>
    </row>
    <row r="87" spans="1:10" ht="15.75" customHeight="1" x14ac:dyDescent="0.25">
      <c r="A87" s="74" t="s">
        <v>140</v>
      </c>
      <c r="B87" s="75" t="s">
        <v>134</v>
      </c>
      <c r="C87" s="62">
        <f>C86-1</f>
        <v>8</v>
      </c>
      <c r="D87" s="18">
        <f ca="1">((100/H81)*C87)/100</f>
        <v>0.57142857142857151</v>
      </c>
      <c r="E87" s="113"/>
      <c r="F87" s="114"/>
      <c r="G87" s="113"/>
      <c r="H87" s="116"/>
      <c r="I87" s="14" t="s">
        <v>104</v>
      </c>
      <c r="J87" s="28">
        <f ca="1">(IF(B81&gt;1,(H81/(B81+2)+J86),H81/4+J86))</f>
        <v>14</v>
      </c>
    </row>
    <row r="88" spans="1:10" ht="15.75" customHeight="1" x14ac:dyDescent="0.25">
      <c r="A88" s="74" t="s">
        <v>141</v>
      </c>
      <c r="B88" s="75" t="s">
        <v>134</v>
      </c>
      <c r="C88" s="56">
        <f>C87*0.75</f>
        <v>6</v>
      </c>
      <c r="D88" s="18">
        <f ca="1">((100/H81)*C88)/100</f>
        <v>0.4285714285714286</v>
      </c>
      <c r="E88" s="113"/>
      <c r="F88" s="114"/>
      <c r="G88" s="113"/>
      <c r="H88" s="116"/>
      <c r="I88" s="14" t="s">
        <v>152</v>
      </c>
      <c r="J88" s="28">
        <f>(IF(B67&gt;1,(H67/(B67+2)+J73),0))</f>
        <v>0</v>
      </c>
    </row>
    <row r="89" spans="1:10" ht="15" customHeight="1" x14ac:dyDescent="0.25">
      <c r="A89" s="74" t="s">
        <v>139</v>
      </c>
      <c r="B89" s="75" t="s">
        <v>136</v>
      </c>
      <c r="C89" s="56">
        <f>C87*0.7</f>
        <v>5.6</v>
      </c>
      <c r="D89" s="18">
        <f ca="1">((100/(H81))*C89)/100</f>
        <v>0.4</v>
      </c>
      <c r="E89" s="113"/>
      <c r="F89" s="114"/>
      <c r="G89" s="113"/>
      <c r="H89" s="116"/>
      <c r="I89" s="14" t="s">
        <v>147</v>
      </c>
      <c r="J89" s="28">
        <f>(IF(B67&gt;2,(H67/(B67+2)+J74),0))</f>
        <v>0</v>
      </c>
    </row>
    <row r="90" spans="1:10" ht="15.75" customHeight="1" x14ac:dyDescent="0.25">
      <c r="A90" s="74" t="s">
        <v>135</v>
      </c>
      <c r="B90" s="75" t="s">
        <v>135</v>
      </c>
      <c r="C90" s="62">
        <v>0</v>
      </c>
      <c r="D90" s="18">
        <f ca="1">((100/H81)*C90)/100</f>
        <v>0</v>
      </c>
      <c r="E90" s="113"/>
      <c r="F90" s="114"/>
      <c r="G90" s="113"/>
      <c r="H90" s="116"/>
      <c r="I90" s="14" t="s">
        <v>148</v>
      </c>
      <c r="J90" s="29">
        <f>(IF(B67&gt;3,(H67/(B67+2)+J75),0))</f>
        <v>0</v>
      </c>
    </row>
    <row r="91" spans="1:10" ht="15.75" customHeight="1" x14ac:dyDescent="0.25">
      <c r="A91" s="74" t="s">
        <v>142</v>
      </c>
      <c r="B91" s="75"/>
      <c r="C91" s="62">
        <v>0</v>
      </c>
      <c r="D91" s="18">
        <f ca="1">((100/H81)*C91)/100</f>
        <v>0</v>
      </c>
      <c r="E91" s="113"/>
      <c r="F91" s="114"/>
      <c r="G91" s="113"/>
      <c r="H91" s="116"/>
      <c r="I91" s="14" t="s">
        <v>149</v>
      </c>
      <c r="J91" s="28">
        <f>(IF(B67&gt;4,(H67/(B67+2)+J76),0))</f>
        <v>0</v>
      </c>
    </row>
    <row r="92" spans="1:10" ht="15.75" customHeight="1" x14ac:dyDescent="0.25">
      <c r="A92" s="74" t="s">
        <v>137</v>
      </c>
      <c r="B92" s="75" t="s">
        <v>137</v>
      </c>
      <c r="C92" s="62">
        <v>0</v>
      </c>
      <c r="D92" s="18">
        <f ca="1">((100/(H81))*C92)/100</f>
        <v>0</v>
      </c>
      <c r="E92" s="113"/>
      <c r="F92" s="114"/>
      <c r="G92" s="113"/>
      <c r="H92" s="116"/>
      <c r="I92" s="14" t="s">
        <v>153</v>
      </c>
      <c r="J92" s="28">
        <f ca="1">(IF(B67=1,(H67/(B67+3)+J73),IF(B67=0,(H67/4+J73),IF(B67&gt;1,0))))</f>
        <v>10.5</v>
      </c>
    </row>
    <row r="93" spans="1:10" ht="16.5" thickBot="1" x14ac:dyDescent="0.3">
      <c r="A93" s="76" t="s">
        <v>138</v>
      </c>
      <c r="B93" s="77"/>
      <c r="C93" s="70">
        <v>0</v>
      </c>
      <c r="D93" s="71">
        <f ca="1">((100/(H81))*C93)/100</f>
        <v>0</v>
      </c>
      <c r="E93" s="113"/>
      <c r="F93" s="114"/>
      <c r="G93" s="113"/>
      <c r="H93" s="116"/>
      <c r="I93" s="15" t="s">
        <v>105</v>
      </c>
      <c r="J93" s="30">
        <f ca="1">(IF(B67&gt;1.5,(H67/(B67+2)+J73+MAX(0,J74-J73)+MAX(0,J75-J74)+MAX(0,J76-J75)+MAX(0,J77-J76)+MAX(0,J78-J77)),IF(B67=1,(H67/(B67+3)+J78),IF(B67=0,H67/4+J78))))</f>
        <v>14</v>
      </c>
    </row>
    <row r="94" spans="1:10" ht="15.75" customHeight="1" x14ac:dyDescent="0.25">
      <c r="A94" s="100" t="s">
        <v>144</v>
      </c>
      <c r="B94" s="100"/>
      <c r="C94" s="117" t="s">
        <v>234</v>
      </c>
      <c r="D94" s="100"/>
      <c r="E94" s="100"/>
      <c r="F94" s="100"/>
      <c r="G94" s="100"/>
      <c r="H94" s="100"/>
      <c r="I94" s="68" t="str">
        <f ca="1">IF(D107=100%,"All work Completed. Possession granted to the Building.",IF(D106=100%,"All work Completed, Waiting for OC",I95&amp;""&amp;I96&amp;""&amp;J95&amp;""&amp;J94&amp;" "&amp;J96))</f>
        <v>Excavation, Plinth Completed, RCC upto 1 Slab Completed</v>
      </c>
      <c r="J94" s="45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>, RCC upto 1 Slab</v>
      </c>
    </row>
    <row r="95" spans="1:10" x14ac:dyDescent="0.25">
      <c r="A95" s="67" t="s">
        <v>146</v>
      </c>
      <c r="B95" s="67">
        <v>0</v>
      </c>
      <c r="C95" s="49" t="s">
        <v>74</v>
      </c>
      <c r="D95" s="49">
        <v>1</v>
      </c>
      <c r="E95" s="49" t="s">
        <v>73</v>
      </c>
      <c r="F95" s="49">
        <v>0</v>
      </c>
      <c r="G95" s="49" t="s">
        <v>83</v>
      </c>
      <c r="H95" s="49">
        <f ca="1">--TRIM(RIGHT(SUBSTITUTE(LEFT(C94,_xlfn.AGGREGATE(16,6,FIND({0,1,2,3,4,5,6,7,8,9},C94,ROW(INDIRECT("1:"&amp;LEN(C94)))),1))," ",REPT(" ",LEN(C94))),LEN(C94)))</f>
        <v>14</v>
      </c>
      <c r="I95" s="69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Excavation, Plinth</v>
      </c>
      <c r="J95" s="47" t="str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/>
      </c>
    </row>
    <row r="96" spans="1:10" x14ac:dyDescent="0.25">
      <c r="A96" s="78" t="s">
        <v>93</v>
      </c>
      <c r="B96" s="78"/>
      <c r="C96" s="79" t="str">
        <f ca="1">I94</f>
        <v>Excavation, Plinth Completed, RCC upto 1 Slab Completed</v>
      </c>
      <c r="D96" s="79"/>
      <c r="E96" s="79"/>
      <c r="F96" s="79"/>
      <c r="G96" s="79"/>
      <c r="H96" s="79"/>
      <c r="I96" s="69" t="str">
        <f ca="1">IF(I95&lt;&gt;""," Completed","")</f>
        <v xml:space="preserve"> Completed</v>
      </c>
      <c r="J96" s="47" t="str">
        <f ca="1">IF(J94&lt;&gt;"","Completed","")</f>
        <v>Completed</v>
      </c>
    </row>
    <row r="97" spans="1:13" ht="15.75" customHeight="1" x14ac:dyDescent="0.25">
      <c r="A97" s="75" t="s">
        <v>50</v>
      </c>
      <c r="B97" s="75"/>
      <c r="C97" s="65" t="s">
        <v>143</v>
      </c>
      <c r="D97" s="65" t="s">
        <v>86</v>
      </c>
      <c r="E97" s="75" t="s">
        <v>88</v>
      </c>
      <c r="F97" s="75"/>
      <c r="G97" s="75" t="s">
        <v>87</v>
      </c>
      <c r="H97" s="75"/>
      <c r="I97" s="14" t="s">
        <v>145</v>
      </c>
      <c r="J97" s="26">
        <f ca="1">H95*25%</f>
        <v>3.5</v>
      </c>
    </row>
    <row r="98" spans="1:13" x14ac:dyDescent="0.25">
      <c r="A98" s="75" t="s">
        <v>132</v>
      </c>
      <c r="B98" s="75"/>
      <c r="C98" s="65">
        <f ca="1">J99</f>
        <v>14</v>
      </c>
      <c r="D98" s="18">
        <f ca="1">((100/H95)*C98)/100</f>
        <v>1</v>
      </c>
      <c r="E98" s="80">
        <f ca="1">(((C99/H95*10)+(40/(D95+F95+H95)*C100)+(7.5/(H95)*C101)+(7.5/(H95)*C102)+(10/H95*C103)+(10/H95*C104)+(5/H95*C105)+(5/H95*C106)+(5/H95*C107))/100)</f>
        <v>0.12666666666666665</v>
      </c>
      <c r="F98" s="80"/>
      <c r="G98" s="80">
        <f ca="1">((((C98/H95)*20)+((C99/H95)*25)+(30/(H95+F95+D95)*C100)+(5/H95*C101)+(5/H95*C102)+(5/H95*C103)+(5/H95*C104)+(0/H95*C105)+(0/H95*C106)+(5/H95*C107))/100)</f>
        <v>0.47</v>
      </c>
      <c r="H98" s="80"/>
      <c r="I98" s="14" t="s">
        <v>101</v>
      </c>
      <c r="J98" s="27">
        <f ca="1">H95*50%</f>
        <v>7</v>
      </c>
    </row>
    <row r="99" spans="1:13" x14ac:dyDescent="0.25">
      <c r="A99" s="75" t="s">
        <v>51</v>
      </c>
      <c r="B99" s="75"/>
      <c r="C99" s="56">
        <f ca="1">J107</f>
        <v>14</v>
      </c>
      <c r="D99" s="18">
        <f ca="1">((100/H95)*C99)/100</f>
        <v>1</v>
      </c>
      <c r="E99" s="80"/>
      <c r="F99" s="80"/>
      <c r="G99" s="80"/>
      <c r="H99" s="80"/>
      <c r="I99" s="14" t="s">
        <v>102</v>
      </c>
      <c r="J99" s="27">
        <f ca="1">H95</f>
        <v>14</v>
      </c>
    </row>
    <row r="100" spans="1:13" ht="15.75" customHeight="1" x14ac:dyDescent="0.25">
      <c r="A100" s="75" t="s">
        <v>133</v>
      </c>
      <c r="B100" s="75"/>
      <c r="C100" s="65">
        <v>1</v>
      </c>
      <c r="D100" s="18">
        <f ca="1">((100/(D95+F95+H95))*C100)/100</f>
        <v>6.6666666666666666E-2</v>
      </c>
      <c r="E100" s="80"/>
      <c r="F100" s="80"/>
      <c r="G100" s="80"/>
      <c r="H100" s="80"/>
      <c r="I100" s="14" t="s">
        <v>103</v>
      </c>
      <c r="J100" s="28">
        <f ca="1">(IF(B95&gt;1,(H95/(B95+2)),H95/4))</f>
        <v>3.5</v>
      </c>
    </row>
    <row r="101" spans="1:13" ht="15.75" customHeight="1" x14ac:dyDescent="0.25">
      <c r="A101" s="75" t="s">
        <v>140</v>
      </c>
      <c r="B101" s="75" t="s">
        <v>134</v>
      </c>
      <c r="C101" s="65">
        <v>0</v>
      </c>
      <c r="D101" s="18">
        <f ca="1">((100/H95)*C101)/100</f>
        <v>0</v>
      </c>
      <c r="E101" s="80"/>
      <c r="F101" s="80"/>
      <c r="G101" s="80"/>
      <c r="H101" s="80"/>
      <c r="I101" s="14" t="s">
        <v>104</v>
      </c>
      <c r="J101" s="28">
        <f ca="1">(IF(B95&gt;1,(H95/(B95+2)+J100),H95/4+J100))</f>
        <v>7</v>
      </c>
    </row>
    <row r="102" spans="1:13" ht="15.75" customHeight="1" x14ac:dyDescent="0.25">
      <c r="A102" s="75" t="s">
        <v>141</v>
      </c>
      <c r="B102" s="75" t="s">
        <v>134</v>
      </c>
      <c r="C102" s="56">
        <v>0</v>
      </c>
      <c r="D102" s="18">
        <f ca="1">((100/H95)*C102)/100</f>
        <v>0</v>
      </c>
      <c r="E102" s="80"/>
      <c r="F102" s="80"/>
      <c r="G102" s="80"/>
      <c r="H102" s="80"/>
      <c r="I102" s="14" t="s">
        <v>152</v>
      </c>
      <c r="J102" s="28">
        <f>(IF(B95&gt;1,(H95/(B95+2)+J101),0))</f>
        <v>0</v>
      </c>
    </row>
    <row r="103" spans="1:13" ht="15" customHeight="1" x14ac:dyDescent="0.25">
      <c r="A103" s="75" t="s">
        <v>139</v>
      </c>
      <c r="B103" s="75" t="s">
        <v>136</v>
      </c>
      <c r="C103" s="56">
        <v>0</v>
      </c>
      <c r="D103" s="18">
        <f ca="1">((100/(H95))*C103)/100</f>
        <v>0</v>
      </c>
      <c r="E103" s="80"/>
      <c r="F103" s="80"/>
      <c r="G103" s="80"/>
      <c r="H103" s="80"/>
      <c r="I103" s="14" t="s">
        <v>147</v>
      </c>
      <c r="J103" s="28">
        <f>(IF(B95&gt;2,(H95/(B95+2)+J102),0))</f>
        <v>0</v>
      </c>
    </row>
    <row r="104" spans="1:13" ht="15.75" customHeight="1" x14ac:dyDescent="0.25">
      <c r="A104" s="75" t="s">
        <v>135</v>
      </c>
      <c r="B104" s="75" t="s">
        <v>135</v>
      </c>
      <c r="C104" s="65">
        <v>0</v>
      </c>
      <c r="D104" s="18">
        <f ca="1">((100/H95)*C104)/100</f>
        <v>0</v>
      </c>
      <c r="E104" s="80"/>
      <c r="F104" s="80"/>
      <c r="G104" s="80"/>
      <c r="H104" s="80"/>
      <c r="I104" s="14" t="s">
        <v>148</v>
      </c>
      <c r="J104" s="29">
        <f>(IF(B95&gt;3,(H95/(B95+2)+J103),0))</f>
        <v>0</v>
      </c>
    </row>
    <row r="105" spans="1:13" ht="15.75" customHeight="1" x14ac:dyDescent="0.25">
      <c r="A105" s="75" t="s">
        <v>142</v>
      </c>
      <c r="B105" s="75"/>
      <c r="C105" s="65">
        <v>0</v>
      </c>
      <c r="D105" s="18">
        <f ca="1">((100/H95)*C105)/100</f>
        <v>0</v>
      </c>
      <c r="E105" s="80"/>
      <c r="F105" s="80"/>
      <c r="G105" s="80"/>
      <c r="H105" s="80"/>
      <c r="I105" s="14" t="s">
        <v>149</v>
      </c>
      <c r="J105" s="28">
        <f>(IF(B95&gt;4,(H95/(B95+2)+J104),0))</f>
        <v>0</v>
      </c>
    </row>
    <row r="106" spans="1:13" ht="15.75" customHeight="1" x14ac:dyDescent="0.25">
      <c r="A106" s="75" t="s">
        <v>137</v>
      </c>
      <c r="B106" s="75" t="s">
        <v>137</v>
      </c>
      <c r="C106" s="65">
        <v>0</v>
      </c>
      <c r="D106" s="18">
        <f ca="1">((100/(H95))*C106)/100</f>
        <v>0</v>
      </c>
      <c r="E106" s="80"/>
      <c r="F106" s="80"/>
      <c r="G106" s="80"/>
      <c r="H106" s="80"/>
      <c r="I106" s="14" t="s">
        <v>153</v>
      </c>
      <c r="J106" s="28">
        <f ca="1">(IF(B95=1,(H95/(B95+3)+J101),IF(B95=0,(H95/4+J101),IF(B95&gt;1,0))))</f>
        <v>10.5</v>
      </c>
    </row>
    <row r="107" spans="1:13" ht="16.5" thickBot="1" x14ac:dyDescent="0.3">
      <c r="A107" s="75" t="s">
        <v>138</v>
      </c>
      <c r="B107" s="75"/>
      <c r="C107" s="65">
        <v>0</v>
      </c>
      <c r="D107" s="18">
        <f ca="1">((100/(H95))*C107)/100</f>
        <v>0</v>
      </c>
      <c r="E107" s="80"/>
      <c r="F107" s="80"/>
      <c r="G107" s="80"/>
      <c r="H107" s="80"/>
      <c r="I107" s="15" t="s">
        <v>105</v>
      </c>
      <c r="J107" s="30">
        <f ca="1">(IF(B95&gt;1.5,(H95/(B95+2)+J101+MAX(0,J102-J101)+MAX(0,J103-J102)+MAX(0,J104-J103)+MAX(0,J105-J104)+MAX(0,J106-J105)),IF(B95=1,(H95/(B95+3)+J106),IF(B95=0,H95/4+J106))))</f>
        <v>14</v>
      </c>
      <c r="M107" s="51"/>
    </row>
    <row r="108" spans="1:13" x14ac:dyDescent="0.25">
      <c r="A108" s="101" t="s">
        <v>163</v>
      </c>
      <c r="B108" s="101"/>
      <c r="C108" s="101"/>
      <c r="D108" s="101"/>
      <c r="E108" s="101"/>
      <c r="F108" s="143" t="s">
        <v>168</v>
      </c>
      <c r="G108" s="143"/>
      <c r="H108" s="143"/>
    </row>
    <row r="109" spans="1:13" x14ac:dyDescent="0.25">
      <c r="A109" s="73" t="s">
        <v>166</v>
      </c>
      <c r="B109" s="73"/>
      <c r="C109" s="73"/>
      <c r="D109" s="73"/>
      <c r="E109" s="73"/>
      <c r="F109" s="81">
        <v>7000</v>
      </c>
      <c r="G109" s="81"/>
      <c r="H109" s="81"/>
      <c r="J109" s="19" t="s">
        <v>231</v>
      </c>
    </row>
    <row r="110" spans="1:13" hidden="1" x14ac:dyDescent="0.25">
      <c r="A110" s="73" t="s">
        <v>165</v>
      </c>
      <c r="B110" s="73"/>
      <c r="C110" s="73"/>
      <c r="D110" s="73"/>
      <c r="E110" s="73"/>
      <c r="F110" s="81"/>
      <c r="G110" s="81"/>
      <c r="H110" s="81"/>
    </row>
    <row r="111" spans="1:13" hidden="1" x14ac:dyDescent="0.25">
      <c r="A111" s="73" t="s">
        <v>167</v>
      </c>
      <c r="B111" s="73"/>
      <c r="C111" s="73"/>
      <c r="D111" s="73"/>
      <c r="E111" s="73"/>
      <c r="F111" s="81"/>
      <c r="G111" s="81"/>
      <c r="H111" s="81"/>
    </row>
    <row r="112" spans="1:13" s="31" customFormat="1" hidden="1" x14ac:dyDescent="0.25">
      <c r="A112" s="73" t="s">
        <v>164</v>
      </c>
      <c r="B112" s="73"/>
      <c r="C112" s="73"/>
      <c r="D112" s="73"/>
      <c r="E112" s="73"/>
      <c r="F112" s="81"/>
      <c r="G112" s="81"/>
      <c r="H112" s="81"/>
    </row>
    <row r="113" spans="1:10" s="31" customFormat="1" ht="32.25" customHeight="1" x14ac:dyDescent="0.25">
      <c r="A113" s="98" t="s">
        <v>222</v>
      </c>
      <c r="B113" s="98"/>
      <c r="C113" s="98"/>
      <c r="D113" s="98"/>
      <c r="E113" s="98"/>
      <c r="F113" s="81">
        <v>90000</v>
      </c>
      <c r="G113" s="81"/>
      <c r="H113" s="81"/>
      <c r="J113" s="61"/>
    </row>
    <row r="114" spans="1:10" s="31" customFormat="1" x14ac:dyDescent="0.25">
      <c r="A114" s="73" t="s">
        <v>223</v>
      </c>
      <c r="B114" s="73"/>
      <c r="C114" s="73"/>
      <c r="D114" s="73"/>
      <c r="E114" s="73"/>
      <c r="F114" s="81">
        <v>140000</v>
      </c>
      <c r="G114" s="81"/>
      <c r="H114" s="81"/>
      <c r="J114" s="60"/>
    </row>
    <row r="115" spans="1:10" s="31" customFormat="1" x14ac:dyDescent="0.25">
      <c r="A115" s="73" t="s">
        <v>224</v>
      </c>
      <c r="B115" s="73"/>
      <c r="C115" s="73"/>
      <c r="D115" s="73"/>
      <c r="E115" s="73"/>
      <c r="F115" s="81">
        <v>150000</v>
      </c>
      <c r="G115" s="81"/>
      <c r="H115" s="81"/>
    </row>
    <row r="116" spans="1:10" s="31" customFormat="1" x14ac:dyDescent="0.25">
      <c r="A116" s="73" t="s">
        <v>225</v>
      </c>
      <c r="B116" s="73"/>
      <c r="C116" s="73"/>
      <c r="D116" s="73"/>
      <c r="E116" s="73"/>
      <c r="F116" s="81">
        <v>20000</v>
      </c>
      <c r="G116" s="81"/>
      <c r="H116" s="81"/>
    </row>
    <row r="117" spans="1:10" s="31" customFormat="1" hidden="1" x14ac:dyDescent="0.25">
      <c r="A117" s="73" t="s">
        <v>98</v>
      </c>
      <c r="B117" s="73"/>
      <c r="C117" s="73"/>
      <c r="D117" s="73"/>
      <c r="E117" s="73"/>
      <c r="F117" s="81"/>
      <c r="G117" s="81"/>
      <c r="H117" s="81"/>
    </row>
    <row r="118" spans="1:10" s="31" customFormat="1" hidden="1" x14ac:dyDescent="0.25">
      <c r="A118" s="73" t="s">
        <v>99</v>
      </c>
      <c r="B118" s="73"/>
      <c r="C118" s="73"/>
      <c r="D118" s="73"/>
      <c r="E118" s="73"/>
      <c r="F118" s="81"/>
      <c r="G118" s="81"/>
      <c r="H118" s="81"/>
    </row>
    <row r="119" spans="1:10" s="31" customFormat="1" hidden="1" x14ac:dyDescent="0.25">
      <c r="A119" s="73" t="s">
        <v>100</v>
      </c>
      <c r="B119" s="73"/>
      <c r="C119" s="73"/>
      <c r="D119" s="73"/>
      <c r="E119" s="73"/>
      <c r="F119" s="81"/>
      <c r="G119" s="81"/>
      <c r="H119" s="81"/>
    </row>
    <row r="120" spans="1:10" x14ac:dyDescent="0.25">
      <c r="A120" s="73" t="s">
        <v>52</v>
      </c>
      <c r="B120" s="73"/>
      <c r="C120" s="73"/>
      <c r="D120" s="73"/>
      <c r="E120" s="73"/>
      <c r="F120" s="81">
        <v>350000</v>
      </c>
      <c r="G120" s="81"/>
      <c r="H120" s="81"/>
    </row>
    <row r="121" spans="1:10" s="32" customFormat="1" x14ac:dyDescent="0.25">
      <c r="A121" s="129" t="s">
        <v>53</v>
      </c>
      <c r="B121" s="129"/>
      <c r="C121" s="129"/>
      <c r="D121" s="129"/>
      <c r="E121" s="129"/>
      <c r="F121" s="81">
        <f>F109*0.8</f>
        <v>5600</v>
      </c>
      <c r="G121" s="81"/>
      <c r="H121" s="81"/>
    </row>
    <row r="122" spans="1:10" s="33" customFormat="1" ht="15.75" hidden="1" customHeight="1" x14ac:dyDescent="0.25">
      <c r="A122" s="146" t="s">
        <v>78</v>
      </c>
      <c r="B122" s="146"/>
      <c r="C122" s="146"/>
      <c r="D122" s="146"/>
      <c r="E122" s="146"/>
      <c r="F122" s="146"/>
      <c r="G122" s="146"/>
      <c r="H122" s="146"/>
    </row>
    <row r="123" spans="1:10" s="33" customFormat="1" ht="15.75" hidden="1" customHeight="1" x14ac:dyDescent="0.25">
      <c r="A123" s="119" t="s">
        <v>54</v>
      </c>
      <c r="B123" s="119"/>
      <c r="C123" s="72" t="s">
        <v>81</v>
      </c>
      <c r="D123" s="72"/>
      <c r="E123" s="128" t="s">
        <v>55</v>
      </c>
      <c r="F123" s="128"/>
      <c r="G123" s="119" t="s">
        <v>56</v>
      </c>
      <c r="H123" s="119"/>
    </row>
    <row r="124" spans="1:10" s="33" customFormat="1" hidden="1" x14ac:dyDescent="0.25">
      <c r="A124" s="147"/>
      <c r="B124" s="147"/>
      <c r="C124" s="126"/>
      <c r="D124" s="126"/>
      <c r="E124" s="127"/>
      <c r="F124" s="127"/>
      <c r="G124" s="120"/>
      <c r="H124" s="120"/>
    </row>
    <row r="125" spans="1:10" s="33" customFormat="1" hidden="1" x14ac:dyDescent="0.25">
      <c r="A125" s="147"/>
      <c r="B125" s="147"/>
      <c r="C125" s="126"/>
      <c r="D125" s="126"/>
      <c r="E125" s="127"/>
      <c r="F125" s="127"/>
      <c r="G125" s="120"/>
      <c r="H125" s="120"/>
    </row>
    <row r="126" spans="1:10" s="33" customFormat="1" hidden="1" x14ac:dyDescent="0.25">
      <c r="A126" s="146" t="s">
        <v>157</v>
      </c>
      <c r="B126" s="146"/>
      <c r="C126" s="72"/>
      <c r="D126" s="72"/>
      <c r="E126" s="128"/>
      <c r="F126" s="128"/>
      <c r="G126" s="119"/>
      <c r="H126" s="119"/>
    </row>
    <row r="127" spans="1:10" s="33" customFormat="1" x14ac:dyDescent="0.25">
      <c r="A127" s="146" t="s">
        <v>72</v>
      </c>
      <c r="B127" s="146"/>
      <c r="C127" s="146"/>
      <c r="D127" s="146"/>
      <c r="E127" s="146"/>
      <c r="F127" s="146"/>
      <c r="G127" s="146"/>
      <c r="H127" s="146"/>
    </row>
    <row r="128" spans="1:10" s="33" customFormat="1" ht="15.75" customHeight="1" x14ac:dyDescent="0.25">
      <c r="A128" s="119" t="s">
        <v>54</v>
      </c>
      <c r="B128" s="119"/>
      <c r="C128" s="72" t="s">
        <v>81</v>
      </c>
      <c r="D128" s="72"/>
      <c r="E128" s="128" t="s">
        <v>55</v>
      </c>
      <c r="F128" s="128"/>
      <c r="G128" s="119" t="s">
        <v>56</v>
      </c>
      <c r="H128" s="119"/>
    </row>
    <row r="129" spans="1:14" s="33" customFormat="1" x14ac:dyDescent="0.25">
      <c r="A129" s="147" t="s">
        <v>203</v>
      </c>
      <c r="B129" s="147"/>
      <c r="C129" s="182">
        <f>COUNT(D162:D168)*12+COUNT(D170:D173,D175:D176)*2</f>
        <v>96</v>
      </c>
      <c r="D129" s="182"/>
      <c r="E129" s="183">
        <f>SUM(D162:D168)*12+SUM(D170:D173,D175:D176)*2</f>
        <v>43937.78688</v>
      </c>
      <c r="F129" s="183"/>
      <c r="G129" s="183">
        <f>SUM(F162:F168)*12+SUM(F170:F173,F175:F176)*2</f>
        <v>65906.680319999999</v>
      </c>
      <c r="H129" s="183"/>
    </row>
    <row r="130" spans="1:14" s="33" customFormat="1" x14ac:dyDescent="0.25">
      <c r="A130" s="147" t="s">
        <v>204</v>
      </c>
      <c r="B130" s="147"/>
      <c r="C130" s="182">
        <f>COUNT(D179:D186)*12+COUNT(D188:D195)*2</f>
        <v>112</v>
      </c>
      <c r="D130" s="182"/>
      <c r="E130" s="183">
        <f>SUM(D179:D186)*12+SUM(D188:D195)*2</f>
        <v>51140.194560000004</v>
      </c>
      <c r="F130" s="183"/>
      <c r="G130" s="183">
        <f>SUM(F179:F186)*12+SUM(F188:F195)*2</f>
        <v>76710.291839999991</v>
      </c>
      <c r="H130" s="183"/>
    </row>
    <row r="131" spans="1:14" s="33" customFormat="1" x14ac:dyDescent="0.25">
      <c r="A131" s="147" t="s">
        <v>205</v>
      </c>
      <c r="B131" s="147"/>
      <c r="C131" s="182">
        <f>COUNT(D198:D205)*12+COUNT(D207:D214)*2</f>
        <v>112</v>
      </c>
      <c r="D131" s="182"/>
      <c r="E131" s="183">
        <f>SUM(D198:D205)*12+SUM(D207:D214)*2</f>
        <v>51079.916160000008</v>
      </c>
      <c r="F131" s="183"/>
      <c r="G131" s="183">
        <f>SUM(F198:F205)*12+SUM(F207:F214)*2</f>
        <v>76619.874240000019</v>
      </c>
      <c r="H131" s="183"/>
    </row>
    <row r="132" spans="1:14" s="33" customFormat="1" ht="16.5" thickBot="1" x14ac:dyDescent="0.3">
      <c r="A132" s="147" t="s">
        <v>206</v>
      </c>
      <c r="B132" s="147"/>
      <c r="C132" s="182">
        <f>COUNT(D217:D223)*12+COUNT(D225:D226,D228:D231)*2</f>
        <v>96</v>
      </c>
      <c r="D132" s="182"/>
      <c r="E132" s="183">
        <f t="shared" ref="E132" si="0">SUM(D217:D223)*12+SUM(D225:D226,D228:D231)*2</f>
        <v>43937.78688</v>
      </c>
      <c r="F132" s="183"/>
      <c r="G132" s="183">
        <f>SUM(F217:F223)*12+SUM(F225:F226,F228:F231)*2</f>
        <v>65906.680319999999</v>
      </c>
      <c r="H132" s="183"/>
    </row>
    <row r="133" spans="1:14" s="33" customFormat="1" ht="16.5" hidden="1" thickBot="1" x14ac:dyDescent="0.3">
      <c r="A133" s="149" t="s">
        <v>157</v>
      </c>
      <c r="B133" s="149"/>
      <c r="C133" s="198">
        <f>SUM(C129:C132)</f>
        <v>416</v>
      </c>
      <c r="D133" s="198"/>
      <c r="E133" s="196">
        <f>SUM(E129:E132)</f>
        <v>190095.68448000003</v>
      </c>
      <c r="F133" s="196"/>
      <c r="G133" s="184">
        <f>SUM(G129:G132)</f>
        <v>285143.52672000002</v>
      </c>
      <c r="H133" s="184"/>
    </row>
    <row r="134" spans="1:14" s="33" customFormat="1" ht="16.5" thickBot="1" x14ac:dyDescent="0.3">
      <c r="A134" s="185" t="s">
        <v>175</v>
      </c>
      <c r="B134" s="186"/>
      <c r="C134" s="187">
        <f>C126+C133</f>
        <v>416</v>
      </c>
      <c r="D134" s="187"/>
      <c r="E134" s="188">
        <f>E126+E133</f>
        <v>190095.68448000003</v>
      </c>
      <c r="F134" s="188"/>
      <c r="G134" s="189">
        <f>G126+G133</f>
        <v>285143.52672000002</v>
      </c>
      <c r="H134" s="190"/>
    </row>
    <row r="135" spans="1:14" s="32" customFormat="1" x14ac:dyDescent="0.25">
      <c r="A135" s="143" t="s">
        <v>57</v>
      </c>
      <c r="B135" s="143"/>
      <c r="C135" s="143"/>
      <c r="D135" s="143"/>
      <c r="E135" s="143"/>
      <c r="F135" s="143"/>
      <c r="G135" s="143"/>
      <c r="H135" s="143"/>
    </row>
    <row r="136" spans="1:14" x14ac:dyDescent="0.25">
      <c r="A136" s="118" t="s">
        <v>58</v>
      </c>
      <c r="B136" s="118"/>
      <c r="C136" s="118"/>
      <c r="D136" s="118"/>
      <c r="E136" s="118"/>
      <c r="F136" s="118"/>
      <c r="G136" s="118"/>
      <c r="H136" s="118"/>
    </row>
    <row r="137" spans="1:14" ht="47.25" hidden="1" customHeight="1" x14ac:dyDescent="0.25">
      <c r="A137" s="96" t="s">
        <v>123</v>
      </c>
      <c r="B137" s="96" t="s">
        <v>122</v>
      </c>
      <c r="C137" s="96" t="s">
        <v>59</v>
      </c>
      <c r="D137" s="96" t="s">
        <v>60</v>
      </c>
      <c r="E137" s="131" t="s">
        <v>162</v>
      </c>
      <c r="F137" s="41" t="s">
        <v>155</v>
      </c>
      <c r="G137" s="133" t="s">
        <v>62</v>
      </c>
      <c r="H137" s="134"/>
    </row>
    <row r="138" spans="1:14" s="35" customFormat="1" hidden="1" x14ac:dyDescent="0.25">
      <c r="A138" s="97"/>
      <c r="B138" s="97"/>
      <c r="C138" s="97"/>
      <c r="D138" s="97"/>
      <c r="E138" s="132"/>
      <c r="F138" s="13">
        <v>0.6</v>
      </c>
      <c r="G138" s="135"/>
      <c r="H138" s="136"/>
    </row>
    <row r="139" spans="1:14" s="53" customFormat="1" hidden="1" x14ac:dyDescent="0.25">
      <c r="A139" s="93" t="s">
        <v>198</v>
      </c>
      <c r="B139" s="94"/>
      <c r="C139" s="94"/>
      <c r="D139" s="94"/>
      <c r="E139" s="94"/>
      <c r="F139" s="94"/>
      <c r="G139" s="94"/>
      <c r="H139" s="95"/>
      <c r="J139" s="34"/>
    </row>
    <row r="140" spans="1:14" s="53" customFormat="1" hidden="1" x14ac:dyDescent="0.25">
      <c r="A140" s="93" t="s">
        <v>199</v>
      </c>
      <c r="B140" s="94"/>
      <c r="C140" s="94"/>
      <c r="D140" s="94"/>
      <c r="E140" s="94"/>
      <c r="F140" s="94"/>
      <c r="G140" s="94"/>
      <c r="H140" s="95"/>
      <c r="J140" s="34"/>
    </row>
    <row r="141" spans="1:14" s="53" customFormat="1" hidden="1" x14ac:dyDescent="0.25">
      <c r="A141" s="93" t="s">
        <v>200</v>
      </c>
      <c r="B141" s="94"/>
      <c r="C141" s="94"/>
      <c r="D141" s="94"/>
      <c r="E141" s="94"/>
      <c r="F141" s="94"/>
      <c r="G141" s="94"/>
      <c r="H141" s="95"/>
      <c r="J141" s="34"/>
    </row>
    <row r="142" spans="1:14" s="53" customFormat="1" ht="15.75" hidden="1" customHeight="1" x14ac:dyDescent="0.25">
      <c r="A142" s="84">
        <v>1</v>
      </c>
      <c r="B142" s="85"/>
      <c r="C142" s="52"/>
      <c r="D142" s="52"/>
      <c r="E142" s="52">
        <v>0</v>
      </c>
      <c r="F142" s="52">
        <f>(D142+E142)*(($F$138)+1)</f>
        <v>0</v>
      </c>
      <c r="G142" s="86" t="str">
        <f>A141</f>
        <v>Ground Floor For Commercial, Amenity/ Common Area &amp; Meter Room</v>
      </c>
      <c r="H142" s="87"/>
      <c r="I142" s="34"/>
      <c r="L142" s="82"/>
      <c r="M142" s="82"/>
      <c r="N142" s="34"/>
    </row>
    <row r="143" spans="1:14" s="53" customFormat="1" ht="15.75" hidden="1" customHeight="1" x14ac:dyDescent="0.25">
      <c r="A143" s="84">
        <f t="shared" ref="A143:A148" si="1">A142+1</f>
        <v>2</v>
      </c>
      <c r="B143" s="85"/>
      <c r="C143" s="52"/>
      <c r="D143" s="52"/>
      <c r="E143" s="52">
        <v>0</v>
      </c>
      <c r="F143" s="52">
        <f t="shared" ref="F143:F145" si="2">(D143+E143)*(($F$138)+1)</f>
        <v>0</v>
      </c>
      <c r="G143" s="88"/>
      <c r="H143" s="89"/>
      <c r="I143" s="34"/>
      <c r="L143" s="82"/>
      <c r="M143" s="82"/>
      <c r="N143" s="34"/>
    </row>
    <row r="144" spans="1:14" s="53" customFormat="1" ht="15.75" hidden="1" customHeight="1" x14ac:dyDescent="0.25">
      <c r="A144" s="84">
        <f t="shared" si="1"/>
        <v>3</v>
      </c>
      <c r="B144" s="85"/>
      <c r="C144" s="52"/>
      <c r="D144" s="52"/>
      <c r="E144" s="52">
        <v>0</v>
      </c>
      <c r="F144" s="52">
        <f t="shared" si="2"/>
        <v>0</v>
      </c>
      <c r="G144" s="88"/>
      <c r="H144" s="89"/>
      <c r="I144" s="34"/>
      <c r="L144" s="82"/>
      <c r="M144" s="82"/>
      <c r="N144" s="34"/>
    </row>
    <row r="145" spans="1:14" s="53" customFormat="1" ht="15.75" hidden="1" customHeight="1" x14ac:dyDescent="0.25">
      <c r="A145" s="84">
        <f t="shared" si="1"/>
        <v>4</v>
      </c>
      <c r="B145" s="85"/>
      <c r="C145" s="52"/>
      <c r="D145" s="52"/>
      <c r="E145" s="52">
        <v>0</v>
      </c>
      <c r="F145" s="52">
        <f t="shared" si="2"/>
        <v>0</v>
      </c>
      <c r="G145" s="88"/>
      <c r="H145" s="89"/>
      <c r="I145" s="34"/>
      <c r="L145" s="82"/>
      <c r="M145" s="82"/>
      <c r="N145" s="34"/>
    </row>
    <row r="146" spans="1:14" s="53" customFormat="1" ht="15.75" hidden="1" customHeight="1" x14ac:dyDescent="0.25">
      <c r="A146" s="84">
        <f t="shared" si="1"/>
        <v>5</v>
      </c>
      <c r="B146" s="85"/>
      <c r="C146" s="52"/>
      <c r="D146" s="52"/>
      <c r="E146" s="52">
        <v>0</v>
      </c>
      <c r="F146" s="52">
        <f t="shared" ref="F146:F148" si="3">(D146+E146)*(($F$138)+1)</f>
        <v>0</v>
      </c>
      <c r="G146" s="88"/>
      <c r="H146" s="89"/>
      <c r="I146" s="34"/>
      <c r="L146" s="82"/>
      <c r="M146" s="82"/>
      <c r="N146" s="34"/>
    </row>
    <row r="147" spans="1:14" s="53" customFormat="1" ht="15.75" hidden="1" customHeight="1" x14ac:dyDescent="0.25">
      <c r="A147" s="84">
        <f t="shared" si="1"/>
        <v>6</v>
      </c>
      <c r="B147" s="85"/>
      <c r="C147" s="52"/>
      <c r="D147" s="52"/>
      <c r="E147" s="52">
        <v>0</v>
      </c>
      <c r="F147" s="52">
        <f t="shared" si="3"/>
        <v>0</v>
      </c>
      <c r="G147" s="88"/>
      <c r="H147" s="89"/>
      <c r="I147" s="34"/>
      <c r="L147" s="82"/>
      <c r="M147" s="82"/>
      <c r="N147" s="34"/>
    </row>
    <row r="148" spans="1:14" s="53" customFormat="1" ht="15.75" hidden="1" customHeight="1" x14ac:dyDescent="0.25">
      <c r="A148" s="84">
        <f t="shared" si="1"/>
        <v>7</v>
      </c>
      <c r="B148" s="85"/>
      <c r="C148" s="52"/>
      <c r="D148" s="52"/>
      <c r="E148" s="52">
        <v>0</v>
      </c>
      <c r="F148" s="52">
        <f t="shared" si="3"/>
        <v>0</v>
      </c>
      <c r="G148" s="90"/>
      <c r="H148" s="91"/>
      <c r="I148" s="34"/>
      <c r="L148" s="82"/>
      <c r="M148" s="82"/>
      <c r="N148" s="34"/>
    </row>
    <row r="149" spans="1:14" s="35" customFormat="1" hidden="1" x14ac:dyDescent="0.25">
      <c r="A149" s="93" t="s">
        <v>120</v>
      </c>
      <c r="B149" s="94"/>
      <c r="C149" s="94"/>
      <c r="D149" s="94"/>
      <c r="E149" s="94"/>
      <c r="F149" s="94"/>
      <c r="G149" s="94"/>
      <c r="H149" s="95"/>
      <c r="J149" s="34"/>
    </row>
    <row r="150" spans="1:14" s="35" customFormat="1" hidden="1" x14ac:dyDescent="0.25">
      <c r="A150" s="84">
        <v>1</v>
      </c>
      <c r="B150" s="85"/>
      <c r="C150" s="40"/>
      <c r="D150" s="40"/>
      <c r="E150" s="40">
        <v>0</v>
      </c>
      <c r="F150" s="40">
        <f>(D150+E150)*(($F$138)+1)</f>
        <v>0</v>
      </c>
      <c r="G150" s="84" t="str">
        <f>A149</f>
        <v>Ground Floor</v>
      </c>
      <c r="H150" s="85"/>
      <c r="I150" s="34"/>
      <c r="L150" s="82"/>
      <c r="M150" s="82"/>
      <c r="N150" s="34"/>
    </row>
    <row r="151" spans="1:14" s="35" customFormat="1" hidden="1" x14ac:dyDescent="0.25">
      <c r="A151" s="84">
        <f t="shared" ref="A151:A153" si="4">A150+1</f>
        <v>2</v>
      </c>
      <c r="B151" s="85"/>
      <c r="C151" s="40"/>
      <c r="D151" s="40"/>
      <c r="E151" s="40">
        <v>0</v>
      </c>
      <c r="F151" s="40">
        <f t="shared" ref="F151:F153" si="5">(D151+E151)*(($F$138)+1)</f>
        <v>0</v>
      </c>
      <c r="G151" s="84" t="str">
        <f t="shared" ref="G151:G153" si="6">G150</f>
        <v>Ground Floor</v>
      </c>
      <c r="H151" s="85"/>
      <c r="I151" s="34"/>
      <c r="L151" s="82"/>
      <c r="M151" s="82"/>
      <c r="N151" s="34"/>
    </row>
    <row r="152" spans="1:14" s="35" customFormat="1" hidden="1" x14ac:dyDescent="0.25">
      <c r="A152" s="84">
        <f t="shared" si="4"/>
        <v>3</v>
      </c>
      <c r="B152" s="85"/>
      <c r="C152" s="40"/>
      <c r="D152" s="40"/>
      <c r="E152" s="40">
        <v>0</v>
      </c>
      <c r="F152" s="40">
        <f t="shared" si="5"/>
        <v>0</v>
      </c>
      <c r="G152" s="84" t="str">
        <f t="shared" si="6"/>
        <v>Ground Floor</v>
      </c>
      <c r="H152" s="85"/>
      <c r="I152" s="34"/>
      <c r="L152" s="82"/>
      <c r="M152" s="82"/>
      <c r="N152" s="34"/>
    </row>
    <row r="153" spans="1:14" s="35" customFormat="1" hidden="1" x14ac:dyDescent="0.25">
      <c r="A153" s="84">
        <f t="shared" si="4"/>
        <v>4</v>
      </c>
      <c r="B153" s="85"/>
      <c r="C153" s="40"/>
      <c r="D153" s="40"/>
      <c r="E153" s="40">
        <v>0</v>
      </c>
      <c r="F153" s="40">
        <f t="shared" si="5"/>
        <v>0</v>
      </c>
      <c r="G153" s="84" t="str">
        <f t="shared" si="6"/>
        <v>Ground Floor</v>
      </c>
      <c r="H153" s="85"/>
      <c r="I153" s="34"/>
      <c r="L153" s="82"/>
      <c r="M153" s="82"/>
      <c r="N153" s="34"/>
    </row>
    <row r="154" spans="1:14" s="35" customFormat="1" hidden="1" x14ac:dyDescent="0.25">
      <c r="A154" s="84"/>
      <c r="B154" s="197"/>
      <c r="C154" s="197"/>
      <c r="D154" s="197"/>
      <c r="E154" s="197"/>
      <c r="F154" s="197"/>
      <c r="G154" s="197"/>
      <c r="H154" s="85"/>
      <c r="I154" s="34"/>
      <c r="N154" s="34"/>
    </row>
    <row r="155" spans="1:14" ht="47.25" customHeight="1" x14ac:dyDescent="0.25">
      <c r="A155" s="133" t="s">
        <v>124</v>
      </c>
      <c r="B155" s="133" t="s">
        <v>125</v>
      </c>
      <c r="C155" s="96" t="s">
        <v>59</v>
      </c>
      <c r="D155" s="96" t="s">
        <v>60</v>
      </c>
      <c r="E155" s="131" t="s">
        <v>61</v>
      </c>
      <c r="F155" s="41" t="s">
        <v>155</v>
      </c>
      <c r="G155" s="133" t="s">
        <v>62</v>
      </c>
      <c r="H155" s="134"/>
      <c r="I155" s="34"/>
    </row>
    <row r="156" spans="1:14" s="35" customFormat="1" x14ac:dyDescent="0.25">
      <c r="A156" s="135"/>
      <c r="B156" s="135"/>
      <c r="C156" s="97"/>
      <c r="D156" s="97"/>
      <c r="E156" s="132"/>
      <c r="F156" s="13">
        <v>0.5</v>
      </c>
      <c r="G156" s="135"/>
      <c r="H156" s="136"/>
      <c r="I156" s="34"/>
    </row>
    <row r="157" spans="1:14" s="55" customFormat="1" x14ac:dyDescent="0.25">
      <c r="A157" s="93" t="s">
        <v>208</v>
      </c>
      <c r="B157" s="94"/>
      <c r="C157" s="94"/>
      <c r="D157" s="94"/>
      <c r="E157" s="94"/>
      <c r="F157" s="94"/>
      <c r="G157" s="94"/>
      <c r="H157" s="95"/>
      <c r="J157" s="34"/>
    </row>
    <row r="158" spans="1:14" s="53" customFormat="1" x14ac:dyDescent="0.25">
      <c r="A158" s="93" t="s">
        <v>209</v>
      </c>
      <c r="B158" s="94"/>
      <c r="C158" s="94"/>
      <c r="D158" s="94"/>
      <c r="E158" s="94"/>
      <c r="F158" s="94"/>
      <c r="G158" s="94"/>
      <c r="H158" s="95"/>
      <c r="J158" s="34"/>
    </row>
    <row r="159" spans="1:14" s="58" customFormat="1" x14ac:dyDescent="0.25">
      <c r="A159" s="93" t="s">
        <v>220</v>
      </c>
      <c r="B159" s="94"/>
      <c r="C159" s="94"/>
      <c r="D159" s="94"/>
      <c r="E159" s="94"/>
      <c r="F159" s="94"/>
      <c r="G159" s="94"/>
      <c r="H159" s="95"/>
      <c r="J159" s="57">
        <f>10.764</f>
        <v>10.763999999999999</v>
      </c>
    </row>
    <row r="160" spans="1:14" s="53" customFormat="1" x14ac:dyDescent="0.25">
      <c r="A160" s="93" t="s">
        <v>203</v>
      </c>
      <c r="B160" s="94"/>
      <c r="C160" s="94"/>
      <c r="D160" s="94"/>
      <c r="E160" s="94"/>
      <c r="F160" s="94"/>
      <c r="G160" s="94"/>
      <c r="H160" s="95"/>
      <c r="J160" s="57">
        <f>10.764</f>
        <v>10.763999999999999</v>
      </c>
    </row>
    <row r="161" spans="1:14" s="53" customFormat="1" ht="33.75" customHeight="1" x14ac:dyDescent="0.25">
      <c r="A161" s="93" t="s">
        <v>218</v>
      </c>
      <c r="B161" s="94"/>
      <c r="C161" s="94"/>
      <c r="D161" s="94"/>
      <c r="E161" s="94"/>
      <c r="F161" s="94"/>
      <c r="G161" s="94"/>
      <c r="H161" s="95"/>
      <c r="J161" s="34"/>
    </row>
    <row r="162" spans="1:14" s="53" customFormat="1" ht="15.75" customHeight="1" x14ac:dyDescent="0.25">
      <c r="A162" s="84">
        <v>1</v>
      </c>
      <c r="B162" s="85"/>
      <c r="C162" s="48">
        <v>2</v>
      </c>
      <c r="D162" s="57">
        <f t="shared" ref="D162:D168" si="7">(42.52)*(10.764)</f>
        <v>457.68527999999998</v>
      </c>
      <c r="E162" s="52">
        <v>0</v>
      </c>
      <c r="F162" s="52">
        <f t="shared" ref="F162:F168" si="8">D162*(($F$156)+1)+(IF(E162&lt;101,E162,IF(E162&lt;201,E162/2,IF(E162&lt;=301,E162/3,E162/4))))</f>
        <v>686.52791999999999</v>
      </c>
      <c r="G162" s="86" t="str">
        <f>A161</f>
        <v>1st to 7th, 9th to 12th Floor
14th Floor (15th Floor as per Builder) For Residential</v>
      </c>
      <c r="H162" s="87"/>
      <c r="I162" s="34"/>
      <c r="J162" s="53">
        <f>1.05*1.49+3.25*3.55+2.75*3.35+1.75*2+2.75*3.05+1.25*0.6+1.35*2.25+1.35*2.1</f>
        <v>40.8245</v>
      </c>
      <c r="L162" s="82"/>
      <c r="M162" s="82"/>
      <c r="N162" s="34"/>
    </row>
    <row r="163" spans="1:14" s="53" customFormat="1" ht="15.75" customHeight="1" x14ac:dyDescent="0.25">
      <c r="A163" s="84">
        <f t="shared" ref="A163:A168" si="9">A162+1</f>
        <v>2</v>
      </c>
      <c r="B163" s="85"/>
      <c r="C163" s="48">
        <v>2</v>
      </c>
      <c r="D163" s="57">
        <f t="shared" si="7"/>
        <v>457.68527999999998</v>
      </c>
      <c r="E163" s="52">
        <v>0</v>
      </c>
      <c r="F163" s="52">
        <f t="shared" si="8"/>
        <v>686.52791999999999</v>
      </c>
      <c r="G163" s="88"/>
      <c r="H163" s="89"/>
      <c r="I163" s="34"/>
      <c r="L163" s="82"/>
      <c r="M163" s="82"/>
      <c r="N163" s="34"/>
    </row>
    <row r="164" spans="1:14" s="53" customFormat="1" ht="15.75" customHeight="1" x14ac:dyDescent="0.25">
      <c r="A164" s="84">
        <f t="shared" si="9"/>
        <v>3</v>
      </c>
      <c r="B164" s="85"/>
      <c r="C164" s="48">
        <v>2</v>
      </c>
      <c r="D164" s="57">
        <f t="shared" si="7"/>
        <v>457.68527999999998</v>
      </c>
      <c r="E164" s="52">
        <v>0</v>
      </c>
      <c r="F164" s="52">
        <f t="shared" si="8"/>
        <v>686.52791999999999</v>
      </c>
      <c r="G164" s="88"/>
      <c r="H164" s="89"/>
      <c r="I164" s="34"/>
      <c r="L164" s="82"/>
      <c r="M164" s="82"/>
      <c r="N164" s="34"/>
    </row>
    <row r="165" spans="1:14" s="53" customFormat="1" ht="15.75" customHeight="1" x14ac:dyDescent="0.25">
      <c r="A165" s="84">
        <f t="shared" si="9"/>
        <v>4</v>
      </c>
      <c r="B165" s="85"/>
      <c r="C165" s="48">
        <v>2</v>
      </c>
      <c r="D165" s="57">
        <f t="shared" si="7"/>
        <v>457.68527999999998</v>
      </c>
      <c r="E165" s="52">
        <v>0</v>
      </c>
      <c r="F165" s="52">
        <f t="shared" si="8"/>
        <v>686.52791999999999</v>
      </c>
      <c r="G165" s="88"/>
      <c r="H165" s="89"/>
      <c r="I165" s="34"/>
      <c r="L165" s="82"/>
      <c r="M165" s="82"/>
      <c r="N165" s="34"/>
    </row>
    <row r="166" spans="1:14" s="53" customFormat="1" ht="15.75" customHeight="1" x14ac:dyDescent="0.25">
      <c r="A166" s="84">
        <f t="shared" si="9"/>
        <v>5</v>
      </c>
      <c r="B166" s="85"/>
      <c r="C166" s="48">
        <v>2</v>
      </c>
      <c r="D166" s="57">
        <f t="shared" si="7"/>
        <v>457.68527999999998</v>
      </c>
      <c r="E166" s="52">
        <v>0</v>
      </c>
      <c r="F166" s="52">
        <f t="shared" si="8"/>
        <v>686.52791999999999</v>
      </c>
      <c r="G166" s="88"/>
      <c r="H166" s="89"/>
      <c r="I166" s="34"/>
      <c r="L166" s="82"/>
      <c r="M166" s="82"/>
      <c r="N166" s="34"/>
    </row>
    <row r="167" spans="1:14" s="53" customFormat="1" ht="15.75" customHeight="1" x14ac:dyDescent="0.25">
      <c r="A167" s="84">
        <f t="shared" si="9"/>
        <v>6</v>
      </c>
      <c r="B167" s="85"/>
      <c r="C167" s="48">
        <v>2</v>
      </c>
      <c r="D167" s="57">
        <f t="shared" si="7"/>
        <v>457.68527999999998</v>
      </c>
      <c r="E167" s="52">
        <v>0</v>
      </c>
      <c r="F167" s="52">
        <f t="shared" si="8"/>
        <v>686.52791999999999</v>
      </c>
      <c r="G167" s="88"/>
      <c r="H167" s="89"/>
      <c r="I167" s="34"/>
      <c r="L167" s="82"/>
      <c r="M167" s="82"/>
      <c r="N167" s="34"/>
    </row>
    <row r="168" spans="1:14" s="53" customFormat="1" ht="15.75" customHeight="1" x14ac:dyDescent="0.25">
      <c r="A168" s="84">
        <f t="shared" si="9"/>
        <v>7</v>
      </c>
      <c r="B168" s="85"/>
      <c r="C168" s="48">
        <v>2</v>
      </c>
      <c r="D168" s="57">
        <f t="shared" si="7"/>
        <v>457.68527999999998</v>
      </c>
      <c r="E168" s="52">
        <v>0</v>
      </c>
      <c r="F168" s="52">
        <f t="shared" si="8"/>
        <v>686.52791999999999</v>
      </c>
      <c r="G168" s="90"/>
      <c r="H168" s="91"/>
      <c r="I168" s="34"/>
      <c r="L168" s="82"/>
      <c r="M168" s="82"/>
      <c r="N168" s="34"/>
    </row>
    <row r="169" spans="1:14" s="53" customFormat="1" ht="33" customHeight="1" x14ac:dyDescent="0.25">
      <c r="A169" s="92" t="s">
        <v>219</v>
      </c>
      <c r="B169" s="92"/>
      <c r="C169" s="92"/>
      <c r="D169" s="92"/>
      <c r="E169" s="92"/>
      <c r="F169" s="92"/>
      <c r="G169" s="92"/>
      <c r="H169" s="92"/>
      <c r="J169" s="34"/>
    </row>
    <row r="170" spans="1:14" s="53" customFormat="1" ht="15.75" customHeight="1" x14ac:dyDescent="0.25">
      <c r="A170" s="83">
        <v>1</v>
      </c>
      <c r="B170" s="83"/>
      <c r="C170" s="48">
        <v>2</v>
      </c>
      <c r="D170" s="57">
        <f>(42.52)*(10.764)</f>
        <v>457.68527999999998</v>
      </c>
      <c r="E170" s="66">
        <v>0</v>
      </c>
      <c r="F170" s="66">
        <f>D170*(($F$156)+1)+(IF(E170&lt;101,E170,IF(E170&lt;201,E170/2,IF(E170&lt;=301,E170/3,E170/4))))</f>
        <v>686.52791999999999</v>
      </c>
      <c r="G170" s="83" t="str">
        <f>A169</f>
        <v>8th Floor
13th Floor (14th Floor as per Builder) (Part Refuge Area)</v>
      </c>
      <c r="H170" s="83"/>
      <c r="I170" s="34"/>
      <c r="L170" s="82"/>
      <c r="M170" s="82"/>
      <c r="N170" s="34"/>
    </row>
    <row r="171" spans="1:14" s="53" customFormat="1" ht="15.75" customHeight="1" x14ac:dyDescent="0.25">
      <c r="A171" s="83">
        <f t="shared" ref="A171:A176" si="10">A170+1</f>
        <v>2</v>
      </c>
      <c r="B171" s="83"/>
      <c r="C171" s="48">
        <v>2</v>
      </c>
      <c r="D171" s="57">
        <f>(42.52)*(10.764)</f>
        <v>457.68527999999998</v>
      </c>
      <c r="E171" s="66">
        <v>0</v>
      </c>
      <c r="F171" s="66">
        <f>D171*(($F$156)+1)+(IF(E171&lt;101,E171,IF(E171&lt;201,E171/2,IF(E171&lt;=301,E171/3,E171/4))))</f>
        <v>686.52791999999999</v>
      </c>
      <c r="G171" s="83"/>
      <c r="H171" s="83"/>
      <c r="I171" s="34"/>
      <c r="L171" s="82"/>
      <c r="M171" s="82"/>
      <c r="N171" s="34"/>
    </row>
    <row r="172" spans="1:14" s="53" customFormat="1" ht="15.75" customHeight="1" x14ac:dyDescent="0.25">
      <c r="A172" s="83">
        <f t="shared" si="10"/>
        <v>3</v>
      </c>
      <c r="B172" s="83"/>
      <c r="C172" s="48">
        <v>2</v>
      </c>
      <c r="D172" s="57">
        <f>(42.52)*(10.764)</f>
        <v>457.68527999999998</v>
      </c>
      <c r="E172" s="66">
        <v>0</v>
      </c>
      <c r="F172" s="66">
        <f>D172*(($F$156)+1)+(IF(E172&lt;101,E172,IF(E172&lt;201,E172/2,IF(E172&lt;=301,E172/3,E172/4))))</f>
        <v>686.52791999999999</v>
      </c>
      <c r="G172" s="83"/>
      <c r="H172" s="83"/>
      <c r="I172" s="34"/>
      <c r="L172" s="82"/>
      <c r="M172" s="82"/>
      <c r="N172" s="34"/>
    </row>
    <row r="173" spans="1:14" s="53" customFormat="1" ht="15.75" customHeight="1" x14ac:dyDescent="0.25">
      <c r="A173" s="83">
        <f t="shared" si="10"/>
        <v>4</v>
      </c>
      <c r="B173" s="83"/>
      <c r="C173" s="48">
        <v>2</v>
      </c>
      <c r="D173" s="57">
        <f>(42.52)*(10.764)</f>
        <v>457.68527999999998</v>
      </c>
      <c r="E173" s="66">
        <v>0</v>
      </c>
      <c r="F173" s="66">
        <f>D173*(($F$156)+1)+(IF(E173&lt;101,E173,IF(E173&lt;201,E173/2,IF(E173&lt;=301,E173/3,E173/4))))</f>
        <v>686.52791999999999</v>
      </c>
      <c r="G173" s="83"/>
      <c r="H173" s="83"/>
      <c r="I173" s="34"/>
      <c r="L173" s="82"/>
      <c r="M173" s="82"/>
      <c r="N173" s="34"/>
    </row>
    <row r="174" spans="1:14" s="53" customFormat="1" ht="15.75" customHeight="1" x14ac:dyDescent="0.25">
      <c r="A174" s="83">
        <f t="shared" si="10"/>
        <v>5</v>
      </c>
      <c r="B174" s="83"/>
      <c r="C174" s="199" t="s">
        <v>201</v>
      </c>
      <c r="D174" s="199"/>
      <c r="E174" s="199"/>
      <c r="F174" s="199"/>
      <c r="G174" s="83"/>
      <c r="H174" s="83"/>
      <c r="I174" s="34"/>
      <c r="L174" s="82"/>
      <c r="M174" s="82"/>
      <c r="N174" s="34"/>
    </row>
    <row r="175" spans="1:14" s="53" customFormat="1" ht="15.75" customHeight="1" x14ac:dyDescent="0.25">
      <c r="A175" s="83">
        <f t="shared" si="10"/>
        <v>6</v>
      </c>
      <c r="B175" s="83"/>
      <c r="C175" s="48">
        <v>2</v>
      </c>
      <c r="D175" s="57">
        <f>(42.52)*(10.764)</f>
        <v>457.68527999999998</v>
      </c>
      <c r="E175" s="66">
        <v>0</v>
      </c>
      <c r="F175" s="66">
        <f>D175*(($F$156)+1)+(IF(E175&lt;101,E175,IF(E175&lt;201,E175/2,IF(E175&lt;=301,E175/3,E175/4))))</f>
        <v>686.52791999999999</v>
      </c>
      <c r="G175" s="83"/>
      <c r="H175" s="83"/>
      <c r="I175" s="34"/>
      <c r="L175" s="82"/>
      <c r="M175" s="82"/>
      <c r="N175" s="34"/>
    </row>
    <row r="176" spans="1:14" s="53" customFormat="1" ht="15.75" customHeight="1" x14ac:dyDescent="0.25">
      <c r="A176" s="83">
        <f t="shared" si="10"/>
        <v>7</v>
      </c>
      <c r="B176" s="83"/>
      <c r="C176" s="48">
        <v>2</v>
      </c>
      <c r="D176" s="57">
        <f>(42.52)*(10.764)</f>
        <v>457.68527999999998</v>
      </c>
      <c r="E176" s="66">
        <v>0</v>
      </c>
      <c r="F176" s="66">
        <f>D176*(($F$156)+1)+(IF(E176&lt;101,E176,IF(E176&lt;201,E176/2,IF(E176&lt;=301,E176/3,E176/4))))</f>
        <v>686.52791999999999</v>
      </c>
      <c r="G176" s="83"/>
      <c r="H176" s="83"/>
      <c r="I176" s="34"/>
      <c r="L176" s="82"/>
      <c r="M176" s="82"/>
      <c r="N176" s="34"/>
    </row>
    <row r="177" spans="1:14" s="55" customFormat="1" x14ac:dyDescent="0.25">
      <c r="A177" s="92" t="s">
        <v>204</v>
      </c>
      <c r="B177" s="92"/>
      <c r="C177" s="92"/>
      <c r="D177" s="92"/>
      <c r="E177" s="92"/>
      <c r="F177" s="92"/>
      <c r="G177" s="92"/>
      <c r="H177" s="92"/>
      <c r="J177" s="34"/>
    </row>
    <row r="178" spans="1:14" s="55" customFormat="1" ht="30.75" customHeight="1" x14ac:dyDescent="0.25">
      <c r="A178" s="92" t="s">
        <v>218</v>
      </c>
      <c r="B178" s="92"/>
      <c r="C178" s="92"/>
      <c r="D178" s="92"/>
      <c r="E178" s="92"/>
      <c r="F178" s="92"/>
      <c r="G178" s="92"/>
      <c r="H178" s="92"/>
      <c r="J178" s="34"/>
    </row>
    <row r="179" spans="1:14" s="55" customFormat="1" ht="15.75" customHeight="1" x14ac:dyDescent="0.25">
      <c r="A179" s="84">
        <v>1</v>
      </c>
      <c r="B179" s="85"/>
      <c r="C179" s="48">
        <v>2</v>
      </c>
      <c r="D179" s="57">
        <f t="shared" ref="D179:D184" si="11">(42.52)*(10.764)</f>
        <v>457.68527999999998</v>
      </c>
      <c r="E179" s="54">
        <v>0</v>
      </c>
      <c r="F179" s="54">
        <f t="shared" ref="F179:F185" si="12">D179*(($F$156)+1)+(IF(E179&lt;101,E179,IF(E179&lt;201,E179/2,IF(E179&lt;=301,E179/3,E179/4))))</f>
        <v>686.52791999999999</v>
      </c>
      <c r="G179" s="86" t="str">
        <f>A178</f>
        <v>1st to 7th, 9th to 12th Floor
14th Floor (15th Floor as per Builder) For Residential</v>
      </c>
      <c r="H179" s="87"/>
      <c r="I179" s="34"/>
      <c r="L179" s="82"/>
      <c r="M179" s="82"/>
      <c r="N179" s="34"/>
    </row>
    <row r="180" spans="1:14" s="55" customFormat="1" ht="15.75" customHeight="1" x14ac:dyDescent="0.25">
      <c r="A180" s="84">
        <f t="shared" ref="A180:A186" si="13">A179+1</f>
        <v>2</v>
      </c>
      <c r="B180" s="85"/>
      <c r="C180" s="48">
        <v>2</v>
      </c>
      <c r="D180" s="57">
        <f t="shared" si="11"/>
        <v>457.68527999999998</v>
      </c>
      <c r="E180" s="54">
        <v>0</v>
      </c>
      <c r="F180" s="54">
        <f t="shared" si="12"/>
        <v>686.52791999999999</v>
      </c>
      <c r="G180" s="88"/>
      <c r="H180" s="89"/>
      <c r="I180" s="34"/>
      <c r="L180" s="82"/>
      <c r="M180" s="82"/>
      <c r="N180" s="34"/>
    </row>
    <row r="181" spans="1:14" s="55" customFormat="1" ht="15.75" customHeight="1" x14ac:dyDescent="0.25">
      <c r="A181" s="84">
        <f t="shared" si="13"/>
        <v>3</v>
      </c>
      <c r="B181" s="85"/>
      <c r="C181" s="48">
        <v>2</v>
      </c>
      <c r="D181" s="57">
        <f t="shared" si="11"/>
        <v>457.68527999999998</v>
      </c>
      <c r="E181" s="54">
        <v>0</v>
      </c>
      <c r="F181" s="54">
        <f t="shared" si="12"/>
        <v>686.52791999999999</v>
      </c>
      <c r="G181" s="88"/>
      <c r="H181" s="89"/>
      <c r="I181" s="34"/>
      <c r="L181" s="82"/>
      <c r="M181" s="82"/>
      <c r="N181" s="34"/>
    </row>
    <row r="182" spans="1:14" s="55" customFormat="1" ht="15.75" customHeight="1" x14ac:dyDescent="0.25">
      <c r="A182" s="84">
        <f t="shared" si="13"/>
        <v>4</v>
      </c>
      <c r="B182" s="85"/>
      <c r="C182" s="48">
        <v>2</v>
      </c>
      <c r="D182" s="57">
        <f t="shared" si="11"/>
        <v>457.68527999999998</v>
      </c>
      <c r="E182" s="54">
        <v>0</v>
      </c>
      <c r="F182" s="54">
        <f t="shared" si="12"/>
        <v>686.52791999999999</v>
      </c>
      <c r="G182" s="88"/>
      <c r="H182" s="89"/>
      <c r="I182" s="34"/>
      <c r="L182" s="82"/>
      <c r="M182" s="82"/>
      <c r="N182" s="34"/>
    </row>
    <row r="183" spans="1:14" s="55" customFormat="1" ht="15.75" customHeight="1" x14ac:dyDescent="0.25">
      <c r="A183" s="84">
        <f t="shared" si="13"/>
        <v>5</v>
      </c>
      <c r="B183" s="85"/>
      <c r="C183" s="48">
        <v>2</v>
      </c>
      <c r="D183" s="57">
        <f t="shared" si="11"/>
        <v>457.68527999999998</v>
      </c>
      <c r="E183" s="54">
        <v>0</v>
      </c>
      <c r="F183" s="54">
        <f t="shared" si="12"/>
        <v>686.52791999999999</v>
      </c>
      <c r="G183" s="88"/>
      <c r="H183" s="89"/>
      <c r="I183" s="34"/>
      <c r="L183" s="82"/>
      <c r="M183" s="82"/>
      <c r="N183" s="34"/>
    </row>
    <row r="184" spans="1:14" s="55" customFormat="1" ht="15.75" customHeight="1" x14ac:dyDescent="0.25">
      <c r="A184" s="84">
        <f t="shared" si="13"/>
        <v>6</v>
      </c>
      <c r="B184" s="85"/>
      <c r="C184" s="48">
        <v>2</v>
      </c>
      <c r="D184" s="57">
        <f t="shared" si="11"/>
        <v>457.68527999999998</v>
      </c>
      <c r="E184" s="54">
        <v>0</v>
      </c>
      <c r="F184" s="54">
        <f t="shared" si="12"/>
        <v>686.52791999999999</v>
      </c>
      <c r="G184" s="88"/>
      <c r="H184" s="89"/>
      <c r="I184" s="34"/>
      <c r="L184" s="82"/>
      <c r="M184" s="82"/>
      <c r="N184" s="34"/>
    </row>
    <row r="185" spans="1:14" s="55" customFormat="1" ht="15.75" customHeight="1" x14ac:dyDescent="0.25">
      <c r="A185" s="84">
        <f t="shared" si="13"/>
        <v>7</v>
      </c>
      <c r="B185" s="85"/>
      <c r="C185" s="48">
        <v>2</v>
      </c>
      <c r="D185" s="57">
        <f>(42.12)*(10.764)</f>
        <v>453.37967999999995</v>
      </c>
      <c r="E185" s="54">
        <v>0</v>
      </c>
      <c r="F185" s="54">
        <f t="shared" si="12"/>
        <v>680.0695199999999</v>
      </c>
      <c r="G185" s="88"/>
      <c r="H185" s="89"/>
      <c r="I185" s="34"/>
      <c r="L185" s="82"/>
      <c r="M185" s="82"/>
      <c r="N185" s="34"/>
    </row>
    <row r="186" spans="1:14" s="55" customFormat="1" ht="15.75" customHeight="1" x14ac:dyDescent="0.25">
      <c r="A186" s="84">
        <f t="shared" si="13"/>
        <v>8</v>
      </c>
      <c r="B186" s="85"/>
      <c r="C186" s="48">
        <v>2</v>
      </c>
      <c r="D186" s="57">
        <f>(42.12)*(10.764)</f>
        <v>453.37967999999995</v>
      </c>
      <c r="E186" s="54">
        <v>0</v>
      </c>
      <c r="F186" s="54">
        <f t="shared" ref="F186" si="14">D186*(($F$156)+1)+(IF(E186&lt;101,E186,IF(E186&lt;201,E186/2,IF(E186&lt;=301,E186/3,E186/4))))</f>
        <v>680.0695199999999</v>
      </c>
      <c r="G186" s="90"/>
      <c r="H186" s="91"/>
      <c r="I186" s="34"/>
      <c r="L186" s="82"/>
      <c r="M186" s="82"/>
      <c r="N186" s="34"/>
    </row>
    <row r="187" spans="1:14" s="55" customFormat="1" ht="34.5" customHeight="1" x14ac:dyDescent="0.25">
      <c r="A187" s="93" t="s">
        <v>219</v>
      </c>
      <c r="B187" s="94"/>
      <c r="C187" s="94"/>
      <c r="D187" s="94"/>
      <c r="E187" s="94"/>
      <c r="F187" s="94"/>
      <c r="G187" s="94"/>
      <c r="H187" s="95"/>
      <c r="J187" s="34"/>
    </row>
    <row r="188" spans="1:14" s="55" customFormat="1" ht="15.75" customHeight="1" x14ac:dyDescent="0.25">
      <c r="A188" s="84">
        <v>1</v>
      </c>
      <c r="B188" s="85"/>
      <c r="C188" s="48">
        <v>2</v>
      </c>
      <c r="D188" s="57">
        <f t="shared" ref="D188:D193" si="15">(42.52)*(10.764)</f>
        <v>457.68527999999998</v>
      </c>
      <c r="E188" s="54">
        <v>0</v>
      </c>
      <c r="F188" s="54">
        <f t="shared" ref="F188:F195" si="16">D188*(($F$156)+1)+(IF(E188&lt;101,E188,IF(E188&lt;201,E188/2,IF(E188&lt;=301,E188/3,E188/4))))</f>
        <v>686.52791999999999</v>
      </c>
      <c r="G188" s="86" t="str">
        <f>A187</f>
        <v>8th Floor
13th Floor (14th Floor as per Builder) (Part Refuge Area)</v>
      </c>
      <c r="H188" s="87"/>
      <c r="I188" s="34"/>
      <c r="L188" s="82"/>
      <c r="M188" s="82"/>
      <c r="N188" s="34"/>
    </row>
    <row r="189" spans="1:14" s="55" customFormat="1" ht="15.75" customHeight="1" x14ac:dyDescent="0.25">
      <c r="A189" s="84">
        <f t="shared" ref="A189:A195" si="17">A188+1</f>
        <v>2</v>
      </c>
      <c r="B189" s="85"/>
      <c r="C189" s="48">
        <v>2</v>
      </c>
      <c r="D189" s="57">
        <f t="shared" si="15"/>
        <v>457.68527999999998</v>
      </c>
      <c r="E189" s="54">
        <v>0</v>
      </c>
      <c r="F189" s="54">
        <f t="shared" si="16"/>
        <v>686.52791999999999</v>
      </c>
      <c r="G189" s="88"/>
      <c r="H189" s="89"/>
      <c r="I189" s="34"/>
      <c r="L189" s="82"/>
      <c r="M189" s="82"/>
      <c r="N189" s="34"/>
    </row>
    <row r="190" spans="1:14" s="55" customFormat="1" ht="15.75" customHeight="1" x14ac:dyDescent="0.25">
      <c r="A190" s="84">
        <f t="shared" si="17"/>
        <v>3</v>
      </c>
      <c r="B190" s="85"/>
      <c r="C190" s="48">
        <v>2</v>
      </c>
      <c r="D190" s="57">
        <f t="shared" si="15"/>
        <v>457.68527999999998</v>
      </c>
      <c r="E190" s="54">
        <v>0</v>
      </c>
      <c r="F190" s="54">
        <f t="shared" si="16"/>
        <v>686.52791999999999</v>
      </c>
      <c r="G190" s="88"/>
      <c r="H190" s="89"/>
      <c r="I190" s="34"/>
      <c r="L190" s="82"/>
      <c r="M190" s="82"/>
      <c r="N190" s="34"/>
    </row>
    <row r="191" spans="1:14" s="55" customFormat="1" ht="15.75" customHeight="1" x14ac:dyDescent="0.25">
      <c r="A191" s="84">
        <f t="shared" si="17"/>
        <v>4</v>
      </c>
      <c r="B191" s="85"/>
      <c r="C191" s="48">
        <v>2</v>
      </c>
      <c r="D191" s="57">
        <f t="shared" si="15"/>
        <v>457.68527999999998</v>
      </c>
      <c r="E191" s="54">
        <v>0</v>
      </c>
      <c r="F191" s="54">
        <f t="shared" si="16"/>
        <v>686.52791999999999</v>
      </c>
      <c r="G191" s="88"/>
      <c r="H191" s="89"/>
      <c r="I191" s="34"/>
      <c r="L191" s="82"/>
      <c r="M191" s="82"/>
      <c r="N191" s="34"/>
    </row>
    <row r="192" spans="1:14" s="55" customFormat="1" ht="15.75" customHeight="1" x14ac:dyDescent="0.25">
      <c r="A192" s="84">
        <f t="shared" si="17"/>
        <v>5</v>
      </c>
      <c r="B192" s="85"/>
      <c r="C192" s="48">
        <v>2</v>
      </c>
      <c r="D192" s="57">
        <f t="shared" si="15"/>
        <v>457.68527999999998</v>
      </c>
      <c r="E192" s="54">
        <v>0</v>
      </c>
      <c r="F192" s="54">
        <f t="shared" si="16"/>
        <v>686.52791999999999</v>
      </c>
      <c r="G192" s="88"/>
      <c r="H192" s="89"/>
      <c r="I192" s="34"/>
      <c r="L192" s="82"/>
      <c r="M192" s="82"/>
      <c r="N192" s="34"/>
    </row>
    <row r="193" spans="1:14" s="55" customFormat="1" ht="15.75" customHeight="1" x14ac:dyDescent="0.25">
      <c r="A193" s="84">
        <f t="shared" si="17"/>
        <v>6</v>
      </c>
      <c r="B193" s="85"/>
      <c r="C193" s="48">
        <v>2</v>
      </c>
      <c r="D193" s="57">
        <f t="shared" si="15"/>
        <v>457.68527999999998</v>
      </c>
      <c r="E193" s="54">
        <v>0</v>
      </c>
      <c r="F193" s="54">
        <f t="shared" si="16"/>
        <v>686.52791999999999</v>
      </c>
      <c r="G193" s="88"/>
      <c r="H193" s="89"/>
      <c r="I193" s="34"/>
      <c r="L193" s="82"/>
      <c r="M193" s="82"/>
      <c r="N193" s="34"/>
    </row>
    <row r="194" spans="1:14" s="55" customFormat="1" ht="15.75" customHeight="1" x14ac:dyDescent="0.25">
      <c r="A194" s="84">
        <f t="shared" si="17"/>
        <v>7</v>
      </c>
      <c r="B194" s="85"/>
      <c r="C194" s="48">
        <v>2</v>
      </c>
      <c r="D194" s="57">
        <f>(42.12)*(10.764)</f>
        <v>453.37967999999995</v>
      </c>
      <c r="E194" s="54">
        <v>0</v>
      </c>
      <c r="F194" s="54">
        <f t="shared" si="16"/>
        <v>680.0695199999999</v>
      </c>
      <c r="G194" s="88"/>
      <c r="H194" s="89"/>
      <c r="I194" s="34"/>
      <c r="L194" s="82"/>
      <c r="M194" s="82"/>
      <c r="N194" s="34"/>
    </row>
    <row r="195" spans="1:14" s="55" customFormat="1" ht="15.75" customHeight="1" x14ac:dyDescent="0.25">
      <c r="A195" s="84">
        <f t="shared" si="17"/>
        <v>8</v>
      </c>
      <c r="B195" s="85"/>
      <c r="C195" s="48">
        <v>2</v>
      </c>
      <c r="D195" s="57">
        <f>(42.12)*(10.764)</f>
        <v>453.37967999999995</v>
      </c>
      <c r="E195" s="54">
        <v>0</v>
      </c>
      <c r="F195" s="54">
        <f t="shared" si="16"/>
        <v>680.0695199999999</v>
      </c>
      <c r="G195" s="90"/>
      <c r="H195" s="91"/>
      <c r="I195" s="34"/>
      <c r="L195" s="82"/>
      <c r="M195" s="82"/>
      <c r="N195" s="34"/>
    </row>
    <row r="196" spans="1:14" s="55" customFormat="1" x14ac:dyDescent="0.25">
      <c r="A196" s="93" t="s">
        <v>205</v>
      </c>
      <c r="B196" s="94"/>
      <c r="C196" s="94"/>
      <c r="D196" s="94"/>
      <c r="E196" s="94"/>
      <c r="F196" s="94"/>
      <c r="G196" s="94"/>
      <c r="H196" s="95"/>
      <c r="J196" s="34"/>
    </row>
    <row r="197" spans="1:14" s="55" customFormat="1" ht="30.75" customHeight="1" x14ac:dyDescent="0.25">
      <c r="A197" s="93" t="s">
        <v>218</v>
      </c>
      <c r="B197" s="94"/>
      <c r="C197" s="94"/>
      <c r="D197" s="94"/>
      <c r="E197" s="94"/>
      <c r="F197" s="94"/>
      <c r="G197" s="94"/>
      <c r="H197" s="95"/>
      <c r="J197" s="34"/>
    </row>
    <row r="198" spans="1:14" s="55" customFormat="1" ht="15.75" customHeight="1" x14ac:dyDescent="0.25">
      <c r="A198" s="84">
        <v>1</v>
      </c>
      <c r="B198" s="85"/>
      <c r="C198" s="48">
        <v>2</v>
      </c>
      <c r="D198" s="57">
        <f>(42.52)*(10.764)</f>
        <v>457.68527999999998</v>
      </c>
      <c r="E198" s="54">
        <v>0</v>
      </c>
      <c r="F198" s="54">
        <f t="shared" ref="F198:F205" si="18">D198*(($F$156)+1)+(IF(E198&lt;101,E198,IF(E198&lt;201,E198/2,IF(E198&lt;=301,E198/3,E198/4))))</f>
        <v>686.52791999999999</v>
      </c>
      <c r="G198" s="86" t="str">
        <f>A197</f>
        <v>1st to 7th, 9th to 12th Floor
14th Floor (15th Floor as per Builder) For Residential</v>
      </c>
      <c r="H198" s="87"/>
      <c r="I198" s="34"/>
      <c r="L198" s="82"/>
      <c r="M198" s="82"/>
      <c r="N198" s="34"/>
    </row>
    <row r="199" spans="1:14" s="55" customFormat="1" ht="15.75" customHeight="1" x14ac:dyDescent="0.25">
      <c r="A199" s="84">
        <f t="shared" ref="A199:A205" si="19">A198+1</f>
        <v>2</v>
      </c>
      <c r="B199" s="85"/>
      <c r="C199" s="48">
        <v>2</v>
      </c>
      <c r="D199" s="57">
        <f>(42.52)*(10.764)</f>
        <v>457.68527999999998</v>
      </c>
      <c r="E199" s="54">
        <v>0</v>
      </c>
      <c r="F199" s="54">
        <f t="shared" si="18"/>
        <v>686.52791999999999</v>
      </c>
      <c r="G199" s="88" t="str">
        <f t="shared" ref="G199:G205" si="20">G198</f>
        <v>1st to 7th, 9th to 12th Floor
14th Floor (15th Floor as per Builder) For Residential</v>
      </c>
      <c r="H199" s="89"/>
      <c r="I199" s="34"/>
      <c r="L199" s="82"/>
      <c r="M199" s="82"/>
      <c r="N199" s="34"/>
    </row>
    <row r="200" spans="1:14" s="55" customFormat="1" ht="15.75" customHeight="1" x14ac:dyDescent="0.25">
      <c r="A200" s="84">
        <f t="shared" si="19"/>
        <v>3</v>
      </c>
      <c r="B200" s="85"/>
      <c r="C200" s="48">
        <v>2</v>
      </c>
      <c r="D200" s="57">
        <f>(42.12)*(10.764)</f>
        <v>453.37967999999995</v>
      </c>
      <c r="E200" s="54">
        <v>0</v>
      </c>
      <c r="F200" s="54">
        <f t="shared" si="18"/>
        <v>680.0695199999999</v>
      </c>
      <c r="G200" s="88" t="str">
        <f t="shared" si="20"/>
        <v>1st to 7th, 9th to 12th Floor
14th Floor (15th Floor as per Builder) For Residential</v>
      </c>
      <c r="H200" s="89"/>
      <c r="I200" s="34"/>
      <c r="L200" s="82"/>
      <c r="M200" s="82"/>
      <c r="N200" s="34"/>
    </row>
    <row r="201" spans="1:14" s="55" customFormat="1" ht="15.75" customHeight="1" x14ac:dyDescent="0.25">
      <c r="A201" s="84">
        <f t="shared" si="19"/>
        <v>4</v>
      </c>
      <c r="B201" s="85"/>
      <c r="C201" s="48">
        <v>2</v>
      </c>
      <c r="D201" s="57">
        <f>(42.12)*(10.764)</f>
        <v>453.37967999999995</v>
      </c>
      <c r="E201" s="54">
        <v>0</v>
      </c>
      <c r="F201" s="54">
        <f t="shared" si="18"/>
        <v>680.0695199999999</v>
      </c>
      <c r="G201" s="88" t="str">
        <f t="shared" si="20"/>
        <v>1st to 7th, 9th to 12th Floor
14th Floor (15th Floor as per Builder) For Residential</v>
      </c>
      <c r="H201" s="89"/>
      <c r="I201" s="34"/>
      <c r="L201" s="82"/>
      <c r="M201" s="82"/>
      <c r="N201" s="34"/>
    </row>
    <row r="202" spans="1:14" s="55" customFormat="1" ht="15.75" customHeight="1" x14ac:dyDescent="0.25">
      <c r="A202" s="84">
        <f t="shared" si="19"/>
        <v>5</v>
      </c>
      <c r="B202" s="85"/>
      <c r="C202" s="48">
        <v>2</v>
      </c>
      <c r="D202" s="57">
        <f>(42.12)*(10.764)</f>
        <v>453.37967999999995</v>
      </c>
      <c r="E202" s="54">
        <v>0</v>
      </c>
      <c r="F202" s="54">
        <f t="shared" si="18"/>
        <v>680.0695199999999</v>
      </c>
      <c r="G202" s="88" t="str">
        <f t="shared" si="20"/>
        <v>1st to 7th, 9th to 12th Floor
14th Floor (15th Floor as per Builder) For Residential</v>
      </c>
      <c r="H202" s="89"/>
      <c r="I202" s="34"/>
      <c r="L202" s="82"/>
      <c r="M202" s="82"/>
      <c r="N202" s="34"/>
    </row>
    <row r="203" spans="1:14" s="55" customFormat="1" ht="15.75" customHeight="1" x14ac:dyDescent="0.25">
      <c r="A203" s="84">
        <f t="shared" si="19"/>
        <v>6</v>
      </c>
      <c r="B203" s="85"/>
      <c r="C203" s="48">
        <v>2</v>
      </c>
      <c r="D203" s="57">
        <f>(42.52)*(10.764)</f>
        <v>457.68527999999998</v>
      </c>
      <c r="E203" s="54">
        <v>0</v>
      </c>
      <c r="F203" s="54">
        <f t="shared" si="18"/>
        <v>686.52791999999999</v>
      </c>
      <c r="G203" s="88" t="str">
        <f t="shared" si="20"/>
        <v>1st to 7th, 9th to 12th Floor
14th Floor (15th Floor as per Builder) For Residential</v>
      </c>
      <c r="H203" s="89"/>
      <c r="I203" s="34"/>
      <c r="L203" s="82"/>
      <c r="M203" s="82"/>
      <c r="N203" s="34"/>
    </row>
    <row r="204" spans="1:14" s="55" customFormat="1" ht="15.75" customHeight="1" x14ac:dyDescent="0.25">
      <c r="A204" s="84">
        <f t="shared" si="19"/>
        <v>7</v>
      </c>
      <c r="B204" s="85"/>
      <c r="C204" s="48">
        <v>2</v>
      </c>
      <c r="D204" s="57">
        <f>(42.52)*(10.764)</f>
        <v>457.68527999999998</v>
      </c>
      <c r="E204" s="54">
        <v>0</v>
      </c>
      <c r="F204" s="54">
        <f t="shared" si="18"/>
        <v>686.52791999999999</v>
      </c>
      <c r="G204" s="88" t="str">
        <f t="shared" si="20"/>
        <v>1st to 7th, 9th to 12th Floor
14th Floor (15th Floor as per Builder) For Residential</v>
      </c>
      <c r="H204" s="89"/>
      <c r="I204" s="34"/>
      <c r="L204" s="82"/>
      <c r="M204" s="82"/>
      <c r="N204" s="34"/>
    </row>
    <row r="205" spans="1:14" s="55" customFormat="1" ht="15.75" customHeight="1" x14ac:dyDescent="0.25">
      <c r="A205" s="84">
        <f t="shared" si="19"/>
        <v>8</v>
      </c>
      <c r="B205" s="85"/>
      <c r="C205" s="48">
        <v>2</v>
      </c>
      <c r="D205" s="57">
        <f>(42.52)*(10.764)</f>
        <v>457.68527999999998</v>
      </c>
      <c r="E205" s="54">
        <v>0</v>
      </c>
      <c r="F205" s="54">
        <f t="shared" si="18"/>
        <v>686.52791999999999</v>
      </c>
      <c r="G205" s="90" t="str">
        <f t="shared" si="20"/>
        <v>1st to 7th, 9th to 12th Floor
14th Floor (15th Floor as per Builder) For Residential</v>
      </c>
      <c r="H205" s="91"/>
      <c r="I205" s="34"/>
      <c r="L205" s="82"/>
      <c r="M205" s="82"/>
      <c r="N205" s="34"/>
    </row>
    <row r="206" spans="1:14" s="55" customFormat="1" ht="34.5" customHeight="1" x14ac:dyDescent="0.25">
      <c r="A206" s="92" t="s">
        <v>219</v>
      </c>
      <c r="B206" s="92"/>
      <c r="C206" s="92"/>
      <c r="D206" s="92"/>
      <c r="E206" s="92"/>
      <c r="F206" s="92"/>
      <c r="G206" s="92"/>
      <c r="H206" s="92"/>
      <c r="J206" s="34"/>
    </row>
    <row r="207" spans="1:14" s="55" customFormat="1" ht="15.75" customHeight="1" x14ac:dyDescent="0.25">
      <c r="A207" s="83">
        <v>1</v>
      </c>
      <c r="B207" s="83"/>
      <c r="C207" s="48">
        <v>2</v>
      </c>
      <c r="D207" s="57">
        <f>(42.52)*(10.764)</f>
        <v>457.68527999999998</v>
      </c>
      <c r="E207" s="66">
        <v>0</v>
      </c>
      <c r="F207" s="66">
        <f t="shared" ref="F207:F214" si="21">D207*(($F$156)+1)+(IF(E207&lt;101,E207,IF(E207&lt;201,E207/2,IF(E207&lt;=301,E207/3,E207/4))))</f>
        <v>686.52791999999999</v>
      </c>
      <c r="G207" s="83" t="str">
        <f>A206</f>
        <v>8th Floor
13th Floor (14th Floor as per Builder) (Part Refuge Area)</v>
      </c>
      <c r="H207" s="83"/>
      <c r="I207" s="34"/>
      <c r="L207" s="82"/>
      <c r="M207" s="82"/>
      <c r="N207" s="34"/>
    </row>
    <row r="208" spans="1:14" s="55" customFormat="1" ht="15.75" customHeight="1" x14ac:dyDescent="0.25">
      <c r="A208" s="83">
        <f t="shared" ref="A208:A214" si="22">A207+1</f>
        <v>2</v>
      </c>
      <c r="B208" s="83"/>
      <c r="C208" s="48">
        <v>2</v>
      </c>
      <c r="D208" s="57">
        <f>(42.52)*(10.764)</f>
        <v>457.68527999999998</v>
      </c>
      <c r="E208" s="66">
        <v>0</v>
      </c>
      <c r="F208" s="66">
        <f t="shared" si="21"/>
        <v>686.52791999999999</v>
      </c>
      <c r="G208" s="83" t="str">
        <f t="shared" ref="G208:G214" si="23">G207</f>
        <v>8th Floor
13th Floor (14th Floor as per Builder) (Part Refuge Area)</v>
      </c>
      <c r="H208" s="83"/>
      <c r="I208" s="34"/>
      <c r="L208" s="82"/>
      <c r="M208" s="82"/>
      <c r="N208" s="34"/>
    </row>
    <row r="209" spans="1:14" s="55" customFormat="1" ht="15.75" customHeight="1" x14ac:dyDescent="0.25">
      <c r="A209" s="83">
        <f t="shared" si="22"/>
        <v>3</v>
      </c>
      <c r="B209" s="83"/>
      <c r="C209" s="48">
        <v>2</v>
      </c>
      <c r="D209" s="57">
        <f>(42.12)*(10.764)</f>
        <v>453.37967999999995</v>
      </c>
      <c r="E209" s="66">
        <v>0</v>
      </c>
      <c r="F209" s="66">
        <f t="shared" si="21"/>
        <v>680.0695199999999</v>
      </c>
      <c r="G209" s="83" t="str">
        <f t="shared" si="23"/>
        <v>8th Floor
13th Floor (14th Floor as per Builder) (Part Refuge Area)</v>
      </c>
      <c r="H209" s="83"/>
      <c r="I209" s="34"/>
      <c r="L209" s="82"/>
      <c r="M209" s="82"/>
      <c r="N209" s="34"/>
    </row>
    <row r="210" spans="1:14" s="55" customFormat="1" ht="15.75" customHeight="1" x14ac:dyDescent="0.25">
      <c r="A210" s="83">
        <f t="shared" si="22"/>
        <v>4</v>
      </c>
      <c r="B210" s="83"/>
      <c r="C210" s="48">
        <v>2</v>
      </c>
      <c r="D210" s="57">
        <f>(42.12)*(10.764)</f>
        <v>453.37967999999995</v>
      </c>
      <c r="E210" s="66">
        <v>0</v>
      </c>
      <c r="F210" s="66">
        <f t="shared" si="21"/>
        <v>680.0695199999999</v>
      </c>
      <c r="G210" s="83" t="str">
        <f t="shared" si="23"/>
        <v>8th Floor
13th Floor (14th Floor as per Builder) (Part Refuge Area)</v>
      </c>
      <c r="H210" s="83"/>
      <c r="I210" s="34"/>
      <c r="L210" s="82"/>
      <c r="M210" s="82"/>
      <c r="N210" s="34"/>
    </row>
    <row r="211" spans="1:14" s="55" customFormat="1" ht="15.75" customHeight="1" x14ac:dyDescent="0.25">
      <c r="A211" s="83">
        <f t="shared" si="22"/>
        <v>5</v>
      </c>
      <c r="B211" s="83"/>
      <c r="C211" s="48">
        <v>2</v>
      </c>
      <c r="D211" s="57">
        <f>(42.12)*(10.764)</f>
        <v>453.37967999999995</v>
      </c>
      <c r="E211" s="66">
        <v>0</v>
      </c>
      <c r="F211" s="66">
        <f t="shared" si="21"/>
        <v>680.0695199999999</v>
      </c>
      <c r="G211" s="83" t="str">
        <f t="shared" si="23"/>
        <v>8th Floor
13th Floor (14th Floor as per Builder) (Part Refuge Area)</v>
      </c>
      <c r="H211" s="83"/>
      <c r="I211" s="34"/>
      <c r="L211" s="82"/>
      <c r="M211" s="82"/>
      <c r="N211" s="34"/>
    </row>
    <row r="212" spans="1:14" s="55" customFormat="1" ht="15.75" customHeight="1" x14ac:dyDescent="0.25">
      <c r="A212" s="83">
        <f t="shared" si="22"/>
        <v>6</v>
      </c>
      <c r="B212" s="83"/>
      <c r="C212" s="48">
        <v>2</v>
      </c>
      <c r="D212" s="57">
        <f>(42.52)*(10.764)</f>
        <v>457.68527999999998</v>
      </c>
      <c r="E212" s="66">
        <v>0</v>
      </c>
      <c r="F212" s="66">
        <f t="shared" si="21"/>
        <v>686.52791999999999</v>
      </c>
      <c r="G212" s="83" t="str">
        <f t="shared" si="23"/>
        <v>8th Floor
13th Floor (14th Floor as per Builder) (Part Refuge Area)</v>
      </c>
      <c r="H212" s="83"/>
      <c r="I212" s="34"/>
      <c r="L212" s="82"/>
      <c r="M212" s="82"/>
      <c r="N212" s="34"/>
    </row>
    <row r="213" spans="1:14" s="55" customFormat="1" ht="15.75" customHeight="1" x14ac:dyDescent="0.25">
      <c r="A213" s="83">
        <f t="shared" si="22"/>
        <v>7</v>
      </c>
      <c r="B213" s="83"/>
      <c r="C213" s="48">
        <v>2</v>
      </c>
      <c r="D213" s="57">
        <f>(42.52)*(10.764)</f>
        <v>457.68527999999998</v>
      </c>
      <c r="E213" s="66">
        <v>0</v>
      </c>
      <c r="F213" s="66">
        <f t="shared" si="21"/>
        <v>686.52791999999999</v>
      </c>
      <c r="G213" s="83" t="str">
        <f t="shared" si="23"/>
        <v>8th Floor
13th Floor (14th Floor as per Builder) (Part Refuge Area)</v>
      </c>
      <c r="H213" s="83"/>
      <c r="I213" s="34"/>
      <c r="L213" s="82"/>
      <c r="M213" s="82"/>
      <c r="N213" s="34"/>
    </row>
    <row r="214" spans="1:14" s="55" customFormat="1" ht="15.75" customHeight="1" x14ac:dyDescent="0.25">
      <c r="A214" s="83">
        <f t="shared" si="22"/>
        <v>8</v>
      </c>
      <c r="B214" s="83"/>
      <c r="C214" s="48">
        <v>2</v>
      </c>
      <c r="D214" s="57">
        <f>(42.52)*(10.764)</f>
        <v>457.68527999999998</v>
      </c>
      <c r="E214" s="66">
        <v>0</v>
      </c>
      <c r="F214" s="66">
        <f t="shared" si="21"/>
        <v>686.52791999999999</v>
      </c>
      <c r="G214" s="83" t="str">
        <f t="shared" si="23"/>
        <v>8th Floor
13th Floor (14th Floor as per Builder) (Part Refuge Area)</v>
      </c>
      <c r="H214" s="83"/>
      <c r="I214" s="34"/>
      <c r="L214" s="82"/>
      <c r="M214" s="82"/>
      <c r="N214" s="34"/>
    </row>
    <row r="215" spans="1:14" s="55" customFormat="1" x14ac:dyDescent="0.25">
      <c r="A215" s="93" t="s">
        <v>206</v>
      </c>
      <c r="B215" s="94"/>
      <c r="C215" s="94"/>
      <c r="D215" s="94"/>
      <c r="E215" s="94"/>
      <c r="F215" s="94"/>
      <c r="G215" s="94"/>
      <c r="H215" s="95"/>
      <c r="J215" s="34"/>
    </row>
    <row r="216" spans="1:14" s="55" customFormat="1" ht="32.25" customHeight="1" x14ac:dyDescent="0.25">
      <c r="A216" s="93" t="s">
        <v>218</v>
      </c>
      <c r="B216" s="94"/>
      <c r="C216" s="94"/>
      <c r="D216" s="94"/>
      <c r="E216" s="94"/>
      <c r="F216" s="94"/>
      <c r="G216" s="94"/>
      <c r="H216" s="95"/>
      <c r="J216" s="34"/>
    </row>
    <row r="217" spans="1:14" s="55" customFormat="1" ht="15.75" customHeight="1" x14ac:dyDescent="0.25">
      <c r="A217" s="84">
        <v>1</v>
      </c>
      <c r="B217" s="85"/>
      <c r="C217" s="48">
        <v>2</v>
      </c>
      <c r="D217" s="57">
        <f t="shared" ref="D217:D223" si="24">(42.52)*(10.764)</f>
        <v>457.68527999999998</v>
      </c>
      <c r="E217" s="54">
        <v>0</v>
      </c>
      <c r="F217" s="54">
        <f t="shared" ref="F217:F223" si="25">D217*(($F$156)+1)+(IF(E217&lt;101,E217,IF(E217&lt;201,E217/2,IF(E217&lt;=301,E217/3,E217/4))))</f>
        <v>686.52791999999999</v>
      </c>
      <c r="G217" s="86" t="str">
        <f>A216</f>
        <v>1st to 7th, 9th to 12th Floor
14th Floor (15th Floor as per Builder) For Residential</v>
      </c>
      <c r="H217" s="87"/>
      <c r="I217" s="34"/>
      <c r="L217" s="82"/>
      <c r="M217" s="82"/>
      <c r="N217" s="34"/>
    </row>
    <row r="218" spans="1:14" s="55" customFormat="1" ht="15.75" customHeight="1" x14ac:dyDescent="0.25">
      <c r="A218" s="84">
        <f t="shared" ref="A218:A223" si="26">A217+1</f>
        <v>2</v>
      </c>
      <c r="B218" s="85"/>
      <c r="C218" s="48">
        <v>2</v>
      </c>
      <c r="D218" s="57">
        <f t="shared" si="24"/>
        <v>457.68527999999998</v>
      </c>
      <c r="E218" s="54">
        <v>0</v>
      </c>
      <c r="F218" s="54">
        <f t="shared" si="25"/>
        <v>686.52791999999999</v>
      </c>
      <c r="G218" s="88" t="str">
        <f t="shared" ref="G218:G223" si="27">G217</f>
        <v>1st to 7th, 9th to 12th Floor
14th Floor (15th Floor as per Builder) For Residential</v>
      </c>
      <c r="H218" s="89"/>
      <c r="I218" s="34"/>
      <c r="L218" s="82"/>
      <c r="M218" s="82"/>
      <c r="N218" s="34"/>
    </row>
    <row r="219" spans="1:14" s="55" customFormat="1" ht="15.75" customHeight="1" x14ac:dyDescent="0.25">
      <c r="A219" s="84">
        <f t="shared" si="26"/>
        <v>3</v>
      </c>
      <c r="B219" s="85"/>
      <c r="C219" s="48">
        <v>2</v>
      </c>
      <c r="D219" s="57">
        <f t="shared" si="24"/>
        <v>457.68527999999998</v>
      </c>
      <c r="E219" s="54">
        <v>0</v>
      </c>
      <c r="F219" s="54">
        <f t="shared" si="25"/>
        <v>686.52791999999999</v>
      </c>
      <c r="G219" s="88" t="str">
        <f t="shared" si="27"/>
        <v>1st to 7th, 9th to 12th Floor
14th Floor (15th Floor as per Builder) For Residential</v>
      </c>
      <c r="H219" s="89"/>
      <c r="I219" s="34"/>
      <c r="L219" s="82"/>
      <c r="M219" s="82"/>
      <c r="N219" s="34"/>
    </row>
    <row r="220" spans="1:14" s="55" customFormat="1" ht="15.75" customHeight="1" x14ac:dyDescent="0.25">
      <c r="A220" s="84">
        <f t="shared" si="26"/>
        <v>4</v>
      </c>
      <c r="B220" s="85"/>
      <c r="C220" s="48">
        <v>2</v>
      </c>
      <c r="D220" s="57">
        <f t="shared" si="24"/>
        <v>457.68527999999998</v>
      </c>
      <c r="E220" s="54">
        <v>0</v>
      </c>
      <c r="F220" s="54">
        <f t="shared" si="25"/>
        <v>686.52791999999999</v>
      </c>
      <c r="G220" s="88" t="str">
        <f t="shared" si="27"/>
        <v>1st to 7th, 9th to 12th Floor
14th Floor (15th Floor as per Builder) For Residential</v>
      </c>
      <c r="H220" s="89"/>
      <c r="I220" s="34"/>
      <c r="L220" s="82"/>
      <c r="M220" s="82"/>
      <c r="N220" s="34"/>
    </row>
    <row r="221" spans="1:14" s="55" customFormat="1" ht="15.75" customHeight="1" x14ac:dyDescent="0.25">
      <c r="A221" s="84">
        <f t="shared" si="26"/>
        <v>5</v>
      </c>
      <c r="B221" s="85"/>
      <c r="C221" s="48">
        <v>2</v>
      </c>
      <c r="D221" s="57">
        <f t="shared" si="24"/>
        <v>457.68527999999998</v>
      </c>
      <c r="E221" s="54">
        <v>0</v>
      </c>
      <c r="F221" s="54">
        <f t="shared" si="25"/>
        <v>686.52791999999999</v>
      </c>
      <c r="G221" s="88" t="str">
        <f t="shared" si="27"/>
        <v>1st to 7th, 9th to 12th Floor
14th Floor (15th Floor as per Builder) For Residential</v>
      </c>
      <c r="H221" s="89"/>
      <c r="I221" s="34"/>
      <c r="L221" s="82"/>
      <c r="M221" s="82"/>
      <c r="N221" s="34"/>
    </row>
    <row r="222" spans="1:14" s="55" customFormat="1" ht="15.75" customHeight="1" x14ac:dyDescent="0.25">
      <c r="A222" s="84">
        <f t="shared" si="26"/>
        <v>6</v>
      </c>
      <c r="B222" s="85"/>
      <c r="C222" s="48">
        <v>2</v>
      </c>
      <c r="D222" s="57">
        <f t="shared" si="24"/>
        <v>457.68527999999998</v>
      </c>
      <c r="E222" s="54">
        <v>0</v>
      </c>
      <c r="F222" s="54">
        <f t="shared" si="25"/>
        <v>686.52791999999999</v>
      </c>
      <c r="G222" s="88" t="str">
        <f t="shared" si="27"/>
        <v>1st to 7th, 9th to 12th Floor
14th Floor (15th Floor as per Builder) For Residential</v>
      </c>
      <c r="H222" s="89"/>
      <c r="I222" s="34"/>
      <c r="L222" s="82"/>
      <c r="M222" s="82"/>
      <c r="N222" s="34"/>
    </row>
    <row r="223" spans="1:14" s="55" customFormat="1" ht="15.75" customHeight="1" x14ac:dyDescent="0.25">
      <c r="A223" s="84">
        <f t="shared" si="26"/>
        <v>7</v>
      </c>
      <c r="B223" s="85"/>
      <c r="C223" s="48">
        <v>2</v>
      </c>
      <c r="D223" s="57">
        <f t="shared" si="24"/>
        <v>457.68527999999998</v>
      </c>
      <c r="E223" s="54">
        <v>0</v>
      </c>
      <c r="F223" s="54">
        <f t="shared" si="25"/>
        <v>686.52791999999999</v>
      </c>
      <c r="G223" s="88" t="str">
        <f t="shared" si="27"/>
        <v>1st to 7th, 9th to 12th Floor
14th Floor (15th Floor as per Builder) For Residential</v>
      </c>
      <c r="H223" s="89"/>
      <c r="I223" s="34"/>
      <c r="L223" s="82"/>
      <c r="M223" s="82"/>
      <c r="N223" s="34"/>
    </row>
    <row r="224" spans="1:14" s="55" customFormat="1" ht="34.5" customHeight="1" x14ac:dyDescent="0.25">
      <c r="A224" s="93" t="s">
        <v>219</v>
      </c>
      <c r="B224" s="94"/>
      <c r="C224" s="94"/>
      <c r="D224" s="94"/>
      <c r="E224" s="94"/>
      <c r="F224" s="94"/>
      <c r="G224" s="94"/>
      <c r="H224" s="95"/>
      <c r="J224" s="34"/>
    </row>
    <row r="225" spans="1:14" s="55" customFormat="1" ht="15.75" customHeight="1" x14ac:dyDescent="0.25">
      <c r="A225" s="84">
        <v>1</v>
      </c>
      <c r="B225" s="85"/>
      <c r="C225" s="48">
        <v>2</v>
      </c>
      <c r="D225" s="57">
        <f>(42.52)*(10.764)</f>
        <v>457.68527999999998</v>
      </c>
      <c r="E225" s="54">
        <v>0</v>
      </c>
      <c r="F225" s="54">
        <f>D225*(($F$156)+1)+(IF(E225&lt;101,E225,IF(E225&lt;201,E225/2,IF(E225&lt;=301,E225/3,E225/4))))</f>
        <v>686.52791999999999</v>
      </c>
      <c r="G225" s="86" t="str">
        <f>A224</f>
        <v>8th Floor
13th Floor (14th Floor as per Builder) (Part Refuge Area)</v>
      </c>
      <c r="H225" s="87"/>
      <c r="I225" s="34"/>
      <c r="L225" s="82"/>
      <c r="M225" s="82"/>
      <c r="N225" s="34"/>
    </row>
    <row r="226" spans="1:14" s="55" customFormat="1" ht="15.75" customHeight="1" x14ac:dyDescent="0.25">
      <c r="A226" s="84">
        <f t="shared" ref="A226:A231" si="28">A225+1</f>
        <v>2</v>
      </c>
      <c r="B226" s="85"/>
      <c r="C226" s="48">
        <v>2</v>
      </c>
      <c r="D226" s="57">
        <f>(42.52)*(10.764)</f>
        <v>457.68527999999998</v>
      </c>
      <c r="E226" s="54">
        <v>0</v>
      </c>
      <c r="F226" s="54">
        <f>D226*(($F$156)+1)+(IF(E226&lt;101,E226,IF(E226&lt;201,E226/2,IF(E226&lt;=301,E226/3,E226/4))))</f>
        <v>686.52791999999999</v>
      </c>
      <c r="G226" s="88" t="str">
        <f t="shared" ref="G226:G231" si="29">G225</f>
        <v>8th Floor
13th Floor (14th Floor as per Builder) (Part Refuge Area)</v>
      </c>
      <c r="H226" s="89"/>
      <c r="I226" s="34"/>
      <c r="L226" s="82"/>
      <c r="M226" s="82"/>
      <c r="N226" s="34"/>
    </row>
    <row r="227" spans="1:14" s="55" customFormat="1" ht="15.75" customHeight="1" x14ac:dyDescent="0.25">
      <c r="A227" s="84">
        <f t="shared" si="28"/>
        <v>3</v>
      </c>
      <c r="B227" s="85"/>
      <c r="C227" s="200" t="s">
        <v>201</v>
      </c>
      <c r="D227" s="201"/>
      <c r="E227" s="201"/>
      <c r="F227" s="202"/>
      <c r="G227" s="88" t="str">
        <f t="shared" si="29"/>
        <v>8th Floor
13th Floor (14th Floor as per Builder) (Part Refuge Area)</v>
      </c>
      <c r="H227" s="89"/>
      <c r="I227" s="34"/>
      <c r="L227" s="82"/>
      <c r="M227" s="82"/>
      <c r="N227" s="34"/>
    </row>
    <row r="228" spans="1:14" s="55" customFormat="1" ht="15.75" customHeight="1" x14ac:dyDescent="0.25">
      <c r="A228" s="84">
        <f t="shared" si="28"/>
        <v>4</v>
      </c>
      <c r="B228" s="85"/>
      <c r="C228" s="48">
        <v>2</v>
      </c>
      <c r="D228" s="57">
        <f>(42.52)*(10.764)</f>
        <v>457.68527999999998</v>
      </c>
      <c r="E228" s="54">
        <v>0</v>
      </c>
      <c r="F228" s="54">
        <f>D228*(($F$156)+1)+(IF(E228&lt;101,E228,IF(E228&lt;201,E228/2,IF(E228&lt;=301,E228/3,E228/4))))</f>
        <v>686.52791999999999</v>
      </c>
      <c r="G228" s="88" t="str">
        <f t="shared" si="29"/>
        <v>8th Floor
13th Floor (14th Floor as per Builder) (Part Refuge Area)</v>
      </c>
      <c r="H228" s="89"/>
      <c r="I228" s="34"/>
      <c r="L228" s="82"/>
      <c r="M228" s="82"/>
      <c r="N228" s="34"/>
    </row>
    <row r="229" spans="1:14" s="55" customFormat="1" ht="15.75" customHeight="1" x14ac:dyDescent="0.25">
      <c r="A229" s="84">
        <f t="shared" si="28"/>
        <v>5</v>
      </c>
      <c r="B229" s="85"/>
      <c r="C229" s="48">
        <v>2</v>
      </c>
      <c r="D229" s="57">
        <f>(42.52)*(10.764)</f>
        <v>457.68527999999998</v>
      </c>
      <c r="E229" s="54">
        <v>0</v>
      </c>
      <c r="F229" s="54">
        <f>D229*(($F$156)+1)+(IF(E229&lt;101,E229,IF(E229&lt;201,E229/2,IF(E229&lt;=301,E229/3,E229/4))))</f>
        <v>686.52791999999999</v>
      </c>
      <c r="G229" s="88" t="str">
        <f t="shared" si="29"/>
        <v>8th Floor
13th Floor (14th Floor as per Builder) (Part Refuge Area)</v>
      </c>
      <c r="H229" s="89"/>
      <c r="I229" s="34"/>
      <c r="L229" s="82"/>
      <c r="M229" s="82"/>
      <c r="N229" s="34"/>
    </row>
    <row r="230" spans="1:14" s="55" customFormat="1" ht="15.75" customHeight="1" x14ac:dyDescent="0.25">
      <c r="A230" s="84">
        <f t="shared" si="28"/>
        <v>6</v>
      </c>
      <c r="B230" s="85"/>
      <c r="C230" s="48">
        <v>2</v>
      </c>
      <c r="D230" s="57">
        <f>(42.52)*(10.764)</f>
        <v>457.68527999999998</v>
      </c>
      <c r="E230" s="54">
        <v>0</v>
      </c>
      <c r="F230" s="54">
        <f>D230*(($F$156)+1)+(IF(E230&lt;101,E230,IF(E230&lt;201,E230/2,IF(E230&lt;=301,E230/3,E230/4))))</f>
        <v>686.52791999999999</v>
      </c>
      <c r="G230" s="88" t="str">
        <f t="shared" si="29"/>
        <v>8th Floor
13th Floor (14th Floor as per Builder) (Part Refuge Area)</v>
      </c>
      <c r="H230" s="89"/>
      <c r="I230" s="34"/>
      <c r="L230" s="82"/>
      <c r="M230" s="82"/>
      <c r="N230" s="34"/>
    </row>
    <row r="231" spans="1:14" s="55" customFormat="1" ht="15.75" customHeight="1" x14ac:dyDescent="0.25">
      <c r="A231" s="84">
        <f t="shared" si="28"/>
        <v>7</v>
      </c>
      <c r="B231" s="85"/>
      <c r="C231" s="48">
        <v>2</v>
      </c>
      <c r="D231" s="57">
        <f>(42.52)*(10.764)</f>
        <v>457.68527999999998</v>
      </c>
      <c r="E231" s="54">
        <v>0</v>
      </c>
      <c r="F231" s="54">
        <f>D231*(($F$156)+1)+(IF(E231&lt;101,E231,IF(E231&lt;201,E231/2,IF(E231&lt;=301,E231/3,E231/4))))</f>
        <v>686.52791999999999</v>
      </c>
      <c r="G231" s="88" t="str">
        <f t="shared" si="29"/>
        <v>8th Floor
13th Floor (14th Floor as per Builder) (Part Refuge Area)</v>
      </c>
      <c r="H231" s="89"/>
      <c r="I231" s="34"/>
      <c r="L231" s="82"/>
      <c r="M231" s="82"/>
      <c r="N231" s="34"/>
    </row>
    <row r="232" spans="1:14" s="35" customFormat="1" hidden="1" x14ac:dyDescent="0.25">
      <c r="A232" s="93" t="s">
        <v>120</v>
      </c>
      <c r="B232" s="94"/>
      <c r="C232" s="94"/>
      <c r="D232" s="94"/>
      <c r="E232" s="94"/>
      <c r="F232" s="94"/>
      <c r="G232" s="94"/>
      <c r="H232" s="95"/>
      <c r="J232" s="34"/>
    </row>
    <row r="233" spans="1:14" s="35" customFormat="1" hidden="1" x14ac:dyDescent="0.25">
      <c r="A233" s="84">
        <v>1</v>
      </c>
      <c r="B233" s="85"/>
      <c r="C233" s="48"/>
      <c r="D233" s="40"/>
      <c r="E233" s="40">
        <v>0</v>
      </c>
      <c r="F233" s="40">
        <f>D233*(($F$156)+1)+(IF(E233&lt;101,E233,IF(E233&lt;201,E233/2,IF(E233&lt;=301,E233/3,E233/4))))</f>
        <v>0</v>
      </c>
      <c r="G233" s="84" t="str">
        <f>A232</f>
        <v>Ground Floor</v>
      </c>
      <c r="H233" s="85"/>
      <c r="I233" s="34"/>
      <c r="L233" s="82"/>
      <c r="M233" s="82"/>
      <c r="N233" s="34"/>
    </row>
    <row r="234" spans="1:14" s="35" customFormat="1" hidden="1" x14ac:dyDescent="0.25">
      <c r="A234" s="84">
        <f t="shared" ref="A234:A236" si="30">A233+1</f>
        <v>2</v>
      </c>
      <c r="B234" s="85"/>
      <c r="C234" s="48"/>
      <c r="D234" s="40"/>
      <c r="E234" s="40">
        <v>0</v>
      </c>
      <c r="F234" s="40">
        <f>D234*(($F$156)+1)+(IF(E234&lt;101,E234,IF(E234&lt;201,E234/2,IF(E234&lt;=301,E234/3,E234/4))))</f>
        <v>0</v>
      </c>
      <c r="G234" s="84" t="str">
        <f t="shared" ref="G234:G236" si="31">G233</f>
        <v>Ground Floor</v>
      </c>
      <c r="H234" s="85"/>
      <c r="I234" s="34"/>
      <c r="L234" s="82"/>
      <c r="M234" s="82"/>
      <c r="N234" s="34"/>
    </row>
    <row r="235" spans="1:14" s="35" customFormat="1" hidden="1" x14ac:dyDescent="0.25">
      <c r="A235" s="84">
        <f t="shared" si="30"/>
        <v>3</v>
      </c>
      <c r="B235" s="85"/>
      <c r="C235" s="48"/>
      <c r="D235" s="40"/>
      <c r="E235" s="40">
        <v>0</v>
      </c>
      <c r="F235" s="40">
        <f>D235*(($F$156)+1)+(IF(E235&lt;101,E235,IF(E235&lt;201,E235/2,IF(E235&lt;=301,E235/3,E235/4))))</f>
        <v>0</v>
      </c>
      <c r="G235" s="84" t="str">
        <f t="shared" si="31"/>
        <v>Ground Floor</v>
      </c>
      <c r="H235" s="85"/>
      <c r="I235" s="34"/>
      <c r="L235" s="82"/>
      <c r="M235" s="82"/>
      <c r="N235" s="34"/>
    </row>
    <row r="236" spans="1:14" s="35" customFormat="1" hidden="1" x14ac:dyDescent="0.25">
      <c r="A236" s="84">
        <f t="shared" si="30"/>
        <v>4</v>
      </c>
      <c r="B236" s="85"/>
      <c r="C236" s="48"/>
      <c r="D236" s="40"/>
      <c r="E236" s="40">
        <v>0</v>
      </c>
      <c r="F236" s="40">
        <f>D236*(($F$156)+1)+(IF(E236&lt;101,E236,IF(E236&lt;201,E236/2,IF(E236&lt;=301,E236/3,E236/4))))</f>
        <v>0</v>
      </c>
      <c r="G236" s="84" t="str">
        <f t="shared" si="31"/>
        <v>Ground Floor</v>
      </c>
      <c r="H236" s="85"/>
      <c r="I236" s="34"/>
      <c r="L236" s="82"/>
      <c r="M236" s="82"/>
      <c r="N236" s="34"/>
    </row>
    <row r="237" spans="1:14" s="35" customFormat="1" hidden="1" x14ac:dyDescent="0.25">
      <c r="A237" s="92" t="s">
        <v>121</v>
      </c>
      <c r="B237" s="92"/>
      <c r="C237" s="92"/>
      <c r="D237" s="92"/>
      <c r="E237" s="92"/>
      <c r="F237" s="92"/>
      <c r="G237" s="92"/>
      <c r="H237" s="92"/>
      <c r="I237" s="34"/>
      <c r="L237" s="82"/>
      <c r="M237" s="82"/>
    </row>
    <row r="238" spans="1:14" s="35" customFormat="1" hidden="1" x14ac:dyDescent="0.25">
      <c r="A238" s="83">
        <f>LEFT(A237,SUM(LEN(A237)-LEN(SUBSTITUTE(A237,{"0","1","2","3","4","5","6","7","8","9"},""))))*100+1</f>
        <v>201</v>
      </c>
      <c r="B238" s="83"/>
      <c r="C238" s="48"/>
      <c r="D238" s="40"/>
      <c r="E238" s="40">
        <v>0</v>
      </c>
      <c r="F238" s="40">
        <f t="shared" ref="F238:F239" si="32">D238*(($F$156)+1)+(IF(E238&lt;101,E238,IF(E238&lt;201,E238/2,IF(E238&lt;=301,E238/3,E238/4))))</f>
        <v>0</v>
      </c>
      <c r="G238" s="83" t="str">
        <f>A237</f>
        <v>2nd Floor</v>
      </c>
      <c r="H238" s="83"/>
      <c r="I238" s="34"/>
      <c r="N238" s="34"/>
    </row>
    <row r="239" spans="1:14" s="35" customFormat="1" hidden="1" x14ac:dyDescent="0.25">
      <c r="A239" s="83">
        <f>A238+1</f>
        <v>202</v>
      </c>
      <c r="B239" s="83"/>
      <c r="C239" s="48"/>
      <c r="D239" s="40"/>
      <c r="E239" s="40">
        <v>0</v>
      </c>
      <c r="F239" s="40">
        <f t="shared" si="32"/>
        <v>0</v>
      </c>
      <c r="G239" s="83" t="str">
        <f>G238</f>
        <v>2nd Floor</v>
      </c>
      <c r="H239" s="83"/>
      <c r="I239" s="34"/>
      <c r="N239" s="34"/>
    </row>
    <row r="240" spans="1:14" s="35" customFormat="1" hidden="1" x14ac:dyDescent="0.25">
      <c r="A240" s="83">
        <f>A239+1</f>
        <v>203</v>
      </c>
      <c r="B240" s="83"/>
      <c r="C240" s="48"/>
      <c r="D240" s="40"/>
      <c r="E240" s="40">
        <v>0</v>
      </c>
      <c r="F240" s="40">
        <f>D240*(($F$156)+1)+(IF(E240&lt;101,E240,IF(E240&lt;201,E240/2,IF(E240&lt;=301,E240/3,E240/4))))</f>
        <v>0</v>
      </c>
      <c r="G240" s="83" t="str">
        <f>G239</f>
        <v>2nd Floor</v>
      </c>
      <c r="H240" s="83"/>
      <c r="I240" s="34"/>
      <c r="N240" s="34"/>
    </row>
    <row r="241" spans="1:14" s="35" customFormat="1" hidden="1" x14ac:dyDescent="0.25">
      <c r="A241" s="83">
        <f>A240+1</f>
        <v>204</v>
      </c>
      <c r="B241" s="83"/>
      <c r="C241" s="48"/>
      <c r="D241" s="40"/>
      <c r="E241" s="40">
        <v>0</v>
      </c>
      <c r="F241" s="40">
        <f>D241*(($F$156)+1)+(IF(E241&lt;101,E241,IF(E241&lt;201,E241/2,IF(E241&lt;=301,E241/3,E241/4))))</f>
        <v>0</v>
      </c>
      <c r="G241" s="83" t="str">
        <f>G240</f>
        <v>2nd Floor</v>
      </c>
      <c r="H241" s="83"/>
      <c r="I241" s="34"/>
      <c r="N241" s="34"/>
    </row>
    <row r="242" spans="1:14" s="35" customFormat="1" hidden="1" x14ac:dyDescent="0.25">
      <c r="A242" s="83">
        <f>A241+1</f>
        <v>205</v>
      </c>
      <c r="B242" s="83"/>
      <c r="C242" s="48"/>
      <c r="D242" s="40"/>
      <c r="E242" s="40">
        <v>0</v>
      </c>
      <c r="F242" s="40">
        <f>D242*(($F$156)+1)+(IF(E242&lt;101,E242,IF(E242&lt;201,E242/2,IF(E242&lt;=301,E242/3,E242/4))))</f>
        <v>0</v>
      </c>
      <c r="G242" s="83" t="str">
        <f>G241</f>
        <v>2nd Floor</v>
      </c>
      <c r="H242" s="83"/>
      <c r="I242" s="34"/>
      <c r="N242" s="34"/>
    </row>
    <row r="243" spans="1:14" s="35" customFormat="1" ht="15.75" hidden="1" customHeight="1" x14ac:dyDescent="0.25">
      <c r="A243" s="93" t="s">
        <v>156</v>
      </c>
      <c r="B243" s="94"/>
      <c r="C243" s="94"/>
      <c r="D243" s="94"/>
      <c r="E243" s="94"/>
      <c r="F243" s="94"/>
      <c r="G243" s="94"/>
      <c r="H243" s="95"/>
      <c r="I243" s="34"/>
    </row>
    <row r="244" spans="1:14" s="35" customFormat="1" hidden="1" x14ac:dyDescent="0.25">
      <c r="A244" s="84" t="str">
        <f ca="1">(SUMPRODUCT(MID(0&amp;(LEFT(A243,SUM(LEN(A243)-LEN(SUBSTITUTE(A243,{"0","1","2"},""))))), LARGE(INDEX(ISNUMBER(--MID((LEFT(A243,SUM(LEN(A243)-LEN(SUBSTITUTE(A243,{"0","1","2"},""))))), ROW(INDIRECT("1:"&amp;LEN((LEFT(A243,SUM(LEN(A243)-LEN(SUBSTITUTE(A243,{"0","1","2"},"")))))))), 1)) * ROW(INDIRECT("1:"&amp;LEN((LEFT(A243,SUM(LEN(A243)-LEN(SUBSTITUTE(A243,{"0","1","2"},"")))))))), 0), ROW(INDIRECT("1:"&amp;LEN((LEFT(A243,SUM(LEN(A243)-LEN(SUBSTITUTE(A243,{"0","1","2"},"")))))))))+1, 1) * 10^ROW(INDIRECT("1:"&amp;LEN((LEFT(A243,SUM(LEN(A243)-LEN(SUBSTITUTE(A243,{"0","1","2"},""))))))))/10))*100+1&amp;""&amp;" ,.., "&amp;""&amp;(SUMPRODUCT(MID(0&amp;(--TRIM(RIGHT(SUBSTITUTE(LEFT(A243,_xlfn.AGGREGATE(16,6,FIND({0,1,2,3,4,5,6,7,8,9},A243,ROW(INDIRECT("1:"&amp;LEN(A243)))),1))," ",REPT(" ",LEN(A243))),LEN(A243)))), LARGE(INDEX(ISNUMBER(--MID((--TRIM(RIGHT(SUBSTITUTE(LEFT(A243,_xlfn.AGGREGATE(16,6,FIND({0,1,2,3,4,5,6,7,8,9},A243,ROW(INDIRECT("1:"&amp;LEN(A243)))),1))," ",REPT(" ",LEN(A243))),LEN(A243)))), ROW(INDIRECT("1:"&amp;LEN((--TRIM(RIGHT(SUBSTITUTE(LEFT(A243,_xlfn.AGGREGATE(16,6,FIND({0,1,2,3,4,5,6,7,8,9},A243,ROW(INDIRECT("1:"&amp;LEN(A243)))),1))," ",REPT(" ",LEN(A243))),LEN(A243))))))), 1)) * ROW(INDIRECT("1:"&amp;LEN((--TRIM(RIGHT(SUBSTITUTE(LEFT(A243,_xlfn.AGGREGATE(16,6,FIND({0,1,2,3,4,5,6,7,8,9},A243,ROW(INDIRECT("1:"&amp;LEN(A243)))),1))," ",REPT(" ",LEN(A243))),LEN(A243))))))), 0), ROW(INDIRECT("1:"&amp;LEN((--TRIM(RIGHT(SUBSTITUTE(LEFT(A243,_xlfn.AGGREGATE(16,6,FIND({0,1,2,3,4,5,6,7,8,9},A243,ROW(INDIRECT("1:"&amp;LEN(A243)))),1))," ",REPT(" ",LEN(A243))),LEN(A243))))))))+1, 1) * 10^ROW(INDIRECT("1:"&amp;LEN((--TRIM(RIGHT(SUBSTITUTE(LEFT(A243,_xlfn.AGGREGATE(16,6,FIND({0,1,2,3,4,5,6,7,8,9},A243,ROW(INDIRECT("1:"&amp;LEN(A243)))),1))," ",REPT(" ",LEN(A243))),LEN(A243)))))))/10))*100+1</f>
        <v>301 ,.., 1501</v>
      </c>
      <c r="B244" s="85"/>
      <c r="C244" s="48"/>
      <c r="D244" s="40"/>
      <c r="E244" s="40">
        <v>0</v>
      </c>
      <c r="F244" s="40">
        <f>D244*(($F$156)+1)+(IF(E244&lt;101,E244,IF(E244&lt;201,E244/2,IF(E244&lt;=301,E244/3,E244/4))))</f>
        <v>0</v>
      </c>
      <c r="G244" s="84" t="str">
        <f>A243</f>
        <v>3rd, 5th, 7th, 9th, 11th, 13th, 15th Floor</v>
      </c>
      <c r="H244" s="85"/>
      <c r="I244" s="34"/>
    </row>
    <row r="245" spans="1:14" s="35" customFormat="1" hidden="1" x14ac:dyDescent="0.25">
      <c r="A245" s="84" t="str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10^ROW(INDIRECT("1:"&amp;LEN((LEFT(A244,SUM(LEN(A244)-LEN(SUBSTITUTE(A244,{"0","1","2"},""))))))))/10))*1+1&amp;""&amp;" ,.., "&amp;""&amp;(SUMPRODUCT(MID(0&amp;(--TRIM(RIGHT(SUBSTITUTE(LEFT(A244,_xlfn.AGGREGATE(16,6,FIND({0,1,2,3,4,5,6,7,8,9},A244,ROW(INDIRECT("1:"&amp;LEN(A244)))),1)),"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",LEN(A244))),LEN(A244)))))))/10))*1+1</f>
        <v>302 ,.., 1502</v>
      </c>
      <c r="B245" s="85"/>
      <c r="C245" s="48"/>
      <c r="D245" s="40"/>
      <c r="E245" s="40">
        <v>0</v>
      </c>
      <c r="F245" s="40">
        <f>D245*(($F$156)+1)+(IF(E245&lt;101,E245,IF(E245&lt;201,E245/2,IF(E245&lt;=301,E245/3,E245/4))))</f>
        <v>0</v>
      </c>
      <c r="G245" s="84" t="str">
        <f>G244</f>
        <v>3rd, 5th, 7th, 9th, 11th, 13th, 15th Floor</v>
      </c>
      <c r="H245" s="85"/>
      <c r="I245" s="34"/>
    </row>
    <row r="246" spans="1:14" s="35" customFormat="1" ht="15.75" hidden="1" customHeight="1" x14ac:dyDescent="0.25">
      <c r="A246" s="84" t="str">
        <f ca="1">(SUMPRODUCT(MID(0&amp;(LEFT(A245,SUM(LEN(A245)-LEN(SUBSTITUTE(A245,{"0","1","2"},""))))), LARGE(INDEX(ISNUMBER(--MID((LEFT(A245,SUM(LEN(A245)-LEN(SUBSTITUTE(A245,{"0","1","2"},""))))), ROW(INDIRECT("1:"&amp;LEN((LEFT(A245,SUM(LEN(A245)-LEN(SUBSTITUTE(A245,{"0","1","2"},"")))))))), 1)) * ROW(INDIRECT("1:"&amp;LEN((LEFT(A245,SUM(LEN(A245)-LEN(SUBSTITUTE(A245,{"0","1","2"},"")))))))), 0), ROW(INDIRECT("1:"&amp;LEN((LEFT(A245,SUM(LEN(A245)-LEN(SUBSTITUTE(A245,{"0","1","2"},"")))))))))+1, 1) * 10^ROW(INDIRECT("1:"&amp;LEN((LEFT(A245,SUM(LEN(A245)-LEN(SUBSTITUTE(A245,{"0","1","2"},""))))))))/10))*1+1&amp;""&amp;" ,.., "&amp;""&amp;(SUMPRODUCT(MID(0&amp;(--TRIM(RIGHT(SUBSTITUTE(LEFT(A245,_xlfn.AGGREGATE(16,6,FIND({0,1,2,3,4,5,6,7,8,9},A245,ROW(INDIRECT("1:"&amp;LEN(A245)))),1)),"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",LEN(A245))),LEN(A245)))))))/10))*1+1</f>
        <v>303 ,.., 1503</v>
      </c>
      <c r="B246" s="85"/>
      <c r="C246" s="48"/>
      <c r="D246" s="40"/>
      <c r="E246" s="40">
        <v>0</v>
      </c>
      <c r="F246" s="40">
        <f>D246*(($F$156)+1)+(IF(E246&lt;101,E246,IF(E246&lt;201,E246/2,IF(E246&lt;=301,E246/3,E246/4))))</f>
        <v>0</v>
      </c>
      <c r="G246" s="84" t="str">
        <f>G245</f>
        <v>3rd, 5th, 7th, 9th, 11th, 13th, 15th Floor</v>
      </c>
      <c r="H246" s="85"/>
      <c r="I246" s="34"/>
    </row>
    <row r="247" spans="1:14" s="35" customFormat="1" ht="15.75" hidden="1" customHeight="1" x14ac:dyDescent="0.25">
      <c r="A247" s="84" t="str">
        <f ca="1">(SUMPRODUCT(MID(0&amp;(LEFT(A246,SUM(LEN(A246)-LEN(SUBSTITUTE(A246,{"0","1","2"},""))))), LARGE(INDEX(ISNUMBER(--MID((LEFT(A246,SUM(LEN(A246)-LEN(SUBSTITUTE(A246,{"0","1","2"},""))))), ROW(INDIRECT("1:"&amp;LEN((LEFT(A246,SUM(LEN(A246)-LEN(SUBSTITUTE(A246,{"0","1","2"},"")))))))), 1)) * ROW(INDIRECT("1:"&amp;LEN((LEFT(A246,SUM(LEN(A246)-LEN(SUBSTITUTE(A246,{"0","1","2"},"")))))))), 0), ROW(INDIRECT("1:"&amp;LEN((LEFT(A246,SUM(LEN(A246)-LEN(SUBSTITUTE(A246,{"0","1","2"},"")))))))))+1, 1) * 10^ROW(INDIRECT("1:"&amp;LEN((LEFT(A246,SUM(LEN(A246)-LEN(SUBSTITUTE(A246,{"0","1","2"},""))))))))/10))*1+1&amp;""&amp;" ,.., "&amp;""&amp;(SUMPRODUCT(MID(0&amp;(--TRIM(RIGHT(SUBSTITUTE(LEFT(A246,_xlfn.AGGREGATE(16,6,FIND({0,1,2,3,4,5,6,7,8,9},A246,ROW(INDIRECT("1:"&amp;LEN(A246)))),1))," ",REPT(" ",LEN(A246))),LEN(A246)))), LARGE(INDEX(ISNUMBER(--MID((--TRIM(RIGHT(SUBSTITUTE(LEFT(A246,_xlfn.AGGREGATE(16,6,FIND({0,1,2,3,4,5,6,7,8,9},A246,ROW(INDIRECT("1:"&amp;LEN(A246)))),1))," ",REPT(" ",LEN(A246))),LEN(A246)))), ROW(INDIRECT("1:"&amp;LEN((--TRIM(RIGHT(SUBSTITUTE(LEFT(A246,_xlfn.AGGREGATE(16,6,FIND({0,1,2,3,4,5,6,7,8,9},A246,ROW(INDIRECT("1:"&amp;LEN(A246)))),1))," ",REPT(" ",LEN(A246))),LEN(A246))))))), 1)) * ROW(INDIRECT("1:"&amp;LEN((--TRIM(RIGHT(SUBSTITUTE(LEFT(A246,_xlfn.AGGREGATE(16,6,FIND({0,1,2,3,4,5,6,7,8,9},A246,ROW(INDIRECT("1:"&amp;LEN(A246)))),1))," ",REPT(" ",LEN(A246))),LEN(A246))))))), 0), ROW(INDIRECT("1:"&amp;LEN((--TRIM(RIGHT(SUBSTITUTE(LEFT(A246,_xlfn.AGGREGATE(16,6,FIND({0,1,2,3,4,5,6,7,8,9},A246,ROW(INDIRECT("1:"&amp;LEN(A246)))),1))," ",REPT(" ",LEN(A246))),LEN(A246))))))))+1, 1) * 10^ROW(INDIRECT("1:"&amp;LEN((--TRIM(RIGHT(SUBSTITUTE(LEFT(A246,_xlfn.AGGREGATE(16,6,FIND({0,1,2,3,4,5,6,7,8,9},A246,ROW(INDIRECT("1:"&amp;LEN(A246)))),1))," ",REPT(" ",LEN(A246))),LEN(A246)))))))/10))*1+1</f>
        <v>304 ,.., 1504</v>
      </c>
      <c r="B247" s="85"/>
      <c r="C247" s="48"/>
      <c r="D247" s="40"/>
      <c r="E247" s="40">
        <v>0</v>
      </c>
      <c r="F247" s="40">
        <f>D247*(($F$156)+1)+(IF(E247&lt;101,E247,IF(E247&lt;201,E247/2,IF(E247&lt;=301,E247/3,E247/4))))</f>
        <v>0</v>
      </c>
      <c r="G247" s="84" t="str">
        <f>G246</f>
        <v>3rd, 5th, 7th, 9th, 11th, 13th, 15th Floor</v>
      </c>
      <c r="H247" s="85"/>
      <c r="I247" s="34"/>
    </row>
    <row r="248" spans="1:14" s="35" customFormat="1" ht="15.75" hidden="1" customHeight="1" x14ac:dyDescent="0.25">
      <c r="A248" s="84" t="str">
        <f ca="1">(SUMPRODUCT(MID(0&amp;(LEFT(A247,SUM(LEN(A247)-LEN(SUBSTITUTE(A247,{"0","1","2"},""))))), LARGE(INDEX(ISNUMBER(--MID((LEFT(A247,SUM(LEN(A247)-LEN(SUBSTITUTE(A247,{"0","1","2"},""))))), ROW(INDIRECT("1:"&amp;LEN((LEFT(A247,SUM(LEN(A247)-LEN(SUBSTITUTE(A247,{"0","1","2"},"")))))))), 1)) * ROW(INDIRECT("1:"&amp;LEN((LEFT(A247,SUM(LEN(A247)-LEN(SUBSTITUTE(A247,{"0","1","2"},"")))))))), 0), ROW(INDIRECT("1:"&amp;LEN((LEFT(A247,SUM(LEN(A247)-LEN(SUBSTITUTE(A247,{"0","1","2"},"")))))))))+1, 1) * 10^ROW(INDIRECT("1:"&amp;LEN((LEFT(A247,SUM(LEN(A247)-LEN(SUBSTITUTE(A247,{"0","1","2"},""))))))))/10))*1+1&amp;""&amp;" ,.., "&amp;""&amp;(SUMPRODUCT(MID(0&amp;(--TRIM(RIGHT(SUBSTITUTE(LEFT(A247,_xlfn.AGGREGATE(16,6,FIND({0,1,2,3,4,5,6,7,8,9},A247,ROW(INDIRECT("1:"&amp;LEN(A247)))),1))," ",REPT(" ",LEN(A247))),LEN(A247)))), LARGE(INDEX(ISNUMBER(--MID((--TRIM(RIGHT(SUBSTITUTE(LEFT(A247,_xlfn.AGGREGATE(16,6,FIND({0,1,2,3,4,5,6,7,8,9},A247,ROW(INDIRECT("1:"&amp;LEN(A247)))),1))," ",REPT(" ",LEN(A247))),LEN(A247)))), ROW(INDIRECT("1:"&amp;LEN((--TRIM(RIGHT(SUBSTITUTE(LEFT(A247,_xlfn.AGGREGATE(16,6,FIND({0,1,2,3,4,5,6,7,8,9},A247,ROW(INDIRECT("1:"&amp;LEN(A247)))),1))," ",REPT(" ",LEN(A247))),LEN(A247))))))), 1)) * ROW(INDIRECT("1:"&amp;LEN((--TRIM(RIGHT(SUBSTITUTE(LEFT(A247,_xlfn.AGGREGATE(16,6,FIND({0,1,2,3,4,5,6,7,8,9},A247,ROW(INDIRECT("1:"&amp;LEN(A247)))),1))," ",REPT(" ",LEN(A247))),LEN(A247))))))), 0), ROW(INDIRECT("1:"&amp;LEN((--TRIM(RIGHT(SUBSTITUTE(LEFT(A247,_xlfn.AGGREGATE(16,6,FIND({0,1,2,3,4,5,6,7,8,9},A247,ROW(INDIRECT("1:"&amp;LEN(A247)))),1))," ",REPT(" ",LEN(A247))),LEN(A247))))))))+1, 1) * 10^ROW(INDIRECT("1:"&amp;LEN((--TRIM(RIGHT(SUBSTITUTE(LEFT(A247,_xlfn.AGGREGATE(16,6,FIND({0,1,2,3,4,5,6,7,8,9},A247,ROW(INDIRECT("1:"&amp;LEN(A247)))),1))," ",REPT(" ",LEN(A247))),LEN(A247)))))))/10))*1+1</f>
        <v>305 ,.., 1505</v>
      </c>
      <c r="B248" s="85"/>
      <c r="C248" s="48"/>
      <c r="D248" s="40"/>
      <c r="E248" s="40">
        <v>0</v>
      </c>
      <c r="F248" s="40">
        <f>D248*(($F$156)+1)+(IF(E248&lt;101,E248,IF(E248&lt;201,E248/2,IF(E248&lt;=301,E248/3,E248/4))))</f>
        <v>0</v>
      </c>
      <c r="G248" s="84" t="str">
        <f>G247</f>
        <v>3rd, 5th, 7th, 9th, 11th, 13th, 15th Floor</v>
      </c>
      <c r="H248" s="85"/>
      <c r="I248" s="34"/>
    </row>
    <row r="249" spans="1:14" s="35" customFormat="1" hidden="1" x14ac:dyDescent="0.25">
      <c r="A249" s="93" t="s">
        <v>150</v>
      </c>
      <c r="B249" s="94"/>
      <c r="C249" s="94"/>
      <c r="D249" s="94"/>
      <c r="E249" s="94"/>
      <c r="F249" s="94"/>
      <c r="G249" s="94"/>
      <c r="H249" s="95"/>
      <c r="I249" s="34"/>
    </row>
    <row r="250" spans="1:14" s="35" customFormat="1" hidden="1" x14ac:dyDescent="0.25">
      <c r="A250" s="84" t="str">
        <f ca="1">(SUMPRODUCT(MID(0&amp;(LEFT(A249,SUM(LEN(A249)-LEN(SUBSTITUTE(A249,{"0","1","2"},""))))), LARGE(INDEX(ISNUMBER(--MID((LEFT(A249,SUM(LEN(A249)-LEN(SUBSTITUTE(A249,{"0","1","2"},""))))), ROW(INDIRECT("1:"&amp;LEN((LEFT(A249,SUM(LEN(A249)-LEN(SUBSTITUTE(A249,{"0","1","2"},"")))))))), 1)) * ROW(INDIRECT("1:"&amp;LEN((LEFT(A249,SUM(LEN(A249)-LEN(SUBSTITUTE(A249,{"0","1","2"},"")))))))), 0), ROW(INDIRECT("1:"&amp;LEN((LEFT(A249,SUM(LEN(A249)-LEN(SUBSTITUTE(A249,{"0","1","2"},"")))))))))+1, 1) * 10^ROW(INDIRECT("1:"&amp;LEN((LEFT(A249,SUM(LEN(A249)-LEN(SUBSTITUTE(A249,{"0","1","2"},""))))))))/10))*100+1&amp;""&amp;" to "&amp;""&amp;(SUMPRODUCT(MID(0&amp;(--TRIM(RIGHT(SUBSTITUTE(LEFT(A249,_xlfn.AGGREGATE(16,6,FIND({0,1,2,3,4,5,6,7,8,9},A249,ROW(INDIRECT("1:"&amp;LEN(A249)))),1))," ",REPT(" ",LEN(A249))),LEN(A249)))), LARGE(INDEX(ISNUMBER(--MID((--TRIM(RIGHT(SUBSTITUTE(LEFT(A249,_xlfn.AGGREGATE(16,6,FIND({0,1,2,3,4,5,6,7,8,9},A249,ROW(INDIRECT("1:"&amp;LEN(A249)))),1))," ",REPT(" ",LEN(A249))),LEN(A249)))), ROW(INDIRECT("1:"&amp;LEN((--TRIM(RIGHT(SUBSTITUTE(LEFT(A249,_xlfn.AGGREGATE(16,6,FIND({0,1,2,3,4,5,6,7,8,9},A249,ROW(INDIRECT("1:"&amp;LEN(A249)))),1))," ",REPT(" ",LEN(A249))),LEN(A249))))))), 1)) * ROW(INDIRECT("1:"&amp;LEN((--TRIM(RIGHT(SUBSTITUTE(LEFT(A249,_xlfn.AGGREGATE(16,6,FIND({0,1,2,3,4,5,6,7,8,9},A249,ROW(INDIRECT("1:"&amp;LEN(A249)))),1))," ",REPT(" ",LEN(A249))),LEN(A249))))))), 0), ROW(INDIRECT("1:"&amp;LEN((--TRIM(RIGHT(SUBSTITUTE(LEFT(A249,_xlfn.AGGREGATE(16,6,FIND({0,1,2,3,4,5,6,7,8,9},A249,ROW(INDIRECT("1:"&amp;LEN(A249)))),1))," ",REPT(" ",LEN(A249))),LEN(A249))))))))+1, 1) * 10^ROW(INDIRECT("1:"&amp;LEN((--TRIM(RIGHT(SUBSTITUTE(LEFT(A249,_xlfn.AGGREGATE(16,6,FIND({0,1,2,3,4,5,6,7,8,9},A249,ROW(INDIRECT("1:"&amp;LEN(A249)))),1))," ",REPT(" ",LEN(A249))),LEN(A249)))))))/10))*100+1</f>
        <v>201 to 501</v>
      </c>
      <c r="B250" s="85"/>
      <c r="C250" s="48"/>
      <c r="D250" s="40"/>
      <c r="E250" s="40">
        <v>0</v>
      </c>
      <c r="F250" s="40">
        <f>D250*(($F$156)+1)+(IF(E250&lt;101,E250,IF(E250&lt;201,E250/2,IF(E250&lt;=301,E250/3,E250/4))))</f>
        <v>0</v>
      </c>
      <c r="G250" s="84" t="str">
        <f>A249</f>
        <v>2nd to 5th Floor</v>
      </c>
      <c r="H250" s="85"/>
      <c r="I250" s="34"/>
    </row>
    <row r="251" spans="1:14" s="35" customFormat="1" hidden="1" x14ac:dyDescent="0.25">
      <c r="A251" s="84" t="str">
        <f ca="1">(SUMPRODUCT(MID(0&amp;(LEFT(A250,SUM(LEN(A250)-LEN(SUBSTITUTE(A250,{"0","1","2"},""))))), LARGE(INDEX(ISNUMBER(--MID((LEFT(A250,SUM(LEN(A250)-LEN(SUBSTITUTE(A250,{"0","1","2"},""))))), ROW(INDIRECT("1:"&amp;LEN((LEFT(A250,SUM(LEN(A250)-LEN(SUBSTITUTE(A250,{"0","1","2"},"")))))))), 1)) * ROW(INDIRECT("1:"&amp;LEN((LEFT(A250,SUM(LEN(A250)-LEN(SUBSTITUTE(A250,{"0","1","2"},"")))))))), 0), ROW(INDIRECT("1:"&amp;LEN((LEFT(A250,SUM(LEN(A250)-LEN(SUBSTITUTE(A250,{"0","1","2"},"")))))))))+1, 1) * 10^ROW(INDIRECT("1:"&amp;LEN((LEFT(A250,SUM(LEN(A250)-LEN(SUBSTITUTE(A250,{"0","1","2"},""))))))))/10))*1+1&amp;""&amp;" to "&amp;""&amp;(SUMPRODUCT(MID(0&amp;(--TRIM(RIGHT(SUBSTITUTE(LEFT(A250,_xlfn.AGGREGATE(16,6,FIND({0,1,2,3,4,5,6,7,8,9},A250,ROW(INDIRECT("1:"&amp;LEN(A250)))),1))," ",REPT(" ",LEN(A250))),LEN(A250)))), LARGE(INDEX(ISNUMBER(--MID((--TRIM(RIGHT(SUBSTITUTE(LEFT(A250,_xlfn.AGGREGATE(16,6,FIND({0,1,2,3,4,5,6,7,8,9},A250,ROW(INDIRECT("1:"&amp;LEN(A250)))),1))," ",REPT(" ",LEN(A250))),LEN(A250)))), ROW(INDIRECT("1:"&amp;LEN((--TRIM(RIGHT(SUBSTITUTE(LEFT(A250,_xlfn.AGGREGATE(16,6,FIND({0,1,2,3,4,5,6,7,8,9},A250,ROW(INDIRECT("1:"&amp;LEN(A250)))),1))," ",REPT(" ",LEN(A250))),LEN(A250))))))), 1)) * ROW(INDIRECT("1:"&amp;LEN((--TRIM(RIGHT(SUBSTITUTE(LEFT(A250,_xlfn.AGGREGATE(16,6,FIND({0,1,2,3,4,5,6,7,8,9},A250,ROW(INDIRECT("1:"&amp;LEN(A250)))),1))," ",REPT(" ",LEN(A250))),LEN(A250))))))), 0), ROW(INDIRECT("1:"&amp;LEN((--TRIM(RIGHT(SUBSTITUTE(LEFT(A250,_xlfn.AGGREGATE(16,6,FIND({0,1,2,3,4,5,6,7,8,9},A250,ROW(INDIRECT("1:"&amp;LEN(A250)))),1))," ",REPT(" ",LEN(A250))),LEN(A250))))))))+1, 1) * 10^ROW(INDIRECT("1:"&amp;LEN((--TRIM(RIGHT(SUBSTITUTE(LEFT(A250,_xlfn.AGGREGATE(16,6,FIND({0,1,2,3,4,5,6,7,8,9},A250,ROW(INDIRECT("1:"&amp;LEN(A250)))),1))," ",REPT(" ",LEN(A250))),LEN(A250)))))))/10))*1+1</f>
        <v>202 to 502</v>
      </c>
      <c r="B251" s="85"/>
      <c r="C251" s="48"/>
      <c r="D251" s="40"/>
      <c r="E251" s="40">
        <v>0</v>
      </c>
      <c r="F251" s="40">
        <f>D251*(($F$156)+1)+(IF(E251&lt;101,E251,IF(E251&lt;201,E251/2,IF(E251&lt;=301,E251/3,E251/4))))</f>
        <v>0</v>
      </c>
      <c r="G251" s="84" t="str">
        <f>G250</f>
        <v>2nd to 5th Floor</v>
      </c>
      <c r="H251" s="85"/>
      <c r="I251" s="34"/>
    </row>
    <row r="252" spans="1:14" s="35" customFormat="1" hidden="1" x14ac:dyDescent="0.25">
      <c r="A252" s="84" t="str">
        <f ca="1">(SUMPRODUCT(MID(0&amp;(LEFT(A251,SUM(LEN(A251)-LEN(SUBSTITUTE(A251,{"0","1","2"},""))))), LARGE(INDEX(ISNUMBER(--MID((LEFT(A251,SUM(LEN(A251)-LEN(SUBSTITUTE(A251,{"0","1","2"},""))))), ROW(INDIRECT("1:"&amp;LEN((LEFT(A251,SUM(LEN(A251)-LEN(SUBSTITUTE(A251,{"0","1","2"},"")))))))), 1)) * ROW(INDIRECT("1:"&amp;LEN((LEFT(A251,SUM(LEN(A251)-LEN(SUBSTITUTE(A251,{"0","1","2"},"")))))))), 0), ROW(INDIRECT("1:"&amp;LEN((LEFT(A251,SUM(LEN(A251)-LEN(SUBSTITUTE(A251,{"0","1","2"},"")))))))))+1, 1) * 10^ROW(INDIRECT("1:"&amp;LEN((LEFT(A251,SUM(LEN(A251)-LEN(SUBSTITUTE(A251,{"0","1","2"},""))))))))/10))*1+1&amp;""&amp;" to "&amp;""&amp;(SUMPRODUCT(MID(0&amp;(--TRIM(RIGHT(SUBSTITUTE(LEFT(A251,_xlfn.AGGREGATE(16,6,FIND({0,1,2,3,4,5,6,7,8,9},A251,ROW(INDIRECT("1:"&amp;LEN(A251)))),1))," ",REPT(" ",LEN(A251))),LEN(A251)))), LARGE(INDEX(ISNUMBER(--MID((--TRIM(RIGHT(SUBSTITUTE(LEFT(A251,_xlfn.AGGREGATE(16,6,FIND({0,1,2,3,4,5,6,7,8,9},A251,ROW(INDIRECT("1:"&amp;LEN(A251)))),1))," ",REPT(" ",LEN(A251))),LEN(A251)))), ROW(INDIRECT("1:"&amp;LEN((--TRIM(RIGHT(SUBSTITUTE(LEFT(A251,_xlfn.AGGREGATE(16,6,FIND({0,1,2,3,4,5,6,7,8,9},A251,ROW(INDIRECT("1:"&amp;LEN(A251)))),1))," ",REPT(" ",LEN(A251))),LEN(A251))))))), 1)) * ROW(INDIRECT("1:"&amp;LEN((--TRIM(RIGHT(SUBSTITUTE(LEFT(A251,_xlfn.AGGREGATE(16,6,FIND({0,1,2,3,4,5,6,7,8,9},A251,ROW(INDIRECT("1:"&amp;LEN(A251)))),1))," ",REPT(" ",LEN(A251))),LEN(A251))))))), 0), ROW(INDIRECT("1:"&amp;LEN((--TRIM(RIGHT(SUBSTITUTE(LEFT(A251,_xlfn.AGGREGATE(16,6,FIND({0,1,2,3,4,5,6,7,8,9},A251,ROW(INDIRECT("1:"&amp;LEN(A251)))),1))," ",REPT(" ",LEN(A251))),LEN(A251))))))))+1, 1) * 10^ROW(INDIRECT("1:"&amp;LEN((--TRIM(RIGHT(SUBSTITUTE(LEFT(A251,_xlfn.AGGREGATE(16,6,FIND({0,1,2,3,4,5,6,7,8,9},A251,ROW(INDIRECT("1:"&amp;LEN(A251)))),1))," ",REPT(" ",LEN(A251))),LEN(A251)))))))/10))*1+1</f>
        <v>203 to 503</v>
      </c>
      <c r="B252" s="85"/>
      <c r="C252" s="48"/>
      <c r="D252" s="40"/>
      <c r="E252" s="40">
        <v>0</v>
      </c>
      <c r="F252" s="40">
        <f>D252*(($F$156)+1)+(IF(E252&lt;101,E252,IF(E252&lt;201,E252/2,IF(E252&lt;=301,E252/3,E252/4))))</f>
        <v>0</v>
      </c>
      <c r="G252" s="84" t="str">
        <f>G251</f>
        <v>2nd to 5th Floor</v>
      </c>
      <c r="H252" s="85"/>
      <c r="I252" s="34"/>
    </row>
    <row r="253" spans="1:14" s="35" customFormat="1" hidden="1" x14ac:dyDescent="0.25">
      <c r="A253" s="84" t="str">
        <f ca="1">(SUMPRODUCT(MID(0&amp;(LEFT(A252,SUM(LEN(A252)-LEN(SUBSTITUTE(A252,{"0","1","2"},""))))), LARGE(INDEX(ISNUMBER(--MID((LEFT(A252,SUM(LEN(A252)-LEN(SUBSTITUTE(A252,{"0","1","2"},""))))), ROW(INDIRECT("1:"&amp;LEN((LEFT(A252,SUM(LEN(A252)-LEN(SUBSTITUTE(A252,{"0","1","2"},"")))))))), 1)) * ROW(INDIRECT("1:"&amp;LEN((LEFT(A252,SUM(LEN(A252)-LEN(SUBSTITUTE(A252,{"0","1","2"},"")))))))), 0), ROW(INDIRECT("1:"&amp;LEN((LEFT(A252,SUM(LEN(A252)-LEN(SUBSTITUTE(A252,{"0","1","2"},"")))))))))+1, 1) * 10^ROW(INDIRECT("1:"&amp;LEN((LEFT(A252,SUM(LEN(A252)-LEN(SUBSTITUTE(A252,{"0","1","2"},""))))))))/10))*1+1&amp;""&amp;" to "&amp;""&amp;(SUMPRODUCT(MID(0&amp;(--TRIM(RIGHT(SUBSTITUTE(LEFT(A252,_xlfn.AGGREGATE(16,6,FIND({0,1,2,3,4,5,6,7,8,9},A252,ROW(INDIRECT("1:"&amp;LEN(A252)))),1))," ",REPT(" ",LEN(A252))),LEN(A252)))), LARGE(INDEX(ISNUMBER(--MID((--TRIM(RIGHT(SUBSTITUTE(LEFT(A252,_xlfn.AGGREGATE(16,6,FIND({0,1,2,3,4,5,6,7,8,9},A252,ROW(INDIRECT("1:"&amp;LEN(A252)))),1))," ",REPT(" ",LEN(A252))),LEN(A252)))), ROW(INDIRECT("1:"&amp;LEN((--TRIM(RIGHT(SUBSTITUTE(LEFT(A252,_xlfn.AGGREGATE(16,6,FIND({0,1,2,3,4,5,6,7,8,9},A252,ROW(INDIRECT("1:"&amp;LEN(A252)))),1))," ",REPT(" ",LEN(A252))),LEN(A252))))))), 1)) * ROW(INDIRECT("1:"&amp;LEN((--TRIM(RIGHT(SUBSTITUTE(LEFT(A252,_xlfn.AGGREGATE(16,6,FIND({0,1,2,3,4,5,6,7,8,9},A252,ROW(INDIRECT("1:"&amp;LEN(A252)))),1))," ",REPT(" ",LEN(A252))),LEN(A252))))))), 0), ROW(INDIRECT("1:"&amp;LEN((--TRIM(RIGHT(SUBSTITUTE(LEFT(A252,_xlfn.AGGREGATE(16,6,FIND({0,1,2,3,4,5,6,7,8,9},A252,ROW(INDIRECT("1:"&amp;LEN(A252)))),1))," ",REPT(" ",LEN(A252))),LEN(A252))))))))+1, 1) * 10^ROW(INDIRECT("1:"&amp;LEN((--TRIM(RIGHT(SUBSTITUTE(LEFT(A252,_xlfn.AGGREGATE(16,6,FIND({0,1,2,3,4,5,6,7,8,9},A252,ROW(INDIRECT("1:"&amp;LEN(A252)))),1))," ",REPT(" ",LEN(A252))),LEN(A252)))))))/10))*1+1</f>
        <v>204 to 504</v>
      </c>
      <c r="B253" s="85"/>
      <c r="C253" s="48"/>
      <c r="D253" s="40"/>
      <c r="E253" s="40">
        <v>0</v>
      </c>
      <c r="F253" s="40">
        <f>D253*(($F$156)+1)+(IF(E253&lt;101,E253,IF(E253&lt;201,E253/2,IF(E253&lt;=301,E253/3,E253/4))))</f>
        <v>0</v>
      </c>
      <c r="G253" s="84" t="str">
        <f>G252</f>
        <v>2nd to 5th Floor</v>
      </c>
      <c r="H253" s="85"/>
      <c r="I253" s="34"/>
    </row>
    <row r="254" spans="1:14" s="35" customFormat="1" hidden="1" x14ac:dyDescent="0.25">
      <c r="A254" s="84" t="str">
        <f ca="1">(SUMPRODUCT(MID(0&amp;(LEFT(A253,SUM(LEN(A253)-LEN(SUBSTITUTE(A253,{"0","1","2"},""))))), LARGE(INDEX(ISNUMBER(--MID((LEFT(A253,SUM(LEN(A253)-LEN(SUBSTITUTE(A253,{"0","1","2"},""))))), ROW(INDIRECT("1:"&amp;LEN((LEFT(A253,SUM(LEN(A253)-LEN(SUBSTITUTE(A253,{"0","1","2"},"")))))))), 1)) * ROW(INDIRECT("1:"&amp;LEN((LEFT(A253,SUM(LEN(A253)-LEN(SUBSTITUTE(A253,{"0","1","2"},"")))))))), 0), ROW(INDIRECT("1:"&amp;LEN((LEFT(A253,SUM(LEN(A253)-LEN(SUBSTITUTE(A253,{"0","1","2"},"")))))))))+1, 1) * 10^ROW(INDIRECT("1:"&amp;LEN((LEFT(A253,SUM(LEN(A253)-LEN(SUBSTITUTE(A253,{"0","1","2"},""))))))))/10))*1+1&amp;""&amp;" to "&amp;""&amp;(SUMPRODUCT(MID(0&amp;(--TRIM(RIGHT(SUBSTITUTE(LEFT(A253,_xlfn.AGGREGATE(16,6,FIND({0,1,2,3,4,5,6,7,8,9},A253,ROW(INDIRECT("1:"&amp;LEN(A253)))),1))," ",REPT(" ",LEN(A253))),LEN(A253)))), LARGE(INDEX(ISNUMBER(--MID((--TRIM(RIGHT(SUBSTITUTE(LEFT(A253,_xlfn.AGGREGATE(16,6,FIND({0,1,2,3,4,5,6,7,8,9},A253,ROW(INDIRECT("1:"&amp;LEN(A253)))),1))," ",REPT(" ",LEN(A253))),LEN(A253)))), ROW(INDIRECT("1:"&amp;LEN((--TRIM(RIGHT(SUBSTITUTE(LEFT(A253,_xlfn.AGGREGATE(16,6,FIND({0,1,2,3,4,5,6,7,8,9},A253,ROW(INDIRECT("1:"&amp;LEN(A253)))),1))," ",REPT(" ",LEN(A253))),LEN(A253))))))), 1)) * ROW(INDIRECT("1:"&amp;LEN((--TRIM(RIGHT(SUBSTITUTE(LEFT(A253,_xlfn.AGGREGATE(16,6,FIND({0,1,2,3,4,5,6,7,8,9},A253,ROW(INDIRECT("1:"&amp;LEN(A253)))),1))," ",REPT(" ",LEN(A253))),LEN(A253))))))), 0), ROW(INDIRECT("1:"&amp;LEN((--TRIM(RIGHT(SUBSTITUTE(LEFT(A253,_xlfn.AGGREGATE(16,6,FIND({0,1,2,3,4,5,6,7,8,9},A253,ROW(INDIRECT("1:"&amp;LEN(A253)))),1))," ",REPT(" ",LEN(A253))),LEN(A253))))))))+1, 1) * 10^ROW(INDIRECT("1:"&amp;LEN((--TRIM(RIGHT(SUBSTITUTE(LEFT(A253,_xlfn.AGGREGATE(16,6,FIND({0,1,2,3,4,5,6,7,8,9},A253,ROW(INDIRECT("1:"&amp;LEN(A253)))),1))," ",REPT(" ",LEN(A253))),LEN(A253)))))))/10))*1+1</f>
        <v>205 to 505</v>
      </c>
      <c r="B254" s="85"/>
      <c r="C254" s="48"/>
      <c r="D254" s="40"/>
      <c r="E254" s="40">
        <v>0</v>
      </c>
      <c r="F254" s="40">
        <f>D254*(($F$156)+1)+(IF(E254&lt;101,E254,IF(E254&lt;201,E254/2,IF(E254&lt;=301,E254/3,E254/4))))</f>
        <v>0</v>
      </c>
      <c r="G254" s="84" t="str">
        <f>G253</f>
        <v>2nd to 5th Floor</v>
      </c>
      <c r="H254" s="85"/>
      <c r="I254" s="34"/>
    </row>
    <row r="255" spans="1:14" s="35" customFormat="1" hidden="1" x14ac:dyDescent="0.25">
      <c r="A255" s="93" t="s">
        <v>151</v>
      </c>
      <c r="B255" s="94"/>
      <c r="C255" s="94"/>
      <c r="D255" s="94"/>
      <c r="E255" s="94"/>
      <c r="F255" s="94"/>
      <c r="G255" s="94"/>
      <c r="H255" s="95"/>
      <c r="I255" s="34"/>
    </row>
    <row r="256" spans="1:14" s="35" customFormat="1" hidden="1" x14ac:dyDescent="0.25">
      <c r="A256" s="84" t="str">
        <f ca="1">(SUMPRODUCT(MID(0&amp;(LEFT(A255,SUM(LEN(A255)-LEN(SUBSTITUTE(A255,{"0","1","2"},""))))), LARGE(INDEX(ISNUMBER(--MID((LEFT(A255,SUM(LEN(A255)-LEN(SUBSTITUTE(A255,{"0","1","2"},""))))), ROW(INDIRECT("1:"&amp;LEN((LEFT(A255,SUM(LEN(A255)-LEN(SUBSTITUTE(A255,{"0","1","2"},"")))))))), 1)) * ROW(INDIRECT("1:"&amp;LEN((LEFT(A255,SUM(LEN(A255)-LEN(SUBSTITUTE(A255,{"0","1","2"},"")))))))), 0), ROW(INDIRECT("1:"&amp;LEN((LEFT(A255,SUM(LEN(A255)-LEN(SUBSTITUTE(A255,{"0","1","2"},"")))))))))+1, 1) * 10^ROW(INDIRECT("1:"&amp;LEN((LEFT(A255,SUM(LEN(A255)-LEN(SUBSTITUTE(A255,{"0","1","2"},""))))))))/10))*100+1&amp;""&amp;" &amp; "&amp;""&amp;(SUMPRODUCT(MID(0&amp;(--TRIM(RIGHT(SUBSTITUTE(LEFT(A255,_xlfn.AGGREGATE(16,6,FIND({0,1,2,3,4,5,6,7,8,9},A255,ROW(INDIRECT("1:"&amp;LEN(A255)))),1))," ",REPT(" ",LEN(A255))),LEN(A255)))), LARGE(INDEX(ISNUMBER(--MID((--TRIM(RIGHT(SUBSTITUTE(LEFT(A255,_xlfn.AGGREGATE(16,6,FIND({0,1,2,3,4,5,6,7,8,9},A255,ROW(INDIRECT("1:"&amp;LEN(A255)))),1))," ",REPT(" ",LEN(A255))),LEN(A255)))), ROW(INDIRECT("1:"&amp;LEN((--TRIM(RIGHT(SUBSTITUTE(LEFT(A255,_xlfn.AGGREGATE(16,6,FIND({0,1,2,3,4,5,6,7,8,9},A255,ROW(INDIRECT("1:"&amp;LEN(A255)))),1))," ",REPT(" ",LEN(A255))),LEN(A255))))))), 1)) * ROW(INDIRECT("1:"&amp;LEN((--TRIM(RIGHT(SUBSTITUTE(LEFT(A255,_xlfn.AGGREGATE(16,6,FIND({0,1,2,3,4,5,6,7,8,9},A255,ROW(INDIRECT("1:"&amp;LEN(A255)))),1))," ",REPT(" ",LEN(A255))),LEN(A255))))))), 0), ROW(INDIRECT("1:"&amp;LEN((--TRIM(RIGHT(SUBSTITUTE(LEFT(A255,_xlfn.AGGREGATE(16,6,FIND({0,1,2,3,4,5,6,7,8,9},A255,ROW(INDIRECT("1:"&amp;LEN(A255)))),1))," ",REPT(" ",LEN(A255))),LEN(A255))))))))+1, 1) * 10^ROW(INDIRECT("1:"&amp;LEN((--TRIM(RIGHT(SUBSTITUTE(LEFT(A255,_xlfn.AGGREGATE(16,6,FIND({0,1,2,3,4,5,6,7,8,9},A255,ROW(INDIRECT("1:"&amp;LEN(A255)))),1))," ",REPT(" ",LEN(A255))),LEN(A255)))))))/10))*100+1</f>
        <v>201 &amp; 501</v>
      </c>
      <c r="B256" s="85"/>
      <c r="C256" s="48"/>
      <c r="D256" s="40"/>
      <c r="E256" s="40">
        <v>0</v>
      </c>
      <c r="F256" s="40">
        <f>D256*(($F$156)+1)+(IF(E256&lt;101,E256,IF(E256&lt;201,E256/2,IF(E256&lt;=301,E256/3,E256/4))))</f>
        <v>0</v>
      </c>
      <c r="G256" s="84" t="str">
        <f>A255</f>
        <v>2nd &amp; 5th Floor</v>
      </c>
      <c r="H256" s="85"/>
      <c r="I256" s="34"/>
    </row>
    <row r="257" spans="1:9" s="35" customFormat="1" hidden="1" x14ac:dyDescent="0.25">
      <c r="A257" s="84" t="str">
        <f ca="1">(SUMPRODUCT(MID(0&amp;(LEFT(A256,SUM(LEN(A256)-LEN(SUBSTITUTE(A256,{"0","1","2"},""))))), LARGE(INDEX(ISNUMBER(--MID((LEFT(A256,SUM(LEN(A256)-LEN(SUBSTITUTE(A256,{"0","1","2"},""))))), ROW(INDIRECT("1:"&amp;LEN((LEFT(A256,SUM(LEN(A256)-LEN(SUBSTITUTE(A256,{"0","1","2"},"")))))))), 1)) * ROW(INDIRECT("1:"&amp;LEN((LEFT(A256,SUM(LEN(A256)-LEN(SUBSTITUTE(A256,{"0","1","2"},"")))))))), 0), ROW(INDIRECT("1:"&amp;LEN((LEFT(A256,SUM(LEN(A256)-LEN(SUBSTITUTE(A256,{"0","1","2"},"")))))))))+1, 1) * 10^ROW(INDIRECT("1:"&amp;LEN((LEFT(A256,SUM(LEN(A256)-LEN(SUBSTITUTE(A256,{"0","1","2"},""))))))))/10))*1+1&amp;""&amp;" &amp; "&amp;""&amp;(SUMPRODUCT(MID(0&amp;(--TRIM(RIGHT(SUBSTITUTE(LEFT(A256,_xlfn.AGGREGATE(16,6,FIND({0,1,2,3,4,5,6,7,8,9},A256,ROW(INDIRECT("1:"&amp;LEN(A256)))),1))," ",REPT(" ",LEN(A256))),LEN(A256)))), LARGE(INDEX(ISNUMBER(--MID((--TRIM(RIGHT(SUBSTITUTE(LEFT(A256,_xlfn.AGGREGATE(16,6,FIND({0,1,2,3,4,5,6,7,8,9},A256,ROW(INDIRECT("1:"&amp;LEN(A256)))),1))," ",REPT(" ",LEN(A256))),LEN(A256)))), ROW(INDIRECT("1:"&amp;LEN((--TRIM(RIGHT(SUBSTITUTE(LEFT(A256,_xlfn.AGGREGATE(16,6,FIND({0,1,2,3,4,5,6,7,8,9},A256,ROW(INDIRECT("1:"&amp;LEN(A256)))),1))," ",REPT(" ",LEN(A256))),LEN(A256))))))), 1)) * ROW(INDIRECT("1:"&amp;LEN((--TRIM(RIGHT(SUBSTITUTE(LEFT(A256,_xlfn.AGGREGATE(16,6,FIND({0,1,2,3,4,5,6,7,8,9},A256,ROW(INDIRECT("1:"&amp;LEN(A256)))),1))," ",REPT(" ",LEN(A256))),LEN(A256))))))), 0), ROW(INDIRECT("1:"&amp;LEN((--TRIM(RIGHT(SUBSTITUTE(LEFT(A256,_xlfn.AGGREGATE(16,6,FIND({0,1,2,3,4,5,6,7,8,9},A256,ROW(INDIRECT("1:"&amp;LEN(A256)))),1))," ",REPT(" ",LEN(A256))),LEN(A256))))))))+1, 1) * 10^ROW(INDIRECT("1:"&amp;LEN((--TRIM(RIGHT(SUBSTITUTE(LEFT(A256,_xlfn.AGGREGATE(16,6,FIND({0,1,2,3,4,5,6,7,8,9},A256,ROW(INDIRECT("1:"&amp;LEN(A256)))),1))," ",REPT(" ",LEN(A256))),LEN(A256)))))))/10))*1+1</f>
        <v>202 &amp; 502</v>
      </c>
      <c r="B257" s="85"/>
      <c r="C257" s="48"/>
      <c r="D257" s="40"/>
      <c r="E257" s="40">
        <v>0</v>
      </c>
      <c r="F257" s="40">
        <f>D257*(($F$156)+1)+(IF(E257&lt;101,E257,IF(E257&lt;201,E257/2,IF(E257&lt;=301,E257/3,E257/4))))</f>
        <v>0</v>
      </c>
      <c r="G257" s="84" t="str">
        <f t="shared" ref="G257:G260" si="33">G256</f>
        <v>2nd &amp; 5th Floor</v>
      </c>
      <c r="H257" s="85"/>
      <c r="I257" s="34"/>
    </row>
    <row r="258" spans="1:9" s="35" customFormat="1" hidden="1" x14ac:dyDescent="0.25">
      <c r="A258" s="84" t="str">
        <f ca="1">(SUMPRODUCT(MID(0&amp;(LEFT(A257,SUM(LEN(A257)-LEN(SUBSTITUTE(A257,{"0","1","2"},""))))), LARGE(INDEX(ISNUMBER(--MID((LEFT(A257,SUM(LEN(A257)-LEN(SUBSTITUTE(A257,{"0","1","2"},""))))), ROW(INDIRECT("1:"&amp;LEN((LEFT(A257,SUM(LEN(A257)-LEN(SUBSTITUTE(A257,{"0","1","2"},"")))))))), 1)) * ROW(INDIRECT("1:"&amp;LEN((LEFT(A257,SUM(LEN(A257)-LEN(SUBSTITUTE(A257,{"0","1","2"},"")))))))), 0), ROW(INDIRECT("1:"&amp;LEN((LEFT(A257,SUM(LEN(A257)-LEN(SUBSTITUTE(A257,{"0","1","2"},"")))))))))+1, 1) * 10^ROW(INDIRECT("1:"&amp;LEN((LEFT(A257,SUM(LEN(A257)-LEN(SUBSTITUTE(A257,{"0","1","2"},""))))))))/10))*1+1&amp;""&amp;" &amp; "&amp;""&amp;(SUMPRODUCT(MID(0&amp;(--TRIM(RIGHT(SUBSTITUTE(LEFT(A257,_xlfn.AGGREGATE(16,6,FIND({0,1,2,3,4,5,6,7,8,9},A257,ROW(INDIRECT("1:"&amp;LEN(A257)))),1))," ",REPT(" ",LEN(A257))),LEN(A257)))), LARGE(INDEX(ISNUMBER(--MID((--TRIM(RIGHT(SUBSTITUTE(LEFT(A257,_xlfn.AGGREGATE(16,6,FIND({0,1,2,3,4,5,6,7,8,9},A257,ROW(INDIRECT("1:"&amp;LEN(A257)))),1))," ",REPT(" ",LEN(A257))),LEN(A257)))), ROW(INDIRECT("1:"&amp;LEN((--TRIM(RIGHT(SUBSTITUTE(LEFT(A257,_xlfn.AGGREGATE(16,6,FIND({0,1,2,3,4,5,6,7,8,9},A257,ROW(INDIRECT("1:"&amp;LEN(A257)))),1))," ",REPT(" ",LEN(A257))),LEN(A257))))))), 1)) * ROW(INDIRECT("1:"&amp;LEN((--TRIM(RIGHT(SUBSTITUTE(LEFT(A257,_xlfn.AGGREGATE(16,6,FIND({0,1,2,3,4,5,6,7,8,9},A257,ROW(INDIRECT("1:"&amp;LEN(A257)))),1))," ",REPT(" ",LEN(A257))),LEN(A257))))))), 0), ROW(INDIRECT("1:"&amp;LEN((--TRIM(RIGHT(SUBSTITUTE(LEFT(A257,_xlfn.AGGREGATE(16,6,FIND({0,1,2,3,4,5,6,7,8,9},A257,ROW(INDIRECT("1:"&amp;LEN(A257)))),1))," ",REPT(" ",LEN(A257))),LEN(A257))))))))+1, 1) * 10^ROW(INDIRECT("1:"&amp;LEN((--TRIM(RIGHT(SUBSTITUTE(LEFT(A257,_xlfn.AGGREGATE(16,6,FIND({0,1,2,3,4,5,6,7,8,9},A257,ROW(INDIRECT("1:"&amp;LEN(A257)))),1))," ",REPT(" ",LEN(A257))),LEN(A257)))))))/10))*1+1</f>
        <v>203 &amp; 503</v>
      </c>
      <c r="B258" s="85"/>
      <c r="C258" s="48"/>
      <c r="D258" s="40"/>
      <c r="E258" s="40">
        <v>0</v>
      </c>
      <c r="F258" s="40">
        <f>D258*(($F$156)+1)+(IF(E258&lt;101,E258,IF(E258&lt;201,E258/2,IF(E258&lt;=301,E258/3,E258/4))))</f>
        <v>0</v>
      </c>
      <c r="G258" s="84" t="str">
        <f t="shared" si="33"/>
        <v>2nd &amp; 5th Floor</v>
      </c>
      <c r="H258" s="85"/>
      <c r="I258" s="34"/>
    </row>
    <row r="259" spans="1:9" s="35" customFormat="1" hidden="1" x14ac:dyDescent="0.25">
      <c r="A259" s="84" t="str">
        <f ca="1">(SUMPRODUCT(MID(0&amp;(LEFT(A258,SUM(LEN(A258)-LEN(SUBSTITUTE(A258,{"0","1","2"},""))))), LARGE(INDEX(ISNUMBER(--MID((LEFT(A258,SUM(LEN(A258)-LEN(SUBSTITUTE(A258,{"0","1","2"},""))))), ROW(INDIRECT("1:"&amp;LEN((LEFT(A258,SUM(LEN(A258)-LEN(SUBSTITUTE(A258,{"0","1","2"},"")))))))), 1)) * ROW(INDIRECT("1:"&amp;LEN((LEFT(A258,SUM(LEN(A258)-LEN(SUBSTITUTE(A258,{"0","1","2"},"")))))))), 0), ROW(INDIRECT("1:"&amp;LEN((LEFT(A258,SUM(LEN(A258)-LEN(SUBSTITUTE(A258,{"0","1","2"},"")))))))))+1, 1) * 10^ROW(INDIRECT("1:"&amp;LEN((LEFT(A258,SUM(LEN(A258)-LEN(SUBSTITUTE(A258,{"0","1","2"},""))))))))/10))*1+1&amp;""&amp;" &amp; "&amp;""&amp;(SUMPRODUCT(MID(0&amp;(--TRIM(RIGHT(SUBSTITUTE(LEFT(A258,_xlfn.AGGREGATE(16,6,FIND({0,1,2,3,4,5,6,7,8,9},A258,ROW(INDIRECT("1:"&amp;LEN(A258)))),1))," ",REPT(" ",LEN(A258))),LEN(A258)))), LARGE(INDEX(ISNUMBER(--MID((--TRIM(RIGHT(SUBSTITUTE(LEFT(A258,_xlfn.AGGREGATE(16,6,FIND({0,1,2,3,4,5,6,7,8,9},A258,ROW(INDIRECT("1:"&amp;LEN(A258)))),1))," ",REPT(" ",LEN(A258))),LEN(A258)))), ROW(INDIRECT("1:"&amp;LEN((--TRIM(RIGHT(SUBSTITUTE(LEFT(A258,_xlfn.AGGREGATE(16,6,FIND({0,1,2,3,4,5,6,7,8,9},A258,ROW(INDIRECT("1:"&amp;LEN(A258)))),1))," ",REPT(" ",LEN(A258))),LEN(A258))))))), 1)) * ROW(INDIRECT("1:"&amp;LEN((--TRIM(RIGHT(SUBSTITUTE(LEFT(A258,_xlfn.AGGREGATE(16,6,FIND({0,1,2,3,4,5,6,7,8,9},A258,ROW(INDIRECT("1:"&amp;LEN(A258)))),1))," ",REPT(" ",LEN(A258))),LEN(A258))))))), 0), ROW(INDIRECT("1:"&amp;LEN((--TRIM(RIGHT(SUBSTITUTE(LEFT(A258,_xlfn.AGGREGATE(16,6,FIND({0,1,2,3,4,5,6,7,8,9},A258,ROW(INDIRECT("1:"&amp;LEN(A258)))),1))," ",REPT(" ",LEN(A258))),LEN(A258))))))))+1, 1) * 10^ROW(INDIRECT("1:"&amp;LEN((--TRIM(RIGHT(SUBSTITUTE(LEFT(A258,_xlfn.AGGREGATE(16,6,FIND({0,1,2,3,4,5,6,7,8,9},A258,ROW(INDIRECT("1:"&amp;LEN(A258)))),1))," ",REPT(" ",LEN(A258))),LEN(A258)))))))/10))*1+1</f>
        <v>204 &amp; 504</v>
      </c>
      <c r="B259" s="85"/>
      <c r="C259" s="48"/>
      <c r="D259" s="40"/>
      <c r="E259" s="40">
        <v>0</v>
      </c>
      <c r="F259" s="40">
        <f>D259*(($F$156)+1)+(IF(E259&lt;101,E259,IF(E259&lt;201,E259/2,IF(E259&lt;=301,E259/3,E259/4))))</f>
        <v>0</v>
      </c>
      <c r="G259" s="84" t="str">
        <f t="shared" si="33"/>
        <v>2nd &amp; 5th Floor</v>
      </c>
      <c r="H259" s="85"/>
      <c r="I259" s="34"/>
    </row>
    <row r="260" spans="1:9" s="35" customFormat="1" hidden="1" x14ac:dyDescent="0.25">
      <c r="A260" s="84" t="str">
        <f ca="1">(SUMPRODUCT(MID(0&amp;(LEFT(A259,SUM(LEN(A259)-LEN(SUBSTITUTE(A259,{"0","1","2"},""))))), LARGE(INDEX(ISNUMBER(--MID((LEFT(A259,SUM(LEN(A259)-LEN(SUBSTITUTE(A259,{"0","1","2"},""))))), ROW(INDIRECT("1:"&amp;LEN((LEFT(A259,SUM(LEN(A259)-LEN(SUBSTITUTE(A259,{"0","1","2"},"")))))))), 1)) * ROW(INDIRECT("1:"&amp;LEN((LEFT(A259,SUM(LEN(A259)-LEN(SUBSTITUTE(A259,{"0","1","2"},"")))))))), 0), ROW(INDIRECT("1:"&amp;LEN((LEFT(A259,SUM(LEN(A259)-LEN(SUBSTITUTE(A259,{"0","1","2"},"")))))))))+1, 1) * 10^ROW(INDIRECT("1:"&amp;LEN((LEFT(A259,SUM(LEN(A259)-LEN(SUBSTITUTE(A259,{"0","1","2"},""))))))))/10))*1+1&amp;""&amp;" &amp; "&amp;""&amp;(SUMPRODUCT(MID(0&amp;(--TRIM(RIGHT(SUBSTITUTE(LEFT(A259,_xlfn.AGGREGATE(16,6,FIND({0,1,2,3,4,5,6,7,8,9},A259,ROW(INDIRECT("1:"&amp;LEN(A259)))),1))," ",REPT(" ",LEN(A259))),LEN(A259)))), LARGE(INDEX(ISNUMBER(--MID((--TRIM(RIGHT(SUBSTITUTE(LEFT(A259,_xlfn.AGGREGATE(16,6,FIND({0,1,2,3,4,5,6,7,8,9},A259,ROW(INDIRECT("1:"&amp;LEN(A259)))),1))," ",REPT(" ",LEN(A259))),LEN(A259)))), ROW(INDIRECT("1:"&amp;LEN((--TRIM(RIGHT(SUBSTITUTE(LEFT(A259,_xlfn.AGGREGATE(16,6,FIND({0,1,2,3,4,5,6,7,8,9},A259,ROW(INDIRECT("1:"&amp;LEN(A259)))),1))," ",REPT(" ",LEN(A259))),LEN(A259))))))), 1)) * ROW(INDIRECT("1:"&amp;LEN((--TRIM(RIGHT(SUBSTITUTE(LEFT(A259,_xlfn.AGGREGATE(16,6,FIND({0,1,2,3,4,5,6,7,8,9},A259,ROW(INDIRECT("1:"&amp;LEN(A259)))),1))," ",REPT(" ",LEN(A259))),LEN(A259))))))), 0), ROW(INDIRECT("1:"&amp;LEN((--TRIM(RIGHT(SUBSTITUTE(LEFT(A259,_xlfn.AGGREGATE(16,6,FIND({0,1,2,3,4,5,6,7,8,9},A259,ROW(INDIRECT("1:"&amp;LEN(A259)))),1))," ",REPT(" ",LEN(A259))),LEN(A259))))))))+1, 1) * 10^ROW(INDIRECT("1:"&amp;LEN((--TRIM(RIGHT(SUBSTITUTE(LEFT(A259,_xlfn.AGGREGATE(16,6,FIND({0,1,2,3,4,5,6,7,8,9},A259,ROW(INDIRECT("1:"&amp;LEN(A259)))),1))," ",REPT(" ",LEN(A259))),LEN(A259)))))))/10))*1+1</f>
        <v>205 &amp; 505</v>
      </c>
      <c r="B260" s="85"/>
      <c r="C260" s="48"/>
      <c r="D260" s="40"/>
      <c r="E260" s="40">
        <v>0</v>
      </c>
      <c r="F260" s="40">
        <f>D260*(($F$156)+1)+(IF(E260&lt;101,E260,IF(E260&lt;201,E260/2,IF(E260&lt;=301,E260/3,E260/4))))</f>
        <v>0</v>
      </c>
      <c r="G260" s="84" t="str">
        <f t="shared" si="33"/>
        <v>2nd &amp; 5th Floor</v>
      </c>
      <c r="H260" s="85"/>
      <c r="I260" s="34"/>
    </row>
    <row r="261" spans="1:9" s="33" customFormat="1" x14ac:dyDescent="0.25">
      <c r="A261" s="191" t="s">
        <v>70</v>
      </c>
      <c r="B261" s="191"/>
      <c r="C261" s="191"/>
      <c r="D261" s="191"/>
      <c r="E261" s="191"/>
      <c r="F261" s="191"/>
      <c r="G261" s="191"/>
      <c r="H261" s="191"/>
    </row>
    <row r="262" spans="1:9" s="33" customFormat="1" ht="33.75" customHeight="1" x14ac:dyDescent="0.25">
      <c r="A262" s="43" t="s">
        <v>160</v>
      </c>
      <c r="B262" s="140" t="s">
        <v>238</v>
      </c>
      <c r="C262" s="141"/>
      <c r="D262" s="141"/>
      <c r="E262" s="141"/>
      <c r="F262" s="141"/>
      <c r="G262" s="141"/>
      <c r="H262" s="142"/>
    </row>
    <row r="263" spans="1:9" s="33" customFormat="1" x14ac:dyDescent="0.25">
      <c r="A263" s="43" t="s">
        <v>160</v>
      </c>
      <c r="B263" s="140" t="str">
        <f>(IF(F155="Saleable area Loading :","We have considered Saleable area of Flats as per our Calculation.","We considered Saleable area of Flat as per Builder area Sheet."))</f>
        <v>We have considered Saleable area of Flats as per our Calculation.</v>
      </c>
      <c r="C263" s="141"/>
      <c r="D263" s="141"/>
      <c r="E263" s="141"/>
      <c r="F263" s="141"/>
      <c r="G263" s="141"/>
      <c r="H263" s="142"/>
    </row>
    <row r="264" spans="1:9" s="33" customFormat="1" hidden="1" x14ac:dyDescent="0.25">
      <c r="A264" s="43" t="s">
        <v>160</v>
      </c>
      <c r="B264" s="140" t="str">
        <f>(IF(F137="Saleable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64" s="141"/>
      <c r="D264" s="141"/>
      <c r="E264" s="141"/>
      <c r="F264" s="141"/>
      <c r="G264" s="141"/>
      <c r="H264" s="142"/>
    </row>
    <row r="265" spans="1:9" s="33" customFormat="1" x14ac:dyDescent="0.25">
      <c r="A265" s="43" t="s">
        <v>160</v>
      </c>
      <c r="B265" s="137" t="s">
        <v>127</v>
      </c>
      <c r="C265" s="138"/>
      <c r="D265" s="138"/>
      <c r="E265" s="138"/>
      <c r="F265" s="138"/>
      <c r="G265" s="138"/>
      <c r="H265" s="139"/>
    </row>
    <row r="266" spans="1:9" s="33" customFormat="1" x14ac:dyDescent="0.25">
      <c r="A266" s="43" t="s">
        <v>160</v>
      </c>
      <c r="B266" s="137" t="s">
        <v>202</v>
      </c>
      <c r="C266" s="138"/>
      <c r="D266" s="138"/>
      <c r="E266" s="138"/>
      <c r="F266" s="138"/>
      <c r="G266" s="138"/>
      <c r="H266" s="139"/>
    </row>
    <row r="267" spans="1:9" s="33" customFormat="1" x14ac:dyDescent="0.25">
      <c r="A267" s="43" t="s">
        <v>160</v>
      </c>
      <c r="B267" s="137" t="s">
        <v>159</v>
      </c>
      <c r="C267" s="138"/>
      <c r="D267" s="138"/>
      <c r="E267" s="138"/>
      <c r="F267" s="138"/>
      <c r="G267" s="138"/>
      <c r="H267" s="139"/>
    </row>
    <row r="268" spans="1:9" s="33" customFormat="1" x14ac:dyDescent="0.25">
      <c r="A268" s="43" t="s">
        <v>160</v>
      </c>
      <c r="B268" s="137" t="s">
        <v>128</v>
      </c>
      <c r="C268" s="138"/>
      <c r="D268" s="138"/>
      <c r="E268" s="138"/>
      <c r="F268" s="138"/>
      <c r="G268" s="138"/>
      <c r="H268" s="139"/>
    </row>
    <row r="269" spans="1:9" s="33" customFormat="1" ht="34.5" customHeight="1" x14ac:dyDescent="0.25">
      <c r="A269" s="43" t="s">
        <v>160</v>
      </c>
      <c r="B269" s="137" t="s">
        <v>161</v>
      </c>
      <c r="C269" s="138"/>
      <c r="D269" s="138"/>
      <c r="E269" s="138"/>
      <c r="F269" s="138"/>
      <c r="G269" s="138"/>
      <c r="H269" s="139"/>
    </row>
    <row r="270" spans="1:9" s="33" customFormat="1" x14ac:dyDescent="0.25">
      <c r="A270" s="43" t="s">
        <v>160</v>
      </c>
      <c r="B270" s="137" t="s">
        <v>129</v>
      </c>
      <c r="C270" s="138"/>
      <c r="D270" s="138"/>
      <c r="E270" s="138"/>
      <c r="F270" s="138"/>
      <c r="G270" s="138"/>
      <c r="H270" s="139"/>
    </row>
    <row r="271" spans="1:9" s="33" customFormat="1" x14ac:dyDescent="0.25">
      <c r="A271" s="59" t="s">
        <v>160</v>
      </c>
      <c r="B271" s="137" t="s">
        <v>226</v>
      </c>
      <c r="C271" s="138"/>
      <c r="D271" s="138"/>
      <c r="E271" s="138"/>
      <c r="F271" s="138"/>
      <c r="G271" s="138"/>
      <c r="H271" s="139"/>
    </row>
    <row r="272" spans="1:9" s="33" customFormat="1" ht="33.6" customHeight="1" x14ac:dyDescent="0.25">
      <c r="A272" s="59" t="s">
        <v>160</v>
      </c>
      <c r="B272" s="137" t="s">
        <v>221</v>
      </c>
      <c r="C272" s="138"/>
      <c r="D272" s="138"/>
      <c r="E272" s="138"/>
      <c r="F272" s="138"/>
      <c r="G272" s="138"/>
      <c r="H272" s="139"/>
    </row>
    <row r="273" spans="1:8" s="33" customFormat="1" x14ac:dyDescent="0.25">
      <c r="A273" s="64" t="s">
        <v>160</v>
      </c>
      <c r="B273" s="137" t="s">
        <v>235</v>
      </c>
      <c r="C273" s="138"/>
      <c r="D273" s="138"/>
      <c r="E273" s="138"/>
      <c r="F273" s="138"/>
      <c r="G273" s="138"/>
      <c r="H273" s="139"/>
    </row>
    <row r="274" spans="1:8" x14ac:dyDescent="0.25">
      <c r="A274" s="148" t="s">
        <v>63</v>
      </c>
      <c r="B274" s="148"/>
      <c r="C274" s="148"/>
      <c r="D274" s="148"/>
      <c r="E274" s="148"/>
      <c r="F274" s="148"/>
      <c r="G274" s="148"/>
      <c r="H274" s="148"/>
    </row>
    <row r="275" spans="1:8" x14ac:dyDescent="0.25">
      <c r="A275" s="73" t="s">
        <v>64</v>
      </c>
      <c r="B275" s="73"/>
      <c r="C275" s="73"/>
      <c r="D275" s="73"/>
      <c r="E275" s="73"/>
      <c r="F275" s="73"/>
      <c r="G275" s="73"/>
      <c r="H275" s="73"/>
    </row>
    <row r="276" spans="1:8" ht="15.75" customHeight="1" x14ac:dyDescent="0.25">
      <c r="A276" s="130" t="s">
        <v>65</v>
      </c>
      <c r="B276" s="130"/>
      <c r="C276" s="130"/>
      <c r="D276" s="130"/>
      <c r="E276" s="130"/>
      <c r="F276" s="130"/>
      <c r="G276" s="130"/>
      <c r="H276" s="130"/>
    </row>
    <row r="277" spans="1:8" x14ac:dyDescent="0.25">
      <c r="A277" s="73" t="s">
        <v>66</v>
      </c>
      <c r="B277" s="73"/>
      <c r="C277" s="73"/>
      <c r="D277" s="73"/>
      <c r="E277" s="73"/>
      <c r="F277" s="73"/>
      <c r="G277" s="73"/>
      <c r="H277" s="73"/>
    </row>
    <row r="278" spans="1:8" x14ac:dyDescent="0.25">
      <c r="A278" s="73" t="s">
        <v>67</v>
      </c>
      <c r="B278" s="73"/>
      <c r="C278" s="73"/>
      <c r="D278" s="73"/>
      <c r="E278" s="73"/>
      <c r="F278" s="73"/>
      <c r="G278" s="73"/>
      <c r="H278" s="73"/>
    </row>
    <row r="279" spans="1:8" x14ac:dyDescent="0.25">
      <c r="A279" s="73" t="s">
        <v>130</v>
      </c>
      <c r="B279" s="73"/>
      <c r="C279" s="73"/>
      <c r="D279" s="73"/>
      <c r="E279" s="73"/>
      <c r="F279" s="73"/>
      <c r="G279" s="73"/>
      <c r="H279" s="73"/>
    </row>
    <row r="280" spans="1:8" ht="36.75" customHeight="1" x14ac:dyDescent="0.25">
      <c r="A280" s="98" t="s">
        <v>131</v>
      </c>
      <c r="B280" s="98"/>
      <c r="C280" s="98"/>
      <c r="D280" s="98"/>
      <c r="E280" s="98"/>
      <c r="F280" s="98"/>
      <c r="G280" s="98"/>
      <c r="H280" s="98"/>
    </row>
    <row r="281" spans="1:8" x14ac:dyDescent="0.25">
      <c r="A281" s="145" t="s">
        <v>80</v>
      </c>
      <c r="B281" s="145"/>
      <c r="C281" s="145" t="s">
        <v>236</v>
      </c>
      <c r="D281" s="145"/>
      <c r="E281" s="145" t="s">
        <v>107</v>
      </c>
      <c r="F281" s="145"/>
      <c r="G281" s="145" t="s">
        <v>237</v>
      </c>
      <c r="H281" s="145"/>
    </row>
    <row r="282" spans="1:8" x14ac:dyDescent="0.25">
      <c r="A282" s="144" t="s">
        <v>82</v>
      </c>
      <c r="B282" s="144"/>
      <c r="C282" s="144"/>
      <c r="D282" s="144"/>
      <c r="E282" s="144"/>
      <c r="F282" s="144"/>
      <c r="G282" s="144"/>
      <c r="H282" s="144"/>
    </row>
    <row r="283" spans="1:8" x14ac:dyDescent="0.25">
      <c r="A283" s="144"/>
      <c r="B283" s="144"/>
      <c r="C283" s="144"/>
      <c r="D283" s="144"/>
      <c r="E283" s="144"/>
      <c r="F283" s="144"/>
      <c r="G283" s="144"/>
      <c r="H283" s="144"/>
    </row>
    <row r="284" spans="1:8" x14ac:dyDescent="0.25">
      <c r="A284" s="144"/>
      <c r="B284" s="144"/>
      <c r="C284" s="144"/>
      <c r="D284" s="144"/>
      <c r="E284" s="144"/>
      <c r="F284" s="144"/>
      <c r="G284" s="144"/>
      <c r="H284" s="144"/>
    </row>
    <row r="285" spans="1:8" x14ac:dyDescent="0.25">
      <c r="A285" s="144"/>
      <c r="B285" s="144"/>
      <c r="C285" s="144"/>
      <c r="D285" s="144"/>
      <c r="E285" s="144"/>
      <c r="F285" s="144"/>
      <c r="G285" s="144"/>
      <c r="H285" s="144"/>
    </row>
    <row r="286" spans="1:8" x14ac:dyDescent="0.25">
      <c r="A286" s="36" t="s">
        <v>68</v>
      </c>
      <c r="B286" s="37"/>
      <c r="C286" s="37"/>
      <c r="D286" s="36" t="str">
        <f>E8</f>
        <v>Crown Dombivli 1 Sector O (Cluster 15.05)</v>
      </c>
      <c r="F286" s="37"/>
      <c r="G286" s="37"/>
      <c r="H286" s="37"/>
    </row>
    <row r="287" spans="1:8" x14ac:dyDescent="0.25">
      <c r="A287" s="37"/>
      <c r="B287" s="37"/>
      <c r="C287" s="37"/>
      <c r="D287" s="37"/>
      <c r="E287" s="37"/>
      <c r="F287" s="37"/>
      <c r="G287" s="37"/>
      <c r="H287" s="37"/>
    </row>
    <row r="288" spans="1:8" x14ac:dyDescent="0.25">
      <c r="A288" s="37"/>
      <c r="B288" s="37"/>
      <c r="C288" s="37"/>
      <c r="D288" s="37"/>
      <c r="E288" s="37"/>
      <c r="F288" s="37"/>
      <c r="G288" s="37"/>
      <c r="H288" s="37"/>
    </row>
    <row r="289" ht="15" customHeight="1" x14ac:dyDescent="0.25"/>
    <row r="328" spans="1:1" ht="16.5" customHeight="1" x14ac:dyDescent="0.25"/>
    <row r="329" spans="1:1" x14ac:dyDescent="0.25">
      <c r="A329" s="39" t="s">
        <v>172</v>
      </c>
    </row>
    <row r="372" spans="1:1" x14ac:dyDescent="0.25">
      <c r="A372" s="39"/>
    </row>
    <row r="415" spans="1:1" x14ac:dyDescent="0.25">
      <c r="A415" s="39" t="s">
        <v>69</v>
      </c>
    </row>
  </sheetData>
  <mergeCells count="542">
    <mergeCell ref="A104:B104"/>
    <mergeCell ref="A105:B105"/>
    <mergeCell ref="A106:B106"/>
    <mergeCell ref="A107:B107"/>
    <mergeCell ref="B272:H272"/>
    <mergeCell ref="B271:H271"/>
    <mergeCell ref="L201:M201"/>
    <mergeCell ref="A202:B202"/>
    <mergeCell ref="L202:M202"/>
    <mergeCell ref="A203:B203"/>
    <mergeCell ref="L203:M203"/>
    <mergeCell ref="A198:B198"/>
    <mergeCell ref="L198:M198"/>
    <mergeCell ref="A199:B199"/>
    <mergeCell ref="L199:M199"/>
    <mergeCell ref="A200:B200"/>
    <mergeCell ref="L200:M200"/>
    <mergeCell ref="L230:M230"/>
    <mergeCell ref="A231:B231"/>
    <mergeCell ref="L231:M231"/>
    <mergeCell ref="C227:F227"/>
    <mergeCell ref="A204:B204"/>
    <mergeCell ref="L204:M204"/>
    <mergeCell ref="A205:B205"/>
    <mergeCell ref="L205:M205"/>
    <mergeCell ref="G198:H205"/>
    <mergeCell ref="A201:B201"/>
    <mergeCell ref="L225:M225"/>
    <mergeCell ref="G132:H132"/>
    <mergeCell ref="A197:H197"/>
    <mergeCell ref="A157:H157"/>
    <mergeCell ref="A196:H196"/>
    <mergeCell ref="A186:B186"/>
    <mergeCell ref="E133:F133"/>
    <mergeCell ref="A155:A156"/>
    <mergeCell ref="A184:B184"/>
    <mergeCell ref="A177:H177"/>
    <mergeCell ref="A178:H178"/>
    <mergeCell ref="A154:H154"/>
    <mergeCell ref="A159:H159"/>
    <mergeCell ref="C133:D133"/>
    <mergeCell ref="A151:B151"/>
    <mergeCell ref="C174:F174"/>
    <mergeCell ref="L223:M223"/>
    <mergeCell ref="L207:M207"/>
    <mergeCell ref="A208:B208"/>
    <mergeCell ref="L208:M208"/>
    <mergeCell ref="A209:B209"/>
    <mergeCell ref="L226:M226"/>
    <mergeCell ref="A227:B227"/>
    <mergeCell ref="L227:M227"/>
    <mergeCell ref="A228:B228"/>
    <mergeCell ref="L228:M228"/>
    <mergeCell ref="A229:B229"/>
    <mergeCell ref="L229:M229"/>
    <mergeCell ref="L212:M212"/>
    <mergeCell ref="A213:B213"/>
    <mergeCell ref="L213:M213"/>
    <mergeCell ref="A214:B214"/>
    <mergeCell ref="L214:M214"/>
    <mergeCell ref="A217:B217"/>
    <mergeCell ref="G217:H223"/>
    <mergeCell ref="L217:M217"/>
    <mergeCell ref="A218:B218"/>
    <mergeCell ref="L218:M218"/>
    <mergeCell ref="A219:B219"/>
    <mergeCell ref="L219:M219"/>
    <mergeCell ref="A220:B220"/>
    <mergeCell ref="L220:M220"/>
    <mergeCell ref="A221:B221"/>
    <mergeCell ref="L221:M221"/>
    <mergeCell ref="L222:M222"/>
    <mergeCell ref="L209:M209"/>
    <mergeCell ref="A210:B210"/>
    <mergeCell ref="L210:M210"/>
    <mergeCell ref="A211:B211"/>
    <mergeCell ref="L211:M211"/>
    <mergeCell ref="A222:B222"/>
    <mergeCell ref="L184:M184"/>
    <mergeCell ref="A185:B185"/>
    <mergeCell ref="L185:M185"/>
    <mergeCell ref="L186:M186"/>
    <mergeCell ref="G179:H186"/>
    <mergeCell ref="A187:H187"/>
    <mergeCell ref="A188:B188"/>
    <mergeCell ref="G188:H195"/>
    <mergeCell ref="L188:M188"/>
    <mergeCell ref="A189:B189"/>
    <mergeCell ref="L189:M189"/>
    <mergeCell ref="A190:B190"/>
    <mergeCell ref="L190:M190"/>
    <mergeCell ref="A191:B191"/>
    <mergeCell ref="L191:M191"/>
    <mergeCell ref="A192:B192"/>
    <mergeCell ref="L192:M192"/>
    <mergeCell ref="A193:B193"/>
    <mergeCell ref="L193:M193"/>
    <mergeCell ref="A194:B194"/>
    <mergeCell ref="L194:M194"/>
    <mergeCell ref="A195:B195"/>
    <mergeCell ref="L195:M195"/>
    <mergeCell ref="A179:B179"/>
    <mergeCell ref="L181:M181"/>
    <mergeCell ref="A182:B182"/>
    <mergeCell ref="L182:M182"/>
    <mergeCell ref="A183:B183"/>
    <mergeCell ref="L183:M183"/>
    <mergeCell ref="L179:M179"/>
    <mergeCell ref="A180:B180"/>
    <mergeCell ref="L180:M180"/>
    <mergeCell ref="A181:B181"/>
    <mergeCell ref="G248:H248"/>
    <mergeCell ref="G247:H247"/>
    <mergeCell ref="L237:M237"/>
    <mergeCell ref="B262:H262"/>
    <mergeCell ref="B263:H263"/>
    <mergeCell ref="A250:B250"/>
    <mergeCell ref="A38:B38"/>
    <mergeCell ref="C38:H38"/>
    <mergeCell ref="B269:H269"/>
    <mergeCell ref="A47:B47"/>
    <mergeCell ref="C47:H47"/>
    <mergeCell ref="B267:H267"/>
    <mergeCell ref="F110:H110"/>
    <mergeCell ref="A110:E110"/>
    <mergeCell ref="G245:H245"/>
    <mergeCell ref="G241:H241"/>
    <mergeCell ref="G238:H238"/>
    <mergeCell ref="D137:D138"/>
    <mergeCell ref="A112:E112"/>
    <mergeCell ref="A150:B150"/>
    <mergeCell ref="B265:H265"/>
    <mergeCell ref="B266:H266"/>
    <mergeCell ref="G256:H256"/>
    <mergeCell ref="G254:H254"/>
    <mergeCell ref="A261:H261"/>
    <mergeCell ref="A253:B253"/>
    <mergeCell ref="A254:B254"/>
    <mergeCell ref="G252:H252"/>
    <mergeCell ref="A249:H249"/>
    <mergeCell ref="A251:B251"/>
    <mergeCell ref="A252:B252"/>
    <mergeCell ref="G129:H129"/>
    <mergeCell ref="F115:H115"/>
    <mergeCell ref="A232:H232"/>
    <mergeCell ref="A247:B247"/>
    <mergeCell ref="A244:B244"/>
    <mergeCell ref="G236:H236"/>
    <mergeCell ref="A239:B239"/>
    <mergeCell ref="A240:B240"/>
    <mergeCell ref="G235:H235"/>
    <mergeCell ref="A215:H215"/>
    <mergeCell ref="A216:H216"/>
    <mergeCell ref="A243:H243"/>
    <mergeCell ref="A236:B236"/>
    <mergeCell ref="G246:H246"/>
    <mergeCell ref="G244:H244"/>
    <mergeCell ref="A241:B241"/>
    <mergeCell ref="G242:H242"/>
    <mergeCell ref="E137:E138"/>
    <mergeCell ref="G137:H138"/>
    <mergeCell ref="F108:H108"/>
    <mergeCell ref="F113:H113"/>
    <mergeCell ref="C137:C138"/>
    <mergeCell ref="A119:E119"/>
    <mergeCell ref="G133:H133"/>
    <mergeCell ref="C125:D125"/>
    <mergeCell ref="E125:F125"/>
    <mergeCell ref="G125:H125"/>
    <mergeCell ref="A126:B126"/>
    <mergeCell ref="C126:D126"/>
    <mergeCell ref="A131:B131"/>
    <mergeCell ref="C131:D131"/>
    <mergeCell ref="E131:F131"/>
    <mergeCell ref="G131:H131"/>
    <mergeCell ref="A134:B134"/>
    <mergeCell ref="C134:D134"/>
    <mergeCell ref="E134:F134"/>
    <mergeCell ref="G134:H134"/>
    <mergeCell ref="F119:H119"/>
    <mergeCell ref="A132:B132"/>
    <mergeCell ref="C132:D132"/>
    <mergeCell ref="E132:F132"/>
    <mergeCell ref="L236:M236"/>
    <mergeCell ref="G233:H233"/>
    <mergeCell ref="L233:M233"/>
    <mergeCell ref="A234:B234"/>
    <mergeCell ref="G234:H234"/>
    <mergeCell ref="L151:M151"/>
    <mergeCell ref="L150:M150"/>
    <mergeCell ref="E126:F126"/>
    <mergeCell ref="G126:H126"/>
    <mergeCell ref="A130:B130"/>
    <mergeCell ref="C130:D130"/>
    <mergeCell ref="E130:F130"/>
    <mergeCell ref="G130:H130"/>
    <mergeCell ref="C128:D128"/>
    <mergeCell ref="G128:H128"/>
    <mergeCell ref="A139:H139"/>
    <mergeCell ref="A140:H140"/>
    <mergeCell ref="A141:H141"/>
    <mergeCell ref="A142:B142"/>
    <mergeCell ref="L234:M234"/>
    <mergeCell ref="A235:B235"/>
    <mergeCell ref="L235:M235"/>
    <mergeCell ref="C129:D129"/>
    <mergeCell ref="E129:F129"/>
    <mergeCell ref="A53:H53"/>
    <mergeCell ref="D57:H57"/>
    <mergeCell ref="E41:H41"/>
    <mergeCell ref="A41:D41"/>
    <mergeCell ref="A114:E114"/>
    <mergeCell ref="A79:B79"/>
    <mergeCell ref="D60:H60"/>
    <mergeCell ref="A42:D42"/>
    <mergeCell ref="E42:H42"/>
    <mergeCell ref="E43:H43"/>
    <mergeCell ref="E44:H44"/>
    <mergeCell ref="E45:H45"/>
    <mergeCell ref="A44:D44"/>
    <mergeCell ref="F114:H114"/>
    <mergeCell ref="A65:C65"/>
    <mergeCell ref="D65:H65"/>
    <mergeCell ref="A63:C63"/>
    <mergeCell ref="A54:C54"/>
    <mergeCell ref="A55:C55"/>
    <mergeCell ref="D55:H55"/>
    <mergeCell ref="G52:H52"/>
    <mergeCell ref="C51:H51"/>
    <mergeCell ref="D58:H58"/>
    <mergeCell ref="A57:C58"/>
    <mergeCell ref="A35:B35"/>
    <mergeCell ref="C35:E35"/>
    <mergeCell ref="A40:D40"/>
    <mergeCell ref="E40:H40"/>
    <mergeCell ref="F32:H32"/>
    <mergeCell ref="F33:H33"/>
    <mergeCell ref="A39:H39"/>
    <mergeCell ref="A59:C59"/>
    <mergeCell ref="D59:H59"/>
    <mergeCell ref="A37:B37"/>
    <mergeCell ref="C37:H37"/>
    <mergeCell ref="A43:D43"/>
    <mergeCell ref="F35:H35"/>
    <mergeCell ref="A45:D45"/>
    <mergeCell ref="A46:H46"/>
    <mergeCell ref="D56:H56"/>
    <mergeCell ref="A56:C56"/>
    <mergeCell ref="G49:H49"/>
    <mergeCell ref="A50:B51"/>
    <mergeCell ref="C49:E49"/>
    <mergeCell ref="A52:B52"/>
    <mergeCell ref="C52:E52"/>
    <mergeCell ref="A36:H36"/>
    <mergeCell ref="A49:B49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33:B133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B137:B138"/>
    <mergeCell ref="A137:A138"/>
    <mergeCell ref="A282:H285"/>
    <mergeCell ref="A281:B281"/>
    <mergeCell ref="E281:F281"/>
    <mergeCell ref="C281:D281"/>
    <mergeCell ref="G281:H281"/>
    <mergeCell ref="A122:H122"/>
    <mergeCell ref="A237:H237"/>
    <mergeCell ref="A129:B129"/>
    <mergeCell ref="A246:B246"/>
    <mergeCell ref="A124:B124"/>
    <mergeCell ref="A277:H277"/>
    <mergeCell ref="A127:H127"/>
    <mergeCell ref="A280:H280"/>
    <mergeCell ref="A278:H278"/>
    <mergeCell ref="A274:H274"/>
    <mergeCell ref="G250:H250"/>
    <mergeCell ref="A248:B248"/>
    <mergeCell ref="B155:B156"/>
    <mergeCell ref="A233:B233"/>
    <mergeCell ref="A153:B153"/>
    <mergeCell ref="A242:B242"/>
    <mergeCell ref="A125:B125"/>
    <mergeCell ref="G225:H231"/>
    <mergeCell ref="A230:B230"/>
    <mergeCell ref="A275:H275"/>
    <mergeCell ref="E128:F128"/>
    <mergeCell ref="B270:H270"/>
    <mergeCell ref="G152:H152"/>
    <mergeCell ref="G150:H150"/>
    <mergeCell ref="G151:H151"/>
    <mergeCell ref="G153:H153"/>
    <mergeCell ref="B268:H268"/>
    <mergeCell ref="B264:H264"/>
    <mergeCell ref="A258:B258"/>
    <mergeCell ref="G258:H258"/>
    <mergeCell ref="G257:H257"/>
    <mergeCell ref="A255:H255"/>
    <mergeCell ref="A256:B256"/>
    <mergeCell ref="A257:B257"/>
    <mergeCell ref="A260:B260"/>
    <mergeCell ref="G260:H260"/>
    <mergeCell ref="A259:B259"/>
    <mergeCell ref="A135:H135"/>
    <mergeCell ref="G240:H240"/>
    <mergeCell ref="G259:H259"/>
    <mergeCell ref="G239:H239"/>
    <mergeCell ref="A279:H279"/>
    <mergeCell ref="A276:H276"/>
    <mergeCell ref="G253:H253"/>
    <mergeCell ref="A238:B238"/>
    <mergeCell ref="A128:B128"/>
    <mergeCell ref="D155:D156"/>
    <mergeCell ref="E155:E156"/>
    <mergeCell ref="G155:H156"/>
    <mergeCell ref="A161:H161"/>
    <mergeCell ref="A162:B162"/>
    <mergeCell ref="A165:B165"/>
    <mergeCell ref="A170:B170"/>
    <mergeCell ref="G170:H176"/>
    <mergeCell ref="A175:B175"/>
    <mergeCell ref="G251:H251"/>
    <mergeCell ref="B273:H273"/>
    <mergeCell ref="A226:B226"/>
    <mergeCell ref="A223:B223"/>
    <mergeCell ref="A206:H206"/>
    <mergeCell ref="A207:B207"/>
    <mergeCell ref="G207:H214"/>
    <mergeCell ref="A212:B212"/>
    <mergeCell ref="A224:H224"/>
    <mergeCell ref="A225:B225"/>
    <mergeCell ref="F117:H117"/>
    <mergeCell ref="A245:B245"/>
    <mergeCell ref="A136:H136"/>
    <mergeCell ref="G123:H123"/>
    <mergeCell ref="A118:E118"/>
    <mergeCell ref="G124:H124"/>
    <mergeCell ref="A48:B48"/>
    <mergeCell ref="C48:E48"/>
    <mergeCell ref="G48:H48"/>
    <mergeCell ref="G50:H50"/>
    <mergeCell ref="D54:H54"/>
    <mergeCell ref="C50:E50"/>
    <mergeCell ref="C124:D124"/>
    <mergeCell ref="E124:F124"/>
    <mergeCell ref="F118:H118"/>
    <mergeCell ref="E123:F123"/>
    <mergeCell ref="A123:B123"/>
    <mergeCell ref="A120:E120"/>
    <mergeCell ref="F120:H120"/>
    <mergeCell ref="A121:E121"/>
    <mergeCell ref="F121:H121"/>
    <mergeCell ref="A76:B76"/>
    <mergeCell ref="A69:B69"/>
    <mergeCell ref="A72:B72"/>
    <mergeCell ref="F111:H111"/>
    <mergeCell ref="A116:E116"/>
    <mergeCell ref="A111:E111"/>
    <mergeCell ref="A108:E108"/>
    <mergeCell ref="A75:B75"/>
    <mergeCell ref="F109:H109"/>
    <mergeCell ref="A74:B74"/>
    <mergeCell ref="F112:H112"/>
    <mergeCell ref="A113:E113"/>
    <mergeCell ref="A77:B77"/>
    <mergeCell ref="A80:B80"/>
    <mergeCell ref="C80:H80"/>
    <mergeCell ref="A82:B82"/>
    <mergeCell ref="C82:H82"/>
    <mergeCell ref="A83:B83"/>
    <mergeCell ref="E83:F83"/>
    <mergeCell ref="G83:H83"/>
    <mergeCell ref="A84:B84"/>
    <mergeCell ref="E84:F93"/>
    <mergeCell ref="G84:H93"/>
    <mergeCell ref="A85:B85"/>
    <mergeCell ref="A109:E109"/>
    <mergeCell ref="A94:B94"/>
    <mergeCell ref="C94:H94"/>
    <mergeCell ref="D63:H63"/>
    <mergeCell ref="A64:C64"/>
    <mergeCell ref="D64:H64"/>
    <mergeCell ref="A70:B70"/>
    <mergeCell ref="G69:H69"/>
    <mergeCell ref="A60:C60"/>
    <mergeCell ref="E70:F79"/>
    <mergeCell ref="G70:H79"/>
    <mergeCell ref="A78:B78"/>
    <mergeCell ref="A61:C61"/>
    <mergeCell ref="D61:H61"/>
    <mergeCell ref="C68:H68"/>
    <mergeCell ref="A71:B71"/>
    <mergeCell ref="A73:B73"/>
    <mergeCell ref="E69:F69"/>
    <mergeCell ref="A62:C62"/>
    <mergeCell ref="D62:H62"/>
    <mergeCell ref="A68:B68"/>
    <mergeCell ref="A66:B66"/>
    <mergeCell ref="C66:H66"/>
    <mergeCell ref="L163:M163"/>
    <mergeCell ref="A164:B164"/>
    <mergeCell ref="L164:M164"/>
    <mergeCell ref="L146:M146"/>
    <mergeCell ref="A147:B147"/>
    <mergeCell ref="L147:M147"/>
    <mergeCell ref="A148:B148"/>
    <mergeCell ref="L148:M148"/>
    <mergeCell ref="G142:H148"/>
    <mergeCell ref="A158:H158"/>
    <mergeCell ref="A160:H160"/>
    <mergeCell ref="A143:B143"/>
    <mergeCell ref="L143:M143"/>
    <mergeCell ref="A144:B144"/>
    <mergeCell ref="L144:M144"/>
    <mergeCell ref="A145:B145"/>
    <mergeCell ref="L145:M145"/>
    <mergeCell ref="L153:M153"/>
    <mergeCell ref="L152:M152"/>
    <mergeCell ref="L142:M142"/>
    <mergeCell ref="C155:C156"/>
    <mergeCell ref="A152:B152"/>
    <mergeCell ref="A149:H149"/>
    <mergeCell ref="A146:B146"/>
    <mergeCell ref="F116:H116"/>
    <mergeCell ref="L175:M175"/>
    <mergeCell ref="A176:B176"/>
    <mergeCell ref="L176:M176"/>
    <mergeCell ref="L170:M170"/>
    <mergeCell ref="A171:B171"/>
    <mergeCell ref="L171:M171"/>
    <mergeCell ref="A172:B172"/>
    <mergeCell ref="L172:M172"/>
    <mergeCell ref="A173:B173"/>
    <mergeCell ref="L173:M173"/>
    <mergeCell ref="A174:B174"/>
    <mergeCell ref="L174:M174"/>
    <mergeCell ref="L165:M165"/>
    <mergeCell ref="A166:B166"/>
    <mergeCell ref="L166:M166"/>
    <mergeCell ref="A167:B167"/>
    <mergeCell ref="L167:M167"/>
    <mergeCell ref="A168:B168"/>
    <mergeCell ref="L168:M168"/>
    <mergeCell ref="G162:H168"/>
    <mergeCell ref="A169:H169"/>
    <mergeCell ref="L162:M162"/>
    <mergeCell ref="A163:B163"/>
    <mergeCell ref="C123:D123"/>
    <mergeCell ref="A115:E115"/>
    <mergeCell ref="A117:E117"/>
    <mergeCell ref="A86:B86"/>
    <mergeCell ref="A87:B87"/>
    <mergeCell ref="A88:B88"/>
    <mergeCell ref="A89:B89"/>
    <mergeCell ref="A90:B90"/>
    <mergeCell ref="A91:B91"/>
    <mergeCell ref="A92:B92"/>
    <mergeCell ref="A93:B93"/>
    <mergeCell ref="A96:B96"/>
    <mergeCell ref="C96:H96"/>
    <mergeCell ref="A97:B97"/>
    <mergeCell ref="E97:F97"/>
    <mergeCell ref="G97:H97"/>
    <mergeCell ref="A98:B98"/>
    <mergeCell ref="E98:F107"/>
    <mergeCell ref="G98:H107"/>
    <mergeCell ref="A99:B99"/>
    <mergeCell ref="A100:B100"/>
    <mergeCell ref="A101:B101"/>
    <mergeCell ref="A102:B102"/>
    <mergeCell ref="A103:B103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285" max="16383" man="1"/>
    <brk id="328" max="16383" man="1"/>
    <brk id="371" max="16383" man="1"/>
    <brk id="41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3" t="s">
        <v>108</v>
      </c>
      <c r="C3" s="203"/>
      <c r="D3" s="203"/>
      <c r="E3" s="203"/>
      <c r="F3" s="203"/>
      <c r="G3" s="203"/>
      <c r="H3" s="203"/>
    </row>
    <row r="4" spans="1:9" x14ac:dyDescent="0.25">
      <c r="A4" s="2"/>
      <c r="B4" s="3" t="s">
        <v>109</v>
      </c>
      <c r="C4" s="3" t="s">
        <v>110</v>
      </c>
      <c r="D4" s="3" t="s">
        <v>71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2024-11-25T09:25:25Z</cp:lastPrinted>
  <dcterms:created xsi:type="dcterms:W3CDTF">2019-07-16T09:29:46Z</dcterms:created>
  <dcterms:modified xsi:type="dcterms:W3CDTF">2025-07-08T12:18:14Z</dcterms:modified>
</cp:coreProperties>
</file>