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July 2025\0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30" i="1" l="1"/>
  <c r="J131" i="1" s="1"/>
  <c r="D131" i="1"/>
  <c r="F131" i="1" s="1"/>
  <c r="I131" i="1" s="1"/>
  <c r="D132" i="1"/>
  <c r="F132" i="1" s="1"/>
  <c r="I132" i="1" s="1"/>
  <c r="D129" i="1"/>
  <c r="F129" i="1" s="1"/>
  <c r="J130" i="1" s="1"/>
  <c r="I129" i="1"/>
  <c r="A132" i="1"/>
  <c r="F130" i="1"/>
  <c r="A130" i="1"/>
  <c r="G129" i="1"/>
  <c r="G130" i="1" s="1"/>
  <c r="G131" i="1" s="1"/>
  <c r="G132" i="1" s="1"/>
  <c r="F107" i="1"/>
  <c r="G107" i="1"/>
  <c r="G108" i="1" s="1"/>
  <c r="G109" i="1" s="1"/>
  <c r="G110" i="1" s="1"/>
  <c r="A108" i="1"/>
  <c r="A109" i="1" s="1"/>
  <c r="A110" i="1" s="1"/>
  <c r="F108" i="1"/>
  <c r="F109" i="1"/>
  <c r="F110" i="1"/>
  <c r="D125" i="1"/>
  <c r="F125" i="1" s="1"/>
  <c r="I125" i="1" s="1"/>
  <c r="D124" i="1"/>
  <c r="F124" i="1" s="1"/>
  <c r="I124" i="1" s="1"/>
  <c r="D123" i="1"/>
  <c r="F123" i="1" s="1"/>
  <c r="I123" i="1" s="1"/>
  <c r="D122" i="1"/>
  <c r="F122" i="1" s="1"/>
  <c r="I122" i="1" s="1"/>
  <c r="D121" i="1"/>
  <c r="J122" i="1" s="1"/>
  <c r="D120" i="1"/>
  <c r="D119" i="1"/>
  <c r="I118" i="1"/>
  <c r="A121" i="1"/>
  <c r="A125" i="1"/>
  <c r="C101" i="1" l="1"/>
  <c r="E101" i="1"/>
  <c r="Z12" i="1"/>
  <c r="I14" i="1"/>
  <c r="F118" i="1" l="1"/>
  <c r="E43" i="1" l="1"/>
  <c r="E44" i="1" s="1"/>
  <c r="C15" i="1" l="1"/>
  <c r="E30" i="1" l="1"/>
  <c r="F119" i="1" l="1"/>
  <c r="F120" i="1"/>
  <c r="F121" i="1"/>
  <c r="I121" i="1" s="1"/>
  <c r="A119" i="1"/>
  <c r="G118" i="1"/>
  <c r="G119" i="1" s="1"/>
  <c r="G120" i="1" s="1"/>
  <c r="G121" i="1" s="1"/>
  <c r="G122" i="1" s="1"/>
  <c r="G123" i="1" s="1"/>
  <c r="G124" i="1" s="1"/>
  <c r="G125" i="1" s="1"/>
  <c r="J121" i="1" l="1"/>
  <c r="G101" i="1"/>
  <c r="F93" i="1"/>
  <c r="B135" i="1" l="1"/>
  <c r="B13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8" i="1"/>
  <c r="C66" i="1"/>
  <c r="B67" i="1" s="1"/>
  <c r="G50" i="1"/>
  <c r="G51" i="1" s="1"/>
  <c r="C50" i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<sst xmlns="http://schemas.openxmlformats.org/spreadsheetml/2006/main" count="396" uniqueCount="281">
  <si>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</si>
  <si>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</si>
  <si>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</si>
  <si>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</si>
  <si>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</si>
  <si>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</si>
  <si>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</si>
  <si>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</si>
  <si>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</si>
  <si>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</si>
  <si>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</si>
  <si>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</si>
  <si>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</si>
  <si>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</si>
  <si>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</si>
  <si>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</si>
  <si>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</si>
  <si>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</si>
  <si>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</si>
  <si>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</si>
  <si>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</si>
  <si>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</si>
  <si>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</si>
  <si>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</si>
  <si>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</si>
  <si>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</si>
  <si>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</si>
  <si>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</si>
  <si>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</si>
  <si>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</si>
  <si>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</si>
  <si>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</si>
  <si>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</si>
  <si>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</si>
  <si>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</si>
  <si>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</si>
  <si>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</si>
  <si>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</si>
  <si>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</si>
  <si>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</si>
  <si>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</si>
  <si>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</si>
  <si>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</si>
  <si>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</si>
  <si>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</si>
  <si>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</si>
  <si>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</si>
  <si>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</si>
  <si>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</si>
  <si>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</si>
  <si>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</si>
  <si>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</si>
  <si>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</si>
  <si>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</si>
  <si>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</si>
  <si>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</si>
  <si>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</si>
  <si>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</si>
  <si>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</si>
  <si>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</si>
  <si>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</si>
  <si>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</si>
  <si>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</si>
  <si>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</si>
  <si>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</si>
  <si>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</si>
  <si>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</si>
  <si>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</si>
  <si>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</si>
  <si>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</si>
  <si>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</si>
  <si>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</si>
  <si>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</si>
  <si>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</si>
  <si>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</si>
  <si>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</si>
  <si>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</si>
  <si>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</si>
  <si>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</si>
  <si>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</si>
  <si>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</si>
  <si>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</si>
  <si>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</si>
  <si>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</si>
  <si>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</si>
  <si>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</si>
  <si>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</si>
  <si>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</si>
  <si>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</si>
  <si>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</si>
  <si>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</si>
  <si>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</si>
  <si>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</si>
  <si>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</si>
  <si>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</si>
  <si>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</si>
  <si>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</si>
  <si>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</si>
  <si>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</si>
  <si>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</si>
  <si>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</si>
  <si>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</si>
  <si>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</si>
  <si>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</si>
  <si>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</si>
  <si>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</si>
  <si>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</si>
  <si>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</si>
  <si>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</si>
  <si>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</si>
  <si>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</si>
  <si>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</si>
  <si>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</si>
  <si>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</si>
  <si>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</si>
  <si>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</si>
  <si>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</si>
  <si>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</si>
  <si>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</si>
  <si>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</si>
  <si>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</si>
  <si>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</si>
  <si>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</si>
  <si>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</si>
  <si>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</si>
  <si>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</si>
  <si>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</si>
  <si>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</si>
  <si>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</si>
  <si>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</si>
  <si>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</si>
  <si>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</si>
  <si>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</si>
  <si>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</si>
  <si>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</si>
  <si>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</si>
  <si>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</si>
  <si>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</si>
  <si>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</si>
  <si>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</si>
  <si>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</si>
  <si>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</si>
  <si>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</si>
  <si>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</si>
  <si>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</si>
  <si>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</si>
  <si>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</si>
  <si>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</si>
  <si>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</si>
  <si>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</si>
  <si>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</si>
  <si>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</si>
  <si>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</si>
  <si>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</si>
  <si>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</si>
  <si>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</si>
  <si>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</si>
  <si>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</si>
  <si>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</si>
  <si>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</si>
  <si>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</si>
  <si>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</si>
  <si>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</si>
  <si>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</si>
  <si>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</si>
  <si>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</si>
  <si>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</si>
  <si>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</si>
  <si>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</si>
  <si>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</si>
  <si>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</si>
  <si>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</si>
  <si>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</si>
  <si>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</si>
  <si>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</si>
  <si>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</si>
  <si>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</si>
  <si>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</si>
  <si>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</si>
  <si>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</si>
  <si>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</si>
  <si>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</si>
  <si>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</si>
  <si>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</si>
  <si>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</si>
  <si>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</si>
  <si>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</si>
  <si>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</si>
  <si>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</si>
  <si>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</si>
  <si>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</si>
  <si>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</si>
  <si>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</si>
  <si>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</si>
  <si>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</si>
  <si>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</si>
  <si>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</si>
  <si>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</si>
  <si>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</si>
  <si>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</si>
  <si>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</si>
  <si>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</si>
  <si>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</si>
  <si>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</si>
  <si>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</si>
  <si>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</si>
  <si>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</si>
  <si>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</si>
  <si>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</si>
  <si>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</si>
  <si>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</si>
  <si>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</si>
  <si>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</si>
  <si>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</si>
  <si>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</si>
  <si>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</si>
  <si>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</si>
  <si>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</si>
  <si>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</si>
  <si>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</si>
  <si>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</si>
  <si>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</si>
  <si>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</si>
  <si>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</si>
  <si>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</si>
  <si>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</si>
  <si>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</si>
  <si>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</si>
  <si>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</si>
  <si>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</si>
  <si>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</si>
  <si>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</si>
  <si>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</si>
  <si>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</si>
  <si>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Dhartidhan Construction</t>
  </si>
  <si>
    <t>Dharti 3</t>
  </si>
  <si>
    <t>Building No. 3</t>
  </si>
  <si>
    <t>Approved Plans, CC, Cost Sheet</t>
  </si>
  <si>
    <t>Old Survey No</t>
  </si>
  <si>
    <t>411/A, Hissa No.2, New S.No &amp; H.No. 411/C/1A, 411/D/1 &amp; 411/D/2, (Old S.No. 411/C/1), 411/C/2, 411/C/3 &amp; 411/C/4</t>
  </si>
  <si>
    <t>Bolinj</t>
  </si>
  <si>
    <t>https://maps.app.goo.gl/6wvHH11K1iSPgYrc8</t>
  </si>
  <si>
    <t>19.439552, 72.809058</t>
  </si>
  <si>
    <t>Internal Road</t>
  </si>
  <si>
    <t>Open Plot</t>
  </si>
  <si>
    <t>Building No. 1 &amp; 2</t>
  </si>
  <si>
    <t>Voilet Tower</t>
  </si>
  <si>
    <t>2.00 KM from Virar Railway Station</t>
  </si>
  <si>
    <t>Virar (West)</t>
  </si>
  <si>
    <t>12.00M Wide Road</t>
  </si>
  <si>
    <t>Other Plot</t>
  </si>
  <si>
    <t>Buildings</t>
  </si>
  <si>
    <t>Vasai-Virar City Municipal Corporation</t>
  </si>
  <si>
    <t>VVCMC/TP/AMEND/VP/5851/829/2021-22</t>
  </si>
  <si>
    <t>Building No.3 - Stilt + 1st to 22nd Floor</t>
  </si>
  <si>
    <t xml:space="preserve">Commencement-CC No
Valid Up to: </t>
  </si>
  <si>
    <t>Building No.3 - Stilt + 1st to 22nd Foor</t>
  </si>
  <si>
    <t>As per RERA - 31/12/2026</t>
  </si>
  <si>
    <t xml:space="preserve">Landscaping &amp; Tree, Sewage Treatment, Storm Water Drains, Car Parking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</si>
  <si>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</si>
  <si>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Ground Floor for Parking, Meter Room, Society Office &amp; Entrance Lobby</t>
  </si>
  <si>
    <t>1st to 22nd Floor for Residential</t>
  </si>
  <si>
    <t>1BHK</t>
  </si>
  <si>
    <t xml:space="preserve">We considered Gross carpet area = Net carpet + Balcony </t>
  </si>
  <si>
    <t>Refuge Area at mid-landing between the 8th, 9th, 13th, 14th, 18th, and 19th floors.</t>
  </si>
  <si>
    <t>Building No.3</t>
  </si>
  <si>
    <t>Flats - 176</t>
  </si>
  <si>
    <t>Building No. 4</t>
  </si>
  <si>
    <t>2BHK</t>
  </si>
  <si>
    <t>Cost sheet</t>
  </si>
  <si>
    <t>38 All Inc</t>
  </si>
  <si>
    <t xml:space="preserve">https://www.makaan.com/dhartidhan-developers-1405646-bhbyl </t>
  </si>
  <si>
    <t>Layout plan is taken from RERA.</t>
  </si>
  <si>
    <t>Plot No. 411/D/1 &amp; 411/D/2</t>
  </si>
  <si>
    <t>Mr. Dubey : 9987082444</t>
  </si>
  <si>
    <t>P99000046274</t>
  </si>
  <si>
    <t>Construction work is in process at the time of Visit</t>
  </si>
  <si>
    <t>Mr. Navnath Bhatkar</t>
  </si>
  <si>
    <t>Mr. Pravin : 9987082444</t>
  </si>
  <si>
    <t>Finishing Work is in process.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</si>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</sst>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0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25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0" fontId="27" fillId="0" borderId="0" xfId="10" applyAlignment="1">
      <alignment horizontal="center" vertical="center"/>
    </xf>
    <xf numFmtId="0" fontId="7" fillId="0" borderId="0" xfId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18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8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0" xfId="8" applyFont="1" applyFill="1" applyBorder="1" applyAlignment="1" applyProtection="1">
      <alignment horizontal="center" vertical="center" wrapText="1"/>
      <protection locked="0"/>
    </xf>
    <xf numFmtId="9" fontId="12" fillId="0" borderId="21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12" xfId="0" applyFont="1" applyFill="1" applyBorder="1"/>
    <xf numFmtId="0" fontId="26" fillId="0" borderId="8" xfId="0" applyFont="1" applyBorder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1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225136</xdr:colOff>
      <xdr:row>203</xdr:row>
      <xdr:rowOff>103909</xdr:rowOff>
    </xdr:from>
    <xdr:to>
      <xdr:col>6</xdr:col>
      <xdr:colOff>477431</xdr:colOff>
      <xdr:row>217</xdr:row>
      <xdr:rowOff>39491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136" y="54457023"/>
          <a:ext cx="4400000" cy="272380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277091</xdr:colOff>
      <xdr:row>218</xdr:row>
      <xdr:rowOff>173182</xdr:rowOff>
    </xdr:from>
    <xdr:to>
      <xdr:col>7</xdr:col>
      <xdr:colOff>547470</xdr:colOff>
      <xdr:row>227</xdr:row>
      <xdr:rowOff>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41635921"/>
          <a:ext cx="5943966" cy="16166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2</xdr:col>
      <xdr:colOff>95250</xdr:colOff>
      <xdr:row>222</xdr:row>
      <xdr:rowOff>43296</xdr:rowOff>
    </xdr:from>
    <xdr:to>
      <xdr:col>3</xdr:col>
      <xdr:colOff>242455</xdr:colOff>
      <xdr:row>225</xdr:row>
      <xdr:rowOff>103909</xdr:rowOff>
    </xdr:to>
    <xdr:sp macro="" textlink="">
      <xdr:nvSpPr>
        <xdr:cNvPr id="4" name="Rectangle 3"/>
        <xdr:cNvSpPr/>
      </xdr:nvSpPr>
      <xdr:spPr>
        <a:xfrm>
          <a:off x="1653886" y="58180432"/>
          <a:ext cx="995796" cy="658091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741670</xdr:colOff>
      <xdr:row>264</xdr:row>
      <xdr:rowOff>141194</xdr:rowOff>
    </xdr:from>
    <xdr:to>
      <xdr:col>7</xdr:col>
      <xdr:colOff>187106</xdr:colOff>
      <xdr:row>282</xdr:row>
      <xdr:rowOff>156330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1670" y="64124346"/>
          <a:ext cx="5119023" cy="35932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694345</xdr:colOff>
      <xdr:row>246</xdr:row>
      <xdr:rowOff>0</xdr:rowOff>
    </xdr:from>
    <xdr:to>
      <xdr:col>7</xdr:col>
      <xdr:colOff>101911</xdr:colOff>
      <xdr:row>264</xdr:row>
      <xdr:rowOff>15136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94345" y="60405065"/>
          <a:ext cx="5081153" cy="35932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729529</xdr:colOff>
      <xdr:row>275</xdr:row>
      <xdr:rowOff>122287</xdr:rowOff>
    </xdr:from>
    <xdr:to>
      <xdr:col>4</xdr:col>
      <xdr:colOff>77714</xdr:colOff>
      <xdr:row>277</xdr:row>
      <xdr:rowOff>174172</xdr:rowOff>
    </xdr:to>
    <xdr:sp macro="" textlink="">
      <xdr:nvSpPr>
        <xdr:cNvPr id="8" name="TextBox 7"/>
        <xdr:cNvSpPr txBox="1"/>
      </xdr:nvSpPr>
      <xdr:spPr>
        <a:xfrm rot="20549499">
          <a:off x="3139768" y="66292048"/>
          <a:ext cx="292403" cy="449450"/>
        </a:xfrm>
        <a:prstGeom prst="rect">
          <a:avLst/>
        </a:prstGeom>
        <a:noFill/>
        <a:ln w="2857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4</xdr:col>
      <xdr:colOff>120473</xdr:colOff>
      <xdr:row>275</xdr:row>
      <xdr:rowOff>16956</xdr:rowOff>
    </xdr:from>
    <xdr:to>
      <xdr:col>4</xdr:col>
      <xdr:colOff>412876</xdr:colOff>
      <xdr:row>277</xdr:row>
      <xdr:rowOff>68841</xdr:rowOff>
    </xdr:to>
    <xdr:sp macro="" textlink="">
      <xdr:nvSpPr>
        <xdr:cNvPr id="13" name="TextBox 12"/>
        <xdr:cNvSpPr txBox="1"/>
      </xdr:nvSpPr>
      <xdr:spPr>
        <a:xfrm rot="20549499">
          <a:off x="3474930" y="66186717"/>
          <a:ext cx="292403" cy="449450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3</xdr:col>
      <xdr:colOff>670891</xdr:colOff>
      <xdr:row>277</xdr:row>
      <xdr:rowOff>140804</xdr:rowOff>
    </xdr:from>
    <xdr:to>
      <xdr:col>4</xdr:col>
      <xdr:colOff>530087</xdr:colOff>
      <xdr:row>278</xdr:row>
      <xdr:rowOff>182218</xdr:rowOff>
    </xdr:to>
    <xdr:sp macro="" textlink="">
      <xdr:nvSpPr>
        <xdr:cNvPr id="16" name="TextBox 15"/>
        <xdr:cNvSpPr txBox="1"/>
      </xdr:nvSpPr>
      <xdr:spPr>
        <a:xfrm rot="20719792">
          <a:off x="3081130" y="66708130"/>
          <a:ext cx="803414" cy="240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chemeClr val="bg1"/>
              </a:solidFill>
            </a:rPr>
            <a:t>Bldg</a:t>
          </a:r>
          <a:r>
            <a:rPr lang="en-IN" sz="1100" b="1" baseline="0">
              <a:solidFill>
                <a:schemeClr val="bg1"/>
              </a:solidFill>
            </a:rPr>
            <a:t> No.3</a:t>
          </a:r>
          <a:endParaRPr lang="en-IN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344103</xdr:colOff>
      <xdr:row>274</xdr:row>
      <xdr:rowOff>182607</xdr:rowOff>
    </xdr:from>
    <xdr:to>
      <xdr:col>5</xdr:col>
      <xdr:colOff>368952</xdr:colOff>
      <xdr:row>276</xdr:row>
      <xdr:rowOff>25239</xdr:rowOff>
    </xdr:to>
    <xdr:sp macro="" textlink="">
      <xdr:nvSpPr>
        <xdr:cNvPr id="18" name="TextBox 17"/>
        <xdr:cNvSpPr txBox="1"/>
      </xdr:nvSpPr>
      <xdr:spPr>
        <a:xfrm rot="20775006">
          <a:off x="3698560" y="66153585"/>
          <a:ext cx="803414" cy="240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ysClr val="windowText" lastClr="000000"/>
              </a:solidFill>
            </a:rPr>
            <a:t>Bldg</a:t>
          </a:r>
          <a:r>
            <a:rPr lang="en-IN" sz="1100" b="1" baseline="0">
              <a:solidFill>
                <a:sysClr val="windowText" lastClr="000000"/>
              </a:solidFill>
            </a:rPr>
            <a:t> No.4</a:t>
          </a:r>
          <a:endParaRPr lang="en-IN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591266</xdr:colOff>
      <xdr:row>222</xdr:row>
      <xdr:rowOff>43296</xdr:rowOff>
    </xdr:from>
    <xdr:to>
      <xdr:col>2</xdr:col>
      <xdr:colOff>596348</xdr:colOff>
      <xdr:row>225</xdr:row>
      <xdr:rowOff>132522</xdr:rowOff>
    </xdr:to>
    <xdr:cxnSp macro="">
      <xdr:nvCxnSpPr>
        <xdr:cNvPr id="10" name="Straight Connector 9"/>
        <xdr:cNvCxnSpPr>
          <a:stCxn id="4" idx="0"/>
        </xdr:cNvCxnSpPr>
      </xdr:nvCxnSpPr>
      <xdr:spPr>
        <a:xfrm>
          <a:off x="2156679" y="42301166"/>
          <a:ext cx="5082" cy="685573"/>
        </a:xfrm>
        <a:prstGeom prst="line">
          <a:avLst/>
        </a:prstGeom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687457</xdr:colOff>
      <xdr:row>222</xdr:row>
      <xdr:rowOff>140803</xdr:rowOff>
    </xdr:from>
    <xdr:to>
      <xdr:col>3</xdr:col>
      <xdr:colOff>99391</xdr:colOff>
      <xdr:row>224</xdr:row>
      <xdr:rowOff>24848</xdr:rowOff>
    </xdr:to>
    <xdr:sp macro="" textlink="">
      <xdr:nvSpPr>
        <xdr:cNvPr id="11" name="TextBox 10"/>
        <xdr:cNvSpPr txBox="1"/>
      </xdr:nvSpPr>
      <xdr:spPr>
        <a:xfrm>
          <a:off x="2252870" y="42398673"/>
          <a:ext cx="256760" cy="2816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FF00"/>
              </a:solidFill>
            </a:rPr>
            <a:t>4</a:t>
          </a:r>
        </a:p>
      </xdr:txBody>
    </xdr:sp>
    <xdr:clientData/>
  </xdr:twoCellAnchor>
  <xdr:twoCellAnchor>
    <xdr:from>
      <xdr:col>2</xdr:col>
      <xdr:colOff>194265</xdr:colOff>
      <xdr:row>222</xdr:row>
      <xdr:rowOff>132522</xdr:rowOff>
    </xdr:from>
    <xdr:to>
      <xdr:col>2</xdr:col>
      <xdr:colOff>451025</xdr:colOff>
      <xdr:row>224</xdr:row>
      <xdr:rowOff>74543</xdr:rowOff>
    </xdr:to>
    <xdr:sp macro="" textlink="">
      <xdr:nvSpPr>
        <xdr:cNvPr id="27" name="TextBox 26"/>
        <xdr:cNvSpPr txBox="1"/>
      </xdr:nvSpPr>
      <xdr:spPr>
        <a:xfrm>
          <a:off x="1759678" y="42390392"/>
          <a:ext cx="256760" cy="339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800" b="1">
              <a:solidFill>
                <a:srgbClr val="FFFF00"/>
              </a:solidFill>
            </a:rPr>
            <a:t>3</a:t>
          </a:r>
        </a:p>
      </xdr:txBody>
    </xdr:sp>
    <xdr:clientData/>
  </xdr:twoCellAnchor>
  <xdr:twoCellAnchor>
    <xdr:from>
      <xdr:col>9</xdr:col>
      <xdr:colOff>0</xdr:colOff>
      <xdr:row>157</xdr:row>
      <xdr:rowOff>0</xdr:rowOff>
    </xdr:from>
    <xdr:to>
      <xdr:col>10</xdr:col>
      <xdr:colOff>13252</xdr:colOff>
      <xdr:row>158</xdr:row>
      <xdr:rowOff>41412</xdr:rowOff>
    </xdr:to>
    <xdr:sp macro="" textlink="">
      <xdr:nvSpPr>
        <xdr:cNvPr id="28" name="TextBox 27"/>
        <xdr:cNvSpPr txBox="1"/>
      </xdr:nvSpPr>
      <xdr:spPr>
        <a:xfrm>
          <a:off x="7912100" y="29038550"/>
          <a:ext cx="813352" cy="2382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No</a:t>
          </a:r>
          <a:r>
            <a:rPr lang="en-IN" sz="1100" baseline="0"/>
            <a:t>. 3</a:t>
          </a:r>
          <a:endParaRPr lang="en-IN" sz="1100"/>
        </a:p>
      </xdr:txBody>
    </xdr:sp>
    <xdr:clientData/>
  </xdr:twoCellAnchor>
  <xdr:twoCellAnchor>
    <xdr:from>
      <xdr:col>11</xdr:col>
      <xdr:colOff>297238</xdr:colOff>
      <xdr:row>157</xdr:row>
      <xdr:rowOff>8282</xdr:rowOff>
    </xdr:from>
    <xdr:to>
      <xdr:col>12</xdr:col>
      <xdr:colOff>385585</xdr:colOff>
      <xdr:row>158</xdr:row>
      <xdr:rowOff>49694</xdr:rowOff>
    </xdr:to>
    <xdr:sp macro="" textlink="">
      <xdr:nvSpPr>
        <xdr:cNvPr id="29" name="TextBox 28"/>
        <xdr:cNvSpPr txBox="1"/>
      </xdr:nvSpPr>
      <xdr:spPr>
        <a:xfrm>
          <a:off x="9746038" y="29046832"/>
          <a:ext cx="824947" cy="2382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Bldg No</a:t>
          </a:r>
          <a:r>
            <a:rPr lang="en-IN" sz="1100" baseline="0"/>
            <a:t>. 3</a:t>
          </a:r>
          <a:endParaRPr lang="en-IN" sz="1100"/>
        </a:p>
      </xdr:txBody>
    </xdr:sp>
    <xdr:clientData/>
  </xdr:twoCellAnchor>
  <xdr:twoCellAnchor>
    <xdr:from>
      <xdr:col>0</xdr:col>
      <xdr:colOff>133350</xdr:colOff>
      <xdr:row>158</xdr:row>
      <xdr:rowOff>88900</xdr:rowOff>
    </xdr:from>
    <xdr:to>
      <xdr:col>7</xdr:col>
      <xdr:colOff>631853</xdr:colOff>
      <xdr:row>195</xdr:row>
      <xdr:rowOff>93270</xdr:rowOff>
    </xdr:to>
    <xdr:grpSp>
      <xdr:nvGrpSpPr>
        <xdr:cNvPr id="5" name="Group 4"/>
        <xdr:cNvGrpSpPr/>
      </xdr:nvGrpSpPr>
      <xdr:grpSpPr>
        <a:xfrm>
          <a:off x="133350" y="29190950"/>
          <a:ext cx="6454803" cy="7281470"/>
          <a:chOff x="133350" y="29190950"/>
          <a:chExt cx="6454803" cy="7281470"/>
        </a:xfrm>
      </xdr:grpSpPr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44788" y="343124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3350" y="2919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216" y="3431242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5820" y="2919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2216" y="3203968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23992" y="3203968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8290" y="29190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brightnessContrast bright="40000" contrast="-4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5768" y="32039685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83012" y="343124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613190</xdr:colOff>
      <xdr:row>23</xdr:row>
      <xdr:rowOff>85500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455766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makaan.com/dhartidhan-developers-1405646-bhbyl" TargetMode="External"/><Relationship Id="rId1" Type="http://schemas.openxmlformats.org/officeDocument/2006/relationships/hyperlink" Target="https://maps.app.goo.gl/6wvHH11K1iSPgYrc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45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6" width="11.7265625" style="36" customWidth="1"/>
    <col min="7" max="7" width="11.453125" style="36" customWidth="1"/>
    <col min="8" max="8" width="10.5429687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32" t="s">
        <v>167</v>
      </c>
      <c r="B1" s="132"/>
      <c r="C1" s="132"/>
      <c r="D1" s="132"/>
      <c r="E1" s="132"/>
      <c r="F1" s="132"/>
      <c r="G1" s="132"/>
      <c r="H1" s="132"/>
    </row>
    <row r="2" spans="1:26" ht="16.5" customHeight="1" x14ac:dyDescent="0.3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26" x14ac:dyDescent="0.35">
      <c r="A3" s="64" t="s">
        <v>1</v>
      </c>
      <c r="B3" s="64"/>
      <c r="C3" s="64"/>
      <c r="D3" s="64"/>
      <c r="E3" s="64" t="str">
        <f ca="1">TEXT(TODAY(),"DD/MM/YYYY")</f>
        <v>09/07/2025</v>
      </c>
      <c r="F3" s="64"/>
      <c r="G3" s="64"/>
      <c r="H3" s="64"/>
    </row>
    <row r="4" spans="1:26" ht="15" customHeight="1" x14ac:dyDescent="0.35">
      <c r="A4" s="64" t="s">
        <v>2</v>
      </c>
      <c r="B4" s="64"/>
      <c r="C4" s="64"/>
      <c r="D4" s="64"/>
      <c r="E4" s="64" t="s">
        <v>172</v>
      </c>
      <c r="F4" s="64"/>
      <c r="G4" s="64"/>
      <c r="H4" s="64"/>
    </row>
    <row r="5" spans="1:26" x14ac:dyDescent="0.35">
      <c r="A5" s="64" t="s">
        <v>3</v>
      </c>
      <c r="B5" s="64"/>
      <c r="C5" s="64"/>
      <c r="D5" s="64"/>
      <c r="E5" s="133">
        <v>45846</v>
      </c>
      <c r="F5" s="64"/>
      <c r="G5" s="64"/>
      <c r="H5" s="64"/>
    </row>
    <row r="6" spans="1:26" ht="16.5" customHeight="1" x14ac:dyDescent="0.35">
      <c r="A6" s="64" t="s">
        <v>4</v>
      </c>
      <c r="B6" s="64"/>
      <c r="C6" s="64"/>
      <c r="D6" s="64"/>
      <c r="E6" s="64" t="s">
        <v>234</v>
      </c>
      <c r="F6" s="64"/>
      <c r="G6" s="64"/>
      <c r="H6" s="64"/>
    </row>
    <row r="7" spans="1:26" ht="15" customHeight="1" x14ac:dyDescent="0.35">
      <c r="A7" s="64" t="s">
        <v>5</v>
      </c>
      <c r="B7" s="64"/>
      <c r="C7" s="64"/>
      <c r="D7" s="64"/>
      <c r="E7" s="64" t="str">
        <f>E6</f>
        <v>Dhartidhan Construction</v>
      </c>
      <c r="F7" s="64"/>
      <c r="G7" s="64"/>
      <c r="H7" s="64"/>
    </row>
    <row r="8" spans="1:26" x14ac:dyDescent="0.35">
      <c r="A8" s="64" t="s">
        <v>6</v>
      </c>
      <c r="B8" s="64"/>
      <c r="C8" s="64"/>
      <c r="D8" s="64"/>
      <c r="E8" s="128" t="s">
        <v>235</v>
      </c>
      <c r="F8" s="128"/>
      <c r="G8" s="128"/>
      <c r="H8" s="128"/>
    </row>
    <row r="9" spans="1:26" x14ac:dyDescent="0.35">
      <c r="A9" s="64" t="s">
        <v>169</v>
      </c>
      <c r="B9" s="64"/>
      <c r="C9" s="64"/>
      <c r="D9" s="64"/>
      <c r="E9" s="64">
        <v>9987082444</v>
      </c>
      <c r="F9" s="64"/>
      <c r="G9" s="64"/>
      <c r="H9" s="64"/>
    </row>
    <row r="10" spans="1:26" x14ac:dyDescent="0.35">
      <c r="A10" s="64" t="s">
        <v>170</v>
      </c>
      <c r="B10" s="64"/>
      <c r="C10" s="64"/>
      <c r="D10" s="64"/>
      <c r="E10" s="64" t="s">
        <v>278</v>
      </c>
      <c r="F10" s="64"/>
      <c r="G10" s="64"/>
      <c r="H10" s="64"/>
      <c r="I10" s="64" t="s">
        <v>274</v>
      </c>
      <c r="J10" s="64"/>
      <c r="K10" s="64"/>
      <c r="L10" s="64"/>
    </row>
    <row r="11" spans="1:26" x14ac:dyDescent="0.35">
      <c r="A11" s="64" t="s">
        <v>7</v>
      </c>
      <c r="B11" s="64"/>
      <c r="C11" s="64"/>
      <c r="D11" s="64"/>
      <c r="E11" s="64" t="s">
        <v>236</v>
      </c>
      <c r="F11" s="64"/>
      <c r="G11" s="64"/>
      <c r="H11" s="64"/>
    </row>
    <row r="12" spans="1:26" x14ac:dyDescent="0.35">
      <c r="A12" s="64" t="s">
        <v>173</v>
      </c>
      <c r="B12" s="64"/>
      <c r="C12" s="64"/>
      <c r="D12" s="64"/>
      <c r="E12" s="64" t="s">
        <v>29</v>
      </c>
      <c r="F12" s="64"/>
      <c r="G12" s="64"/>
      <c r="H12" s="64"/>
      <c r="S12" s="48" t="s">
        <v>181</v>
      </c>
      <c r="T12" s="48" t="s">
        <v>191</v>
      </c>
      <c r="U12" s="48" t="s">
        <v>174</v>
      </c>
      <c r="V12" s="48" t="s">
        <v>196</v>
      </c>
      <c r="W12" s="48" t="s">
        <v>214</v>
      </c>
      <c r="X12"/>
      <c r="Y12" t="s">
        <v>196</v>
      </c>
      <c r="Z12" t="e">
        <f ca="1">OFFSET($S$12,1,MATCH($G19,$S$12:$W$12,0)-1,15,1)</f>
        <v>#VALUE!</v>
      </c>
    </row>
    <row r="13" spans="1:26" ht="17.25" customHeight="1" x14ac:dyDescent="0.35">
      <c r="A13" s="105" t="s">
        <v>8</v>
      </c>
      <c r="B13" s="105"/>
      <c r="C13" s="105"/>
      <c r="D13" s="105"/>
      <c r="E13" s="95" t="s">
        <v>237</v>
      </c>
      <c r="F13" s="95"/>
      <c r="G13" s="95"/>
      <c r="H13" s="95"/>
      <c r="S13" s="48" t="s">
        <v>182</v>
      </c>
      <c r="T13" s="48" t="s">
        <v>189</v>
      </c>
      <c r="U13" s="48" t="s">
        <v>211</v>
      </c>
      <c r="V13" s="48" t="s">
        <v>197</v>
      </c>
      <c r="W13" s="48" t="s">
        <v>215</v>
      </c>
      <c r="X13"/>
      <c r="Y13"/>
      <c r="Z13"/>
    </row>
    <row r="14" spans="1:26" x14ac:dyDescent="0.35">
      <c r="A14" s="105" t="s">
        <v>9</v>
      </c>
      <c r="B14" s="105"/>
      <c r="C14" s="105"/>
      <c r="D14" s="105"/>
      <c r="E14" s="95" t="s">
        <v>275</v>
      </c>
      <c r="F14" s="64"/>
      <c r="G14" s="64"/>
      <c r="H14" s="64"/>
      <c r="I14" s="99" t="e">
        <f ca="1">OFFSET($D$4,1,MATCH($J12,$D$4:$H$4,0)-1,15,1)</f>
        <v>#N/A</v>
      </c>
      <c r="J14" s="100"/>
      <c r="K14" s="100"/>
      <c r="L14" s="100"/>
      <c r="M14" s="100"/>
      <c r="N14" s="100"/>
      <c r="O14" s="100"/>
      <c r="P14" s="100"/>
      <c r="S14" s="48" t="s">
        <v>183</v>
      </c>
      <c r="T14" s="48" t="s">
        <v>190</v>
      </c>
      <c r="U14" s="48" t="s">
        <v>212</v>
      </c>
      <c r="V14" s="48" t="s">
        <v>198</v>
      </c>
      <c r="W14" s="48" t="s">
        <v>228</v>
      </c>
      <c r="X14"/>
      <c r="Y14"/>
      <c r="Z14"/>
    </row>
    <row r="15" spans="1:26" ht="48.75" customHeight="1" x14ac:dyDescent="0.35">
      <c r="A15" s="95" t="s">
        <v>10</v>
      </c>
      <c r="B15" s="95"/>
      <c r="C15" s="9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Dharti 3, Old Survey No.411/A, Hissa No.2, New S.No &amp; H.No. 411/C/1A, 411/D/1 &amp; 411/D/2, (Old S.No. 411/C/1), 411/C/2, 411/C/3 &amp; 411/C/4, near Voilet Tower, Internal Road, , Bolinj, Virar (West), Vasai, Palghar - 401301.</v>
      </c>
      <c r="D15" s="95"/>
      <c r="E15" s="95"/>
      <c r="F15" s="95"/>
      <c r="G15" s="95"/>
      <c r="H15" s="95"/>
      <c r="S15" s="48" t="s">
        <v>184</v>
      </c>
      <c r="T15" s="48" t="s">
        <v>192</v>
      </c>
      <c r="U15" s="48" t="s">
        <v>213</v>
      </c>
      <c r="V15" s="48" t="s">
        <v>199</v>
      </c>
      <c r="W15" s="48" t="s">
        <v>216</v>
      </c>
      <c r="X15"/>
      <c r="Y15"/>
      <c r="Z15"/>
    </row>
    <row r="16" spans="1:26" ht="35.25" customHeight="1" x14ac:dyDescent="0.35">
      <c r="A16" s="95" t="s">
        <v>238</v>
      </c>
      <c r="B16" s="95"/>
      <c r="C16" s="95" t="s">
        <v>239</v>
      </c>
      <c r="D16" s="95"/>
      <c r="E16" s="95"/>
      <c r="F16" s="95"/>
      <c r="G16" s="95"/>
      <c r="H16" s="95"/>
      <c r="S16" s="48" t="s">
        <v>185</v>
      </c>
      <c r="T16" s="48" t="s">
        <v>193</v>
      </c>
      <c r="U16" s="48"/>
      <c r="V16" s="48" t="s">
        <v>200</v>
      </c>
      <c r="W16" s="48" t="s">
        <v>217</v>
      </c>
      <c r="X16"/>
      <c r="Y16"/>
      <c r="Z16"/>
    </row>
    <row r="17" spans="1:26" ht="15.75" customHeight="1" x14ac:dyDescent="0.35">
      <c r="A17" s="95" t="s">
        <v>165</v>
      </c>
      <c r="B17" s="95"/>
      <c r="C17" s="95" t="s">
        <v>29</v>
      </c>
      <c r="D17" s="95"/>
      <c r="E17" s="95"/>
      <c r="F17" s="95"/>
      <c r="G17" s="95"/>
      <c r="H17" s="95"/>
      <c r="S17" s="48" t="s">
        <v>186</v>
      </c>
      <c r="T17" s="48" t="s">
        <v>191</v>
      </c>
      <c r="U17" s="48"/>
      <c r="V17" s="48" t="s">
        <v>201</v>
      </c>
      <c r="W17" s="48" t="s">
        <v>218</v>
      </c>
      <c r="X17"/>
      <c r="Y17"/>
      <c r="Z17"/>
    </row>
    <row r="18" spans="1:26" ht="15.75" customHeight="1" x14ac:dyDescent="0.35">
      <c r="A18" s="95" t="s">
        <v>11</v>
      </c>
      <c r="B18" s="95"/>
      <c r="C18" s="64" t="s">
        <v>243</v>
      </c>
      <c r="D18" s="64"/>
      <c r="E18" s="95" t="s">
        <v>73</v>
      </c>
      <c r="F18" s="95"/>
      <c r="G18" s="95" t="s">
        <v>240</v>
      </c>
      <c r="H18" s="95"/>
      <c r="S18" s="48" t="s">
        <v>187</v>
      </c>
      <c r="T18" s="48" t="s">
        <v>194</v>
      </c>
      <c r="U18" s="48"/>
      <c r="V18" s="48" t="s">
        <v>202</v>
      </c>
      <c r="W18" s="48" t="s">
        <v>219</v>
      </c>
      <c r="X18"/>
      <c r="Y18"/>
      <c r="Z18"/>
    </row>
    <row r="19" spans="1:26" x14ac:dyDescent="0.35">
      <c r="A19" s="64" t="s">
        <v>13</v>
      </c>
      <c r="B19" s="64"/>
      <c r="C19" s="95" t="s">
        <v>248</v>
      </c>
      <c r="D19" s="95"/>
      <c r="E19" s="95" t="s">
        <v>12</v>
      </c>
      <c r="F19" s="95"/>
      <c r="G19" s="134" t="s">
        <v>191</v>
      </c>
      <c r="H19" s="134"/>
      <c r="S19" s="48" t="s">
        <v>188</v>
      </c>
      <c r="T19" s="48" t="s">
        <v>195</v>
      </c>
      <c r="U19" s="48"/>
      <c r="V19" s="48" t="s">
        <v>203</v>
      </c>
      <c r="W19" s="48" t="s">
        <v>220</v>
      </c>
      <c r="X19"/>
      <c r="Y19"/>
      <c r="Z19"/>
    </row>
    <row r="20" spans="1:26" x14ac:dyDescent="0.35">
      <c r="A20" s="64" t="s">
        <v>74</v>
      </c>
      <c r="B20" s="64"/>
      <c r="C20" s="95" t="s">
        <v>192</v>
      </c>
      <c r="D20" s="95"/>
      <c r="E20" s="95" t="s">
        <v>14</v>
      </c>
      <c r="F20" s="95"/>
      <c r="G20" s="95">
        <v>401301</v>
      </c>
      <c r="H20" s="95"/>
      <c r="S20" s="48"/>
      <c r="T20" s="48"/>
      <c r="U20" s="48"/>
      <c r="V20" s="48" t="s">
        <v>204</v>
      </c>
      <c r="W20" s="48" t="s">
        <v>221</v>
      </c>
      <c r="X20"/>
      <c r="Y20"/>
      <c r="Z20"/>
    </row>
    <row r="21" spans="1:26" ht="32.25" customHeight="1" x14ac:dyDescent="0.35">
      <c r="A21" s="64" t="s">
        <v>124</v>
      </c>
      <c r="B21" s="64"/>
      <c r="C21" s="95" t="s">
        <v>246</v>
      </c>
      <c r="D21" s="95"/>
      <c r="E21" s="95" t="s">
        <v>15</v>
      </c>
      <c r="F21" s="95"/>
      <c r="G21" s="95" t="s">
        <v>247</v>
      </c>
      <c r="H21" s="95"/>
      <c r="S21" s="48"/>
      <c r="T21" s="48"/>
      <c r="U21" s="48"/>
      <c r="V21" s="48" t="s">
        <v>205</v>
      </c>
      <c r="W21" s="48" t="s">
        <v>222</v>
      </c>
      <c r="X21"/>
      <c r="Y21"/>
      <c r="Z21"/>
    </row>
    <row r="22" spans="1:26" ht="15" customHeight="1" x14ac:dyDescent="0.35">
      <c r="A22" s="106" t="s">
        <v>76</v>
      </c>
      <c r="B22" s="106"/>
      <c r="C22" s="106"/>
      <c r="D22" s="106"/>
      <c r="E22" s="64" t="s">
        <v>16</v>
      </c>
      <c r="F22" s="64"/>
      <c r="G22" s="64"/>
      <c r="H22" s="64"/>
      <c r="S22" s="48"/>
      <c r="T22" s="48"/>
      <c r="U22" s="48"/>
      <c r="V22" s="48" t="s">
        <v>206</v>
      </c>
      <c r="W22" s="48" t="s">
        <v>223</v>
      </c>
      <c r="X22"/>
      <c r="Y22"/>
      <c r="Z22"/>
    </row>
    <row r="23" spans="1:26" ht="18.75" customHeight="1" x14ac:dyDescent="0.35">
      <c r="A23" s="106"/>
      <c r="B23" s="106"/>
      <c r="C23" s="106"/>
      <c r="D23" s="106"/>
      <c r="E23" s="64"/>
      <c r="F23" s="64"/>
      <c r="G23" s="64"/>
      <c r="H23" s="64"/>
      <c r="S23" s="48"/>
      <c r="T23" s="48"/>
      <c r="U23" s="48"/>
      <c r="V23" s="48" t="s">
        <v>207</v>
      </c>
      <c r="W23" s="48" t="s">
        <v>224</v>
      </c>
      <c r="X23"/>
      <c r="Y23"/>
      <c r="Z23"/>
    </row>
    <row r="24" spans="1:26" ht="15" customHeight="1" x14ac:dyDescent="0.35">
      <c r="A24" s="106" t="s">
        <v>17</v>
      </c>
      <c r="B24" s="106"/>
      <c r="C24" s="106"/>
      <c r="D24" s="106"/>
      <c r="E24" s="95" t="s">
        <v>18</v>
      </c>
      <c r="F24" s="95"/>
      <c r="G24" s="95"/>
      <c r="H24" s="95"/>
      <c r="S24" s="48"/>
      <c r="T24" s="48"/>
      <c r="U24" s="48"/>
      <c r="V24" s="48" t="s">
        <v>208</v>
      </c>
      <c r="W24" s="48" t="s">
        <v>225</v>
      </c>
      <c r="X24"/>
      <c r="Y24"/>
      <c r="Z24"/>
    </row>
    <row r="25" spans="1:26" ht="15" customHeight="1" x14ac:dyDescent="0.35">
      <c r="A25" s="105" t="s">
        <v>19</v>
      </c>
      <c r="B25" s="105"/>
      <c r="C25" s="105"/>
      <c r="D25" s="105"/>
      <c r="E25" s="95" t="str">
        <f>IF(AND(G19="Mumbai"),"Upper Class","Middle Class")</f>
        <v>Middle Class</v>
      </c>
      <c r="F25" s="95"/>
      <c r="G25" s="95"/>
      <c r="H25" s="95"/>
      <c r="S25" s="48"/>
      <c r="T25" s="48"/>
      <c r="U25" s="48"/>
      <c r="V25" s="48" t="s">
        <v>209</v>
      </c>
      <c r="W25" s="48" t="s">
        <v>226</v>
      </c>
      <c r="X25"/>
      <c r="Y25"/>
      <c r="Z25"/>
    </row>
    <row r="26" spans="1:26" x14ac:dyDescent="0.35">
      <c r="A26" s="105" t="s">
        <v>20</v>
      </c>
      <c r="B26" s="105"/>
      <c r="C26" s="105"/>
      <c r="D26" s="105"/>
      <c r="E26" s="95" t="s">
        <v>21</v>
      </c>
      <c r="F26" s="95"/>
      <c r="G26" s="95"/>
      <c r="H26" s="95"/>
      <c r="S26" s="48"/>
      <c r="T26" s="48"/>
      <c r="U26" s="48"/>
      <c r="V26" s="48" t="s">
        <v>210</v>
      </c>
      <c r="W26" s="48" t="s">
        <v>227</v>
      </c>
      <c r="X26"/>
      <c r="Y26"/>
      <c r="Z26"/>
    </row>
    <row r="27" spans="1:26" ht="15.75" customHeight="1" x14ac:dyDescent="0.35">
      <c r="A27" s="105" t="s">
        <v>22</v>
      </c>
      <c r="B27" s="105"/>
      <c r="C27" s="105"/>
      <c r="D27" s="105"/>
      <c r="E27" s="95" t="str">
        <f>IF(AND(G19="Mumbai"),"Developed","Developing")</f>
        <v>Developing</v>
      </c>
      <c r="F27" s="95"/>
      <c r="G27" s="95"/>
      <c r="H27" s="95"/>
    </row>
    <row r="28" spans="1:26" x14ac:dyDescent="0.35">
      <c r="A28" s="105" t="s">
        <v>23</v>
      </c>
      <c r="B28" s="105"/>
      <c r="C28" s="105"/>
      <c r="D28" s="105"/>
      <c r="E28" s="95" t="s">
        <v>24</v>
      </c>
      <c r="F28" s="95"/>
      <c r="G28" s="95"/>
      <c r="H28" s="95"/>
    </row>
    <row r="29" spans="1:26" ht="15.75" customHeight="1" x14ac:dyDescent="0.35">
      <c r="A29" s="105" t="s">
        <v>81</v>
      </c>
      <c r="B29" s="105"/>
      <c r="C29" s="105"/>
      <c r="D29" s="105"/>
      <c r="E29" s="95" t="s">
        <v>82</v>
      </c>
      <c r="F29" s="95"/>
      <c r="G29" s="95"/>
      <c r="H29" s="95"/>
    </row>
    <row r="30" spans="1:26" ht="15" customHeight="1" x14ac:dyDescent="0.35">
      <c r="A30" s="105" t="s">
        <v>32</v>
      </c>
      <c r="B30" s="105"/>
      <c r="C30" s="105"/>
      <c r="D30" s="105"/>
      <c r="E30" s="9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5"/>
      <c r="G30" s="95"/>
      <c r="H30" s="95"/>
    </row>
    <row r="31" spans="1:26" ht="15.75" customHeight="1" x14ac:dyDescent="0.35">
      <c r="A31" s="105" t="s">
        <v>93</v>
      </c>
      <c r="B31" s="105"/>
      <c r="C31" s="105"/>
      <c r="D31" s="105"/>
      <c r="E31" s="95" t="s">
        <v>33</v>
      </c>
      <c r="F31" s="95"/>
      <c r="G31" s="95"/>
      <c r="H31" s="95"/>
    </row>
    <row r="32" spans="1:26" s="18" customFormat="1" x14ac:dyDescent="0.35">
      <c r="A32" s="136" t="s">
        <v>94</v>
      </c>
      <c r="B32" s="136"/>
      <c r="C32" s="172" t="s">
        <v>175</v>
      </c>
      <c r="D32" s="172"/>
      <c r="E32" s="172"/>
      <c r="F32" s="172" t="s">
        <v>30</v>
      </c>
      <c r="G32" s="172"/>
      <c r="H32" s="172"/>
    </row>
    <row r="33" spans="1:8" s="18" customFormat="1" x14ac:dyDescent="0.35">
      <c r="A33" s="135" t="s">
        <v>25</v>
      </c>
      <c r="B33" s="135" t="s">
        <v>29</v>
      </c>
      <c r="C33" s="173" t="s">
        <v>250</v>
      </c>
      <c r="D33" s="173"/>
      <c r="E33" s="173"/>
      <c r="F33" s="173" t="s">
        <v>244</v>
      </c>
      <c r="G33" s="173"/>
      <c r="H33" s="173"/>
    </row>
    <row r="34" spans="1:8" x14ac:dyDescent="0.35">
      <c r="A34" s="135" t="s">
        <v>26</v>
      </c>
      <c r="B34" s="135" t="s">
        <v>29</v>
      </c>
      <c r="C34" s="173" t="s">
        <v>251</v>
      </c>
      <c r="D34" s="173"/>
      <c r="E34" s="173"/>
      <c r="F34" s="173" t="s">
        <v>245</v>
      </c>
      <c r="G34" s="173"/>
      <c r="H34" s="173"/>
    </row>
    <row r="35" spans="1:8" s="18" customFormat="1" x14ac:dyDescent="0.35">
      <c r="A35" s="135" t="s">
        <v>28</v>
      </c>
      <c r="B35" s="135" t="s">
        <v>29</v>
      </c>
      <c r="C35" s="173" t="s">
        <v>249</v>
      </c>
      <c r="D35" s="173"/>
      <c r="E35" s="173"/>
      <c r="F35" s="173" t="s">
        <v>243</v>
      </c>
      <c r="G35" s="173"/>
      <c r="H35" s="173"/>
    </row>
    <row r="36" spans="1:8" x14ac:dyDescent="0.35">
      <c r="A36" s="135" t="s">
        <v>27</v>
      </c>
      <c r="B36" s="135" t="s">
        <v>29</v>
      </c>
      <c r="C36" s="173" t="s">
        <v>250</v>
      </c>
      <c r="D36" s="173"/>
      <c r="E36" s="173"/>
      <c r="F36" s="173" t="s">
        <v>250</v>
      </c>
      <c r="G36" s="173"/>
      <c r="H36" s="173"/>
    </row>
    <row r="37" spans="1:8" x14ac:dyDescent="0.35">
      <c r="A37" s="105" t="s">
        <v>31</v>
      </c>
      <c r="B37" s="105"/>
      <c r="C37" s="105"/>
      <c r="D37" s="105"/>
      <c r="E37" s="105"/>
      <c r="F37" s="105"/>
      <c r="G37" s="105"/>
      <c r="H37" s="105"/>
    </row>
    <row r="38" spans="1:8" ht="15.75" customHeight="1" x14ac:dyDescent="0.35">
      <c r="A38" s="105" t="s">
        <v>168</v>
      </c>
      <c r="B38" s="105"/>
      <c r="C38" s="138" t="s">
        <v>242</v>
      </c>
      <c r="D38" s="138"/>
      <c r="E38" s="138"/>
      <c r="F38" s="138"/>
      <c r="G38" s="138"/>
      <c r="H38" s="138"/>
    </row>
    <row r="39" spans="1:8" x14ac:dyDescent="0.35">
      <c r="A39" s="105" t="s">
        <v>164</v>
      </c>
      <c r="B39" s="105"/>
      <c r="C39" s="139" t="s">
        <v>241</v>
      </c>
      <c r="D39" s="95"/>
      <c r="E39" s="95"/>
      <c r="F39" s="95"/>
      <c r="G39" s="95"/>
      <c r="H39" s="95"/>
    </row>
    <row r="40" spans="1:8" x14ac:dyDescent="0.35">
      <c r="A40" s="128" t="s">
        <v>34</v>
      </c>
      <c r="B40" s="128"/>
      <c r="C40" s="128"/>
      <c r="D40" s="128"/>
      <c r="E40" s="128"/>
      <c r="F40" s="128"/>
      <c r="G40" s="128"/>
      <c r="H40" s="128"/>
    </row>
    <row r="41" spans="1:8" x14ac:dyDescent="0.35">
      <c r="A41" s="64" t="s">
        <v>35</v>
      </c>
      <c r="B41" s="64"/>
      <c r="C41" s="64"/>
      <c r="D41" s="64"/>
      <c r="E41" s="107">
        <v>11630</v>
      </c>
      <c r="F41" s="107"/>
      <c r="G41" s="107"/>
      <c r="H41" s="107"/>
    </row>
    <row r="42" spans="1:8" x14ac:dyDescent="0.35">
      <c r="A42" s="64" t="s">
        <v>36</v>
      </c>
      <c r="B42" s="64"/>
      <c r="C42" s="64"/>
      <c r="D42" s="64"/>
      <c r="E42" s="107">
        <v>1.1000000000000001</v>
      </c>
      <c r="F42" s="107"/>
      <c r="G42" s="107"/>
      <c r="H42" s="107"/>
    </row>
    <row r="43" spans="1:8" x14ac:dyDescent="0.35">
      <c r="A43" s="64" t="s">
        <v>37</v>
      </c>
      <c r="B43" s="64"/>
      <c r="C43" s="64"/>
      <c r="D43" s="64"/>
      <c r="E43" s="148">
        <f>E45/E41-E42</f>
        <v>2.7035915735167668</v>
      </c>
      <c r="F43" s="148"/>
      <c r="G43" s="148"/>
      <c r="H43" s="148"/>
    </row>
    <row r="44" spans="1:8" x14ac:dyDescent="0.35">
      <c r="A44" s="64" t="s">
        <v>38</v>
      </c>
      <c r="B44" s="64"/>
      <c r="C44" s="64"/>
      <c r="D44" s="64"/>
      <c r="E44" s="148">
        <f>E42+E43</f>
        <v>3.8035915735167669</v>
      </c>
      <c r="F44" s="148"/>
      <c r="G44" s="148"/>
      <c r="H44" s="148"/>
    </row>
    <row r="45" spans="1:8" x14ac:dyDescent="0.35">
      <c r="A45" s="64" t="s">
        <v>92</v>
      </c>
      <c r="B45" s="64"/>
      <c r="C45" s="64"/>
      <c r="D45" s="64"/>
      <c r="E45" s="149">
        <v>44235.77</v>
      </c>
      <c r="F45" s="149"/>
      <c r="G45" s="149"/>
      <c r="H45" s="149"/>
    </row>
    <row r="46" spans="1:8" x14ac:dyDescent="0.35">
      <c r="A46" s="64" t="s">
        <v>39</v>
      </c>
      <c r="B46" s="64"/>
      <c r="C46" s="64"/>
      <c r="D46" s="64"/>
      <c r="E46" s="64" t="s">
        <v>123</v>
      </c>
      <c r="F46" s="64"/>
      <c r="G46" s="64"/>
      <c r="H46" s="64"/>
    </row>
    <row r="47" spans="1:8" x14ac:dyDescent="0.35">
      <c r="A47" s="138" t="s">
        <v>40</v>
      </c>
      <c r="B47" s="138"/>
      <c r="C47" s="138"/>
      <c r="D47" s="138"/>
      <c r="E47" s="138"/>
      <c r="F47" s="138"/>
      <c r="G47" s="138"/>
      <c r="H47" s="138"/>
    </row>
    <row r="48" spans="1:8" ht="33.75" customHeight="1" x14ac:dyDescent="0.35">
      <c r="A48" s="96" t="s">
        <v>153</v>
      </c>
      <c r="B48" s="98"/>
      <c r="C48" s="166" t="s">
        <v>252</v>
      </c>
      <c r="D48" s="167"/>
      <c r="E48" s="167"/>
      <c r="F48" s="167"/>
      <c r="G48" s="167"/>
      <c r="H48" s="168"/>
    </row>
    <row r="49" spans="1:14" ht="33" customHeight="1" x14ac:dyDescent="0.35">
      <c r="A49" s="96" t="s">
        <v>41</v>
      </c>
      <c r="B49" s="98"/>
      <c r="C49" s="96" t="s">
        <v>253</v>
      </c>
      <c r="D49" s="97"/>
      <c r="E49" s="98"/>
      <c r="F49" s="52" t="s">
        <v>42</v>
      </c>
      <c r="G49" s="142">
        <v>44634</v>
      </c>
      <c r="H49" s="98"/>
    </row>
    <row r="50" spans="1:14" ht="36" customHeight="1" x14ac:dyDescent="0.35">
      <c r="A50" s="96" t="s">
        <v>43</v>
      </c>
      <c r="B50" s="98"/>
      <c r="C50" s="96" t="str">
        <f>C49</f>
        <v>VVCMC/TP/AMEND/VP/5851/829/2021-22</v>
      </c>
      <c r="D50" s="97"/>
      <c r="E50" s="98"/>
      <c r="F50" s="52" t="s">
        <v>42</v>
      </c>
      <c r="G50" s="142">
        <f>G49</f>
        <v>44634</v>
      </c>
      <c r="H50" s="98"/>
    </row>
    <row r="51" spans="1:14" s="19" customFormat="1" ht="35.25" customHeight="1" x14ac:dyDescent="0.35">
      <c r="A51" s="143" t="s">
        <v>255</v>
      </c>
      <c r="B51" s="144"/>
      <c r="C51" s="90" t="s">
        <v>253</v>
      </c>
      <c r="D51" s="91"/>
      <c r="E51" s="92"/>
      <c r="F51" s="16" t="s">
        <v>42</v>
      </c>
      <c r="G51" s="147">
        <f>G50</f>
        <v>44634</v>
      </c>
      <c r="H51" s="92"/>
    </row>
    <row r="52" spans="1:14" s="19" customFormat="1" x14ac:dyDescent="0.35">
      <c r="A52" s="145"/>
      <c r="B52" s="146"/>
      <c r="C52" s="90" t="s">
        <v>254</v>
      </c>
      <c r="D52" s="91"/>
      <c r="E52" s="91"/>
      <c r="F52" s="91"/>
      <c r="G52" s="91"/>
      <c r="H52" s="92"/>
    </row>
    <row r="53" spans="1:14" x14ac:dyDescent="0.35">
      <c r="A53" s="102" t="s">
        <v>44</v>
      </c>
      <c r="B53" s="103"/>
      <c r="C53" s="102" t="s">
        <v>106</v>
      </c>
      <c r="D53" s="104"/>
      <c r="E53" s="103"/>
      <c r="F53" s="40" t="s">
        <v>42</v>
      </c>
      <c r="G53" s="88" t="s">
        <v>29</v>
      </c>
      <c r="H53" s="89"/>
    </row>
    <row r="54" spans="1:14" x14ac:dyDescent="0.35">
      <c r="A54" s="129" t="s">
        <v>46</v>
      </c>
      <c r="B54" s="129"/>
      <c r="C54" s="129"/>
      <c r="D54" s="129"/>
      <c r="E54" s="129"/>
      <c r="F54" s="129"/>
      <c r="G54" s="129"/>
      <c r="H54" s="129"/>
    </row>
    <row r="55" spans="1:14" x14ac:dyDescent="0.35">
      <c r="A55" s="106" t="s">
        <v>91</v>
      </c>
      <c r="B55" s="106"/>
      <c r="C55" s="106"/>
      <c r="D55" s="105">
        <v>8379.77</v>
      </c>
      <c r="E55" s="105"/>
      <c r="F55" s="105"/>
      <c r="G55" s="105"/>
      <c r="H55" s="105"/>
    </row>
    <row r="56" spans="1:14" x14ac:dyDescent="0.35">
      <c r="A56" s="95" t="s">
        <v>47</v>
      </c>
      <c r="B56" s="64"/>
      <c r="C56" s="64"/>
      <c r="D56" s="64" t="s">
        <v>266</v>
      </c>
      <c r="E56" s="64"/>
      <c r="F56" s="64"/>
      <c r="G56" s="64"/>
      <c r="H56" s="64"/>
      <c r="I56" s="20"/>
    </row>
    <row r="57" spans="1:14" x14ac:dyDescent="0.35">
      <c r="A57" s="93" t="s">
        <v>48</v>
      </c>
      <c r="B57" s="94"/>
      <c r="C57" s="141"/>
      <c r="D57" s="110" t="s">
        <v>256</v>
      </c>
      <c r="E57" s="140"/>
      <c r="F57" s="140"/>
      <c r="G57" s="140"/>
      <c r="H57" s="140"/>
    </row>
    <row r="58" spans="1:14" ht="15.75" customHeight="1" x14ac:dyDescent="0.35">
      <c r="A58" s="93" t="s">
        <v>89</v>
      </c>
      <c r="B58" s="94"/>
      <c r="C58" s="94"/>
      <c r="D58" s="95" t="s">
        <v>256</v>
      </c>
      <c r="E58" s="64"/>
      <c r="F58" s="64"/>
      <c r="G58" s="64"/>
      <c r="H58" s="64"/>
    </row>
    <row r="59" spans="1:14" ht="15.75" customHeight="1" x14ac:dyDescent="0.35">
      <c r="A59" s="105" t="s">
        <v>45</v>
      </c>
      <c r="B59" s="105"/>
      <c r="C59" s="105"/>
      <c r="D59" s="137" t="s">
        <v>257</v>
      </c>
      <c r="E59" s="137"/>
      <c r="F59" s="137"/>
      <c r="G59" s="137"/>
      <c r="H59" s="137"/>
      <c r="J59" s="21"/>
      <c r="K59" s="20"/>
      <c r="N59" s="20"/>
    </row>
    <row r="60" spans="1:14" ht="15.75" customHeight="1" x14ac:dyDescent="0.35">
      <c r="A60" s="105" t="s">
        <v>87</v>
      </c>
      <c r="B60" s="105"/>
      <c r="C60" s="105"/>
      <c r="D60" s="170" t="str">
        <f>(IF(G53="NA","60 Years After Completion",IF(G53&lt;&gt;"NA",""&amp;60-ROUNDDOWN((E3-G53)/360,0)&amp;" Years"," ")))</f>
        <v>60 Years After Completion</v>
      </c>
      <c r="E60" s="170"/>
      <c r="F60" s="170"/>
      <c r="G60" s="170"/>
      <c r="H60" s="170"/>
      <c r="N60" s="20"/>
    </row>
    <row r="61" spans="1:14" ht="15.75" customHeight="1" x14ac:dyDescent="0.35">
      <c r="A61" s="105" t="s">
        <v>88</v>
      </c>
      <c r="B61" s="105"/>
      <c r="C61" s="105"/>
      <c r="D61" s="106" t="s">
        <v>24</v>
      </c>
      <c r="E61" s="106"/>
      <c r="F61" s="106"/>
      <c r="G61" s="106"/>
      <c r="H61" s="106"/>
      <c r="J61" s="22"/>
      <c r="K61" s="22"/>
    </row>
    <row r="62" spans="1:14" ht="38.5" customHeight="1" x14ac:dyDescent="0.35">
      <c r="A62" s="64" t="s">
        <v>259</v>
      </c>
      <c r="B62" s="64"/>
      <c r="C62" s="64"/>
      <c r="D62" s="95" t="s">
        <v>258</v>
      </c>
      <c r="E62" s="95"/>
      <c r="F62" s="95"/>
      <c r="G62" s="95"/>
      <c r="H62" s="95"/>
    </row>
    <row r="63" spans="1:14" x14ac:dyDescent="0.35">
      <c r="A63" s="106" t="s">
        <v>150</v>
      </c>
      <c r="B63" s="106"/>
      <c r="C63" s="106"/>
      <c r="D63" s="106" t="s">
        <v>29</v>
      </c>
      <c r="E63" s="106"/>
      <c r="F63" s="106"/>
      <c r="G63" s="106"/>
      <c r="H63" s="106"/>
      <c r="I63" s="23"/>
      <c r="J63" s="23"/>
      <c r="K63" s="23"/>
      <c r="L63" s="23"/>
      <c r="M63" s="23"/>
      <c r="N63" s="23"/>
    </row>
    <row r="64" spans="1:14" ht="15.75" customHeight="1" x14ac:dyDescent="0.35">
      <c r="A64" s="105" t="s">
        <v>86</v>
      </c>
      <c r="B64" s="105"/>
      <c r="C64" s="105"/>
      <c r="D64" s="95" t="str">
        <f ca="1">(IF(G70&gt;95%,"Nothing",IF(G70&gt;0%,"Cement, Aggregate, Steel, etc",IF(G70=0%,"Work not yet Started"))))</f>
        <v>Cement, Aggregate, Steel, etc</v>
      </c>
      <c r="E64" s="95"/>
      <c r="F64" s="95"/>
      <c r="G64" s="95"/>
      <c r="H64" s="95"/>
      <c r="J64" s="22"/>
    </row>
    <row r="65" spans="1:10" ht="33.75" customHeight="1" thickBot="1" x14ac:dyDescent="0.4">
      <c r="A65" s="106" t="s">
        <v>119</v>
      </c>
      <c r="B65" s="106"/>
      <c r="C65" s="106"/>
      <c r="D65" s="95" t="str">
        <f ca="1">(IF(D64="Nothing","Yes",IF(D64="Cement, Aggregate, Steel, etc","Under Construction",IF(D64="Work not yet Started","Work not yet Started"))))</f>
        <v>Under Construction</v>
      </c>
      <c r="E65" s="95"/>
      <c r="F65" s="95" t="str">
        <f ca="1">(IF(D64="Nothing","Yes",IF(D64="Cement, Aggregate, Steel, etc","Under Construction",IF(D64="Work not yet Started","Work not yet Started"))))</f>
        <v>Under Construction</v>
      </c>
      <c r="G65" s="95"/>
      <c r="H65" s="95"/>
    </row>
    <row r="66" spans="1:10" ht="15.75" customHeight="1" x14ac:dyDescent="0.35">
      <c r="A66" s="131" t="s">
        <v>142</v>
      </c>
      <c r="B66" s="131"/>
      <c r="C66" s="131" t="str">
        <f>D58</f>
        <v>Building No.3 - Stilt + 1st to 22nd Foor</v>
      </c>
      <c r="D66" s="131"/>
      <c r="E66" s="131"/>
      <c r="F66" s="131"/>
      <c r="G66" s="131"/>
      <c r="H66" s="131"/>
      <c r="I66" s="17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Flooring, Painting Completed, Finishing upto 20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Finishing upto 20 Floor</v>
      </c>
    </row>
    <row r="67" spans="1:10" x14ac:dyDescent="0.35">
      <c r="A67" s="44" t="s">
        <v>144</v>
      </c>
      <c r="B67" s="44">
        <f>IF(AND(ISNUMBER(SEARCH("1B",C66))),1,IF(AND(ISNUMBER(SEARCH("2B",C66))),2,IF(AND(ISNUMBER(SEARCH("3B",C66))),3,IF(AND(ISNUMBER(SEARCH("4B",C66))),4,IF(ISNUMBER(SEARCH("5B",C66)),5,0)))))</f>
        <v>0</v>
      </c>
      <c r="C67" s="44" t="s">
        <v>72</v>
      </c>
      <c r="D67" s="44">
        <v>1</v>
      </c>
      <c r="E67" s="44" t="s">
        <v>71</v>
      </c>
      <c r="F67" s="44">
        <v>0</v>
      </c>
      <c r="G67" s="44" t="s">
        <v>80</v>
      </c>
      <c r="H67" s="44">
        <f ca="1">--TRIM(RIGHT(SUBSTITUTE(LEFT(C66,_xlfn.AGGREGATE(16,6,FIND({0,1,2,3,4,5,6,7,8,9},C66,ROW(INDIRECT("1:"&amp;LEN(C66)))),1))," ",REPT(" ",LEN(C66))),LEN(C66)))</f>
        <v>22</v>
      </c>
      <c r="I67" s="17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Flooring, Painting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" customHeight="1" x14ac:dyDescent="0.35">
      <c r="A68" s="128" t="s">
        <v>90</v>
      </c>
      <c r="B68" s="128"/>
      <c r="C68" s="131" t="str">
        <f ca="1">I66</f>
        <v>Excavation, Plinth, RCC Slab, Brickwork, Internal Plaster, External Plaster, Flooring, Painting Completed, Finishing upto 20 Floor Completed</v>
      </c>
      <c r="D68" s="131"/>
      <c r="E68" s="131"/>
      <c r="F68" s="131"/>
      <c r="G68" s="131"/>
      <c r="H68" s="131"/>
      <c r="I68" s="175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0" ht="15.75" customHeight="1" x14ac:dyDescent="0.35">
      <c r="A69" s="109" t="s">
        <v>49</v>
      </c>
      <c r="B69" s="109"/>
      <c r="C69" s="63" t="s">
        <v>141</v>
      </c>
      <c r="D69" s="63" t="s">
        <v>83</v>
      </c>
      <c r="E69" s="109" t="s">
        <v>85</v>
      </c>
      <c r="F69" s="109"/>
      <c r="G69" s="109" t="s">
        <v>84</v>
      </c>
      <c r="H69" s="109"/>
      <c r="I69" s="14" t="s">
        <v>143</v>
      </c>
      <c r="J69" s="24">
        <f ca="1">H67*25%</f>
        <v>5.5</v>
      </c>
    </row>
    <row r="70" spans="1:10" x14ac:dyDescent="0.35">
      <c r="A70" s="108" t="s">
        <v>130</v>
      </c>
      <c r="B70" s="109"/>
      <c r="C70" s="53">
        <f ca="1">J71</f>
        <v>22</v>
      </c>
      <c r="D70" s="54">
        <f ca="1">((100/H67)*C70)/100</f>
        <v>1.0000000000000002</v>
      </c>
      <c r="E70" s="153">
        <f ca="1">(((C71/H67*10)+(40/(D67+F67+H67)*C72)+(7.5/(H67)*C73)+(7.5/(H67)*C74)+(10/H67*C75)+(10/H67*C76)+(5/H67*C77)+(5/H67*C78)+(5/H67*C79))/100)</f>
        <v>0.94545454545454544</v>
      </c>
      <c r="F70" s="154"/>
      <c r="G70" s="153">
        <f ca="1">((((C70/H67)*20)+((C71/H67)*25)+(30/(H67+F67+D67)*C72)+(5/H67*C73)+(5/H67*C74)+(5/H67*C75)+(5/H67*C76)+(0/H67*C77)+(0/H67*C78)+(5/H67*C79))/100)</f>
        <v>0.95</v>
      </c>
      <c r="H70" s="159"/>
      <c r="I70" s="14" t="s">
        <v>101</v>
      </c>
      <c r="J70" s="25">
        <f ca="1">H67*50%</f>
        <v>11</v>
      </c>
    </row>
    <row r="71" spans="1:10" x14ac:dyDescent="0.35">
      <c r="A71" s="108" t="s">
        <v>50</v>
      </c>
      <c r="B71" s="109"/>
      <c r="C71" s="53">
        <f ca="1">J79</f>
        <v>22</v>
      </c>
      <c r="D71" s="54">
        <f ca="1">((100/H67)*C71)/100</f>
        <v>1.0000000000000002</v>
      </c>
      <c r="E71" s="155"/>
      <c r="F71" s="156"/>
      <c r="G71" s="155"/>
      <c r="H71" s="160"/>
      <c r="I71" s="14" t="s">
        <v>102</v>
      </c>
      <c r="J71" s="25">
        <f ca="1">H67</f>
        <v>22</v>
      </c>
    </row>
    <row r="72" spans="1:10" ht="15.75" customHeight="1" x14ac:dyDescent="0.35">
      <c r="A72" s="108" t="s">
        <v>131</v>
      </c>
      <c r="B72" s="109"/>
      <c r="C72" s="53">
        <v>23</v>
      </c>
      <c r="D72" s="54">
        <f ca="1">((100/(D67+F67+H67))*C72)/100</f>
        <v>1</v>
      </c>
      <c r="E72" s="155"/>
      <c r="F72" s="156"/>
      <c r="G72" s="155"/>
      <c r="H72" s="160"/>
      <c r="I72" s="14" t="s">
        <v>103</v>
      </c>
      <c r="J72" s="26">
        <f ca="1">(IF(B67&gt;1,(H67/(B67+2)),H67/4))</f>
        <v>5.5</v>
      </c>
    </row>
    <row r="73" spans="1:10" ht="15.75" customHeight="1" x14ac:dyDescent="0.35">
      <c r="A73" s="108" t="s">
        <v>138</v>
      </c>
      <c r="B73" s="109" t="s">
        <v>132</v>
      </c>
      <c r="C73" s="53">
        <v>22</v>
      </c>
      <c r="D73" s="54">
        <f ca="1">((100/H67)*C73)/100</f>
        <v>1.0000000000000002</v>
      </c>
      <c r="E73" s="155"/>
      <c r="F73" s="156"/>
      <c r="G73" s="155"/>
      <c r="H73" s="160"/>
      <c r="I73" s="14" t="s">
        <v>104</v>
      </c>
      <c r="J73" s="26">
        <f ca="1">(IF(B67&gt;1,(H67/(B67+2)+J72),H67/4+J72))</f>
        <v>11</v>
      </c>
    </row>
    <row r="74" spans="1:10" ht="15.75" customHeight="1" x14ac:dyDescent="0.35">
      <c r="A74" s="108" t="s">
        <v>139</v>
      </c>
      <c r="B74" s="109" t="s">
        <v>132</v>
      </c>
      <c r="C74" s="53">
        <v>22</v>
      </c>
      <c r="D74" s="54">
        <f ca="1">((100/H67)*C74)/100</f>
        <v>1.0000000000000002</v>
      </c>
      <c r="E74" s="155"/>
      <c r="F74" s="156"/>
      <c r="G74" s="155"/>
      <c r="H74" s="160"/>
      <c r="I74" s="14" t="s">
        <v>148</v>
      </c>
      <c r="J74" s="26">
        <f>(IF(B67&gt;1,(H67/(B67+2)+J73),0))</f>
        <v>0</v>
      </c>
    </row>
    <row r="75" spans="1:10" ht="15" customHeight="1" x14ac:dyDescent="0.35">
      <c r="A75" s="108" t="s">
        <v>137</v>
      </c>
      <c r="B75" s="109" t="s">
        <v>134</v>
      </c>
      <c r="C75" s="53">
        <v>22</v>
      </c>
      <c r="D75" s="54">
        <f ca="1">((100/(H67))*C75)/100</f>
        <v>1.0000000000000002</v>
      </c>
      <c r="E75" s="155"/>
      <c r="F75" s="156"/>
      <c r="G75" s="155"/>
      <c r="H75" s="160"/>
      <c r="I75" s="14" t="s">
        <v>145</v>
      </c>
      <c r="J75" s="26">
        <f>(IF(B67&gt;2,(H67/(B67+2)+J74),0))</f>
        <v>0</v>
      </c>
    </row>
    <row r="76" spans="1:10" ht="15.75" customHeight="1" x14ac:dyDescent="0.35">
      <c r="A76" s="108" t="s">
        <v>133</v>
      </c>
      <c r="B76" s="109" t="s">
        <v>133</v>
      </c>
      <c r="C76" s="53">
        <v>22</v>
      </c>
      <c r="D76" s="54">
        <f ca="1">((100/H67)*C76)/100</f>
        <v>1.0000000000000002</v>
      </c>
      <c r="E76" s="155"/>
      <c r="F76" s="156"/>
      <c r="G76" s="155"/>
      <c r="H76" s="160"/>
      <c r="I76" s="14" t="s">
        <v>146</v>
      </c>
      <c r="J76" s="27">
        <f>(IF(B67&gt;3,(H67/(B67+2)+J75),0))</f>
        <v>0</v>
      </c>
    </row>
    <row r="77" spans="1:10" ht="15.75" customHeight="1" x14ac:dyDescent="0.35">
      <c r="A77" s="108" t="s">
        <v>140</v>
      </c>
      <c r="B77" s="109"/>
      <c r="C77" s="53">
        <v>22</v>
      </c>
      <c r="D77" s="54">
        <f ca="1">((100/H67)*C77)/100</f>
        <v>1.0000000000000002</v>
      </c>
      <c r="E77" s="155"/>
      <c r="F77" s="156"/>
      <c r="G77" s="155"/>
      <c r="H77" s="160"/>
      <c r="I77" s="14" t="s">
        <v>147</v>
      </c>
      <c r="J77" s="26">
        <f>(IF(B67&gt;4,(H67/(B67+2)+J76),0))</f>
        <v>0</v>
      </c>
    </row>
    <row r="78" spans="1:10" ht="15.75" customHeight="1" x14ac:dyDescent="0.35">
      <c r="A78" s="108" t="s">
        <v>135</v>
      </c>
      <c r="B78" s="109" t="s">
        <v>135</v>
      </c>
      <c r="C78" s="53">
        <v>20</v>
      </c>
      <c r="D78" s="54">
        <f ca="1">((100/(H67))*C78)/100</f>
        <v>0.90909090909090917</v>
      </c>
      <c r="E78" s="155"/>
      <c r="F78" s="156"/>
      <c r="G78" s="155"/>
      <c r="H78" s="160"/>
      <c r="I78" s="14" t="s">
        <v>149</v>
      </c>
      <c r="J78" s="26">
        <f ca="1">(IF(B67=1,(H67/(B67+3)+J73),IF(B67=0,(H67/4+J73),IF(B67&gt;1,0))))</f>
        <v>16.5</v>
      </c>
    </row>
    <row r="79" spans="1:10" ht="16" thickBot="1" x14ac:dyDescent="0.4">
      <c r="A79" s="162" t="s">
        <v>136</v>
      </c>
      <c r="B79" s="163"/>
      <c r="C79" s="55">
        <v>0</v>
      </c>
      <c r="D79" s="56">
        <f ca="1">((100/(H67))*C79)/100</f>
        <v>0</v>
      </c>
      <c r="E79" s="157"/>
      <c r="F79" s="158"/>
      <c r="G79" s="157"/>
      <c r="H79" s="161"/>
      <c r="I79" s="15" t="s">
        <v>105</v>
      </c>
      <c r="J79" s="28">
        <f ca="1">(IF(B67&gt;1.5,(H67/(B67+2)+J73+MAX(0,J74-J73)+MAX(0,J75-J74)+MAX(0,J76-J75)+MAX(0,J77-J76)+MAX(0,J78-J77)),IF(B67=1,(H67/(B67+3)+J78),IF(B67=0,H67/4+J78))))</f>
        <v>22</v>
      </c>
    </row>
    <row r="80" spans="1:10" x14ac:dyDescent="0.35">
      <c r="A80" s="152" t="s">
        <v>158</v>
      </c>
      <c r="B80" s="152"/>
      <c r="C80" s="152"/>
      <c r="D80" s="152"/>
      <c r="E80" s="152"/>
      <c r="F80" s="164" t="s">
        <v>162</v>
      </c>
      <c r="G80" s="164"/>
      <c r="H80" s="164"/>
    </row>
    <row r="81" spans="1:8" x14ac:dyDescent="0.35">
      <c r="A81" s="64" t="s">
        <v>160</v>
      </c>
      <c r="B81" s="64"/>
      <c r="C81" s="64"/>
      <c r="D81" s="64"/>
      <c r="E81" s="64"/>
      <c r="F81" s="101">
        <v>6400</v>
      </c>
      <c r="G81" s="101"/>
      <c r="H81" s="101"/>
    </row>
    <row r="82" spans="1:8" hidden="1" x14ac:dyDescent="0.35">
      <c r="A82" s="64" t="s">
        <v>159</v>
      </c>
      <c r="B82" s="64"/>
      <c r="C82" s="64"/>
      <c r="D82" s="64"/>
      <c r="E82" s="64"/>
      <c r="F82" s="101"/>
      <c r="G82" s="101"/>
      <c r="H82" s="101"/>
    </row>
    <row r="83" spans="1:8" hidden="1" x14ac:dyDescent="0.35">
      <c r="A83" s="64" t="s">
        <v>161</v>
      </c>
      <c r="B83" s="64"/>
      <c r="C83" s="64"/>
      <c r="D83" s="64"/>
      <c r="E83" s="64"/>
      <c r="F83" s="101"/>
      <c r="G83" s="101"/>
      <c r="H83" s="101"/>
    </row>
    <row r="84" spans="1:8" s="29" customFormat="1" hidden="1" x14ac:dyDescent="0.3">
      <c r="A84" s="64" t="s">
        <v>177</v>
      </c>
      <c r="B84" s="64"/>
      <c r="C84" s="64"/>
      <c r="D84" s="64"/>
      <c r="E84" s="64"/>
      <c r="F84" s="101"/>
      <c r="G84" s="101"/>
      <c r="H84" s="101"/>
    </row>
    <row r="85" spans="1:8" s="29" customFormat="1" hidden="1" x14ac:dyDescent="0.3">
      <c r="A85" s="64" t="s">
        <v>95</v>
      </c>
      <c r="B85" s="64"/>
      <c r="C85" s="64"/>
      <c r="D85" s="64"/>
      <c r="E85" s="64"/>
      <c r="F85" s="101"/>
      <c r="G85" s="101"/>
      <c r="H85" s="101"/>
    </row>
    <row r="86" spans="1:8" s="29" customFormat="1" hidden="1" x14ac:dyDescent="0.3">
      <c r="A86" s="64" t="s">
        <v>96</v>
      </c>
      <c r="B86" s="64"/>
      <c r="C86" s="64"/>
      <c r="D86" s="64"/>
      <c r="E86" s="64"/>
      <c r="F86" s="101"/>
      <c r="G86" s="101"/>
      <c r="H86" s="101"/>
    </row>
    <row r="87" spans="1:8" s="29" customFormat="1" hidden="1" x14ac:dyDescent="0.3">
      <c r="A87" s="64" t="s">
        <v>163</v>
      </c>
      <c r="B87" s="64"/>
      <c r="C87" s="64"/>
      <c r="D87" s="64"/>
      <c r="E87" s="64"/>
      <c r="F87" s="101"/>
      <c r="G87" s="101"/>
      <c r="H87" s="101"/>
    </row>
    <row r="88" spans="1:8" s="29" customFormat="1" hidden="1" x14ac:dyDescent="0.3">
      <c r="A88" s="64" t="s">
        <v>97</v>
      </c>
      <c r="B88" s="64"/>
      <c r="C88" s="64"/>
      <c r="D88" s="64"/>
      <c r="E88" s="64"/>
      <c r="F88" s="101"/>
      <c r="G88" s="101"/>
      <c r="H88" s="101"/>
    </row>
    <row r="89" spans="1:8" s="29" customFormat="1" hidden="1" x14ac:dyDescent="0.3">
      <c r="A89" s="64" t="s">
        <v>98</v>
      </c>
      <c r="B89" s="64"/>
      <c r="C89" s="64"/>
      <c r="D89" s="64"/>
      <c r="E89" s="64"/>
      <c r="F89" s="101"/>
      <c r="G89" s="101"/>
      <c r="H89" s="101"/>
    </row>
    <row r="90" spans="1:8" s="29" customFormat="1" hidden="1" x14ac:dyDescent="0.3">
      <c r="A90" s="64" t="s">
        <v>99</v>
      </c>
      <c r="B90" s="64"/>
      <c r="C90" s="64"/>
      <c r="D90" s="64"/>
      <c r="E90" s="64"/>
      <c r="F90" s="101"/>
      <c r="G90" s="101"/>
      <c r="H90" s="101"/>
    </row>
    <row r="91" spans="1:8" s="29" customFormat="1" hidden="1" x14ac:dyDescent="0.3">
      <c r="A91" s="64" t="s">
        <v>100</v>
      </c>
      <c r="B91" s="64"/>
      <c r="C91" s="64"/>
      <c r="D91" s="64"/>
      <c r="E91" s="64"/>
      <c r="F91" s="101"/>
      <c r="G91" s="101"/>
      <c r="H91" s="101"/>
    </row>
    <row r="92" spans="1:8" x14ac:dyDescent="0.35">
      <c r="A92" s="64" t="s">
        <v>51</v>
      </c>
      <c r="B92" s="64"/>
      <c r="C92" s="64"/>
      <c r="D92" s="64"/>
      <c r="E92" s="64"/>
      <c r="F92" s="101">
        <v>250000</v>
      </c>
      <c r="G92" s="101"/>
      <c r="H92" s="101"/>
    </row>
    <row r="93" spans="1:8" s="30" customFormat="1" x14ac:dyDescent="0.35">
      <c r="A93" s="128" t="s">
        <v>52</v>
      </c>
      <c r="B93" s="128"/>
      <c r="C93" s="128"/>
      <c r="D93" s="128"/>
      <c r="E93" s="128"/>
      <c r="F93" s="101">
        <f>F81*0.8</f>
        <v>5120</v>
      </c>
      <c r="G93" s="101"/>
      <c r="H93" s="101"/>
    </row>
    <row r="94" spans="1:8" s="31" customFormat="1" ht="15.75" hidden="1" customHeight="1" x14ac:dyDescent="0.35">
      <c r="A94" s="127" t="s">
        <v>75</v>
      </c>
      <c r="B94" s="127"/>
      <c r="C94" s="127"/>
      <c r="D94" s="127"/>
      <c r="E94" s="127"/>
      <c r="F94" s="127"/>
      <c r="G94" s="127"/>
      <c r="H94" s="127"/>
    </row>
    <row r="95" spans="1:8" s="31" customFormat="1" ht="15.75" hidden="1" customHeight="1" x14ac:dyDescent="0.35">
      <c r="A95" s="122" t="s">
        <v>53</v>
      </c>
      <c r="B95" s="122"/>
      <c r="C95" s="113" t="s">
        <v>78</v>
      </c>
      <c r="D95" s="113"/>
      <c r="E95" s="111" t="s">
        <v>54</v>
      </c>
      <c r="F95" s="111"/>
      <c r="G95" s="122" t="s">
        <v>55</v>
      </c>
      <c r="H95" s="122"/>
    </row>
    <row r="96" spans="1:8" s="31" customFormat="1" hidden="1" x14ac:dyDescent="0.35">
      <c r="A96" s="123"/>
      <c r="B96" s="123"/>
      <c r="C96" s="150"/>
      <c r="D96" s="150"/>
      <c r="E96" s="169"/>
      <c r="F96" s="169"/>
      <c r="G96" s="121"/>
      <c r="H96" s="121"/>
    </row>
    <row r="97" spans="1:14" s="31" customFormat="1" hidden="1" x14ac:dyDescent="0.35">
      <c r="A97" s="123"/>
      <c r="B97" s="123"/>
      <c r="C97" s="150"/>
      <c r="D97" s="150"/>
      <c r="E97" s="169"/>
      <c r="F97" s="169"/>
      <c r="G97" s="121"/>
      <c r="H97" s="121"/>
    </row>
    <row r="98" spans="1:14" s="31" customFormat="1" hidden="1" x14ac:dyDescent="0.35">
      <c r="A98" s="127" t="s">
        <v>152</v>
      </c>
      <c r="B98" s="127"/>
      <c r="C98" s="113"/>
      <c r="D98" s="113"/>
      <c r="E98" s="111"/>
      <c r="F98" s="111"/>
      <c r="G98" s="122"/>
      <c r="H98" s="122"/>
    </row>
    <row r="99" spans="1:14" s="31" customFormat="1" x14ac:dyDescent="0.35">
      <c r="A99" s="127" t="s">
        <v>70</v>
      </c>
      <c r="B99" s="127"/>
      <c r="C99" s="127"/>
      <c r="D99" s="127"/>
      <c r="E99" s="127"/>
      <c r="F99" s="127"/>
      <c r="G99" s="127"/>
      <c r="H99" s="127"/>
    </row>
    <row r="100" spans="1:14" s="31" customFormat="1" ht="15.75" customHeight="1" x14ac:dyDescent="0.35">
      <c r="A100" s="122" t="s">
        <v>53</v>
      </c>
      <c r="B100" s="122"/>
      <c r="C100" s="113" t="s">
        <v>78</v>
      </c>
      <c r="D100" s="113"/>
      <c r="E100" s="111" t="s">
        <v>54</v>
      </c>
      <c r="F100" s="111"/>
      <c r="G100" s="122" t="s">
        <v>55</v>
      </c>
      <c r="H100" s="122"/>
    </row>
    <row r="101" spans="1:14" s="31" customFormat="1" x14ac:dyDescent="0.35">
      <c r="A101" s="123" t="s">
        <v>265</v>
      </c>
      <c r="B101" s="123"/>
      <c r="C101" s="150">
        <f>COUNT(D118:D125)*22</f>
        <v>176</v>
      </c>
      <c r="D101" s="150"/>
      <c r="E101" s="151">
        <f>SUM(D118:D125)*22</f>
        <v>61001.740800000007</v>
      </c>
      <c r="F101" s="151"/>
      <c r="G101" s="151">
        <f>SUM(F118:F125)*22</f>
        <v>91502.611200000028</v>
      </c>
      <c r="H101" s="151"/>
    </row>
    <row r="102" spans="1:14" s="30" customFormat="1" x14ac:dyDescent="0.35">
      <c r="A102" s="114" t="s">
        <v>56</v>
      </c>
      <c r="B102" s="114"/>
      <c r="C102" s="114"/>
      <c r="D102" s="114"/>
      <c r="E102" s="114"/>
      <c r="F102" s="114"/>
      <c r="G102" s="114"/>
      <c r="H102" s="114"/>
    </row>
    <row r="103" spans="1:14" x14ac:dyDescent="0.35">
      <c r="A103" s="112" t="s">
        <v>176</v>
      </c>
      <c r="B103" s="112"/>
      <c r="C103" s="112"/>
      <c r="D103" s="112"/>
      <c r="E103" s="112"/>
      <c r="F103" s="112"/>
      <c r="G103" s="112"/>
      <c r="H103" s="112"/>
    </row>
    <row r="104" spans="1:14" ht="47.25" hidden="1" customHeight="1" x14ac:dyDescent="0.35">
      <c r="A104" s="86" t="s">
        <v>121</v>
      </c>
      <c r="B104" s="86" t="s">
        <v>178</v>
      </c>
      <c r="C104" s="86" t="s">
        <v>57</v>
      </c>
      <c r="D104" s="86" t="s">
        <v>58</v>
      </c>
      <c r="E104" s="117" t="s">
        <v>157</v>
      </c>
      <c r="F104" s="39" t="s">
        <v>151</v>
      </c>
      <c r="G104" s="115" t="s">
        <v>60</v>
      </c>
      <c r="H104" s="119"/>
    </row>
    <row r="105" spans="1:14" s="33" customFormat="1" hidden="1" x14ac:dyDescent="0.35">
      <c r="A105" s="87"/>
      <c r="B105" s="87"/>
      <c r="C105" s="87"/>
      <c r="D105" s="87"/>
      <c r="E105" s="118"/>
      <c r="F105" s="13">
        <v>0.45</v>
      </c>
      <c r="G105" s="116"/>
      <c r="H105" s="120"/>
    </row>
    <row r="106" spans="1:14" s="33" customFormat="1" ht="15.75" hidden="1" customHeight="1" x14ac:dyDescent="0.35">
      <c r="A106" s="76" t="s">
        <v>120</v>
      </c>
      <c r="B106" s="77"/>
      <c r="C106" s="77"/>
      <c r="D106" s="77"/>
      <c r="E106" s="77"/>
      <c r="F106" s="77"/>
      <c r="G106" s="77"/>
      <c r="H106" s="78"/>
      <c r="J106" s="32"/>
    </row>
    <row r="107" spans="1:14" s="33" customFormat="1" ht="15.75" hidden="1" customHeight="1" x14ac:dyDescent="0.35">
      <c r="A107" s="68">
        <v>1</v>
      </c>
      <c r="B107" s="69"/>
      <c r="C107" s="38"/>
      <c r="D107" s="38"/>
      <c r="E107" s="38">
        <v>0</v>
      </c>
      <c r="F107" s="38">
        <f>(D107+E107)*(($F$105)+1)</f>
        <v>0</v>
      </c>
      <c r="G107" s="68" t="str">
        <f>A106</f>
        <v>Ground Floor</v>
      </c>
      <c r="H107" s="69"/>
      <c r="I107" s="32"/>
      <c r="L107" s="79"/>
      <c r="M107" s="79"/>
      <c r="N107" s="32"/>
    </row>
    <row r="108" spans="1:14" s="33" customFormat="1" ht="15.75" hidden="1" customHeight="1" x14ac:dyDescent="0.35">
      <c r="A108" s="68">
        <f t="shared" ref="A108:A110" si="0">A107+1</f>
        <v>2</v>
      </c>
      <c r="B108" s="69"/>
      <c r="C108" s="38"/>
      <c r="D108" s="38"/>
      <c r="E108" s="38">
        <v>0</v>
      </c>
      <c r="F108" s="38">
        <f t="shared" ref="F108:F110" si="1">(D108+E108)*(($F$105)+1)</f>
        <v>0</v>
      </c>
      <c r="G108" s="68" t="str">
        <f t="shared" ref="G108:G110" si="2">G107</f>
        <v>Ground Floor</v>
      </c>
      <c r="H108" s="69"/>
      <c r="I108" s="32"/>
      <c r="L108" s="79"/>
      <c r="M108" s="79"/>
      <c r="N108" s="32"/>
    </row>
    <row r="109" spans="1:14" s="33" customFormat="1" ht="15.75" hidden="1" customHeight="1" x14ac:dyDescent="0.35">
      <c r="A109" s="68">
        <f t="shared" si="0"/>
        <v>3</v>
      </c>
      <c r="B109" s="69"/>
      <c r="C109" s="38"/>
      <c r="D109" s="38"/>
      <c r="E109" s="38">
        <v>0</v>
      </c>
      <c r="F109" s="38">
        <f t="shared" si="1"/>
        <v>0</v>
      </c>
      <c r="G109" s="68" t="str">
        <f t="shared" si="2"/>
        <v>Ground Floor</v>
      </c>
      <c r="H109" s="69"/>
      <c r="I109" s="32"/>
      <c r="L109" s="79"/>
      <c r="M109" s="79"/>
      <c r="N109" s="32"/>
    </row>
    <row r="110" spans="1:14" s="33" customFormat="1" ht="15.75" hidden="1" customHeight="1" x14ac:dyDescent="0.35">
      <c r="A110" s="68">
        <f t="shared" si="0"/>
        <v>4</v>
      </c>
      <c r="B110" s="69"/>
      <c r="C110" s="38"/>
      <c r="D110" s="38"/>
      <c r="E110" s="38">
        <v>0</v>
      </c>
      <c r="F110" s="38">
        <f t="shared" si="1"/>
        <v>0</v>
      </c>
      <c r="G110" s="68" t="str">
        <f t="shared" si="2"/>
        <v>Ground Floor</v>
      </c>
      <c r="H110" s="69"/>
      <c r="I110" s="32"/>
      <c r="L110" s="79"/>
      <c r="M110" s="79"/>
      <c r="N110" s="32"/>
    </row>
    <row r="111" spans="1:14" s="33" customFormat="1" x14ac:dyDescent="0.35">
      <c r="A111" s="68"/>
      <c r="B111" s="124"/>
      <c r="C111" s="124"/>
      <c r="D111" s="124"/>
      <c r="E111" s="124"/>
      <c r="F111" s="124"/>
      <c r="G111" s="124"/>
      <c r="H111" s="69"/>
      <c r="I111" s="32"/>
      <c r="N111" s="32"/>
    </row>
    <row r="112" spans="1:14" ht="47.25" customHeight="1" x14ac:dyDescent="0.35">
      <c r="A112" s="115" t="s">
        <v>122</v>
      </c>
      <c r="B112" s="86" t="s">
        <v>179</v>
      </c>
      <c r="C112" s="86" t="s">
        <v>57</v>
      </c>
      <c r="D112" s="86" t="s">
        <v>58</v>
      </c>
      <c r="E112" s="117" t="s">
        <v>59</v>
      </c>
      <c r="F112" s="45" t="s">
        <v>151</v>
      </c>
      <c r="G112" s="115" t="s">
        <v>60</v>
      </c>
      <c r="H112" s="119"/>
      <c r="I112" s="32"/>
    </row>
    <row r="113" spans="1:14" s="33" customFormat="1" x14ac:dyDescent="0.35">
      <c r="A113" s="116"/>
      <c r="B113" s="87"/>
      <c r="C113" s="87"/>
      <c r="D113" s="87"/>
      <c r="E113" s="118"/>
      <c r="F113" s="13">
        <v>0.5</v>
      </c>
      <c r="G113" s="116"/>
      <c r="H113" s="120"/>
      <c r="I113" s="32"/>
    </row>
    <row r="114" spans="1:14" s="61" customFormat="1" x14ac:dyDescent="0.35">
      <c r="A114" s="70" t="s">
        <v>273</v>
      </c>
      <c r="B114" s="71"/>
      <c r="C114" s="71"/>
      <c r="D114" s="71"/>
      <c r="E114" s="71"/>
      <c r="F114" s="71"/>
      <c r="G114" s="71"/>
      <c r="H114" s="72"/>
      <c r="J114" s="32"/>
    </row>
    <row r="115" spans="1:14" s="51" customFormat="1" x14ac:dyDescent="0.35">
      <c r="A115" s="70" t="s">
        <v>236</v>
      </c>
      <c r="B115" s="71"/>
      <c r="C115" s="71"/>
      <c r="D115" s="71"/>
      <c r="E115" s="71"/>
      <c r="F115" s="71"/>
      <c r="G115" s="71"/>
      <c r="H115" s="72"/>
      <c r="J115" s="32"/>
    </row>
    <row r="116" spans="1:14" s="51" customFormat="1" x14ac:dyDescent="0.35">
      <c r="A116" s="76" t="s">
        <v>260</v>
      </c>
      <c r="B116" s="77"/>
      <c r="C116" s="77"/>
      <c r="D116" s="77"/>
      <c r="E116" s="77"/>
      <c r="F116" s="77"/>
      <c r="G116" s="77"/>
      <c r="H116" s="78"/>
      <c r="J116" s="32"/>
    </row>
    <row r="117" spans="1:14" s="33" customFormat="1" x14ac:dyDescent="0.35">
      <c r="A117" s="76" t="s">
        <v>261</v>
      </c>
      <c r="B117" s="77"/>
      <c r="C117" s="77"/>
      <c r="D117" s="77"/>
      <c r="E117" s="77"/>
      <c r="F117" s="77"/>
      <c r="G117" s="77"/>
      <c r="H117" s="78"/>
      <c r="I117" s="60" t="s">
        <v>271</v>
      </c>
      <c r="J117" s="32"/>
    </row>
    <row r="118" spans="1:14" s="33" customFormat="1" x14ac:dyDescent="0.35">
      <c r="A118" s="68">
        <v>1</v>
      </c>
      <c r="B118" s="69"/>
      <c r="C118" s="38" t="s">
        <v>262</v>
      </c>
      <c r="D118" s="57">
        <f>(26.48+1*(2.82+2.9))*10.764</f>
        <v>346.60079999999999</v>
      </c>
      <c r="E118" s="38">
        <v>0</v>
      </c>
      <c r="F118" s="38">
        <f t="shared" ref="F118:F125" si="3">D118*(($F$113)+1)+(IF(E118&lt;101,E118,IF(E118&lt;201,E118/2,IF(E118&lt;=301,E118/3,E118/4))))</f>
        <v>519.90120000000002</v>
      </c>
      <c r="G118" s="68" t="str">
        <f>A117</f>
        <v>1st to 22nd Floor for Residential</v>
      </c>
      <c r="H118" s="69"/>
      <c r="I118" s="62">
        <f>2.9*3.42+2.13*2.48+2.82*2.05+1.75*1.22+1.22*0.9+0.9*0.9</f>
        <v>25.024399999999996</v>
      </c>
      <c r="L118" s="79"/>
      <c r="M118" s="79"/>
      <c r="N118" s="32"/>
    </row>
    <row r="119" spans="1:14" s="33" customFormat="1" x14ac:dyDescent="0.35">
      <c r="A119" s="68">
        <f t="shared" ref="A119:A125" si="4">A118+1</f>
        <v>2</v>
      </c>
      <c r="B119" s="69"/>
      <c r="C119" s="38" t="s">
        <v>262</v>
      </c>
      <c r="D119" s="57">
        <f t="shared" ref="D119:D125" si="5">(26.48+1*(2.82+2.9))*10.764</f>
        <v>346.60079999999999</v>
      </c>
      <c r="E119" s="38">
        <v>0</v>
      </c>
      <c r="F119" s="38">
        <f t="shared" si="3"/>
        <v>519.90120000000002</v>
      </c>
      <c r="G119" s="68" t="str">
        <f t="shared" ref="G119:G125" si="6">G118</f>
        <v>1st to 22nd Floor for Residential</v>
      </c>
      <c r="H119" s="69"/>
      <c r="I119" s="32"/>
      <c r="L119" s="79"/>
      <c r="M119" s="79"/>
      <c r="N119" s="32"/>
    </row>
    <row r="120" spans="1:14" s="33" customFormat="1" x14ac:dyDescent="0.35">
      <c r="A120" s="68">
        <v>3</v>
      </c>
      <c r="B120" s="69"/>
      <c r="C120" s="38" t="s">
        <v>262</v>
      </c>
      <c r="D120" s="57">
        <f t="shared" si="5"/>
        <v>346.60079999999999</v>
      </c>
      <c r="E120" s="38">
        <v>0</v>
      </c>
      <c r="F120" s="38">
        <f t="shared" si="3"/>
        <v>519.90120000000002</v>
      </c>
      <c r="G120" s="68" t="str">
        <f t="shared" si="6"/>
        <v>1st to 22nd Floor for Residential</v>
      </c>
      <c r="H120" s="69"/>
      <c r="I120" s="57">
        <v>10.763999999999999</v>
      </c>
      <c r="J120" s="58" t="s">
        <v>269</v>
      </c>
      <c r="L120" s="79"/>
      <c r="M120" s="79"/>
      <c r="N120" s="32"/>
    </row>
    <row r="121" spans="1:14" s="33" customFormat="1" x14ac:dyDescent="0.35">
      <c r="A121" s="68">
        <f t="shared" si="4"/>
        <v>4</v>
      </c>
      <c r="B121" s="69"/>
      <c r="C121" s="50" t="s">
        <v>262</v>
      </c>
      <c r="D121" s="57">
        <f t="shared" si="5"/>
        <v>346.60079999999999</v>
      </c>
      <c r="E121" s="38">
        <v>0</v>
      </c>
      <c r="F121" s="38">
        <f t="shared" si="3"/>
        <v>519.90120000000002</v>
      </c>
      <c r="G121" s="68" t="str">
        <f t="shared" si="6"/>
        <v>1st to 22nd Floor for Residential</v>
      </c>
      <c r="H121" s="69"/>
      <c r="I121" s="32">
        <f>6000*F121</f>
        <v>3119407.2</v>
      </c>
      <c r="J121" s="59">
        <f>3370000/F121</f>
        <v>6482.0008109233058</v>
      </c>
      <c r="K121" s="33" t="s">
        <v>270</v>
      </c>
      <c r="L121" s="79"/>
      <c r="M121" s="79"/>
      <c r="N121" s="32"/>
    </row>
    <row r="122" spans="1:14" s="51" customFormat="1" x14ac:dyDescent="0.35">
      <c r="A122" s="68">
        <v>5</v>
      </c>
      <c r="B122" s="69"/>
      <c r="C122" s="50" t="s">
        <v>262</v>
      </c>
      <c r="D122" s="57">
        <f t="shared" si="5"/>
        <v>346.60079999999999</v>
      </c>
      <c r="E122" s="50">
        <v>0</v>
      </c>
      <c r="F122" s="50">
        <f t="shared" si="3"/>
        <v>519.90120000000002</v>
      </c>
      <c r="G122" s="68" t="str">
        <f t="shared" si="6"/>
        <v>1st to 22nd Floor for Residential</v>
      </c>
      <c r="H122" s="69"/>
      <c r="I122" s="32">
        <f t="shared" ref="I122:I125" si="7">6000*F122</f>
        <v>3119407.2</v>
      </c>
      <c r="J122" s="32">
        <f>3370000/D121</f>
        <v>9723.0012163849588</v>
      </c>
      <c r="L122" s="79"/>
      <c r="M122" s="79"/>
      <c r="N122" s="32"/>
    </row>
    <row r="123" spans="1:14" s="51" customFormat="1" x14ac:dyDescent="0.35">
      <c r="A123" s="68">
        <v>6</v>
      </c>
      <c r="B123" s="69"/>
      <c r="C123" s="50" t="s">
        <v>262</v>
      </c>
      <c r="D123" s="57">
        <f t="shared" si="5"/>
        <v>346.60079999999999</v>
      </c>
      <c r="E123" s="50">
        <v>0</v>
      </c>
      <c r="F123" s="50">
        <f t="shared" si="3"/>
        <v>519.90120000000002</v>
      </c>
      <c r="G123" s="68" t="str">
        <f t="shared" si="6"/>
        <v>1st to 22nd Floor for Residential</v>
      </c>
      <c r="H123" s="69"/>
      <c r="I123" s="32">
        <f t="shared" si="7"/>
        <v>3119407.2</v>
      </c>
      <c r="L123" s="79"/>
      <c r="M123" s="79"/>
      <c r="N123" s="32"/>
    </row>
    <row r="124" spans="1:14" s="51" customFormat="1" x14ac:dyDescent="0.35">
      <c r="A124" s="68">
        <v>7</v>
      </c>
      <c r="B124" s="69"/>
      <c r="C124" s="50" t="s">
        <v>262</v>
      </c>
      <c r="D124" s="57">
        <f t="shared" si="5"/>
        <v>346.60079999999999</v>
      </c>
      <c r="E124" s="50">
        <v>0</v>
      </c>
      <c r="F124" s="50">
        <f t="shared" si="3"/>
        <v>519.90120000000002</v>
      </c>
      <c r="G124" s="68" t="str">
        <f t="shared" si="6"/>
        <v>1st to 22nd Floor for Residential</v>
      </c>
      <c r="H124" s="69"/>
      <c r="I124" s="32">
        <f t="shared" si="7"/>
        <v>3119407.2</v>
      </c>
      <c r="L124" s="79"/>
      <c r="M124" s="79"/>
      <c r="N124" s="32"/>
    </row>
    <row r="125" spans="1:14" s="51" customFormat="1" x14ac:dyDescent="0.35">
      <c r="A125" s="68">
        <f t="shared" si="4"/>
        <v>8</v>
      </c>
      <c r="B125" s="69"/>
      <c r="C125" s="50" t="s">
        <v>262</v>
      </c>
      <c r="D125" s="57">
        <f t="shared" si="5"/>
        <v>346.60079999999999</v>
      </c>
      <c r="E125" s="50">
        <v>0</v>
      </c>
      <c r="F125" s="50">
        <f t="shared" si="3"/>
        <v>519.90120000000002</v>
      </c>
      <c r="G125" s="68" t="str">
        <f t="shared" si="6"/>
        <v>1st to 22nd Floor for Residential</v>
      </c>
      <c r="H125" s="69"/>
      <c r="I125" s="32">
        <f t="shared" si="7"/>
        <v>3119407.2</v>
      </c>
      <c r="L125" s="79"/>
      <c r="M125" s="79"/>
      <c r="N125" s="32"/>
    </row>
    <row r="126" spans="1:14" s="51" customFormat="1" hidden="1" x14ac:dyDescent="0.35">
      <c r="A126" s="73" t="s">
        <v>267</v>
      </c>
      <c r="B126" s="74"/>
      <c r="C126" s="74"/>
      <c r="D126" s="74"/>
      <c r="E126" s="74"/>
      <c r="F126" s="74"/>
      <c r="G126" s="74"/>
      <c r="H126" s="75"/>
      <c r="J126" s="32"/>
    </row>
    <row r="127" spans="1:14" s="51" customFormat="1" hidden="1" x14ac:dyDescent="0.35">
      <c r="A127" s="76" t="s">
        <v>260</v>
      </c>
      <c r="B127" s="77"/>
      <c r="C127" s="77"/>
      <c r="D127" s="77"/>
      <c r="E127" s="77"/>
      <c r="F127" s="77"/>
      <c r="G127" s="77"/>
      <c r="H127" s="78"/>
      <c r="J127" s="32"/>
    </row>
    <row r="128" spans="1:14" s="51" customFormat="1" hidden="1" x14ac:dyDescent="0.35">
      <c r="A128" s="76" t="s">
        <v>261</v>
      </c>
      <c r="B128" s="77"/>
      <c r="C128" s="77"/>
      <c r="D128" s="77"/>
      <c r="E128" s="77"/>
      <c r="F128" s="77"/>
      <c r="G128" s="77"/>
      <c r="H128" s="78"/>
      <c r="J128" s="32"/>
    </row>
    <row r="129" spans="1:14" s="51" customFormat="1" hidden="1" x14ac:dyDescent="0.35">
      <c r="A129" s="68">
        <v>1</v>
      </c>
      <c r="B129" s="69"/>
      <c r="C129" s="50" t="s">
        <v>268</v>
      </c>
      <c r="D129" s="57">
        <f>(49.52+1.52*5.03+1.07*2.55+1.03*3.28+0.84*5.03+1.03*3.28)*10.764</f>
        <v>762.91034039999988</v>
      </c>
      <c r="E129" s="50">
        <v>0</v>
      </c>
      <c r="F129" s="50">
        <f>D129*(($F$113)+1)+(IF(E129&lt;101,E129,IF(E129&lt;201,E129/2,IF(E129&lt;=301,E129/3,E129/4))))</f>
        <v>1144.3655105999999</v>
      </c>
      <c r="G129" s="68" t="str">
        <f>A128</f>
        <v>1st to 22nd Floor for Residential</v>
      </c>
      <c r="H129" s="69"/>
      <c r="I129" s="51">
        <f>2.66*2.48+5.03*2.51+2.29*2.55+3.28*2.02+3.28*2.02+2.13*1.22+2.13*1.22+0.9*0.9+0.9*0.9</f>
        <v>45.129999999999995</v>
      </c>
      <c r="J129" s="58" t="s">
        <v>269</v>
      </c>
      <c r="K129" s="79"/>
      <c r="L129" s="79"/>
      <c r="M129" s="32"/>
    </row>
    <row r="130" spans="1:14" s="51" customFormat="1" hidden="1" x14ac:dyDescent="0.35">
      <c r="A130" s="68">
        <f t="shared" ref="A130:A132" si="8">A129+1</f>
        <v>2</v>
      </c>
      <c r="B130" s="69"/>
      <c r="C130" s="50" t="s">
        <v>268</v>
      </c>
      <c r="D130" s="57">
        <f t="shared" ref="D130:D132" si="9">(49.52+1.52*5.03+1.07*2.55+1.03*3.28+0.84*5.03+1.03*3.28)*10.764</f>
        <v>762.91034039999988</v>
      </c>
      <c r="E130" s="50">
        <v>0</v>
      </c>
      <c r="F130" s="50">
        <f>D130*(($F$113)+1)+(IF(E130&lt;101,E130,IF(E130&lt;201,E130/2,IF(E130&lt;=301,E130/3,E130/4))))</f>
        <v>1144.3655105999999</v>
      </c>
      <c r="G130" s="68" t="str">
        <f t="shared" ref="G130:G132" si="10">G129</f>
        <v>1st to 22nd Floor for Residential</v>
      </c>
      <c r="H130" s="69"/>
      <c r="I130" s="57">
        <v>10.763999999999999</v>
      </c>
      <c r="J130" s="59">
        <f>6800000/F129</f>
        <v>5942.1574112581447</v>
      </c>
      <c r="K130" s="79"/>
      <c r="L130" s="79"/>
      <c r="M130" s="32"/>
    </row>
    <row r="131" spans="1:14" s="51" customFormat="1" hidden="1" x14ac:dyDescent="0.35">
      <c r="A131" s="68">
        <v>3</v>
      </c>
      <c r="B131" s="69"/>
      <c r="C131" s="50" t="s">
        <v>268</v>
      </c>
      <c r="D131" s="57">
        <f t="shared" si="9"/>
        <v>762.91034039999988</v>
      </c>
      <c r="E131" s="50">
        <v>0</v>
      </c>
      <c r="F131" s="50">
        <f>D131*(($F$113)+1)+(IF(E131&lt;101,E131,IF(E131&lt;201,E131/2,IF(E131&lt;=301,E131/3,E131/4))))</f>
        <v>1144.3655105999999</v>
      </c>
      <c r="G131" s="68" t="str">
        <f t="shared" si="10"/>
        <v>1st to 22nd Floor for Residential</v>
      </c>
      <c r="H131" s="69"/>
      <c r="I131" s="51">
        <f>6000*F131</f>
        <v>6866193.0635999991</v>
      </c>
      <c r="J131" s="32">
        <f>6800000/D130</f>
        <v>8913.2361168872176</v>
      </c>
      <c r="K131" s="79"/>
      <c r="L131" s="79"/>
      <c r="M131" s="32"/>
    </row>
    <row r="132" spans="1:14" s="51" customFormat="1" hidden="1" x14ac:dyDescent="0.35">
      <c r="A132" s="68">
        <f t="shared" si="8"/>
        <v>4</v>
      </c>
      <c r="B132" s="69"/>
      <c r="C132" s="50" t="s">
        <v>268</v>
      </c>
      <c r="D132" s="57">
        <f t="shared" si="9"/>
        <v>762.91034039999988</v>
      </c>
      <c r="E132" s="50">
        <v>0</v>
      </c>
      <c r="F132" s="50">
        <f>D132*(($F$113)+1)+(IF(E132&lt;101,E132,IF(E132&lt;201,E132/2,IF(E132&lt;=301,E132/3,E132/4))))</f>
        <v>1144.3655105999999</v>
      </c>
      <c r="G132" s="68" t="str">
        <f t="shared" si="10"/>
        <v>1st to 22nd Floor for Residential</v>
      </c>
      <c r="H132" s="69"/>
      <c r="I132" s="51">
        <f>6000*F132</f>
        <v>6866193.0635999991</v>
      </c>
      <c r="L132" s="79"/>
      <c r="M132" s="79"/>
      <c r="N132" s="32"/>
    </row>
    <row r="133" spans="1:14" s="31" customFormat="1" x14ac:dyDescent="0.35">
      <c r="A133" s="165" t="s">
        <v>68</v>
      </c>
      <c r="B133" s="165"/>
      <c r="C133" s="165"/>
      <c r="D133" s="165"/>
      <c r="E133" s="165"/>
      <c r="F133" s="165"/>
      <c r="G133" s="165"/>
      <c r="H133" s="165"/>
    </row>
    <row r="134" spans="1:14" s="31" customFormat="1" x14ac:dyDescent="0.35">
      <c r="A134" s="41" t="s">
        <v>155</v>
      </c>
      <c r="B134" s="83" t="s">
        <v>279</v>
      </c>
      <c r="C134" s="84"/>
      <c r="D134" s="84"/>
      <c r="E134" s="84"/>
      <c r="F134" s="84"/>
      <c r="G134" s="84"/>
      <c r="H134" s="85"/>
      <c r="I134" s="31" t="s">
        <v>276</v>
      </c>
    </row>
    <row r="135" spans="1:14" s="31" customFormat="1" x14ac:dyDescent="0.35">
      <c r="A135" s="41" t="s">
        <v>155</v>
      </c>
      <c r="B135" s="83" t="str">
        <f>(IF(F112="Saleable area Loading :","We have considered Saleable area of Flats as per our Calculation.","We considered Saleable area of Flat as per Builder area Sheet."))</f>
        <v>We have considered Saleable area of Flats as per our Calculation.</v>
      </c>
      <c r="C135" s="84"/>
      <c r="D135" s="84"/>
      <c r="E135" s="84"/>
      <c r="F135" s="84"/>
      <c r="G135" s="84"/>
      <c r="H135" s="85"/>
    </row>
    <row r="136" spans="1:14" s="31" customFormat="1" x14ac:dyDescent="0.35">
      <c r="A136" s="41" t="s">
        <v>155</v>
      </c>
      <c r="B136" s="83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6" s="84"/>
      <c r="D136" s="84"/>
      <c r="E136" s="84"/>
      <c r="F136" s="84"/>
      <c r="G136" s="84"/>
      <c r="H136" s="85"/>
    </row>
    <row r="137" spans="1:14" s="31" customFormat="1" x14ac:dyDescent="0.35">
      <c r="A137" s="41" t="s">
        <v>155</v>
      </c>
      <c r="B137" s="65" t="s">
        <v>125</v>
      </c>
      <c r="C137" s="66"/>
      <c r="D137" s="66"/>
      <c r="E137" s="66"/>
      <c r="F137" s="66"/>
      <c r="G137" s="66"/>
      <c r="H137" s="67"/>
    </row>
    <row r="138" spans="1:14" s="31" customFormat="1" x14ac:dyDescent="0.35">
      <c r="A138" s="41" t="s">
        <v>155</v>
      </c>
      <c r="B138" s="65" t="s">
        <v>263</v>
      </c>
      <c r="C138" s="66"/>
      <c r="D138" s="66"/>
      <c r="E138" s="66"/>
      <c r="F138" s="66"/>
      <c r="G138" s="66"/>
      <c r="H138" s="67"/>
    </row>
    <row r="139" spans="1:14" s="31" customFormat="1" x14ac:dyDescent="0.35">
      <c r="A139" s="41" t="s">
        <v>155</v>
      </c>
      <c r="B139" s="65" t="s">
        <v>154</v>
      </c>
      <c r="C139" s="66"/>
      <c r="D139" s="66"/>
      <c r="E139" s="66"/>
      <c r="F139" s="66"/>
      <c r="G139" s="66"/>
      <c r="H139" s="67"/>
    </row>
    <row r="140" spans="1:14" s="31" customFormat="1" x14ac:dyDescent="0.35">
      <c r="A140" s="41" t="s">
        <v>155</v>
      </c>
      <c r="B140" s="65" t="s">
        <v>126</v>
      </c>
      <c r="C140" s="66"/>
      <c r="D140" s="66"/>
      <c r="E140" s="66"/>
      <c r="F140" s="66"/>
      <c r="G140" s="66"/>
      <c r="H140" s="67"/>
    </row>
    <row r="141" spans="1:14" s="31" customFormat="1" ht="34.5" customHeight="1" x14ac:dyDescent="0.35">
      <c r="A141" s="41" t="s">
        <v>155</v>
      </c>
      <c r="B141" s="65" t="s">
        <v>156</v>
      </c>
      <c r="C141" s="66"/>
      <c r="D141" s="66"/>
      <c r="E141" s="66"/>
      <c r="F141" s="66"/>
      <c r="G141" s="66"/>
      <c r="H141" s="67"/>
    </row>
    <row r="142" spans="1:14" s="31" customFormat="1" x14ac:dyDescent="0.35">
      <c r="A142" s="41" t="s">
        <v>155</v>
      </c>
      <c r="B142" s="65" t="s">
        <v>127</v>
      </c>
      <c r="C142" s="66"/>
      <c r="D142" s="66"/>
      <c r="E142" s="66"/>
      <c r="F142" s="66"/>
      <c r="G142" s="66"/>
      <c r="H142" s="67"/>
    </row>
    <row r="143" spans="1:14" s="31" customFormat="1" ht="32.25" hidden="1" customHeight="1" x14ac:dyDescent="0.35">
      <c r="A143" s="46" t="s">
        <v>155</v>
      </c>
      <c r="B143" s="80" t="s">
        <v>180</v>
      </c>
      <c r="C143" s="81"/>
      <c r="D143" s="81"/>
      <c r="E143" s="81"/>
      <c r="F143" s="81"/>
      <c r="G143" s="81"/>
      <c r="H143" s="82"/>
    </row>
    <row r="144" spans="1:14" s="31" customFormat="1" x14ac:dyDescent="0.35">
      <c r="A144" s="49" t="s">
        <v>155</v>
      </c>
      <c r="B144" s="65" t="s">
        <v>272</v>
      </c>
      <c r="C144" s="66"/>
      <c r="D144" s="66"/>
      <c r="E144" s="66"/>
      <c r="F144" s="66"/>
      <c r="G144" s="66"/>
      <c r="H144" s="67"/>
    </row>
    <row r="145" spans="1:8" s="31" customFormat="1" x14ac:dyDescent="0.35">
      <c r="A145" s="49" t="s">
        <v>155</v>
      </c>
      <c r="B145" s="65" t="s">
        <v>264</v>
      </c>
      <c r="C145" s="66"/>
      <c r="D145" s="66"/>
      <c r="E145" s="66"/>
      <c r="F145" s="66"/>
      <c r="G145" s="66"/>
      <c r="H145" s="67"/>
    </row>
    <row r="146" spans="1:8" x14ac:dyDescent="0.35">
      <c r="A146" s="129" t="s">
        <v>61</v>
      </c>
      <c r="B146" s="129"/>
      <c r="C146" s="129"/>
      <c r="D146" s="129"/>
      <c r="E146" s="129"/>
      <c r="F146" s="129"/>
      <c r="G146" s="129"/>
      <c r="H146" s="129"/>
    </row>
    <row r="147" spans="1:8" x14ac:dyDescent="0.35">
      <c r="A147" s="105" t="s">
        <v>62</v>
      </c>
      <c r="B147" s="105"/>
      <c r="C147" s="105"/>
      <c r="D147" s="105"/>
      <c r="E147" s="105"/>
      <c r="F147" s="105"/>
      <c r="G147" s="105"/>
      <c r="H147" s="105"/>
    </row>
    <row r="148" spans="1:8" ht="15.75" customHeight="1" x14ac:dyDescent="0.35">
      <c r="A148" s="130" t="s">
        <v>63</v>
      </c>
      <c r="B148" s="130"/>
      <c r="C148" s="130"/>
      <c r="D148" s="130"/>
      <c r="E148" s="130"/>
      <c r="F148" s="130"/>
      <c r="G148" s="130"/>
      <c r="H148" s="130"/>
    </row>
    <row r="149" spans="1:8" x14ac:dyDescent="0.35">
      <c r="A149" s="105" t="s">
        <v>64</v>
      </c>
      <c r="B149" s="105"/>
      <c r="C149" s="105"/>
      <c r="D149" s="105"/>
      <c r="E149" s="105"/>
      <c r="F149" s="105"/>
      <c r="G149" s="105"/>
      <c r="H149" s="105"/>
    </row>
    <row r="150" spans="1:8" x14ac:dyDescent="0.35">
      <c r="A150" s="105" t="s">
        <v>65</v>
      </c>
      <c r="B150" s="105"/>
      <c r="C150" s="105"/>
      <c r="D150" s="105"/>
      <c r="E150" s="105"/>
      <c r="F150" s="105"/>
      <c r="G150" s="105"/>
      <c r="H150" s="105"/>
    </row>
    <row r="151" spans="1:8" x14ac:dyDescent="0.35">
      <c r="A151" s="105" t="s">
        <v>128</v>
      </c>
      <c r="B151" s="105"/>
      <c r="C151" s="105"/>
      <c r="D151" s="105"/>
      <c r="E151" s="105"/>
      <c r="F151" s="105"/>
      <c r="G151" s="105"/>
      <c r="H151" s="105"/>
    </row>
    <row r="152" spans="1:8" ht="34" customHeight="1" x14ac:dyDescent="0.35">
      <c r="A152" s="106" t="s">
        <v>129</v>
      </c>
      <c r="B152" s="106"/>
      <c r="C152" s="106"/>
      <c r="D152" s="106"/>
      <c r="E152" s="106"/>
      <c r="F152" s="106"/>
      <c r="G152" s="106"/>
      <c r="H152" s="106"/>
    </row>
    <row r="153" spans="1:8" x14ac:dyDescent="0.35">
      <c r="A153" s="126" t="s">
        <v>77</v>
      </c>
      <c r="B153" s="126"/>
      <c r="C153" s="126" t="s">
        <v>277</v>
      </c>
      <c r="D153" s="126"/>
      <c r="E153" s="126" t="s">
        <v>107</v>
      </c>
      <c r="F153" s="126"/>
      <c r="G153" s="126" t="s">
        <v>280</v>
      </c>
      <c r="H153" s="126"/>
    </row>
    <row r="154" spans="1:8" x14ac:dyDescent="0.35">
      <c r="A154" s="125" t="s">
        <v>79</v>
      </c>
      <c r="B154" s="125"/>
      <c r="C154" s="125"/>
      <c r="D154" s="125"/>
      <c r="E154" s="125"/>
      <c r="F154" s="125"/>
      <c r="G154" s="125"/>
      <c r="H154" s="125"/>
    </row>
    <row r="155" spans="1:8" x14ac:dyDescent="0.35">
      <c r="A155" s="125"/>
      <c r="B155" s="125"/>
      <c r="C155" s="125"/>
      <c r="D155" s="125"/>
      <c r="E155" s="125"/>
      <c r="F155" s="125"/>
      <c r="G155" s="125"/>
      <c r="H155" s="125"/>
    </row>
    <row r="156" spans="1:8" x14ac:dyDescent="0.35">
      <c r="A156" s="125"/>
      <c r="B156" s="125"/>
      <c r="C156" s="125"/>
      <c r="D156" s="125"/>
      <c r="E156" s="125"/>
      <c r="F156" s="125"/>
      <c r="G156" s="125"/>
      <c r="H156" s="125"/>
    </row>
    <row r="157" spans="1:8" x14ac:dyDescent="0.35">
      <c r="A157" s="125"/>
      <c r="B157" s="125"/>
      <c r="C157" s="125"/>
      <c r="D157" s="125"/>
      <c r="E157" s="125"/>
      <c r="F157" s="125"/>
      <c r="G157" s="125"/>
      <c r="H157" s="125"/>
    </row>
    <row r="158" spans="1:8" x14ac:dyDescent="0.35">
      <c r="A158" s="34" t="s">
        <v>66</v>
      </c>
      <c r="B158" s="35"/>
      <c r="C158" s="35"/>
      <c r="D158" s="34" t="str">
        <f>E8</f>
        <v>Dharti 3</v>
      </c>
      <c r="F158" s="35"/>
      <c r="G158" s="35"/>
      <c r="H158" s="35"/>
    </row>
    <row r="159" spans="1:8" x14ac:dyDescent="0.35">
      <c r="A159" s="35"/>
      <c r="B159" s="35"/>
      <c r="C159" s="35"/>
      <c r="D159" s="35"/>
      <c r="E159" s="35"/>
      <c r="F159" s="35"/>
      <c r="G159" s="35"/>
      <c r="H159" s="35"/>
    </row>
    <row r="160" spans="1:8" x14ac:dyDescent="0.35">
      <c r="A160" s="35"/>
      <c r="B160" s="35"/>
      <c r="C160" s="35"/>
      <c r="D160" s="35"/>
      <c r="E160" s="35"/>
      <c r="F160" s="35"/>
      <c r="G160" s="35"/>
      <c r="H160" s="35"/>
    </row>
    <row r="161" ht="15" customHeight="1" x14ac:dyDescent="0.35"/>
    <row r="201" spans="1:1" x14ac:dyDescent="0.35">
      <c r="A201" s="37" t="s">
        <v>166</v>
      </c>
    </row>
    <row r="231" hidden="1" x14ac:dyDescent="0.35"/>
    <row r="232" hidden="1" x14ac:dyDescent="0.35"/>
    <row r="233" hidden="1" x14ac:dyDescent="0.35"/>
    <row r="234" hidden="1" x14ac:dyDescent="0.35"/>
    <row r="235" hidden="1" x14ac:dyDescent="0.35"/>
    <row r="236" hidden="1" x14ac:dyDescent="0.35"/>
    <row r="237" hidden="1" x14ac:dyDescent="0.35"/>
    <row r="238" hidden="1" x14ac:dyDescent="0.35"/>
    <row r="239" hidden="1" x14ac:dyDescent="0.35"/>
    <row r="240" hidden="1" x14ac:dyDescent="0.35"/>
    <row r="241" spans="1:1" hidden="1" x14ac:dyDescent="0.35"/>
    <row r="242" spans="1:1" hidden="1" x14ac:dyDescent="0.35"/>
    <row r="245" spans="1:1" x14ac:dyDescent="0.35">
      <c r="A245" s="37" t="s">
        <v>67</v>
      </c>
    </row>
  </sheetData>
  <dataConsolidate/>
  <mergeCells count="309">
    <mergeCell ref="A48:B48"/>
    <mergeCell ref="C48:H48"/>
    <mergeCell ref="B139:H139"/>
    <mergeCell ref="F82:H82"/>
    <mergeCell ref="A82:E82"/>
    <mergeCell ref="G132:H132"/>
    <mergeCell ref="G129:H129"/>
    <mergeCell ref="D104:D105"/>
    <mergeCell ref="A84:E84"/>
    <mergeCell ref="A91:E91"/>
    <mergeCell ref="C97:D97"/>
    <mergeCell ref="E97:F97"/>
    <mergeCell ref="G97:H97"/>
    <mergeCell ref="A98:B98"/>
    <mergeCell ref="C98:D98"/>
    <mergeCell ref="E98:F98"/>
    <mergeCell ref="G98:H98"/>
    <mergeCell ref="C96:D96"/>
    <mergeCell ref="E96:F96"/>
    <mergeCell ref="B104:B105"/>
    <mergeCell ref="A104:A105"/>
    <mergeCell ref="C112:C113"/>
    <mergeCell ref="D60:H60"/>
    <mergeCell ref="A59:C59"/>
    <mergeCell ref="L119:M119"/>
    <mergeCell ref="A120:B120"/>
    <mergeCell ref="G120:H120"/>
    <mergeCell ref="L120:M120"/>
    <mergeCell ref="B137:H137"/>
    <mergeCell ref="B138:H138"/>
    <mergeCell ref="A133:H133"/>
    <mergeCell ref="A121:B121"/>
    <mergeCell ref="A132:B132"/>
    <mergeCell ref="A131:B131"/>
    <mergeCell ref="G130:H130"/>
    <mergeCell ref="A125:B125"/>
    <mergeCell ref="G125:H125"/>
    <mergeCell ref="G131:H131"/>
    <mergeCell ref="L122:M122"/>
    <mergeCell ref="L123:M123"/>
    <mergeCell ref="L124:M124"/>
    <mergeCell ref="L125:M125"/>
    <mergeCell ref="L107:M107"/>
    <mergeCell ref="A77:B77"/>
    <mergeCell ref="C101:D101"/>
    <mergeCell ref="E101:F101"/>
    <mergeCell ref="G101:H101"/>
    <mergeCell ref="F87:H87"/>
    <mergeCell ref="A81:E81"/>
    <mergeCell ref="A106:H106"/>
    <mergeCell ref="E104:E105"/>
    <mergeCell ref="G104:H105"/>
    <mergeCell ref="A83:E83"/>
    <mergeCell ref="A80:E80"/>
    <mergeCell ref="F84:H84"/>
    <mergeCell ref="A85:E85"/>
    <mergeCell ref="E70:F79"/>
    <mergeCell ref="G70:H79"/>
    <mergeCell ref="A78:B78"/>
    <mergeCell ref="A79:B79"/>
    <mergeCell ref="A76:B76"/>
    <mergeCell ref="A89:E89"/>
    <mergeCell ref="F83:H83"/>
    <mergeCell ref="A88:E88"/>
    <mergeCell ref="A100:B100"/>
    <mergeCell ref="F80:H80"/>
    <mergeCell ref="A43:D43"/>
    <mergeCell ref="E43:H43"/>
    <mergeCell ref="E44:H44"/>
    <mergeCell ref="E45:H45"/>
    <mergeCell ref="E46:H46"/>
    <mergeCell ref="A44:D44"/>
    <mergeCell ref="A45:D45"/>
    <mergeCell ref="A37:H37"/>
    <mergeCell ref="A36:B36"/>
    <mergeCell ref="C36:E36"/>
    <mergeCell ref="A41:D41"/>
    <mergeCell ref="E41:H41"/>
    <mergeCell ref="A40:H40"/>
    <mergeCell ref="A60:C60"/>
    <mergeCell ref="D59:H59"/>
    <mergeCell ref="A38:B38"/>
    <mergeCell ref="C38:H38"/>
    <mergeCell ref="A39:B39"/>
    <mergeCell ref="C39:H39"/>
    <mergeCell ref="F36:H36"/>
    <mergeCell ref="E26:H26"/>
    <mergeCell ref="A28:D28"/>
    <mergeCell ref="E28:H28"/>
    <mergeCell ref="A46:D46"/>
    <mergeCell ref="A47:H47"/>
    <mergeCell ref="D57:H57"/>
    <mergeCell ref="A57:C57"/>
    <mergeCell ref="G50:H50"/>
    <mergeCell ref="A51:B52"/>
    <mergeCell ref="A49:B49"/>
    <mergeCell ref="C49:E49"/>
    <mergeCell ref="G49:H49"/>
    <mergeCell ref="G51:H51"/>
    <mergeCell ref="A50:B50"/>
    <mergeCell ref="A54:H54"/>
    <mergeCell ref="A55:C55"/>
    <mergeCell ref="A56:C56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G69:H69"/>
    <mergeCell ref="A69:B69"/>
    <mergeCell ref="A154:H157"/>
    <mergeCell ref="A153:B153"/>
    <mergeCell ref="E153:F153"/>
    <mergeCell ref="C153:D153"/>
    <mergeCell ref="G153:H153"/>
    <mergeCell ref="A94:H94"/>
    <mergeCell ref="A92:E92"/>
    <mergeCell ref="F92:H92"/>
    <mergeCell ref="A93:E93"/>
    <mergeCell ref="F93:H93"/>
    <mergeCell ref="A128:H128"/>
    <mergeCell ref="A101:B101"/>
    <mergeCell ref="A96:B96"/>
    <mergeCell ref="A149:H149"/>
    <mergeCell ref="A99:H99"/>
    <mergeCell ref="A152:H152"/>
    <mergeCell ref="A150:H150"/>
    <mergeCell ref="A146:H146"/>
    <mergeCell ref="G100:H100"/>
    <mergeCell ref="C104:C105"/>
    <mergeCell ref="A151:H151"/>
    <mergeCell ref="A148:H148"/>
    <mergeCell ref="A129:B129"/>
    <mergeCell ref="B141:H141"/>
    <mergeCell ref="B144:H144"/>
    <mergeCell ref="G112:H113"/>
    <mergeCell ref="F81:H81"/>
    <mergeCell ref="G96:H96"/>
    <mergeCell ref="F88:H88"/>
    <mergeCell ref="C95:D95"/>
    <mergeCell ref="A117:H117"/>
    <mergeCell ref="G121:H121"/>
    <mergeCell ref="A107:B107"/>
    <mergeCell ref="G95:H95"/>
    <mergeCell ref="E95:F95"/>
    <mergeCell ref="A95:B95"/>
    <mergeCell ref="A97:B97"/>
    <mergeCell ref="F85:H85"/>
    <mergeCell ref="A86:E86"/>
    <mergeCell ref="F86:H86"/>
    <mergeCell ref="A87:E87"/>
    <mergeCell ref="A111:H111"/>
    <mergeCell ref="A114:H114"/>
    <mergeCell ref="A147:H147"/>
    <mergeCell ref="E100:F100"/>
    <mergeCell ref="B142:H142"/>
    <mergeCell ref="G109:H109"/>
    <mergeCell ref="G107:H107"/>
    <mergeCell ref="G108:H108"/>
    <mergeCell ref="G110:H110"/>
    <mergeCell ref="B140:H140"/>
    <mergeCell ref="B136:H136"/>
    <mergeCell ref="A103:H103"/>
    <mergeCell ref="C100:D100"/>
    <mergeCell ref="A116:H116"/>
    <mergeCell ref="A122:B122"/>
    <mergeCell ref="G122:H122"/>
    <mergeCell ref="A123:B123"/>
    <mergeCell ref="G123:H123"/>
    <mergeCell ref="A124:B124"/>
    <mergeCell ref="G124:H124"/>
    <mergeCell ref="A102:H102"/>
    <mergeCell ref="A112:A113"/>
    <mergeCell ref="A118:B118"/>
    <mergeCell ref="A110:B110"/>
    <mergeCell ref="A109:B109"/>
    <mergeCell ref="E112:E113"/>
    <mergeCell ref="D56:H56"/>
    <mergeCell ref="G53:H53"/>
    <mergeCell ref="C51:E51"/>
    <mergeCell ref="A58:C58"/>
    <mergeCell ref="D58:H58"/>
    <mergeCell ref="C50:E50"/>
    <mergeCell ref="I14:P14"/>
    <mergeCell ref="F91:H91"/>
    <mergeCell ref="F89:H89"/>
    <mergeCell ref="A90:E90"/>
    <mergeCell ref="A53:B53"/>
    <mergeCell ref="C53:E53"/>
    <mergeCell ref="D55:H55"/>
    <mergeCell ref="F90:H90"/>
    <mergeCell ref="D63:H63"/>
    <mergeCell ref="A64:C64"/>
    <mergeCell ref="F34:H34"/>
    <mergeCell ref="E42:H42"/>
    <mergeCell ref="A42:D42"/>
    <mergeCell ref="A75:B75"/>
    <mergeCell ref="C52:H52"/>
    <mergeCell ref="D64:H64"/>
    <mergeCell ref="A70:B70"/>
    <mergeCell ref="A72:B72"/>
    <mergeCell ref="I10:L10"/>
    <mergeCell ref="B145:H145"/>
    <mergeCell ref="A108:B108"/>
    <mergeCell ref="A115:H115"/>
    <mergeCell ref="A126:H126"/>
    <mergeCell ref="A127:H127"/>
    <mergeCell ref="K129:L129"/>
    <mergeCell ref="K130:L130"/>
    <mergeCell ref="K131:L131"/>
    <mergeCell ref="L132:M132"/>
    <mergeCell ref="B143:H143"/>
    <mergeCell ref="B134:H134"/>
    <mergeCell ref="B135:H135"/>
    <mergeCell ref="B112:B113"/>
    <mergeCell ref="L121:M121"/>
    <mergeCell ref="G118:H118"/>
    <mergeCell ref="L118:M118"/>
    <mergeCell ref="A119:B119"/>
    <mergeCell ref="G119:H119"/>
    <mergeCell ref="L110:M110"/>
    <mergeCell ref="L109:M109"/>
    <mergeCell ref="L108:M108"/>
    <mergeCell ref="A130:B130"/>
    <mergeCell ref="D112:D113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 Old Survey No"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04:E105">
      <formula1>"Attached Loft area,Attached Terrace area,Attached Mezzanine area"</formula1>
    </dataValidation>
    <dataValidation type="list" allowBlank="1" showInputMessage="1" showErrorMessage="1" sqref="F105 F113">
      <formula1>"45%,50%,55%,60%"</formula1>
    </dataValidation>
    <dataValidation type="list" allowBlank="1" showInputMessage="1" showErrorMessage="1" sqref="G153:H153">
      <formula1>"Gaurav Panchal,Kunal Kadam,Pranita Mhatre,Shruti Fule,Pooja Kawale,Mansee Mohite,Shruti Tathare,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04 F112">
      <formula1>"Saleable area Loading :,Builder Saleable area"</formula1>
    </dataValidation>
    <dataValidation type="list" allowBlank="1" showInputMessage="1" showErrorMessage="1" sqref="B104:B105">
      <formula1>"Shop No. (Sale Plan),Sale / Rehab,Sale / Mhada"</formula1>
    </dataValidation>
    <dataValidation type="list" allowBlank="1" showInputMessage="1" showErrorMessage="1" sqref="B112:B11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  <hyperlink ref="I117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32" max="16383" man="1"/>
    <brk id="157" max="16383" man="1"/>
    <brk id="200" max="16383" man="1"/>
    <brk id="244" max="16383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5" zoomScale="85" zoomScaleNormal="85" workbookViewId="0">
      <selection activeCell="F23" sqref="F23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1" t="s">
        <v>108</v>
      </c>
      <c r="C3" s="171"/>
      <c r="D3" s="171"/>
      <c r="E3" s="171"/>
      <c r="F3" s="171"/>
      <c r="G3" s="171"/>
      <c r="H3" s="171"/>
    </row>
    <row r="4" spans="1:9" x14ac:dyDescent="0.3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7"/>
      <c r="C4" s="47" t="s">
        <v>12</v>
      </c>
      <c r="D4" s="48" t="s">
        <v>181</v>
      </c>
      <c r="E4" s="48" t="s">
        <v>191</v>
      </c>
      <c r="F4" s="48" t="s">
        <v>174</v>
      </c>
      <c r="G4" s="48" t="s">
        <v>196</v>
      </c>
      <c r="H4" s="48" t="s">
        <v>214</v>
      </c>
      <c r="J4" t="s">
        <v>196</v>
      </c>
      <c r="K4" t="s">
        <v>212</v>
      </c>
    </row>
    <row r="5" spans="2:11" x14ac:dyDescent="0.35">
      <c r="B5" s="47"/>
      <c r="C5" s="47"/>
      <c r="D5" s="48" t="s">
        <v>182</v>
      </c>
      <c r="E5" s="48" t="s">
        <v>189</v>
      </c>
      <c r="F5" s="48" t="s">
        <v>211</v>
      </c>
      <c r="G5" s="48" t="s">
        <v>197</v>
      </c>
      <c r="H5" s="48" t="s">
        <v>215</v>
      </c>
    </row>
    <row r="6" spans="2:11" x14ac:dyDescent="0.35">
      <c r="B6" s="47"/>
      <c r="C6" s="47"/>
      <c r="D6" s="48" t="s">
        <v>183</v>
      </c>
      <c r="E6" s="48" t="s">
        <v>190</v>
      </c>
      <c r="F6" s="48" t="s">
        <v>212</v>
      </c>
      <c r="G6" s="48" t="s">
        <v>198</v>
      </c>
      <c r="H6" s="48" t="s">
        <v>228</v>
      </c>
    </row>
    <row r="7" spans="2:11" x14ac:dyDescent="0.35">
      <c r="B7" s="47"/>
      <c r="C7" s="47"/>
      <c r="D7" s="48" t="s">
        <v>184</v>
      </c>
      <c r="E7" s="48" t="s">
        <v>192</v>
      </c>
      <c r="F7" s="48" t="s">
        <v>213</v>
      </c>
      <c r="G7" s="48" t="s">
        <v>199</v>
      </c>
      <c r="H7" s="48" t="s">
        <v>216</v>
      </c>
    </row>
    <row r="8" spans="2:11" x14ac:dyDescent="0.35">
      <c r="B8" s="47"/>
      <c r="C8" s="47"/>
      <c r="D8" s="48" t="s">
        <v>185</v>
      </c>
      <c r="E8" s="48" t="s">
        <v>193</v>
      </c>
      <c r="F8" s="48"/>
      <c r="G8" s="48" t="s">
        <v>200</v>
      </c>
      <c r="H8" s="48" t="s">
        <v>217</v>
      </c>
    </row>
    <row r="9" spans="2:11" x14ac:dyDescent="0.35">
      <c r="B9" s="47"/>
      <c r="C9" s="47"/>
      <c r="D9" s="48" t="s">
        <v>186</v>
      </c>
      <c r="E9" s="48" t="s">
        <v>191</v>
      </c>
      <c r="F9" s="48"/>
      <c r="G9" s="48" t="s">
        <v>201</v>
      </c>
      <c r="H9" s="48" t="s">
        <v>218</v>
      </c>
    </row>
    <row r="10" spans="2:11" x14ac:dyDescent="0.35">
      <c r="B10" s="47"/>
      <c r="C10" s="47"/>
      <c r="D10" s="48" t="s">
        <v>187</v>
      </c>
      <c r="E10" s="48" t="s">
        <v>194</v>
      </c>
      <c r="F10" s="48"/>
      <c r="G10" s="48" t="s">
        <v>202</v>
      </c>
      <c r="H10" s="48" t="s">
        <v>219</v>
      </c>
    </row>
    <row r="11" spans="2:11" x14ac:dyDescent="0.35">
      <c r="B11" s="47"/>
      <c r="C11" s="47"/>
      <c r="D11" s="48" t="s">
        <v>188</v>
      </c>
      <c r="E11" s="48" t="s">
        <v>195</v>
      </c>
      <c r="F11" s="48"/>
      <c r="G11" s="48" t="s">
        <v>203</v>
      </c>
      <c r="H11" s="48" t="s">
        <v>220</v>
      </c>
    </row>
    <row r="12" spans="2:11" x14ac:dyDescent="0.35">
      <c r="B12" s="47"/>
      <c r="C12" s="47"/>
      <c r="D12" s="48"/>
      <c r="E12" s="48"/>
      <c r="F12" s="48"/>
      <c r="G12" s="48" t="s">
        <v>204</v>
      </c>
      <c r="H12" s="48" t="s">
        <v>221</v>
      </c>
    </row>
    <row r="13" spans="2:11" x14ac:dyDescent="0.35">
      <c r="B13" s="47"/>
      <c r="C13" s="47"/>
      <c r="D13" s="48"/>
      <c r="E13" s="48"/>
      <c r="F13" s="48"/>
      <c r="G13" s="48" t="s">
        <v>205</v>
      </c>
      <c r="H13" s="48" t="s">
        <v>222</v>
      </c>
    </row>
    <row r="14" spans="2:11" x14ac:dyDescent="0.35">
      <c r="B14" s="47"/>
      <c r="C14" s="47"/>
      <c r="D14" s="48"/>
      <c r="E14" s="48"/>
      <c r="F14" s="48"/>
      <c r="G14" s="48" t="s">
        <v>206</v>
      </c>
      <c r="H14" s="48" t="s">
        <v>223</v>
      </c>
    </row>
    <row r="15" spans="2:11" x14ac:dyDescent="0.35">
      <c r="B15" s="47"/>
      <c r="C15" s="47"/>
      <c r="D15" s="48"/>
      <c r="E15" s="48"/>
      <c r="F15" s="48"/>
      <c r="G15" s="48" t="s">
        <v>207</v>
      </c>
      <c r="H15" s="48" t="s">
        <v>224</v>
      </c>
    </row>
    <row r="16" spans="2:11" x14ac:dyDescent="0.35">
      <c r="B16" s="47"/>
      <c r="C16" s="47"/>
      <c r="D16" s="48"/>
      <c r="E16" s="48"/>
      <c r="F16" s="48"/>
      <c r="G16" s="48" t="s">
        <v>208</v>
      </c>
      <c r="H16" s="48" t="s">
        <v>225</v>
      </c>
    </row>
    <row r="17" spans="2:8" x14ac:dyDescent="0.35">
      <c r="B17" s="47"/>
      <c r="C17" s="47"/>
      <c r="D17" s="48"/>
      <c r="E17" s="48"/>
      <c r="F17" s="48"/>
      <c r="G17" s="48" t="s">
        <v>209</v>
      </c>
      <c r="H17" s="48" t="s">
        <v>226</v>
      </c>
    </row>
    <row r="18" spans="2:8" x14ac:dyDescent="0.35">
      <c r="B18" s="47"/>
      <c r="C18" s="47"/>
      <c r="D18" s="48"/>
      <c r="E18" s="48"/>
      <c r="F18" s="48"/>
      <c r="G18" s="48" t="s">
        <v>210</v>
      </c>
      <c r="H18" s="48" t="s">
        <v>227</v>
      </c>
    </row>
    <row r="24" spans="2:8" x14ac:dyDescent="0.35">
      <c r="C24" t="s">
        <v>171</v>
      </c>
    </row>
    <row r="25" spans="2:8" x14ac:dyDescent="0.35">
      <c r="C25" t="s">
        <v>229</v>
      </c>
    </row>
    <row r="26" spans="2:8" x14ac:dyDescent="0.35">
      <c r="C26" t="s">
        <v>230</v>
      </c>
    </row>
    <row r="27" spans="2:8" x14ac:dyDescent="0.35">
      <c r="C27" t="s">
        <v>231</v>
      </c>
    </row>
    <row r="28" spans="2:8" x14ac:dyDescent="0.35">
      <c r="C28" t="s">
        <v>232</v>
      </c>
    </row>
    <row r="29" spans="2:8" x14ac:dyDescent="0.35">
      <c r="C29" t="s">
        <v>233</v>
      </c>
    </row>
    <row r="30" spans="2:8" x14ac:dyDescent="0.35">
      <c r="C30" t="s">
        <v>171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2025-04-09T09:12:24Z</cp:lastPrinted>
  <dcterms:created xsi:type="dcterms:W3CDTF">2019-07-16T09:29:46Z</dcterms:created>
  <dcterms:modified xsi:type="dcterms:W3CDTF">2025-07-09T04:40:38Z</dcterms:modified>
</cp:coreProperties>
</file>