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VSJCV\Making\AXIS\2025-26\Axis\APF Old\July 2025\09-07-2025\"/>
    </mc:Choice>
  </mc:AlternateContent>
  <bookViews>
    <workbookView xWindow="0" yWindow="0" windowWidth="19200" windowHeight="6640"/>
  </bookViews>
  <sheets>
    <sheet name="Sheet1" sheetId="1" r:id="rId1"/>
    <sheet name="If Gr C%( A Wing)" sheetId="11" r:id="rId2"/>
    <sheet name="Valuation" sheetId="15" r:id="rId3"/>
    <sheet name="If Gr (Wing B)" sheetId="12" r:id="rId4"/>
    <sheet name="If Gr (Wing C)" sheetId="13" r:id="rId5"/>
    <sheet name="Note" sheetId="14" r:id="rId6"/>
  </sheets>
  <definedNames>
    <definedName name="_xlnm.Print_Area" localSheetId="0">Sheet1!$A$1:$J$466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 i="1" l="1"/>
  <c r="L93" i="1" l="1"/>
  <c r="L92" i="1"/>
  <c r="L91" i="1"/>
  <c r="L90" i="1"/>
  <c r="L78" i="1"/>
  <c r="L77" i="1"/>
  <c r="L76" i="1"/>
  <c r="L75" i="1"/>
  <c r="L63" i="1"/>
  <c r="L62" i="1"/>
  <c r="L61" i="1"/>
  <c r="I81" i="1"/>
  <c r="I53" i="1"/>
  <c r="I67" i="1"/>
  <c r="L86" i="1" l="1"/>
  <c r="C85" i="1" s="1"/>
  <c r="D85" i="1" s="1"/>
  <c r="L84" i="1"/>
  <c r="D91" i="1"/>
  <c r="D89" i="1"/>
  <c r="L85" i="1"/>
  <c r="D94" i="1"/>
  <c r="D92" i="1"/>
  <c r="D90" i="1"/>
  <c r="D88" i="1"/>
  <c r="D93" i="1"/>
  <c r="D87" i="1"/>
  <c r="L87" i="1"/>
  <c r="L88" i="1" s="1"/>
  <c r="L89" i="1" s="1"/>
  <c r="L71" i="1"/>
  <c r="C70" i="1" s="1"/>
  <c r="D70" i="1" s="1"/>
  <c r="L69" i="1"/>
  <c r="D78" i="1"/>
  <c r="L70" i="1"/>
  <c r="D79" i="1"/>
  <c r="D77" i="1"/>
  <c r="D75" i="1"/>
  <c r="D73" i="1"/>
  <c r="D76" i="1"/>
  <c r="D74" i="1"/>
  <c r="D72" i="1"/>
  <c r="L72" i="1"/>
  <c r="L73" i="1" s="1"/>
  <c r="L74" i="1" s="1"/>
  <c r="D65" i="1"/>
  <c r="D63" i="1"/>
  <c r="D61" i="1"/>
  <c r="D59" i="1"/>
  <c r="L57" i="1"/>
  <c r="C56" i="1" s="1"/>
  <c r="D56" i="1" s="1"/>
  <c r="L55" i="1"/>
  <c r="L58" i="1"/>
  <c r="L59" i="1" s="1"/>
  <c r="L64" i="1" s="1"/>
  <c r="D64" i="1"/>
  <c r="D62" i="1"/>
  <c r="D60" i="1"/>
  <c r="D58" i="1"/>
  <c r="L56" i="1"/>
  <c r="L103" i="1"/>
  <c r="G6" i="15"/>
  <c r="G5" i="15"/>
  <c r="B16" i="13"/>
  <c r="O6" i="13" s="1"/>
  <c r="G19" i="13" s="1"/>
  <c r="B14" i="13"/>
  <c r="E9" i="13" s="1"/>
  <c r="B12" i="13"/>
  <c r="B10" i="13"/>
  <c r="E7" i="13"/>
  <c r="B8" i="13"/>
  <c r="E6" i="13" s="1"/>
  <c r="B16" i="12"/>
  <c r="E10" i="12" s="1"/>
  <c r="B14" i="12"/>
  <c r="E9" i="12" s="1"/>
  <c r="B12" i="12"/>
  <c r="M7" i="12" s="1"/>
  <c r="H17" i="12" s="1"/>
  <c r="B10" i="12"/>
  <c r="L6" i="12" s="1"/>
  <c r="G16" i="12" s="1"/>
  <c r="B8" i="12"/>
  <c r="K7" i="12" s="1"/>
  <c r="H15" i="12" s="1"/>
  <c r="B16" i="11"/>
  <c r="E10" i="11" s="1"/>
  <c r="B14" i="11"/>
  <c r="E9" i="11" s="1"/>
  <c r="B12" i="11"/>
  <c r="M6" i="11" s="1"/>
  <c r="G17" i="11" s="1"/>
  <c r="B10" i="11"/>
  <c r="L7" i="11" s="1"/>
  <c r="H16" i="11" s="1"/>
  <c r="B8" i="11"/>
  <c r="G7" i="15"/>
  <c r="G8" i="15" s="1"/>
  <c r="D180" i="1"/>
  <c r="G180" i="1"/>
  <c r="D179" i="1"/>
  <c r="G179" i="1" s="1"/>
  <c r="D178" i="1"/>
  <c r="G178" i="1" s="1"/>
  <c r="D177" i="1"/>
  <c r="G177" i="1" s="1"/>
  <c r="D168" i="1"/>
  <c r="G168" i="1" s="1"/>
  <c r="D167" i="1"/>
  <c r="G167" i="1" s="1"/>
  <c r="D166" i="1"/>
  <c r="G166" i="1" s="1"/>
  <c r="D165" i="1"/>
  <c r="G165" i="1" s="1"/>
  <c r="D163" i="1"/>
  <c r="G163" i="1" s="1"/>
  <c r="D162" i="1"/>
  <c r="G162" i="1" s="1"/>
  <c r="D161" i="1"/>
  <c r="G161" i="1" s="1"/>
  <c r="D160" i="1"/>
  <c r="G160" i="1" s="1"/>
  <c r="L161" i="1" s="1"/>
  <c r="D158" i="1"/>
  <c r="G158" i="1" s="1"/>
  <c r="D157" i="1"/>
  <c r="G157" i="1" s="1"/>
  <c r="D156" i="1"/>
  <c r="G156" i="1" s="1"/>
  <c r="D155" i="1"/>
  <c r="G155" i="1" s="1"/>
  <c r="D153" i="1"/>
  <c r="G153" i="1" s="1"/>
  <c r="L153" i="1" s="1"/>
  <c r="D152" i="1"/>
  <c r="G152" i="1" s="1"/>
  <c r="D151" i="1"/>
  <c r="G151" i="1" s="1"/>
  <c r="D150" i="1"/>
  <c r="G150" i="1" s="1"/>
  <c r="D148" i="1"/>
  <c r="G148" i="1" s="1"/>
  <c r="D147" i="1"/>
  <c r="G147" i="1" s="1"/>
  <c r="D146" i="1"/>
  <c r="G146" i="1" s="1"/>
  <c r="D145" i="1"/>
  <c r="G145" i="1" s="1"/>
  <c r="L145" i="1" s="1"/>
  <c r="D142" i="1"/>
  <c r="G142" i="1" s="1"/>
  <c r="D141" i="1"/>
  <c r="G141" i="1" s="1"/>
  <c r="D211" i="1"/>
  <c r="G211" i="1" s="1"/>
  <c r="D229" i="1"/>
  <c r="G229" i="1" s="1"/>
  <c r="D228" i="1"/>
  <c r="G228" i="1" s="1"/>
  <c r="D226" i="1"/>
  <c r="G226" i="1" s="1"/>
  <c r="D225" i="1"/>
  <c r="G225" i="1" s="1"/>
  <c r="D223" i="1"/>
  <c r="G223" i="1" s="1"/>
  <c r="D222" i="1"/>
  <c r="G222" i="1" s="1"/>
  <c r="D220" i="1"/>
  <c r="G220" i="1" s="1"/>
  <c r="D219" i="1"/>
  <c r="G219" i="1" s="1"/>
  <c r="D217" i="1"/>
  <c r="G217" i="1" s="1"/>
  <c r="D216" i="1"/>
  <c r="G216" i="1" s="1"/>
  <c r="D214" i="1"/>
  <c r="G214" i="1" s="1"/>
  <c r="D213" i="1"/>
  <c r="G213" i="1" s="1"/>
  <c r="D210" i="1"/>
  <c r="G210" i="1" s="1"/>
  <c r="D209" i="1"/>
  <c r="G209" i="1" s="1"/>
  <c r="D208" i="1"/>
  <c r="G208" i="1" s="1"/>
  <c r="D205" i="1"/>
  <c r="G205" i="1" s="1"/>
  <c r="D204" i="1"/>
  <c r="G204" i="1" s="1"/>
  <c r="D203" i="1"/>
  <c r="G203" i="1" s="1"/>
  <c r="D202" i="1"/>
  <c r="G202" i="1" s="1"/>
  <c r="D200" i="1"/>
  <c r="G200" i="1" s="1"/>
  <c r="D199" i="1"/>
  <c r="G199" i="1" s="1"/>
  <c r="D198" i="1"/>
  <c r="G198" i="1" s="1"/>
  <c r="D197" i="1"/>
  <c r="G197" i="1" s="1"/>
  <c r="D195" i="1"/>
  <c r="G195" i="1" s="1"/>
  <c r="D194" i="1"/>
  <c r="G194" i="1" s="1"/>
  <c r="D193" i="1"/>
  <c r="G193" i="1" s="1"/>
  <c r="D192" i="1"/>
  <c r="G192" i="1" s="1"/>
  <c r="D190" i="1"/>
  <c r="G190" i="1" s="1"/>
  <c r="D189" i="1"/>
  <c r="G189" i="1" s="1"/>
  <c r="D188" i="1"/>
  <c r="G188" i="1" s="1"/>
  <c r="D187" i="1"/>
  <c r="G187" i="1" s="1"/>
  <c r="D185" i="1"/>
  <c r="G185" i="1" s="1"/>
  <c r="D184" i="1"/>
  <c r="G184" i="1" s="1"/>
  <c r="D183" i="1"/>
  <c r="G183" i="1" s="1"/>
  <c r="D182" i="1"/>
  <c r="G182" i="1" s="1"/>
  <c r="G175" i="1"/>
  <c r="G174" i="1"/>
  <c r="D171" i="1"/>
  <c r="G171" i="1" s="1"/>
  <c r="D170" i="1"/>
  <c r="G170" i="1" s="1"/>
  <c r="D143" i="1"/>
  <c r="G143" i="1" s="1"/>
  <c r="D140" i="1"/>
  <c r="G140" i="1" s="1"/>
  <c r="D138" i="1"/>
  <c r="G138" i="1" s="1"/>
  <c r="D137" i="1"/>
  <c r="G137" i="1" s="1"/>
  <c r="D136" i="1"/>
  <c r="G136" i="1" s="1"/>
  <c r="D135" i="1"/>
  <c r="G135" i="1" s="1"/>
  <c r="L135" i="1" s="1"/>
  <c r="D134" i="1"/>
  <c r="G134" i="1" s="1"/>
  <c r="D133" i="1"/>
  <c r="G133" i="1" s="1"/>
  <c r="D116" i="1"/>
  <c r="G116" i="1" s="1"/>
  <c r="D130" i="1"/>
  <c r="G130" i="1" s="1"/>
  <c r="D129" i="1"/>
  <c r="G129" i="1" s="1"/>
  <c r="D128" i="1"/>
  <c r="G128" i="1" s="1"/>
  <c r="D127" i="1"/>
  <c r="G127" i="1" s="1"/>
  <c r="D124" i="1"/>
  <c r="G124" i="1" s="1"/>
  <c r="D123" i="1"/>
  <c r="G123" i="1" s="1"/>
  <c r="D122" i="1"/>
  <c r="G122" i="1" s="1"/>
  <c r="D126" i="1"/>
  <c r="G126" i="1" s="1"/>
  <c r="D125" i="1"/>
  <c r="G125" i="1" s="1"/>
  <c r="D121" i="1"/>
  <c r="G121" i="1" s="1"/>
  <c r="D120" i="1"/>
  <c r="G120" i="1" s="1"/>
  <c r="D119" i="1"/>
  <c r="G119" i="1" s="1"/>
  <c r="D118" i="1"/>
  <c r="G118" i="1" s="1"/>
  <c r="D117" i="1"/>
  <c r="G117" i="1" s="1"/>
  <c r="D115" i="1"/>
  <c r="G115" i="1" s="1"/>
  <c r="D46" i="1"/>
  <c r="C43" i="1"/>
  <c r="M7" i="13"/>
  <c r="H17" i="13" s="1"/>
  <c r="E8" i="13"/>
  <c r="L6" i="13"/>
  <c r="G16" i="13" s="1"/>
  <c r="N6" i="13"/>
  <c r="G18" i="13" s="1"/>
  <c r="I6" i="13"/>
  <c r="I7" i="13" s="1"/>
  <c r="H13" i="13" s="1"/>
  <c r="B6" i="13"/>
  <c r="J7" i="13" s="1"/>
  <c r="H14" i="13" s="1"/>
  <c r="E4" i="13"/>
  <c r="E8" i="12"/>
  <c r="O6" i="12"/>
  <c r="G19" i="12" s="1"/>
  <c r="I6" i="12"/>
  <c r="G13" i="12" s="1"/>
  <c r="B6" i="12"/>
  <c r="J7" i="12" s="1"/>
  <c r="H14" i="12" s="1"/>
  <c r="E4" i="12"/>
  <c r="E8" i="11"/>
  <c r="E7" i="11"/>
  <c r="K7" i="11"/>
  <c r="H15" i="11" s="1"/>
  <c r="I6" i="11"/>
  <c r="G13" i="11" s="1"/>
  <c r="B6" i="11"/>
  <c r="E5" i="11" s="1"/>
  <c r="E4" i="11"/>
  <c r="D241" i="1"/>
  <c r="C48" i="1"/>
  <c r="G109" i="1"/>
  <c r="J6" i="12"/>
  <c r="G14" i="12" s="1"/>
  <c r="K6" i="11"/>
  <c r="G15" i="11" s="1"/>
  <c r="M6" i="13"/>
  <c r="G17" i="13" s="1"/>
  <c r="L7" i="13"/>
  <c r="H16" i="13" s="1"/>
  <c r="E7" i="12"/>
  <c r="E6" i="11"/>
  <c r="N7" i="13"/>
  <c r="H18" i="13" s="1"/>
  <c r="O7" i="12"/>
  <c r="H19" i="12" s="1"/>
  <c r="N7" i="12"/>
  <c r="H18" i="12" s="1"/>
  <c r="M7" i="11"/>
  <c r="H17" i="11" s="1"/>
  <c r="L6" i="11"/>
  <c r="G16" i="11" s="1"/>
  <c r="M6" i="12" l="1"/>
  <c r="G17" i="12" s="1"/>
  <c r="E5" i="13"/>
  <c r="N6" i="11"/>
  <c r="G18" i="11" s="1"/>
  <c r="N7" i="11"/>
  <c r="H18" i="11" s="1"/>
  <c r="O6" i="11"/>
  <c r="G19" i="11" s="1"/>
  <c r="O7" i="11"/>
  <c r="H19" i="11" s="1"/>
  <c r="L140" i="1"/>
  <c r="K140" i="1"/>
  <c r="E5" i="12"/>
  <c r="J7" i="11"/>
  <c r="H14" i="11" s="1"/>
  <c r="G13" i="13"/>
  <c r="N6" i="12"/>
  <c r="G18" i="12" s="1"/>
  <c r="I7" i="11"/>
  <c r="H13" i="11" s="1"/>
  <c r="K6" i="13"/>
  <c r="G15" i="13" s="1"/>
  <c r="J6" i="13"/>
  <c r="G14" i="13" s="1"/>
  <c r="K6" i="12"/>
  <c r="G15" i="12" s="1"/>
  <c r="E6" i="12"/>
  <c r="J6" i="11"/>
  <c r="G14" i="11" s="1"/>
  <c r="O7" i="13"/>
  <c r="H19" i="13" s="1"/>
  <c r="E10" i="13"/>
  <c r="I7" i="12"/>
  <c r="H13" i="12" s="1"/>
  <c r="L7" i="12"/>
  <c r="H16" i="12" s="1"/>
  <c r="K7" i="13"/>
  <c r="H15" i="13" s="1"/>
  <c r="H20" i="13" s="1"/>
  <c r="M140" i="1"/>
  <c r="L94" i="1"/>
  <c r="C86" i="1" s="1"/>
  <c r="H85" i="1" s="1"/>
  <c r="L79" i="1"/>
  <c r="C71" i="1" s="1"/>
  <c r="H70" i="1" s="1"/>
  <c r="L60" i="1"/>
  <c r="L65" i="1" s="1"/>
  <c r="C57" i="1" s="1"/>
  <c r="D57" i="1" s="1"/>
  <c r="H20" i="11" l="1"/>
  <c r="G20" i="11"/>
  <c r="G20" i="12"/>
  <c r="G20" i="13"/>
  <c r="H20" i="12"/>
  <c r="F85" i="1"/>
  <c r="K80" i="1" s="1"/>
  <c r="C83" i="1" s="1"/>
  <c r="D86" i="1"/>
  <c r="F70" i="1"/>
  <c r="K66" i="1" s="1"/>
  <c r="C68" i="1" s="1"/>
  <c r="D71" i="1"/>
  <c r="F56" i="1"/>
  <c r="K52" i="1" s="1"/>
  <c r="C54" i="1" s="1"/>
  <c r="H56" i="1"/>
</calcChain>
</file>

<file path=xl/sharedStrings.xml><?xml version="1.0" encoding="utf-8"?>
<sst xmlns="http://schemas.openxmlformats.org/spreadsheetml/2006/main" count="663" uniqueCount="235">
  <si>
    <t>Date:</t>
  </si>
  <si>
    <t>CPC Name:</t>
  </si>
  <si>
    <t>Date Of Property Visit</t>
  </si>
  <si>
    <t>Name of the builder group</t>
  </si>
  <si>
    <t>Name of the builder company</t>
  </si>
  <si>
    <t>Name of the Project</t>
  </si>
  <si>
    <t>Docouments Provided</t>
  </si>
  <si>
    <t>Road</t>
  </si>
  <si>
    <t>City</t>
  </si>
  <si>
    <t>Does the property have electricity/water/Drainage Connection</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</si>
  <si>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</si>
  <si>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</si>
  <si>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</si>
  <si>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</si>
  <si>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</si>
  <si>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</si>
  <si>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</si>
  <si>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</si>
  <si>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</si>
  <si>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</si>
  <si>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</si>
  <si>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</si>
  <si>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</si>
  <si>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</si>
  <si>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</si>
  <si>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</si>
  <si>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Valuation as per Government reckoners rates</t>
  </si>
  <si>
    <t>Building details floor wise</t>
  </si>
  <si>
    <t>Undertaking :</t>
  </si>
  <si>
    <t>Authorized Signatory
                                                                                                                                                                                                                                                                                     Name &amp; Seal of the agency</t>
  </si>
  <si>
    <t>2) I/We have no direct or Indirect Interest in the property being valued</t>
  </si>
  <si>
    <t>Quality of infrastructure in vicinity</t>
  </si>
  <si>
    <t>Description</t>
  </si>
  <si>
    <t>Attached Terrace area</t>
  </si>
  <si>
    <t>Flat No.</t>
  </si>
  <si>
    <t>1) We have personally visited the property &amp; identified the same based on the documents provided</t>
  </si>
  <si>
    <t>Type of Work</t>
  </si>
  <si>
    <t>Plinth</t>
  </si>
  <si>
    <t>RCC</t>
  </si>
  <si>
    <t>Plaster</t>
  </si>
  <si>
    <t>3) The information furnished above is true and correct to my/our knowledge.</t>
  </si>
  <si>
    <t xml:space="preserve">Latitude &amp; Longitude </t>
  </si>
  <si>
    <t>Flooring</t>
  </si>
  <si>
    <t>Finishing</t>
  </si>
  <si>
    <t xml:space="preserve">Valuation Report </t>
  </si>
  <si>
    <t xml:space="preserve">Details of Flats in Building   </t>
  </si>
  <si>
    <t>Yes</t>
  </si>
  <si>
    <t xml:space="preserve">Residential </t>
  </si>
  <si>
    <t>Type of Structure : RCC Framed Structure</t>
  </si>
  <si>
    <t>Quality of construction: Good</t>
  </si>
  <si>
    <t>Violations Observed if any : NA</t>
  </si>
  <si>
    <t>NA</t>
  </si>
  <si>
    <t>South</t>
  </si>
  <si>
    <t xml:space="preserve">Distance from city centre: </t>
  </si>
  <si>
    <t>Plane</t>
  </si>
  <si>
    <t>Accessibility of the project from the city:(Proximities to civic amenities like school, hospital &amp; market,etc.)</t>
  </si>
  <si>
    <t>Expiry date: NA</t>
  </si>
  <si>
    <t>Projected life of the structure: 60 Years After Completion</t>
  </si>
  <si>
    <t>Does the boundaries at site match, as mentioned in the Docoumentation: NA</t>
  </si>
  <si>
    <t>all available at  1 to 2 km.</t>
  </si>
  <si>
    <t>Dated</t>
  </si>
  <si>
    <t xml:space="preserve">Project location details       </t>
  </si>
  <si>
    <t>CTS No</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</si>
  <si>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</si>
  <si>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</si>
  <si>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</si>
  <si>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</si>
  <si>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</si>
  <si>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</si>
  <si>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</si>
  <si>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</si>
  <si>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</si>
  <si>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</si>
  <si>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 xml:space="preserve">C.certificate No  </t>
  </si>
  <si>
    <t>Expected Completion</t>
  </si>
  <si>
    <t>Approved no of Floors</t>
  </si>
  <si>
    <t>Development charges Per Sq. Ft.</t>
  </si>
  <si>
    <t>Distress valuation of the property Per Sq. Ft.</t>
  </si>
  <si>
    <t xml:space="preserve">Commencement date of construction </t>
  </si>
  <si>
    <t>Carpet area</t>
  </si>
  <si>
    <t xml:space="preserve">Recommended rate of Parking </t>
  </si>
  <si>
    <t>Approved area of the building in Sq.Mt</t>
  </si>
  <si>
    <t>Middle class</t>
  </si>
  <si>
    <t xml:space="preserve">O. Certificate No.: </t>
  </si>
  <si>
    <t xml:space="preserve">Date of approval: </t>
  </si>
  <si>
    <t>1. Copy of Plans. 2. Copy of CC.</t>
  </si>
  <si>
    <t>Plot No.</t>
  </si>
  <si>
    <t>Axis Kalina</t>
  </si>
  <si>
    <t>CE/3926/BPES/AL</t>
  </si>
  <si>
    <t>Mumbai</t>
  </si>
  <si>
    <t>1st &amp; 2nd Basement For Parking</t>
  </si>
  <si>
    <t>Ground Floor For Commercial (A &amp; B Wing)</t>
  </si>
  <si>
    <t>1RK</t>
  </si>
  <si>
    <t>A Wing</t>
  </si>
  <si>
    <t>C Wing</t>
  </si>
  <si>
    <t>2BHK</t>
  </si>
  <si>
    <t xml:space="preserve">2nd Floor </t>
  </si>
  <si>
    <t xml:space="preserve">3rd Floor </t>
  </si>
  <si>
    <t>1BHK</t>
  </si>
  <si>
    <t>1st Floor</t>
  </si>
  <si>
    <t xml:space="preserve">B Wing </t>
  </si>
  <si>
    <t>4th Floor</t>
  </si>
  <si>
    <t>5th Floor</t>
  </si>
  <si>
    <t>6th &amp; 7th Floor</t>
  </si>
  <si>
    <t>Approved usage of the Property: Residential &amp; Commercial.                                                                                                                                                    (Restrictive convenants in regards to land use , if any)</t>
  </si>
  <si>
    <t>0.11+0.37+0.13</t>
  </si>
  <si>
    <t>Bldg 1(03 wings)</t>
  </si>
  <si>
    <t>M/s. Better Builders &amp; Infrastructure Pvt.Ltd</t>
  </si>
  <si>
    <t>M/s. Better Builders &amp; Infrastructure Pvt.Ltd (Mr.PP Muranjan &amp; Others)</t>
  </si>
  <si>
    <t>335A, 35B, 36, 36/1 To 3, 37, 37, 37/1 to 08</t>
  </si>
  <si>
    <t>Tungave</t>
  </si>
  <si>
    <t>Saki Vihar Road</t>
  </si>
  <si>
    <t>Kurla</t>
  </si>
  <si>
    <t>400 072.</t>
  </si>
  <si>
    <t>Parijat Towers, CTS No.35A, 35B, 36, 36/1 To 3, 37, 37, 37/1 to 08, At Village-Tungave, Saki Vihar Road, L Ward, Kurla(west), Mumbai.</t>
  </si>
  <si>
    <t>Opp.BMC Bank/Near Gurukripa Restaurant</t>
  </si>
  <si>
    <t>About 1.5 Km from Saki Naka Metro Station</t>
  </si>
  <si>
    <t>Ashok Nagar</t>
  </si>
  <si>
    <t>JCC Chember</t>
  </si>
  <si>
    <t>Company</t>
  </si>
  <si>
    <t>Recommended rate of the flat Per Sq. Ft. ( on Carpet area)</t>
  </si>
  <si>
    <t>8th &amp; 9th Floor</t>
  </si>
  <si>
    <t>10th Floor</t>
  </si>
  <si>
    <t>3BHK</t>
  </si>
  <si>
    <t>15/06/2018.</t>
  </si>
  <si>
    <t xml:space="preserve">Photographs of property : </t>
  </si>
  <si>
    <t>Google Map :</t>
  </si>
  <si>
    <t>Particulars</t>
  </si>
  <si>
    <t xml:space="preserve">totaL floor </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</si>
  <si>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</si>
  <si>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</si>
  <si>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</si>
  <si>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</si>
  <si>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</si>
  <si>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</si>
  <si>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</si>
  <si>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</si>
  <si>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</si>
  <si>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</si>
  <si>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</si>
  <si>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</si>
  <si>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</si>
  <si>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</si>
  <si>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</si>
  <si>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</si>
  <si>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</si>
  <si>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</si>
  <si>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</si>
  <si>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CE/3926/BPES/AL                                                                                                                  Valid Upto : Further C.C. as per approved amended plan dated 06/ 06/2018.</t>
  </si>
  <si>
    <t>Expiry date: 31/05/2019.</t>
  </si>
  <si>
    <t>06/ 06/2018.</t>
  </si>
  <si>
    <t>Floor</t>
  </si>
  <si>
    <t>6 &amp; 7</t>
  </si>
  <si>
    <t>8 &amp; 9</t>
  </si>
  <si>
    <t>Saleable area</t>
  </si>
  <si>
    <t>1st Basement + Ground Floor (Duplex)</t>
  </si>
  <si>
    <t>Shop
(Duplex)</t>
  </si>
  <si>
    <t>Ground Floor</t>
  </si>
  <si>
    <t>Shop</t>
  </si>
  <si>
    <t>2nd Floor</t>
  </si>
  <si>
    <t>Office</t>
  </si>
  <si>
    <t>2.5BHK</t>
  </si>
  <si>
    <t>3rd Floor</t>
  </si>
  <si>
    <t xml:space="preserve">1st Floor For Commercial </t>
  </si>
  <si>
    <t>Ground Floor For Residential</t>
  </si>
  <si>
    <t>Recommended rate of the Office Per Sq. Ft. ( on Carpet area)</t>
  </si>
  <si>
    <t>Recommended rate of the Shop Per Sq. Ft. ( on Carpet area)</t>
  </si>
  <si>
    <t>Parijat Towers</t>
  </si>
  <si>
    <t>1st Base+2nd Base+ Gr.+1st to 10th Floor (A Wing) 
1st Base+2nd Base+ Gr.+1st to 9th Floor (B Wing) 
1st Base+2nd Base+ Gr.+1st to 7th Floor (C Wing)</t>
  </si>
  <si>
    <t>Wheather the construction is as per approved Building plan : Under Construction</t>
  </si>
  <si>
    <t>Material laying at Site: Brick, Sand, etc</t>
  </si>
  <si>
    <t>500000/-</t>
  </si>
  <si>
    <t>4) Legal title of the property is not verified by us.</t>
  </si>
  <si>
    <t>Approved no of units</t>
  </si>
  <si>
    <r>
      <t xml:space="preserve">Proposed Amenities : </t>
    </r>
    <r>
      <rPr>
        <sz val="11"/>
        <rFont val="Times New Roman"/>
        <family val="1"/>
      </rPr>
      <t xml:space="preserve">1.  Vitrified tiles flooring 2. Granite Kitchen Platform  3. Decorative Enternace  etc.   </t>
    </r>
    <r>
      <rPr>
        <b/>
        <sz val="11"/>
        <rFont val="Times New Roman"/>
        <family val="1"/>
      </rPr>
      <t xml:space="preserve">                                               </t>
    </r>
  </si>
  <si>
    <t>Pratiksha</t>
  </si>
  <si>
    <t>Market Research Data</t>
  </si>
  <si>
    <t>Source</t>
  </si>
  <si>
    <t>Distance from proposed property</t>
  </si>
  <si>
    <t>Flat</t>
  </si>
  <si>
    <t>Net Carpet</t>
  </si>
  <si>
    <t>Saleable Area</t>
  </si>
  <si>
    <t>Rate on Saleable</t>
  </si>
  <si>
    <t>Market Value</t>
  </si>
  <si>
    <t>Magic Brick</t>
  </si>
  <si>
    <t>99 Acres</t>
  </si>
  <si>
    <t>Average</t>
  </si>
  <si>
    <t xml:space="preserve">Valuation Adopted </t>
  </si>
  <si>
    <t>Construction details:</t>
  </si>
  <si>
    <t>Basement</t>
  </si>
  <si>
    <t>Ground</t>
  </si>
  <si>
    <t>Podium</t>
  </si>
  <si>
    <t>Floors</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</si>
  <si>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</si>
  <si>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</si>
  <si>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</si>
  <si>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</si>
  <si>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</si>
  <si>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</si>
  <si>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</si>
  <si>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</si>
  <si>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</si>
  <si>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</si>
  <si>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</si>
  <si>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</si>
  <si>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</si>
  <si>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</si>
  <si>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</si>
  <si>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</si>
  <si>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</si>
  <si>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</si>
  <si>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</si>
  <si>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</si>
  <si>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</si>
  <si>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</si>
  <si>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</si>
  <si>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</si>
  <si>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</si>
  <si>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</si>
  <si>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</si>
  <si>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</si>
  <si>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B Wing = 1st Base+2nd Base+ Gr.+1st to 9th Floor</t>
  </si>
  <si>
    <t>C Wing = 1st Base+2nd Base+ Gr.+1st to 7 Floor</t>
  </si>
  <si>
    <t>RERA No.</t>
  </si>
  <si>
    <t>P51800004762</t>
  </si>
  <si>
    <t xml:space="preserve">30/06/2023
</t>
  </si>
  <si>
    <t>Flats = 90, Shops = 18
Offices = 06</t>
  </si>
  <si>
    <t>A Wing = 1st B + 2nd B + Gr.+1st to 10th Floor</t>
  </si>
  <si>
    <t>Location Link</t>
  </si>
  <si>
    <t>https://goo.gl/maps/Rep5tzxCUNzMn8xg9</t>
  </si>
  <si>
    <r>
      <t xml:space="preserve">Remarks:  
1. A &amp; B wing - construction work is same as last visit (08/08/2022) work is stopped . Some flats are occupied by tenants.
    Wing C: All work completed. Please provide OC.
2. We considered Saleable area as per our calculation.
3. We considered Carpet area as per Approved Plan.
4. We considered Gross carpet area = Net carpet
5. We have considered rate by verifying it from market inquire.
6. Recommended rate should be considered as all inclusive rate if other charges are not mentioned. (Excluding GST &amp; other government Taxes)
7. Car parking is subjected to authentic documentation.
8. We update revised Plans (on 30/08/2020).
9. As per site visit dtd 12/04/2023, Notices from Anandrathi Global Finance Firm were attached in the project premises regarding some flats. Notices are attached below.
</t>
    </r>
    <r>
      <rPr>
        <b/>
        <sz val="11"/>
        <color rgb="FFFF0000"/>
        <rFont val="Times New Roman"/>
        <family val="1"/>
      </rPr>
      <t xml:space="preserve">10. As per RERA, completion period of project Parijat Towers is expired on 30/06/2023 but still project is under construction.
</t>
    </r>
    <r>
      <rPr>
        <b/>
        <sz val="11"/>
        <color indexed="8"/>
        <rFont val="Times New Roman"/>
        <family val="1"/>
      </rPr>
      <t xml:space="preserve">
9. On site, we meet Mr.Jitendra - (9833375121).</t>
    </r>
  </si>
  <si>
    <t>Office No. 1031, Wing J, Akshar Business Park, Plot No. 03 Sector 25, Near APMC Market,
Vashi, Navi Mumbai, Maharashtra 400703 TEL: 022-46090378/79/80                                                                                                                                             E mail : vsjcapf@gmail.com. Web site : www.vsjadon.com</t>
  </si>
  <si>
    <t>Contact Details ( Name &amp; Contact No.)</t>
  </si>
  <si>
    <t>19.1164706,72.8871527</t>
  </si>
  <si>
    <t>Mr.Jitendra Pendelkar 9833375121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</si>
</sst>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22"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name val="Times New Roman"/>
      <family val="1"/>
    </font>
    <font>
      <sz val="11"/>
      <name val="Times New Roman"/>
      <family val="1"/>
    </font>
    <font>
      <sz val="12"/>
      <color indexed="8"/>
      <name val="Times New Roman"/>
      <family val="1"/>
    </font>
    <font>
      <b/>
      <sz val="12"/>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sz val="11"/>
      <color rgb="FFFF0000"/>
      <name val="Calibri"/>
      <family val="2"/>
    </font>
    <font>
      <sz val="11"/>
      <color theme="1"/>
      <name val="Times New Roman"/>
      <family val="1"/>
    </font>
    <font>
      <sz val="12"/>
      <color theme="1"/>
      <name val="Times New Roman"/>
      <family val="1"/>
    </font>
    <font>
      <sz val="12"/>
      <name val="Times New Roman"/>
      <family val="1"/>
    </font>
    <font>
      <sz val="11"/>
      <color rgb="FF000000"/>
      <name val="Times New Roman"/>
      <family val="1"/>
    </font>
    <font>
      <u/>
      <sz val="11"/>
      <color theme="10"/>
      <name val="Calibri"/>
      <family val="2"/>
      <scheme val="minor"/>
    </font>
    <font>
      <b/>
      <sz val="11"/>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7">
    <xf numFmtId="0" fontId="0" fillId="0" borderId="0"/>
    <xf numFmtId="164" fontId="1" fillId="0" borderId="0" applyFont="0" applyFill="0" applyBorder="0" applyAlignment="0" applyProtection="0"/>
    <xf numFmtId="0" fontId="2" fillId="0" borderId="0"/>
    <xf numFmtId="0" fontId="1" fillId="0" borderId="0"/>
    <xf numFmtId="0" fontId="11" fillId="0" borderId="0"/>
    <xf numFmtId="0" fontId="11" fillId="0" borderId="0"/>
    <xf numFmtId="0" fontId="20" fillId="0" borderId="0" applyNumberFormat="0" applyFill="0" applyBorder="0" applyAlignment="0" applyProtection="0"/>
  </cellStyleXfs>
  <cellXfs count="257">
    <xf numFmtId="0" fontId="0" fillId="0" borderId="0" xfId="0"/>
    <xf numFmtId="0" fontId="2" fillId="0" borderId="0" xfId="2"/>
    <xf numFmtId="0" fontId="4" fillId="0" borderId="1" xfId="0" applyFont="1" applyFill="1" applyBorder="1" applyAlignment="1">
      <alignment vertical="top"/>
    </xf>
    <xf numFmtId="0" fontId="5" fillId="0" borderId="1" xfId="0" applyFont="1" applyFill="1" applyBorder="1" applyAlignment="1">
      <alignment vertical="top"/>
    </xf>
    <xf numFmtId="0" fontId="4" fillId="0" borderId="2" xfId="0" applyFont="1" applyFill="1" applyBorder="1" applyAlignment="1">
      <alignment vertical="top"/>
    </xf>
    <xf numFmtId="0" fontId="4" fillId="0" borderId="2" xfId="0" applyFont="1" applyFill="1" applyBorder="1" applyAlignment="1">
      <alignment vertical="top" wrapText="1"/>
    </xf>
    <xf numFmtId="0" fontId="4" fillId="2" borderId="2" xfId="0" applyFont="1" applyFill="1" applyBorder="1" applyAlignment="1">
      <alignment vertical="top"/>
    </xf>
    <xf numFmtId="0" fontId="0" fillId="0" borderId="2" xfId="0" applyBorder="1"/>
    <xf numFmtId="1" fontId="9"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top"/>
    </xf>
    <xf numFmtId="0" fontId="4" fillId="2" borderId="3" xfId="0" applyFont="1" applyFill="1" applyBorder="1" applyAlignment="1">
      <alignment vertical="top"/>
    </xf>
    <xf numFmtId="0" fontId="12" fillId="0" borderId="0" xfId="0" applyFont="1"/>
    <xf numFmtId="0" fontId="12" fillId="3" borderId="2" xfId="0" applyFont="1" applyFill="1" applyBorder="1"/>
    <xf numFmtId="0" fontId="0" fillId="0" borderId="0" xfId="0" applyBorder="1"/>
    <xf numFmtId="0" fontId="0" fillId="0" borderId="4" xfId="0" applyBorder="1"/>
    <xf numFmtId="0" fontId="0" fillId="0" borderId="0" xfId="0" applyAlignment="1">
      <alignment wrapText="1"/>
    </xf>
    <xf numFmtId="0" fontId="0" fillId="0" borderId="2" xfId="0" applyBorder="1" applyAlignment="1">
      <alignment wrapText="1"/>
    </xf>
    <xf numFmtId="1" fontId="0" fillId="0" borderId="0" xfId="0" applyNumberFormat="1" applyBorder="1"/>
    <xf numFmtId="1" fontId="0" fillId="0" borderId="2" xfId="0" applyNumberFormat="1" applyBorder="1"/>
    <xf numFmtId="1" fontId="0" fillId="0" borderId="4" xfId="0" applyNumberFormat="1" applyBorder="1"/>
    <xf numFmtId="0" fontId="14" fillId="0" borderId="0" xfId="0" applyFont="1"/>
    <xf numFmtId="0" fontId="4" fillId="0" borderId="5" xfId="0" applyFont="1" applyFill="1" applyBorder="1" applyAlignment="1">
      <alignment vertical="top"/>
    </xf>
    <xf numFmtId="14" fontId="1" fillId="0" borderId="0" xfId="3" applyNumberFormat="1"/>
    <xf numFmtId="0" fontId="1" fillId="0" borderId="0" xfId="3"/>
    <xf numFmtId="0" fontId="11" fillId="0" borderId="0" xfId="4"/>
    <xf numFmtId="0" fontId="12" fillId="0" borderId="2" xfId="4" applyFont="1" applyBorder="1" applyAlignment="1">
      <alignment horizontal="center" vertical="top" wrapText="1"/>
    </xf>
    <xf numFmtId="0" fontId="11" fillId="0" borderId="2" xfId="4" applyBorder="1" applyAlignment="1">
      <alignment horizontal="center" vertical="center"/>
    </xf>
    <xf numFmtId="1" fontId="11" fillId="0" borderId="2" xfId="4" applyNumberFormat="1" applyBorder="1" applyAlignment="1">
      <alignment horizontal="center" vertical="center"/>
    </xf>
    <xf numFmtId="165" fontId="11" fillId="0" borderId="2" xfId="1" applyNumberFormat="1" applyFont="1" applyBorder="1" applyAlignment="1">
      <alignment horizontal="right" vertical="center"/>
    </xf>
    <xf numFmtId="0" fontId="12" fillId="0" borderId="2" xfId="4" applyFont="1" applyBorder="1" applyAlignment="1">
      <alignment horizontal="center" vertical="center"/>
    </xf>
    <xf numFmtId="1" fontId="13" fillId="0" borderId="2" xfId="4" applyNumberFormat="1" applyFont="1" applyBorder="1" applyAlignment="1">
      <alignment horizontal="center" vertical="center"/>
    </xf>
    <xf numFmtId="0" fontId="1" fillId="0" borderId="2" xfId="3" applyBorder="1" applyAlignment="1">
      <alignment horizontal="center" vertical="center"/>
    </xf>
    <xf numFmtId="0" fontId="15" fillId="0" borderId="0" xfId="3" applyFont="1"/>
    <xf numFmtId="0" fontId="1" fillId="0" borderId="0" xfId="3" applyAlignment="1">
      <alignment vertical="top" wrapText="1"/>
    </xf>
    <xf numFmtId="0" fontId="11" fillId="0" borderId="2" xfId="4" applyFont="1" applyBorder="1" applyAlignment="1">
      <alignment horizontal="left" vertical="center"/>
    </xf>
    <xf numFmtId="0" fontId="11" fillId="0" borderId="2" xfId="4" applyFont="1" applyBorder="1" applyAlignment="1">
      <alignment horizontal="center" vertical="center"/>
    </xf>
    <xf numFmtId="0" fontId="17" fillId="0" borderId="19" xfId="5" applyFont="1" applyFill="1" applyBorder="1" applyProtection="1">
      <protection hidden="1"/>
    </xf>
    <xf numFmtId="0" fontId="17" fillId="0" borderId="20" xfId="5" applyFont="1" applyBorder="1" applyProtection="1">
      <protection hidden="1"/>
    </xf>
    <xf numFmtId="0" fontId="17" fillId="0" borderId="0" xfId="5" applyFont="1" applyFill="1" applyBorder="1" applyProtection="1">
      <protection hidden="1"/>
    </xf>
    <xf numFmtId="0" fontId="17" fillId="0" borderId="23" xfId="5" applyFont="1" applyBorder="1" applyProtection="1">
      <protection hidden="1"/>
    </xf>
    <xf numFmtId="0" fontId="19" fillId="0" borderId="0" xfId="0" applyFont="1" applyFill="1" applyBorder="1" applyProtection="1">
      <protection hidden="1"/>
    </xf>
    <xf numFmtId="0" fontId="17" fillId="0" borderId="23" xfId="5" applyFont="1" applyBorder="1"/>
    <xf numFmtId="0" fontId="19" fillId="0" borderId="23" xfId="0" applyNumberFormat="1" applyFont="1" applyBorder="1" applyProtection="1">
      <protection hidden="1"/>
    </xf>
    <xf numFmtId="1" fontId="0" fillId="0" borderId="23" xfId="0" applyNumberFormat="1" applyBorder="1"/>
    <xf numFmtId="1" fontId="0" fillId="0" borderId="23" xfId="0" applyNumberFormat="1" applyBorder="1" applyAlignment="1">
      <alignment horizontal="right"/>
    </xf>
    <xf numFmtId="0" fontId="19" fillId="0" borderId="32" xfId="0" applyFont="1" applyFill="1" applyBorder="1" applyProtection="1">
      <protection hidden="1"/>
    </xf>
    <xf numFmtId="1" fontId="0" fillId="0" borderId="33" xfId="0" applyNumberFormat="1" applyBorder="1"/>
    <xf numFmtId="0" fontId="18" fillId="0" borderId="2" xfId="5" applyFont="1" applyBorder="1" applyAlignment="1" applyProtection="1">
      <alignment horizontal="center" wrapText="1"/>
      <protection locked="0"/>
    </xf>
    <xf numFmtId="1" fontId="18" fillId="0" borderId="2" xfId="5" applyNumberFormat="1" applyFont="1" applyBorder="1" applyAlignment="1" applyProtection="1">
      <alignment horizontal="center" wrapText="1"/>
      <protection locked="0"/>
    </xf>
    <xf numFmtId="0" fontId="18" fillId="0" borderId="28" xfId="5" applyFont="1" applyBorder="1" applyAlignment="1" applyProtection="1">
      <alignment horizontal="center" wrapText="1"/>
      <protection locked="0"/>
    </xf>
    <xf numFmtId="1" fontId="10" fillId="0" borderId="2" xfId="0" applyNumberFormat="1" applyFont="1" applyFill="1" applyBorder="1" applyAlignment="1">
      <alignment horizontal="center" vertical="top" wrapText="1"/>
    </xf>
    <xf numFmtId="1" fontId="7" fillId="0" borderId="2" xfId="0" applyNumberFormat="1" applyFont="1" applyFill="1" applyBorder="1" applyAlignment="1">
      <alignment horizontal="center" vertical="top" wrapText="1"/>
    </xf>
    <xf numFmtId="1" fontId="18" fillId="0" borderId="2" xfId="0" applyNumberFormat="1" applyFont="1" applyFill="1" applyBorder="1" applyAlignment="1">
      <alignment horizontal="center" vertical="center" wrapText="1"/>
    </xf>
    <xf numFmtId="0" fontId="18" fillId="0" borderId="2" xfId="5" applyFont="1" applyBorder="1" applyAlignment="1" applyProtection="1">
      <alignment horizontal="center" vertical="top" wrapText="1"/>
      <protection locked="0"/>
    </xf>
    <xf numFmtId="0" fontId="18" fillId="0" borderId="21" xfId="5" applyFont="1" applyFill="1" applyBorder="1" applyAlignment="1" applyProtection="1">
      <alignment horizontal="center" vertical="top"/>
      <protection locked="0"/>
    </xf>
    <xf numFmtId="0" fontId="18" fillId="0" borderId="2" xfId="5" applyFont="1" applyFill="1" applyBorder="1" applyAlignment="1" applyProtection="1">
      <alignment horizontal="center" vertical="top"/>
      <protection locked="0"/>
    </xf>
    <xf numFmtId="0" fontId="4" fillId="0" borderId="2" xfId="0" applyFont="1" applyFill="1" applyBorder="1" applyAlignment="1">
      <alignment horizontal="left" vertical="top"/>
    </xf>
    <xf numFmtId="2" fontId="0" fillId="0" borderId="0" xfId="0" applyNumberFormat="1"/>
    <xf numFmtId="0" fontId="18" fillId="0" borderId="35" xfId="5" applyFont="1" applyBorder="1" applyAlignment="1" applyProtection="1">
      <alignment horizontal="center" vertical="top" wrapText="1"/>
      <protection locked="0"/>
    </xf>
    <xf numFmtId="0" fontId="18" fillId="0" borderId="2" xfId="5" applyFont="1" applyFill="1" applyBorder="1" applyAlignment="1" applyProtection="1">
      <alignment horizontal="center" vertical="top"/>
      <protection locked="0"/>
    </xf>
    <xf numFmtId="0" fontId="18" fillId="0" borderId="27" xfId="5" applyFont="1" applyFill="1" applyBorder="1" applyAlignment="1" applyProtection="1">
      <alignment horizontal="center" vertical="top" wrapText="1"/>
      <protection locked="0"/>
    </xf>
    <xf numFmtId="0" fontId="18" fillId="0" borderId="28" xfId="5" applyFont="1" applyFill="1" applyBorder="1" applyAlignment="1" applyProtection="1">
      <alignment horizontal="center" vertical="top" wrapText="1"/>
      <protection locked="0"/>
    </xf>
    <xf numFmtId="9" fontId="18" fillId="2" borderId="29" xfId="5" applyNumberFormat="1" applyFont="1" applyFill="1" applyBorder="1" applyAlignment="1" applyProtection="1">
      <alignment horizontal="center" vertical="center" wrapText="1"/>
      <protection hidden="1"/>
    </xf>
    <xf numFmtId="9" fontId="18" fillId="2" borderId="30" xfId="5" applyNumberFormat="1" applyFont="1" applyFill="1" applyBorder="1" applyAlignment="1" applyProtection="1">
      <alignment horizontal="center" vertical="center" wrapText="1"/>
      <protection hidden="1"/>
    </xf>
    <xf numFmtId="0" fontId="4" fillId="0" borderId="1" xfId="0" applyFont="1" applyBorder="1" applyAlignment="1">
      <alignment horizontal="left" vertical="top"/>
    </xf>
    <xf numFmtId="0" fontId="5" fillId="0" borderId="5" xfId="0" applyFont="1" applyBorder="1" applyAlignment="1">
      <alignment horizontal="left" vertical="top"/>
    </xf>
    <xf numFmtId="0" fontId="5" fillId="0" borderId="3" xfId="0" applyFont="1" applyBorder="1" applyAlignment="1">
      <alignment horizontal="left" vertical="top"/>
    </xf>
    <xf numFmtId="0" fontId="4" fillId="0" borderId="5" xfId="0" applyFont="1" applyBorder="1" applyAlignment="1">
      <alignment horizontal="left" vertical="top"/>
    </xf>
    <xf numFmtId="0" fontId="4" fillId="0" borderId="3" xfId="0" applyFont="1" applyBorder="1" applyAlignment="1">
      <alignment horizontal="left" vertical="top"/>
    </xf>
    <xf numFmtId="0" fontId="18" fillId="0" borderId="1" xfId="5" applyFont="1" applyFill="1" applyBorder="1" applyAlignment="1" applyProtection="1">
      <alignment horizontal="center" vertical="top"/>
      <protection locked="0"/>
    </xf>
    <xf numFmtId="0" fontId="18" fillId="0" borderId="3" xfId="5" applyFont="1" applyFill="1" applyBorder="1" applyAlignment="1" applyProtection="1">
      <alignment horizontal="center" vertical="top"/>
      <protection locked="0"/>
    </xf>
    <xf numFmtId="0" fontId="18" fillId="0" borderId="22" xfId="5" applyFont="1" applyFill="1" applyBorder="1" applyAlignment="1" applyProtection="1">
      <alignment horizontal="center" vertical="top"/>
      <protection locked="0"/>
    </xf>
    <xf numFmtId="0" fontId="10" fillId="0" borderId="27" xfId="5" applyFont="1" applyBorder="1" applyAlignment="1" applyProtection="1">
      <alignment horizontal="left" vertical="top"/>
      <protection locked="0"/>
    </xf>
    <xf numFmtId="0" fontId="10" fillId="0" borderId="28" xfId="5" applyFont="1" applyBorder="1" applyAlignment="1" applyProtection="1">
      <alignment horizontal="left" vertical="top"/>
      <protection locked="0"/>
    </xf>
    <xf numFmtId="0" fontId="10" fillId="0" borderId="29" xfId="5" applyFont="1" applyFill="1" applyBorder="1" applyAlignment="1" applyProtection="1">
      <alignment horizontal="left" vertical="top" wrapText="1"/>
      <protection locked="0"/>
    </xf>
    <xf numFmtId="0" fontId="10" fillId="0" borderId="37" xfId="5" applyFont="1" applyFill="1" applyBorder="1" applyAlignment="1" applyProtection="1">
      <alignment horizontal="left" vertical="top" wrapText="1"/>
      <protection locked="0"/>
    </xf>
    <xf numFmtId="0" fontId="10" fillId="0" borderId="38" xfId="5" applyFont="1" applyFill="1" applyBorder="1" applyAlignment="1" applyProtection="1">
      <alignment horizontal="left" vertical="top" wrapText="1"/>
      <protection locked="0"/>
    </xf>
    <xf numFmtId="0" fontId="18" fillId="0" borderId="34" xfId="5" applyFont="1" applyBorder="1" applyAlignment="1" applyProtection="1">
      <alignment horizontal="center" vertical="top" wrapText="1"/>
      <protection locked="0"/>
    </xf>
    <xf numFmtId="0" fontId="18" fillId="0" borderId="11" xfId="5" applyFont="1" applyBorder="1" applyAlignment="1" applyProtection="1">
      <alignment horizontal="center" vertical="top" wrapText="1"/>
      <protection locked="0"/>
    </xf>
    <xf numFmtId="0" fontId="18" fillId="0" borderId="35" xfId="5" applyFont="1" applyBorder="1" applyAlignment="1" applyProtection="1">
      <alignment horizontal="center" vertical="top" wrapText="1"/>
      <protection locked="0"/>
    </xf>
    <xf numFmtId="0" fontId="18" fillId="0" borderId="36" xfId="5" applyFont="1" applyBorder="1" applyAlignment="1" applyProtection="1">
      <alignment horizontal="center" vertical="top" wrapText="1"/>
      <protection locked="0"/>
    </xf>
    <xf numFmtId="0" fontId="18" fillId="0" borderId="21" xfId="5" applyFont="1" applyFill="1" applyBorder="1" applyAlignment="1" applyProtection="1">
      <alignment horizontal="center" vertical="top" wrapText="1"/>
      <protection locked="0"/>
    </xf>
    <xf numFmtId="0" fontId="18" fillId="0" borderId="2" xfId="5" applyFont="1" applyFill="1" applyBorder="1" applyAlignment="1" applyProtection="1">
      <alignment horizontal="center" vertical="top" wrapText="1"/>
      <protection locked="0"/>
    </xf>
    <xf numFmtId="9" fontId="18" fillId="2" borderId="1" xfId="5" applyNumberFormat="1" applyFont="1" applyFill="1" applyBorder="1" applyAlignment="1" applyProtection="1">
      <alignment horizontal="center" vertical="center" wrapText="1"/>
      <protection hidden="1"/>
    </xf>
    <xf numFmtId="9" fontId="18" fillId="2" borderId="3" xfId="5" applyNumberFormat="1" applyFont="1" applyFill="1" applyBorder="1" applyAlignment="1" applyProtection="1">
      <alignment horizontal="center" vertical="center" wrapText="1"/>
      <protection hidden="1"/>
    </xf>
    <xf numFmtId="9" fontId="18" fillId="2" borderId="2" xfId="5" applyNumberFormat="1" applyFont="1" applyFill="1" applyBorder="1" applyAlignment="1" applyProtection="1">
      <alignment horizontal="center" vertical="center" wrapText="1"/>
      <protection hidden="1"/>
    </xf>
    <xf numFmtId="9" fontId="18" fillId="2" borderId="28" xfId="5" applyNumberFormat="1" applyFont="1" applyFill="1" applyBorder="1" applyAlignment="1" applyProtection="1">
      <alignment horizontal="center" vertical="center" wrapText="1"/>
      <protection hidden="1"/>
    </xf>
    <xf numFmtId="9" fontId="18" fillId="2" borderId="6" xfId="5" applyNumberFormat="1" applyFont="1" applyFill="1" applyBorder="1" applyAlignment="1" applyProtection="1">
      <alignment horizontal="center" vertical="center" wrapText="1"/>
      <protection hidden="1"/>
    </xf>
    <xf numFmtId="9" fontId="18" fillId="2" borderId="7" xfId="5" applyNumberFormat="1" applyFont="1" applyFill="1" applyBorder="1" applyAlignment="1" applyProtection="1">
      <alignment horizontal="center" vertical="center" wrapText="1"/>
      <protection hidden="1"/>
    </xf>
    <xf numFmtId="9" fontId="18" fillId="2" borderId="26" xfId="5" applyNumberFormat="1" applyFont="1" applyFill="1" applyBorder="1" applyAlignment="1" applyProtection="1">
      <alignment horizontal="center" vertical="center" wrapText="1"/>
      <protection hidden="1"/>
    </xf>
    <xf numFmtId="9" fontId="18" fillId="2" borderId="12" xfId="5" applyNumberFormat="1" applyFont="1" applyFill="1" applyBorder="1" applyAlignment="1" applyProtection="1">
      <alignment horizontal="center" vertical="center" wrapText="1"/>
      <protection hidden="1"/>
    </xf>
    <xf numFmtId="9" fontId="18" fillId="2" borderId="0" xfId="5" applyNumberFormat="1" applyFont="1" applyFill="1" applyBorder="1" applyAlignment="1" applyProtection="1">
      <alignment horizontal="center" vertical="center" wrapText="1"/>
      <protection hidden="1"/>
    </xf>
    <xf numFmtId="9" fontId="18" fillId="2" borderId="23" xfId="5" applyNumberFormat="1" applyFont="1" applyFill="1" applyBorder="1" applyAlignment="1" applyProtection="1">
      <alignment horizontal="center" vertical="center" wrapText="1"/>
      <protection hidden="1"/>
    </xf>
    <xf numFmtId="9" fontId="18" fillId="2" borderId="31" xfId="5" applyNumberFormat="1" applyFont="1" applyFill="1" applyBorder="1" applyAlignment="1" applyProtection="1">
      <alignment horizontal="center" vertical="center" wrapText="1"/>
      <protection hidden="1"/>
    </xf>
    <xf numFmtId="9" fontId="18" fillId="2" borderId="32" xfId="5" applyNumberFormat="1" applyFont="1" applyFill="1" applyBorder="1" applyAlignment="1" applyProtection="1">
      <alignment horizontal="center" vertical="center" wrapText="1"/>
      <protection hidden="1"/>
    </xf>
    <xf numFmtId="9" fontId="18" fillId="2" borderId="33" xfId="5" applyNumberFormat="1" applyFont="1" applyFill="1" applyBorder="1" applyAlignment="1" applyProtection="1">
      <alignment horizontal="center" vertical="center" wrapText="1"/>
      <protection hidden="1"/>
    </xf>
    <xf numFmtId="0" fontId="18" fillId="0" borderId="21" xfId="5" applyFont="1" applyFill="1" applyBorder="1" applyAlignment="1" applyProtection="1">
      <alignment horizontal="center" vertical="top"/>
      <protection locked="0"/>
    </xf>
    <xf numFmtId="0" fontId="18" fillId="0" borderId="2" xfId="5" applyFont="1" applyFill="1" applyBorder="1" applyAlignment="1" applyProtection="1">
      <alignment horizontal="center" vertical="top"/>
      <protection locked="0"/>
    </xf>
    <xf numFmtId="0" fontId="4" fillId="0" borderId="2" xfId="0" applyFont="1" applyFill="1" applyBorder="1" applyAlignment="1">
      <alignment horizontal="center" vertical="top" wrapText="1"/>
    </xf>
    <xf numFmtId="0" fontId="16" fillId="0" borderId="2" xfId="0" applyFont="1" applyFill="1" applyBorder="1" applyAlignment="1">
      <alignment horizontal="center" vertical="top" wrapText="1"/>
    </xf>
    <xf numFmtId="0" fontId="8" fillId="0" borderId="2" xfId="0" applyFont="1" applyFill="1" applyBorder="1" applyAlignment="1">
      <alignment horizontal="left" vertical="top" wrapText="1"/>
    </xf>
    <xf numFmtId="1" fontId="9" fillId="0" borderId="1" xfId="0" applyNumberFormat="1" applyFont="1" applyFill="1" applyBorder="1" applyAlignment="1">
      <alignment horizontal="center" vertical="center" wrapText="1"/>
    </xf>
    <xf numFmtId="1" fontId="9" fillId="0" borderId="3" xfId="0" applyNumberFormat="1" applyFont="1" applyFill="1" applyBorder="1" applyAlignment="1">
      <alignment horizontal="center" vertical="center" wrapText="1"/>
    </xf>
    <xf numFmtId="1" fontId="6" fillId="0" borderId="1" xfId="0" applyNumberFormat="1" applyFont="1" applyFill="1" applyBorder="1" applyAlignment="1">
      <alignment horizontal="center" vertical="center" wrapText="1"/>
    </xf>
    <xf numFmtId="1" fontId="6" fillId="0" borderId="5" xfId="0" applyNumberFormat="1" applyFont="1" applyFill="1" applyBorder="1" applyAlignment="1">
      <alignment horizontal="center" vertical="center" wrapText="1"/>
    </xf>
    <xf numFmtId="1" fontId="6" fillId="0" borderId="3" xfId="0" applyNumberFormat="1" applyFont="1" applyFill="1" applyBorder="1" applyAlignment="1">
      <alignment horizontal="center" vertical="center" wrapText="1"/>
    </xf>
    <xf numFmtId="1" fontId="9" fillId="0" borderId="5" xfId="0" applyNumberFormat="1" applyFont="1" applyFill="1" applyBorder="1" applyAlignment="1">
      <alignment horizontal="center" vertical="center" wrapText="1"/>
    </xf>
    <xf numFmtId="0" fontId="10" fillId="0" borderId="14" xfId="5" applyFont="1" applyFill="1" applyBorder="1" applyAlignment="1" applyProtection="1">
      <alignment horizontal="center" vertical="top" wrapText="1"/>
      <protection locked="0"/>
    </xf>
    <xf numFmtId="0" fontId="10" fillId="0" borderId="15" xfId="5" applyFont="1" applyFill="1" applyBorder="1" applyAlignment="1" applyProtection="1">
      <alignment horizontal="center" vertical="top" wrapText="1"/>
      <protection locked="0"/>
    </xf>
    <xf numFmtId="0" fontId="10" fillId="0" borderId="16" xfId="5" applyFont="1" applyFill="1" applyBorder="1" applyAlignment="1" applyProtection="1">
      <alignment horizontal="left" vertical="top" wrapText="1"/>
      <protection locked="0"/>
    </xf>
    <xf numFmtId="0" fontId="10" fillId="0" borderId="17" xfId="5" applyFont="1" applyFill="1" applyBorder="1" applyAlignment="1" applyProtection="1">
      <alignment horizontal="left" vertical="top" wrapText="1"/>
      <protection locked="0"/>
    </xf>
    <xf numFmtId="0" fontId="10" fillId="0" borderId="18" xfId="5" applyFont="1" applyFill="1" applyBorder="1" applyAlignment="1" applyProtection="1">
      <alignment horizontal="left" vertical="top" wrapText="1"/>
      <protection locked="0"/>
    </xf>
    <xf numFmtId="0" fontId="10" fillId="0" borderId="21" xfId="5" applyFont="1" applyBorder="1" applyAlignment="1" applyProtection="1">
      <alignment horizontal="left" vertical="top"/>
      <protection locked="0"/>
    </xf>
    <xf numFmtId="0" fontId="10" fillId="0" borderId="2" xfId="5" applyFont="1" applyBorder="1" applyAlignment="1" applyProtection="1">
      <alignment horizontal="left" vertical="top"/>
      <protection locked="0"/>
    </xf>
    <xf numFmtId="0" fontId="10" fillId="0" borderId="1" xfId="5" applyFont="1" applyFill="1" applyBorder="1" applyAlignment="1" applyProtection="1">
      <alignment horizontal="left" vertical="top" wrapText="1"/>
      <protection locked="0"/>
    </xf>
    <xf numFmtId="0" fontId="10" fillId="0" borderId="5" xfId="5" applyFont="1" applyFill="1" applyBorder="1" applyAlignment="1" applyProtection="1">
      <alignment horizontal="left" vertical="top" wrapText="1"/>
      <protection locked="0"/>
    </xf>
    <xf numFmtId="0" fontId="10" fillId="0" borderId="22" xfId="5" applyFont="1" applyFill="1" applyBorder="1" applyAlignment="1" applyProtection="1">
      <alignment horizontal="left" vertical="top" wrapText="1"/>
      <protection locked="0"/>
    </xf>
    <xf numFmtId="0" fontId="18" fillId="0" borderId="24" xfId="5" applyFont="1" applyBorder="1" applyAlignment="1" applyProtection="1">
      <alignment horizontal="center" vertical="top" wrapText="1"/>
      <protection locked="0"/>
    </xf>
    <xf numFmtId="0" fontId="18" fillId="0" borderId="3" xfId="5" applyFont="1" applyBorder="1" applyAlignment="1" applyProtection="1">
      <alignment horizontal="center" vertical="top" wrapText="1"/>
      <protection locked="0"/>
    </xf>
    <xf numFmtId="0" fontId="18" fillId="0" borderId="2" xfId="5" applyFont="1" applyBorder="1" applyAlignment="1" applyProtection="1">
      <alignment horizontal="center" vertical="top" wrapText="1"/>
      <protection locked="0"/>
    </xf>
    <xf numFmtId="0" fontId="18" fillId="0" borderId="25" xfId="5" applyFont="1" applyBorder="1" applyAlignment="1" applyProtection="1">
      <alignment horizontal="center" vertical="top" wrapText="1"/>
      <protection locked="0"/>
    </xf>
    <xf numFmtId="1" fontId="6" fillId="0" borderId="6" xfId="0" applyNumberFormat="1" applyFont="1" applyFill="1" applyBorder="1" applyAlignment="1">
      <alignment horizontal="center" vertical="center" wrapText="1"/>
    </xf>
    <xf numFmtId="1" fontId="6" fillId="0" borderId="7" xfId="0" applyNumberFormat="1" applyFont="1" applyFill="1" applyBorder="1" applyAlignment="1">
      <alignment horizontal="center" vertical="center" wrapText="1"/>
    </xf>
    <xf numFmtId="1" fontId="6" fillId="0" borderId="8" xfId="0" applyNumberFormat="1" applyFont="1" applyFill="1" applyBorder="1" applyAlignment="1">
      <alignment horizontal="center" vertical="center" wrapText="1"/>
    </xf>
    <xf numFmtId="1" fontId="18" fillId="0" borderId="1" xfId="0" applyNumberFormat="1" applyFont="1" applyFill="1" applyBorder="1" applyAlignment="1">
      <alignment horizontal="center" vertical="center" wrapText="1"/>
    </xf>
    <xf numFmtId="1" fontId="18" fillId="0" borderId="5" xfId="0" applyNumberFormat="1" applyFont="1" applyFill="1" applyBorder="1" applyAlignment="1">
      <alignment horizontal="center" vertical="center" wrapText="1"/>
    </xf>
    <xf numFmtId="1" fontId="18" fillId="0" borderId="3" xfId="0" applyNumberFormat="1" applyFont="1" applyFill="1" applyBorder="1" applyAlignment="1">
      <alignment horizontal="center" vertical="center" wrapText="1"/>
    </xf>
    <xf numFmtId="1" fontId="10" fillId="0" borderId="1" xfId="0" applyNumberFormat="1" applyFont="1" applyFill="1" applyBorder="1" applyAlignment="1">
      <alignment horizontal="center" vertical="center" wrapText="1"/>
    </xf>
    <xf numFmtId="1" fontId="10" fillId="0" borderId="5" xfId="0" applyNumberFormat="1" applyFont="1" applyFill="1" applyBorder="1" applyAlignment="1">
      <alignment horizontal="center" vertical="center" wrapText="1"/>
    </xf>
    <xf numFmtId="1" fontId="10" fillId="0" borderId="3" xfId="0" applyNumberFormat="1" applyFont="1" applyFill="1" applyBorder="1" applyAlignment="1">
      <alignment horizontal="center" vertical="center" wrapText="1"/>
    </xf>
    <xf numFmtId="1" fontId="7" fillId="0" borderId="1" xfId="0" applyNumberFormat="1" applyFont="1" applyFill="1" applyBorder="1" applyAlignment="1">
      <alignment horizontal="center" vertical="top" wrapText="1"/>
    </xf>
    <xf numFmtId="1" fontId="7" fillId="0" borderId="3" xfId="0" applyNumberFormat="1" applyFont="1" applyFill="1" applyBorder="1" applyAlignment="1">
      <alignment horizontal="center" vertical="top" wrapText="1"/>
    </xf>
    <xf numFmtId="1" fontId="10" fillId="0" borderId="1" xfId="0" applyNumberFormat="1" applyFont="1" applyFill="1" applyBorder="1" applyAlignment="1">
      <alignment horizontal="center" vertical="top" wrapText="1"/>
    </xf>
    <xf numFmtId="1" fontId="10" fillId="0" borderId="5" xfId="0" applyNumberFormat="1" applyFont="1" applyFill="1" applyBorder="1" applyAlignment="1">
      <alignment horizontal="center" vertical="top" wrapText="1"/>
    </xf>
    <xf numFmtId="1" fontId="10" fillId="0" borderId="3" xfId="0" applyNumberFormat="1" applyFont="1" applyFill="1" applyBorder="1" applyAlignment="1">
      <alignment horizontal="center" vertical="top" wrapText="1"/>
    </xf>
    <xf numFmtId="1" fontId="10" fillId="0" borderId="2" xfId="0" applyNumberFormat="1" applyFont="1" applyFill="1" applyBorder="1" applyAlignment="1">
      <alignment horizontal="center" vertical="center" wrapText="1"/>
    </xf>
    <xf numFmtId="0" fontId="4" fillId="2" borderId="1" xfId="0" applyFont="1" applyFill="1" applyBorder="1" applyAlignment="1">
      <alignment horizontal="left" vertical="top"/>
    </xf>
    <xf numFmtId="0" fontId="4" fillId="2" borderId="5" xfId="0" applyFont="1" applyFill="1" applyBorder="1" applyAlignment="1">
      <alignment horizontal="left" vertical="top"/>
    </xf>
    <xf numFmtId="0" fontId="4" fillId="2" borderId="3" xfId="0" applyFont="1" applyFill="1" applyBorder="1" applyAlignment="1">
      <alignment horizontal="left" vertical="top"/>
    </xf>
    <xf numFmtId="0" fontId="4" fillId="0" borderId="5"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2" xfId="0" applyFont="1" applyFill="1" applyBorder="1" applyAlignment="1">
      <alignment horizontal="left" vertical="top"/>
    </xf>
    <xf numFmtId="0" fontId="4" fillId="0" borderId="1" xfId="0" applyFont="1" applyFill="1" applyBorder="1" applyAlignment="1">
      <alignment horizontal="left" vertical="top" wrapText="1"/>
    </xf>
    <xf numFmtId="0" fontId="4" fillId="0" borderId="5" xfId="0" applyFont="1" applyFill="1" applyBorder="1" applyAlignment="1">
      <alignment horizontal="left" vertical="top"/>
    </xf>
    <xf numFmtId="0" fontId="4" fillId="0" borderId="3" xfId="0" applyFont="1" applyFill="1" applyBorder="1" applyAlignment="1">
      <alignment horizontal="left" vertical="top"/>
    </xf>
    <xf numFmtId="0" fontId="4" fillId="2" borderId="1"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3" xfId="0" applyFont="1" applyFill="1" applyBorder="1" applyAlignment="1">
      <alignment horizontal="left" vertical="top" wrapText="1"/>
    </xf>
    <xf numFmtId="0" fontId="8" fillId="0" borderId="9" xfId="0" applyFont="1" applyFill="1" applyBorder="1" applyAlignment="1">
      <alignment horizontal="left" vertical="top"/>
    </xf>
    <xf numFmtId="0" fontId="8" fillId="0" borderId="10" xfId="0" applyFont="1" applyFill="1" applyBorder="1" applyAlignment="1">
      <alignment horizontal="left" vertical="top"/>
    </xf>
    <xf numFmtId="0" fontId="8" fillId="0" borderId="11" xfId="0" applyFont="1" applyFill="1" applyBorder="1" applyAlignment="1">
      <alignment horizontal="left" vertical="top"/>
    </xf>
    <xf numFmtId="0" fontId="8" fillId="0" borderId="1" xfId="0" applyFont="1" applyFill="1" applyBorder="1" applyAlignment="1">
      <alignment horizontal="left" vertical="top"/>
    </xf>
    <xf numFmtId="0" fontId="8" fillId="0" borderId="5" xfId="0" applyFont="1" applyFill="1" applyBorder="1" applyAlignment="1">
      <alignment horizontal="left" vertical="top"/>
    </xf>
    <xf numFmtId="0" fontId="8" fillId="0" borderId="3" xfId="0" applyFont="1" applyFill="1" applyBorder="1" applyAlignment="1">
      <alignment horizontal="left" vertical="top"/>
    </xf>
    <xf numFmtId="0" fontId="7" fillId="0" borderId="6" xfId="0" applyFont="1" applyFill="1" applyBorder="1" applyAlignment="1">
      <alignment vertical="top" wrapText="1"/>
    </xf>
    <xf numFmtId="0" fontId="7" fillId="0" borderId="7" xfId="0" applyFont="1" applyFill="1" applyBorder="1" applyAlignment="1">
      <alignment vertical="top" wrapText="1"/>
    </xf>
    <xf numFmtId="0" fontId="7" fillId="0" borderId="8" xfId="0" applyFont="1" applyFill="1" applyBorder="1" applyAlignment="1">
      <alignment vertical="top" wrapText="1"/>
    </xf>
    <xf numFmtId="0" fontId="7" fillId="0" borderId="12" xfId="0" applyFont="1" applyFill="1" applyBorder="1" applyAlignment="1">
      <alignment vertical="top" wrapText="1"/>
    </xf>
    <xf numFmtId="0" fontId="7" fillId="0" borderId="0" xfId="0" applyFont="1" applyFill="1" applyBorder="1" applyAlignment="1">
      <alignment vertical="top" wrapText="1"/>
    </xf>
    <xf numFmtId="0" fontId="7" fillId="0" borderId="13" xfId="0" applyFont="1" applyFill="1" applyBorder="1" applyAlignment="1">
      <alignment vertical="top" wrapText="1"/>
    </xf>
    <xf numFmtId="0" fontId="7" fillId="0" borderId="9" xfId="0" applyFont="1" applyFill="1" applyBorder="1" applyAlignment="1">
      <alignment vertical="top" wrapText="1"/>
    </xf>
    <xf numFmtId="0" fontId="7" fillId="0" borderId="10" xfId="0" applyFont="1" applyFill="1" applyBorder="1" applyAlignment="1">
      <alignment vertical="top" wrapText="1"/>
    </xf>
    <xf numFmtId="0" fontId="7" fillId="0" borderId="11" xfId="0" applyFont="1" applyFill="1" applyBorder="1" applyAlignment="1">
      <alignment vertical="top" wrapText="1"/>
    </xf>
    <xf numFmtId="0" fontId="4" fillId="0" borderId="1" xfId="0" applyFont="1" applyFill="1" applyBorder="1" applyAlignment="1">
      <alignment horizontal="left" vertical="top"/>
    </xf>
    <xf numFmtId="0" fontId="0" fillId="0" borderId="3" xfId="0" applyBorder="1" applyAlignment="1">
      <alignment horizontal="left"/>
    </xf>
    <xf numFmtId="0" fontId="8" fillId="2" borderId="1" xfId="0" applyFont="1" applyFill="1" applyBorder="1" applyAlignment="1">
      <alignment horizontal="left" vertical="top" wrapText="1"/>
    </xf>
    <xf numFmtId="0" fontId="8" fillId="2" borderId="5" xfId="0" applyFont="1" applyFill="1" applyBorder="1" applyAlignment="1">
      <alignment horizontal="left" vertical="top" wrapText="1"/>
    </xf>
    <xf numFmtId="0" fontId="8" fillId="2" borderId="3" xfId="0" applyFont="1" applyFill="1" applyBorder="1" applyAlignment="1">
      <alignment horizontal="left" vertical="top" wrapText="1"/>
    </xf>
    <xf numFmtId="0" fontId="8" fillId="2" borderId="1" xfId="0" applyFont="1" applyFill="1" applyBorder="1" applyAlignment="1">
      <alignment horizontal="left" vertical="top"/>
    </xf>
    <xf numFmtId="0" fontId="8" fillId="2" borderId="5" xfId="0" applyFont="1" applyFill="1" applyBorder="1" applyAlignment="1">
      <alignment horizontal="left" vertical="top"/>
    </xf>
    <xf numFmtId="0" fontId="8" fillId="2" borderId="3" xfId="0" applyFont="1" applyFill="1" applyBorder="1" applyAlignment="1">
      <alignment horizontal="left" vertical="top"/>
    </xf>
    <xf numFmtId="0" fontId="3" fillId="0" borderId="1" xfId="0" applyFont="1" applyBorder="1" applyAlignment="1">
      <alignment horizontal="center" vertical="top" wrapText="1"/>
    </xf>
    <xf numFmtId="0" fontId="3" fillId="0" borderId="5" xfId="0" applyFont="1" applyBorder="1" applyAlignment="1">
      <alignment horizontal="center" vertical="top" wrapText="1"/>
    </xf>
    <xf numFmtId="0" fontId="3" fillId="0" borderId="3" xfId="0" applyFont="1" applyBorder="1" applyAlignment="1">
      <alignment horizontal="center" vertical="top" wrapText="1"/>
    </xf>
    <xf numFmtId="0" fontId="3" fillId="0" borderId="1" xfId="0" applyFont="1" applyFill="1" applyBorder="1" applyAlignment="1">
      <alignment horizontal="left" vertical="top"/>
    </xf>
    <xf numFmtId="0" fontId="3" fillId="0" borderId="5" xfId="0" applyFont="1" applyFill="1" applyBorder="1" applyAlignment="1">
      <alignment horizontal="left" vertical="top"/>
    </xf>
    <xf numFmtId="0" fontId="3" fillId="0" borderId="3" xfId="0" applyFont="1" applyFill="1" applyBorder="1" applyAlignment="1">
      <alignment horizontal="left" vertical="top"/>
    </xf>
    <xf numFmtId="0" fontId="4" fillId="0" borderId="2" xfId="0" applyFont="1" applyFill="1" applyBorder="1" applyAlignment="1">
      <alignment horizontal="center" vertical="top"/>
    </xf>
    <xf numFmtId="0" fontId="5" fillId="0" borderId="1" xfId="0" applyFont="1" applyFill="1" applyBorder="1" applyAlignment="1">
      <alignment horizontal="left" vertical="top"/>
    </xf>
    <xf numFmtId="0" fontId="5" fillId="0" borderId="5" xfId="0" applyFont="1" applyFill="1" applyBorder="1" applyAlignment="1">
      <alignment horizontal="left" vertical="top"/>
    </xf>
    <xf numFmtId="0" fontId="5" fillId="0" borderId="3" xfId="0" applyFont="1" applyFill="1" applyBorder="1" applyAlignment="1">
      <alignment horizontal="left" vertical="top"/>
    </xf>
    <xf numFmtId="0" fontId="4" fillId="0" borderId="6"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1" xfId="0" applyFont="1" applyFill="1" applyBorder="1" applyAlignment="1">
      <alignment horizontal="center" vertical="top"/>
    </xf>
    <xf numFmtId="0" fontId="5" fillId="0" borderId="3" xfId="0" applyFont="1" applyFill="1" applyBorder="1" applyAlignment="1">
      <alignment horizontal="center" vertical="top"/>
    </xf>
    <xf numFmtId="0" fontId="4" fillId="0" borderId="3" xfId="0" applyFont="1" applyFill="1" applyBorder="1" applyAlignment="1">
      <alignment horizontal="center" vertical="top"/>
    </xf>
    <xf numFmtId="0" fontId="4" fillId="0" borderId="1" xfId="0" applyFont="1" applyFill="1" applyBorder="1" applyAlignment="1">
      <alignment vertical="top"/>
    </xf>
    <xf numFmtId="0" fontId="4" fillId="0" borderId="5" xfId="0" applyFont="1" applyFill="1" applyBorder="1" applyAlignment="1">
      <alignment vertical="top"/>
    </xf>
    <xf numFmtId="0" fontId="4" fillId="0" borderId="3" xfId="0" applyFont="1" applyFill="1" applyBorder="1" applyAlignment="1">
      <alignment vertical="top"/>
    </xf>
    <xf numFmtId="0" fontId="5" fillId="0" borderId="1" xfId="0" applyFont="1" applyBorder="1" applyAlignment="1">
      <alignment vertical="top"/>
    </xf>
    <xf numFmtId="0" fontId="5" fillId="0" borderId="5" xfId="0" applyFont="1" applyBorder="1" applyAlignment="1">
      <alignment vertical="top"/>
    </xf>
    <xf numFmtId="0" fontId="5" fillId="0" borderId="3" xfId="0" applyFont="1" applyBorder="1" applyAlignment="1">
      <alignment vertical="top"/>
    </xf>
    <xf numFmtId="0" fontId="3" fillId="0" borderId="1" xfId="0" applyFont="1" applyFill="1" applyBorder="1" applyAlignment="1">
      <alignment vertical="top"/>
    </xf>
    <xf numFmtId="0" fontId="3" fillId="0" borderId="5" xfId="0" applyFont="1" applyFill="1" applyBorder="1" applyAlignment="1">
      <alignment vertical="top"/>
    </xf>
    <xf numFmtId="0" fontId="3" fillId="0" borderId="3" xfId="0" applyFont="1" applyFill="1" applyBorder="1" applyAlignment="1">
      <alignment vertical="top"/>
    </xf>
    <xf numFmtId="0" fontId="3" fillId="0" borderId="2" xfId="0" applyFont="1" applyBorder="1" applyAlignment="1">
      <alignment horizontal="center" vertical="top" wrapText="1"/>
    </xf>
    <xf numFmtId="0" fontId="7" fillId="0" borderId="1" xfId="0" applyFont="1" applyFill="1" applyBorder="1" applyAlignment="1">
      <alignment horizontal="left" vertical="top"/>
    </xf>
    <xf numFmtId="0" fontId="7" fillId="0" borderId="5" xfId="0" applyFont="1" applyFill="1" applyBorder="1" applyAlignment="1">
      <alignment horizontal="left" vertical="top"/>
    </xf>
    <xf numFmtId="0" fontId="7" fillId="0" borderId="3" xfId="0" applyFont="1" applyFill="1" applyBorder="1" applyAlignment="1">
      <alignment horizontal="left" vertical="top"/>
    </xf>
    <xf numFmtId="0" fontId="7" fillId="0" borderId="1" xfId="0" applyFont="1" applyFill="1" applyBorder="1" applyAlignment="1">
      <alignment horizontal="center" vertical="top"/>
    </xf>
    <xf numFmtId="0" fontId="7" fillId="0" borderId="5" xfId="0" applyFont="1" applyFill="1" applyBorder="1" applyAlignment="1">
      <alignment horizontal="center" vertical="top"/>
    </xf>
    <xf numFmtId="0" fontId="7" fillId="0" borderId="3" xfId="0" applyFont="1" applyFill="1" applyBorder="1" applyAlignment="1">
      <alignment horizontal="center" vertical="top"/>
    </xf>
    <xf numFmtId="0" fontId="5" fillId="0" borderId="1" xfId="0" applyFont="1" applyBorder="1" applyAlignment="1">
      <alignment horizontal="left" vertical="top"/>
    </xf>
    <xf numFmtId="0" fontId="3" fillId="0" borderId="6" xfId="2" applyFont="1" applyBorder="1" applyAlignment="1">
      <alignment horizontal="left" vertical="top" wrapText="1"/>
    </xf>
    <xf numFmtId="0" fontId="3" fillId="0" borderId="7" xfId="2" applyFont="1" applyBorder="1" applyAlignment="1">
      <alignment horizontal="left" vertical="top" wrapText="1"/>
    </xf>
    <xf numFmtId="0" fontId="3" fillId="0" borderId="8" xfId="2" applyFont="1" applyBorder="1" applyAlignment="1">
      <alignment horizontal="left" vertical="top" wrapText="1"/>
    </xf>
    <xf numFmtId="0" fontId="3" fillId="0" borderId="9" xfId="2" applyFont="1" applyBorder="1" applyAlignment="1">
      <alignment horizontal="left" vertical="top" wrapText="1"/>
    </xf>
    <xf numFmtId="0" fontId="3" fillId="0" borderId="10" xfId="2" applyFont="1" applyBorder="1" applyAlignment="1">
      <alignment horizontal="left" vertical="top" wrapText="1"/>
    </xf>
    <xf numFmtId="0" fontId="3" fillId="0" borderId="11" xfId="2" applyFont="1" applyBorder="1" applyAlignment="1">
      <alignment horizontal="left" vertical="top" wrapText="1"/>
    </xf>
    <xf numFmtId="0" fontId="3" fillId="0" borderId="1" xfId="0" applyFont="1" applyBorder="1" applyAlignment="1">
      <alignment horizontal="center" vertical="top"/>
    </xf>
    <xf numFmtId="0" fontId="3" fillId="0" borderId="5" xfId="0" applyFont="1" applyBorder="1" applyAlignment="1">
      <alignment horizontal="center" vertical="top"/>
    </xf>
    <xf numFmtId="0" fontId="3" fillId="0" borderId="3" xfId="0" applyFont="1" applyBorder="1" applyAlignment="1">
      <alignment horizontal="center" vertical="top"/>
    </xf>
    <xf numFmtId="14" fontId="4" fillId="0" borderId="1" xfId="0" applyNumberFormat="1" applyFont="1" applyBorder="1" applyAlignment="1">
      <alignment horizontal="left" vertical="top"/>
    </xf>
    <xf numFmtId="14" fontId="4" fillId="0" borderId="5" xfId="0" applyNumberFormat="1" applyFont="1" applyBorder="1" applyAlignment="1">
      <alignment horizontal="left" vertical="top"/>
    </xf>
    <xf numFmtId="14" fontId="4" fillId="0" borderId="3" xfId="0" applyNumberFormat="1" applyFont="1" applyBorder="1" applyAlignment="1">
      <alignment horizontal="left" vertical="top"/>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4" fillId="0" borderId="3" xfId="0" applyFont="1" applyBorder="1" applyAlignment="1">
      <alignment horizontal="left" vertical="top" wrapText="1"/>
    </xf>
    <xf numFmtId="14" fontId="8" fillId="0" borderId="1" xfId="0" applyNumberFormat="1" applyFont="1" applyBorder="1" applyAlignment="1">
      <alignment horizontal="left" vertical="top"/>
    </xf>
    <xf numFmtId="14" fontId="8" fillId="0" borderId="5" xfId="0" applyNumberFormat="1" applyFont="1" applyBorder="1" applyAlignment="1">
      <alignment horizontal="left" vertical="top"/>
    </xf>
    <xf numFmtId="14" fontId="8" fillId="0" borderId="3" xfId="0" applyNumberFormat="1" applyFont="1" applyBorder="1" applyAlignment="1">
      <alignment horizontal="left" vertical="top"/>
    </xf>
    <xf numFmtId="0" fontId="3" fillId="0" borderId="1" xfId="0" applyFont="1" applyBorder="1" applyAlignment="1">
      <alignment horizontal="left" vertical="top"/>
    </xf>
    <xf numFmtId="0" fontId="3" fillId="0" borderId="5" xfId="0" applyFont="1" applyBorder="1" applyAlignment="1">
      <alignment horizontal="left" vertical="top"/>
    </xf>
    <xf numFmtId="0" fontId="3" fillId="0" borderId="3" xfId="0" applyFont="1" applyBorder="1" applyAlignment="1">
      <alignment horizontal="left" vertical="top"/>
    </xf>
    <xf numFmtId="0" fontId="5" fillId="0" borderId="5" xfId="0" applyFont="1" applyFill="1" applyBorder="1" applyAlignment="1">
      <alignment vertical="top"/>
    </xf>
    <xf numFmtId="0" fontId="5" fillId="0" borderId="3" xfId="0" applyFont="1" applyFill="1" applyBorder="1" applyAlignment="1">
      <alignment vertical="top"/>
    </xf>
    <xf numFmtId="0" fontId="5" fillId="0" borderId="6"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1" xfId="0" applyFont="1" applyFill="1" applyBorder="1" applyAlignment="1">
      <alignment horizontal="center" vertical="top"/>
    </xf>
    <xf numFmtId="0" fontId="4" fillId="0" borderId="2" xfId="0" applyFont="1" applyBorder="1" applyAlignment="1">
      <alignment horizontal="left" vertical="top"/>
    </xf>
    <xf numFmtId="0" fontId="4" fillId="0" borderId="6" xfId="0" applyFont="1" applyFill="1" applyBorder="1" applyAlignment="1">
      <alignment horizontal="left" vertical="top"/>
    </xf>
    <xf numFmtId="0" fontId="4" fillId="0" borderId="7" xfId="0" applyFont="1" applyFill="1" applyBorder="1" applyAlignment="1">
      <alignment horizontal="left" vertical="top"/>
    </xf>
    <xf numFmtId="0" fontId="4" fillId="0" borderId="8" xfId="0" applyFont="1" applyFill="1" applyBorder="1" applyAlignment="1">
      <alignment horizontal="left" vertical="top"/>
    </xf>
    <xf numFmtId="0" fontId="4" fillId="0" borderId="9" xfId="0" applyFont="1" applyFill="1" applyBorder="1" applyAlignment="1">
      <alignment horizontal="left" vertical="top"/>
    </xf>
    <xf numFmtId="0" fontId="4" fillId="0" borderId="10" xfId="0" applyFont="1" applyFill="1" applyBorder="1" applyAlignment="1">
      <alignment horizontal="left" vertical="top"/>
    </xf>
    <xf numFmtId="0" fontId="4" fillId="0" borderId="11" xfId="0" applyFont="1" applyFill="1" applyBorder="1" applyAlignment="1">
      <alignment horizontal="left" vertical="top"/>
    </xf>
    <xf numFmtId="9" fontId="10" fillId="0" borderId="2" xfId="5" applyNumberFormat="1" applyFont="1" applyFill="1" applyBorder="1" applyAlignment="1" applyProtection="1">
      <alignment horizontal="center" vertical="top"/>
      <protection locked="0"/>
    </xf>
    <xf numFmtId="0" fontId="10" fillId="0" borderId="2" xfId="5" applyFont="1" applyFill="1" applyBorder="1" applyAlignment="1" applyProtection="1">
      <alignment horizontal="center" vertical="top"/>
      <protection locked="0"/>
    </xf>
    <xf numFmtId="0" fontId="20" fillId="0" borderId="1" xfId="6" applyFill="1" applyBorder="1" applyAlignment="1">
      <alignment horizontal="left" vertical="top"/>
    </xf>
    <xf numFmtId="0" fontId="6" fillId="0" borderId="14" xfId="5" applyFont="1" applyFill="1" applyBorder="1" applyAlignment="1" applyProtection="1">
      <alignment horizontal="center" vertical="top" wrapText="1"/>
      <protection locked="0"/>
    </xf>
    <xf numFmtId="0" fontId="6" fillId="0" borderId="15" xfId="5" applyFont="1" applyFill="1" applyBorder="1" applyAlignment="1" applyProtection="1">
      <alignment horizontal="center" vertical="top" wrapText="1"/>
      <protection locked="0"/>
    </xf>
    <xf numFmtId="0" fontId="6" fillId="0" borderId="16" xfId="5" applyFont="1" applyFill="1" applyBorder="1" applyAlignment="1" applyProtection="1">
      <alignment horizontal="left" vertical="top" wrapText="1"/>
      <protection locked="0"/>
    </xf>
    <xf numFmtId="0" fontId="6" fillId="0" borderId="17" xfId="5" applyFont="1" applyFill="1" applyBorder="1" applyAlignment="1" applyProtection="1">
      <alignment horizontal="left" vertical="top" wrapText="1"/>
      <protection locked="0"/>
    </xf>
    <xf numFmtId="0" fontId="6" fillId="0" borderId="18" xfId="5" applyFont="1" applyFill="1" applyBorder="1" applyAlignment="1" applyProtection="1">
      <alignment horizontal="left" vertical="top" wrapText="1"/>
      <protection locked="0"/>
    </xf>
    <xf numFmtId="0" fontId="12" fillId="0" borderId="2" xfId="4" applyFont="1" applyBorder="1" applyAlignment="1">
      <alignment horizontal="left"/>
    </xf>
    <xf numFmtId="0" fontId="10" fillId="0" borderId="2" xfId="5" applyFont="1" applyFill="1" applyBorder="1" applyAlignment="1" applyProtection="1">
      <alignment horizontal="center" vertical="top" wrapText="1"/>
      <protection locked="0"/>
    </xf>
    <xf numFmtId="0" fontId="10" fillId="0" borderId="2" xfId="5" applyFont="1" applyFill="1" applyBorder="1" applyAlignment="1" applyProtection="1">
      <alignment horizontal="left" vertical="top" wrapText="1"/>
      <protection locked="0"/>
    </xf>
    <xf numFmtId="1" fontId="18" fillId="0" borderId="2" xfId="0" applyNumberFormat="1" applyFont="1" applyFill="1" applyBorder="1" applyAlignment="1">
      <alignment horizontal="center" vertical="center" wrapText="1"/>
    </xf>
  </cellXfs>
  <cellStyles count="7">
    <cellStyle name="Comma 2" xfId="1"/>
    <cellStyle name="Excel Built-in Normal" xfId="2"/>
    <cellStyle name="Excel Built-in Normal 2" xfId="3"/>
    <cellStyle name="Hyperlink" xfId="6" builtinId="8"/>
    <cellStyle name="Normal" xfId="0" builtinId="0"/>
    <cellStyle name="Normal 3" xfId="5"/>
    <cellStyle name="Normal 4"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2.jpe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s>
</file>

<file path=xl/drawings/_rels/drawing3.xml.rels><?xml version="1.0" encoding="UTF-8" standalone="yes"?>
<Relationships xmlns="http://schemas.openxmlformats.org/package/2006/relationships"><Relationship Id="rId2" Type="http://schemas.openxmlformats.org/officeDocument/2006/relationships/image" Target="../media/image24.jpeg"/><Relationship Id="rId1" Type="http://schemas.openxmlformats.org/officeDocument/2006/relationships/image" Target="../media/image2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420</xdr:row>
      <xdr:rowOff>0</xdr:rowOff>
    </xdr:from>
    <xdr:to>
      <xdr:col>9</xdr:col>
      <xdr:colOff>304239</xdr:colOff>
      <xdr:row>439</xdr:row>
      <xdr:rowOff>38101</xdr:rowOff>
    </xdr:to>
    <xdr:pic>
      <xdr:nvPicPr>
        <xdr:cNvPr id="18" name="Picture 1">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656104" y="93703588"/>
          <a:ext cx="6024282" cy="3657601"/>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440</xdr:row>
      <xdr:rowOff>152400</xdr:rowOff>
    </xdr:from>
    <xdr:to>
      <xdr:col>9</xdr:col>
      <xdr:colOff>361389</xdr:colOff>
      <xdr:row>458</xdr:row>
      <xdr:rowOff>76199</xdr:rowOff>
    </xdr:to>
    <xdr:pic>
      <xdr:nvPicPr>
        <xdr:cNvPr id="20" name="Picture 2">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627529" y="97665988"/>
          <a:ext cx="6110007" cy="3352799"/>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415637</xdr:colOff>
      <xdr:row>290</xdr:row>
      <xdr:rowOff>8659</xdr:rowOff>
    </xdr:from>
    <xdr:to>
      <xdr:col>8</xdr:col>
      <xdr:colOff>429682</xdr:colOff>
      <xdr:row>327</xdr:row>
      <xdr:rowOff>160159</xdr:rowOff>
    </xdr:to>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15637" y="62033727"/>
          <a:ext cx="5400000" cy="7200000"/>
        </a:xfrm>
        <a:prstGeom prst="rect">
          <a:avLst/>
        </a:prstGeom>
        <a:ln>
          <a:solidFill>
            <a:schemeClr val="tx1"/>
          </a:solidFill>
        </a:ln>
      </xdr:spPr>
    </xdr:pic>
    <xdr:clientData/>
  </xdr:twoCellAnchor>
  <xdr:twoCellAnchor editAs="oneCell">
    <xdr:from>
      <xdr:col>0</xdr:col>
      <xdr:colOff>539750</xdr:colOff>
      <xdr:row>334</xdr:row>
      <xdr:rowOff>129887</xdr:rowOff>
    </xdr:from>
    <xdr:to>
      <xdr:col>9</xdr:col>
      <xdr:colOff>1345</xdr:colOff>
      <xdr:row>372</xdr:row>
      <xdr:rowOff>97237</xdr:rowOff>
    </xdr:to>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539750" y="69617937"/>
          <a:ext cx="5646495" cy="6965050"/>
        </a:xfrm>
        <a:prstGeom prst="rect">
          <a:avLst/>
        </a:prstGeom>
        <a:ln>
          <a:solidFill>
            <a:schemeClr val="tx1"/>
          </a:solidFill>
        </a:ln>
      </xdr:spPr>
    </xdr:pic>
    <xdr:clientData/>
  </xdr:twoCellAnchor>
  <xdr:twoCellAnchor editAs="oneCell">
    <xdr:from>
      <xdr:col>0</xdr:col>
      <xdr:colOff>487218</xdr:colOff>
      <xdr:row>382</xdr:row>
      <xdr:rowOff>51955</xdr:rowOff>
    </xdr:from>
    <xdr:to>
      <xdr:col>8</xdr:col>
      <xdr:colOff>231263</xdr:colOff>
      <xdr:row>415</xdr:row>
      <xdr:rowOff>177800</xdr:rowOff>
    </xdr:to>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487218" y="79668255"/>
          <a:ext cx="5376495" cy="6202795"/>
        </a:xfrm>
        <a:prstGeom prst="rect">
          <a:avLst/>
        </a:prstGeom>
        <a:ln>
          <a:solidFill>
            <a:schemeClr val="tx1"/>
          </a:solidFill>
        </a:ln>
      </xdr:spPr>
    </xdr:pic>
    <xdr:clientData/>
  </xdr:twoCellAnchor>
  <xdr:twoCellAnchor editAs="oneCell">
    <xdr:from>
      <xdr:col>15</xdr:col>
      <xdr:colOff>161925</xdr:colOff>
      <xdr:row>276</xdr:row>
      <xdr:rowOff>123825</xdr:rowOff>
    </xdr:from>
    <xdr:to>
      <xdr:col>17</xdr:col>
      <xdr:colOff>567788</xdr:colOff>
      <xdr:row>292</xdr:row>
      <xdr:rowOff>181975</xdr:rowOff>
    </xdr:to>
    <xdr:pic>
      <xdr:nvPicPr>
        <xdr:cNvPr id="15" name="Picture 14" descr="https://vsjcllp.vsjadon.com/upload/insp-214514-1525.jpg">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10782300" y="57035700"/>
          <a:ext cx="162506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161925</xdr:colOff>
      <xdr:row>262</xdr:row>
      <xdr:rowOff>66675</xdr:rowOff>
    </xdr:from>
    <xdr:to>
      <xdr:col>19</xdr:col>
      <xdr:colOff>314325</xdr:colOff>
      <xdr:row>276</xdr:row>
      <xdr:rowOff>33045</xdr:rowOff>
    </xdr:to>
    <xdr:pic>
      <xdr:nvPicPr>
        <xdr:cNvPr id="16" name="Picture 15" descr="https://vsjcllp.vsjadon.com/upload/insp-214514-843.jpg">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11391900" y="54311550"/>
          <a:ext cx="1981200" cy="263337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495300</xdr:colOff>
      <xdr:row>262</xdr:row>
      <xdr:rowOff>76200</xdr:rowOff>
    </xdr:from>
    <xdr:to>
      <xdr:col>12</xdr:col>
      <xdr:colOff>438150</xdr:colOff>
      <xdr:row>276</xdr:row>
      <xdr:rowOff>42570</xdr:rowOff>
    </xdr:to>
    <xdr:pic>
      <xdr:nvPicPr>
        <xdr:cNvPr id="25" name="Picture 24" descr="https://vsjcllp.vsjadon.com/upload/insp-214514-845.jpg">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7248525" y="54321075"/>
          <a:ext cx="1981200" cy="263337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533400</xdr:colOff>
      <xdr:row>262</xdr:row>
      <xdr:rowOff>66675</xdr:rowOff>
    </xdr:from>
    <xdr:to>
      <xdr:col>16</xdr:col>
      <xdr:colOff>67971</xdr:colOff>
      <xdr:row>276</xdr:row>
      <xdr:rowOff>33045</xdr:rowOff>
    </xdr:to>
    <xdr:pic>
      <xdr:nvPicPr>
        <xdr:cNvPr id="29" name="Picture 28" descr="https://vsjcllp.vsjadon.com/upload/insp-214514-847.jpg">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9324975" y="54311550"/>
          <a:ext cx="1972971" cy="263337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390525</xdr:colOff>
      <xdr:row>246</xdr:row>
      <xdr:rowOff>33337</xdr:rowOff>
    </xdr:from>
    <xdr:to>
      <xdr:col>15</xdr:col>
      <xdr:colOff>532859</xdr:colOff>
      <xdr:row>262</xdr:row>
      <xdr:rowOff>1587</xdr:rowOff>
    </xdr:to>
    <xdr:pic>
      <xdr:nvPicPr>
        <xdr:cNvPr id="31" name="Picture 30" descr="https://vsjcllp.vsjadon.com/upload/insp-214514-860.jpg">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7143750" y="51230212"/>
          <a:ext cx="4009484" cy="30099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1057275</xdr:colOff>
      <xdr:row>276</xdr:row>
      <xdr:rowOff>131762</xdr:rowOff>
    </xdr:from>
    <xdr:to>
      <xdr:col>15</xdr:col>
      <xdr:colOff>56840</xdr:colOff>
      <xdr:row>293</xdr:row>
      <xdr:rowOff>5762</xdr:rowOff>
    </xdr:to>
    <xdr:pic>
      <xdr:nvPicPr>
        <xdr:cNvPr id="32" name="Picture 31" descr="https://vsjcllp.vsjadon.com/upload/insp-214514-880.jpg">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7810500" y="57043637"/>
          <a:ext cx="2866715"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9525</xdr:colOff>
      <xdr:row>246</xdr:row>
      <xdr:rowOff>28574</xdr:rowOff>
    </xdr:from>
    <xdr:to>
      <xdr:col>19</xdr:col>
      <xdr:colOff>428663</xdr:colOff>
      <xdr:row>261</xdr:row>
      <xdr:rowOff>171449</xdr:rowOff>
    </xdr:to>
    <xdr:pic>
      <xdr:nvPicPr>
        <xdr:cNvPr id="33" name="Picture 32" descr="https://vsjcllp.vsjadon.com/upload/insp-214514-874.jpg">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11239500" y="51225449"/>
          <a:ext cx="2247938" cy="30003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292100</xdr:colOff>
      <xdr:row>241</xdr:row>
      <xdr:rowOff>139700</xdr:rowOff>
    </xdr:from>
    <xdr:to>
      <xdr:col>9</xdr:col>
      <xdr:colOff>534908</xdr:colOff>
      <xdr:row>272</xdr:row>
      <xdr:rowOff>32075</xdr:rowOff>
    </xdr:to>
    <xdr:grpSp>
      <xdr:nvGrpSpPr>
        <xdr:cNvPr id="2" name="Group 1"/>
        <xdr:cNvGrpSpPr/>
      </xdr:nvGrpSpPr>
      <xdr:grpSpPr>
        <a:xfrm>
          <a:off x="292100" y="49295050"/>
          <a:ext cx="6434058" cy="5601025"/>
          <a:chOff x="292100" y="49409350"/>
          <a:chExt cx="6434058" cy="5601025"/>
        </a:xfrm>
      </xdr:grpSpPr>
      <xdr:pic>
        <xdr:nvPicPr>
          <xdr:cNvPr id="24" name="Picture 2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1457129" y="52274375"/>
            <a:ext cx="2052000" cy="2736000"/>
          </a:xfrm>
          <a:prstGeom prst="rect">
            <a:avLst/>
          </a:prstGeom>
          <a:ln>
            <a:solidFill>
              <a:schemeClr val="tx1"/>
            </a:solidFill>
          </a:ln>
        </xdr:spPr>
      </xdr:pic>
      <xdr:pic>
        <xdr:nvPicPr>
          <xdr:cNvPr id="26" name="Picture 25"/>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3648158" y="52274375"/>
            <a:ext cx="2052000" cy="2736000"/>
          </a:xfrm>
          <a:prstGeom prst="rect">
            <a:avLst/>
          </a:prstGeom>
          <a:ln>
            <a:solidFill>
              <a:schemeClr val="tx1"/>
            </a:solidFill>
          </a:ln>
        </xdr:spPr>
      </xdr:pic>
      <xdr:pic>
        <xdr:nvPicPr>
          <xdr:cNvPr id="27" name="Picture 26"/>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292100" y="49409350"/>
            <a:ext cx="2052000" cy="2736000"/>
          </a:xfrm>
          <a:prstGeom prst="rect">
            <a:avLst/>
          </a:prstGeom>
          <a:ln>
            <a:solidFill>
              <a:schemeClr val="tx1"/>
            </a:solidFill>
          </a:ln>
        </xdr:spPr>
      </xdr:pic>
      <xdr:pic>
        <xdr:nvPicPr>
          <xdr:cNvPr id="28" name="Picture 27"/>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4674158" y="49409350"/>
            <a:ext cx="2052000" cy="2736000"/>
          </a:xfrm>
          <a:prstGeom prst="rect">
            <a:avLst/>
          </a:prstGeom>
          <a:ln>
            <a:solidFill>
              <a:schemeClr val="tx1"/>
            </a:solidFill>
          </a:ln>
        </xdr:spPr>
      </xdr:pic>
      <xdr:pic>
        <xdr:nvPicPr>
          <xdr:cNvPr id="30" name="Picture 29"/>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2483129" y="49409350"/>
            <a:ext cx="2052000" cy="2736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10</xdr:row>
      <xdr:rowOff>0</xdr:rowOff>
    </xdr:from>
    <xdr:to>
      <xdr:col>6</xdr:col>
      <xdr:colOff>390525</xdr:colOff>
      <xdr:row>28</xdr:row>
      <xdr:rowOff>171450</xdr:rowOff>
    </xdr:to>
    <xdr:pic>
      <xdr:nvPicPr>
        <xdr:cNvPr id="4181" name="Picture 1">
          <a:extLst>
            <a:ext uri="{FF2B5EF4-FFF2-40B4-BE49-F238E27FC236}">
              <a16:creationId xmlns:a16="http://schemas.microsoft.com/office/drawing/2014/main" id="{00000000-0008-0000-0200-0000551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742950" y="1914525"/>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29</xdr:row>
      <xdr:rowOff>152400</xdr:rowOff>
    </xdr:from>
    <xdr:to>
      <xdr:col>6</xdr:col>
      <xdr:colOff>352425</xdr:colOff>
      <xdr:row>48</xdr:row>
      <xdr:rowOff>133350</xdr:rowOff>
    </xdr:to>
    <xdr:pic>
      <xdr:nvPicPr>
        <xdr:cNvPr id="4182" name="Picture 2">
          <a:extLst>
            <a:ext uri="{FF2B5EF4-FFF2-40B4-BE49-F238E27FC236}">
              <a16:creationId xmlns:a16="http://schemas.microsoft.com/office/drawing/2014/main" id="{00000000-0008-0000-0200-0000561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704850" y="5686425"/>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xdr:colOff>
      <xdr:row>49</xdr:row>
      <xdr:rowOff>104775</xdr:rowOff>
    </xdr:from>
    <xdr:to>
      <xdr:col>6</xdr:col>
      <xdr:colOff>371475</xdr:colOff>
      <xdr:row>68</xdr:row>
      <xdr:rowOff>85725</xdr:rowOff>
    </xdr:to>
    <xdr:pic>
      <xdr:nvPicPr>
        <xdr:cNvPr id="4183" name="Picture 3">
          <a:extLst>
            <a:ext uri="{FF2B5EF4-FFF2-40B4-BE49-F238E27FC236}">
              <a16:creationId xmlns:a16="http://schemas.microsoft.com/office/drawing/2014/main" id="{00000000-0008-0000-0200-0000571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714375" y="9448800"/>
          <a:ext cx="676275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495300</xdr:colOff>
      <xdr:row>0</xdr:row>
      <xdr:rowOff>152400</xdr:rowOff>
    </xdr:from>
    <xdr:to>
      <xdr:col>13</xdr:col>
      <xdr:colOff>66675</xdr:colOff>
      <xdr:row>24</xdr:row>
      <xdr:rowOff>76200</xdr:rowOff>
    </xdr:to>
    <xdr:pic>
      <xdr:nvPicPr>
        <xdr:cNvPr id="3155" name="Picture 1">
          <a:extLst>
            <a:ext uri="{FF2B5EF4-FFF2-40B4-BE49-F238E27FC236}">
              <a16:creationId xmlns:a16="http://schemas.microsoft.com/office/drawing/2014/main" id="{00000000-0008-0000-0500-0000530C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4838700" y="152400"/>
          <a:ext cx="3228975" cy="449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180975</xdr:colOff>
      <xdr:row>0</xdr:row>
      <xdr:rowOff>152400</xdr:rowOff>
    </xdr:from>
    <xdr:to>
      <xdr:col>7</xdr:col>
      <xdr:colOff>371475</xdr:colOff>
      <xdr:row>24</xdr:row>
      <xdr:rowOff>76200</xdr:rowOff>
    </xdr:to>
    <xdr:pic>
      <xdr:nvPicPr>
        <xdr:cNvPr id="3156" name="Picture 2">
          <a:extLst>
            <a:ext uri="{FF2B5EF4-FFF2-40B4-BE49-F238E27FC236}">
              <a16:creationId xmlns:a16="http://schemas.microsoft.com/office/drawing/2014/main" id="{00000000-0008-0000-0500-0000540C0000}"/>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476375" y="152400"/>
          <a:ext cx="3238500" cy="449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Rep5tzxCUNzMn8xg9"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19"/>
  <sheetViews>
    <sheetView tabSelected="1" view="pageBreakPreview" topLeftCell="A231" zoomScaleNormal="100" zoomScaleSheetLayoutView="100" zoomScalePageLayoutView="85" workbookViewId="0">
      <selection activeCell="K231" sqref="A231:XFD231"/>
    </sheetView>
  </sheetViews>
  <sheetFormatPr defaultRowHeight="14.5" x14ac:dyDescent="0.35"/>
  <cols>
    <col min="1" max="1" width="8.7265625" customWidth="1"/>
    <col min="2" max="2" width="15.453125" customWidth="1"/>
    <col min="3" max="3" width="12.7265625" customWidth="1"/>
    <col min="4" max="4" width="7.26953125" customWidth="1"/>
    <col min="5" max="5" width="6.81640625" customWidth="1"/>
    <col min="6" max="6" width="10" customWidth="1"/>
    <col min="7" max="8" width="9.81640625" customWidth="1"/>
    <col min="9" max="9" width="8" customWidth="1"/>
    <col min="10" max="10" width="12.54296875" customWidth="1"/>
    <col min="11" max="11" width="21.453125" customWidth="1"/>
  </cols>
  <sheetData>
    <row r="1" spans="1:10" ht="43.9" customHeight="1" x14ac:dyDescent="0.35">
      <c r="A1" s="172" t="s">
        <v>231</v>
      </c>
      <c r="B1" s="173"/>
      <c r="C1" s="173"/>
      <c r="D1" s="173"/>
      <c r="E1" s="173"/>
      <c r="F1" s="173"/>
      <c r="G1" s="173"/>
      <c r="H1" s="173"/>
      <c r="I1" s="173"/>
      <c r="J1" s="174"/>
    </row>
    <row r="2" spans="1:10" x14ac:dyDescent="0.35">
      <c r="A2" s="214" t="s">
        <v>44</v>
      </c>
      <c r="B2" s="215"/>
      <c r="C2" s="215"/>
      <c r="D2" s="215"/>
      <c r="E2" s="215"/>
      <c r="F2" s="215"/>
      <c r="G2" s="215"/>
      <c r="H2" s="215"/>
      <c r="I2" s="215"/>
      <c r="J2" s="216"/>
    </row>
    <row r="3" spans="1:10" x14ac:dyDescent="0.35">
      <c r="A3" s="207" t="s">
        <v>0</v>
      </c>
      <c r="B3" s="65"/>
      <c r="C3" s="65"/>
      <c r="D3" s="65"/>
      <c r="E3" s="66"/>
      <c r="F3" s="217" t="str">
        <f ca="1">TEXT(TODAY(),"DD/MM/YYYY")</f>
        <v>09/07/2025</v>
      </c>
      <c r="G3" s="218"/>
      <c r="H3" s="218"/>
      <c r="I3" s="218"/>
      <c r="J3" s="219"/>
    </row>
    <row r="4" spans="1:10" x14ac:dyDescent="0.35">
      <c r="A4" s="207" t="s">
        <v>1</v>
      </c>
      <c r="B4" s="65"/>
      <c r="C4" s="65"/>
      <c r="D4" s="65"/>
      <c r="E4" s="66"/>
      <c r="F4" s="64" t="s">
        <v>87</v>
      </c>
      <c r="G4" s="67"/>
      <c r="H4" s="67"/>
      <c r="I4" s="67"/>
      <c r="J4" s="68"/>
    </row>
    <row r="5" spans="1:10" x14ac:dyDescent="0.35">
      <c r="A5" s="207" t="s">
        <v>2</v>
      </c>
      <c r="B5" s="65"/>
      <c r="C5" s="65"/>
      <c r="D5" s="65"/>
      <c r="E5" s="66"/>
      <c r="F5" s="223">
        <v>45846</v>
      </c>
      <c r="G5" s="224"/>
      <c r="H5" s="224"/>
      <c r="I5" s="224"/>
      <c r="J5" s="225"/>
    </row>
    <row r="6" spans="1:10" ht="16.5" customHeight="1" x14ac:dyDescent="0.35">
      <c r="A6" s="207" t="s">
        <v>3</v>
      </c>
      <c r="B6" s="65"/>
      <c r="C6" s="65"/>
      <c r="D6" s="65"/>
      <c r="E6" s="66"/>
      <c r="F6" s="220" t="s">
        <v>107</v>
      </c>
      <c r="G6" s="221"/>
      <c r="H6" s="221"/>
      <c r="I6" s="221"/>
      <c r="J6" s="222"/>
    </row>
    <row r="7" spans="1:10" ht="32.25" customHeight="1" x14ac:dyDescent="0.35">
      <c r="A7" s="207" t="s">
        <v>4</v>
      </c>
      <c r="B7" s="65"/>
      <c r="C7" s="65"/>
      <c r="D7" s="65"/>
      <c r="E7" s="66"/>
      <c r="F7" s="220" t="s">
        <v>108</v>
      </c>
      <c r="G7" s="221"/>
      <c r="H7" s="221"/>
      <c r="I7" s="221"/>
      <c r="J7" s="222"/>
    </row>
    <row r="8" spans="1:10" x14ac:dyDescent="0.35">
      <c r="A8" s="207" t="s">
        <v>5</v>
      </c>
      <c r="B8" s="65"/>
      <c r="C8" s="65"/>
      <c r="D8" s="65"/>
      <c r="E8" s="66"/>
      <c r="F8" s="226" t="s">
        <v>167</v>
      </c>
      <c r="G8" s="227"/>
      <c r="H8" s="227"/>
      <c r="I8" s="227"/>
      <c r="J8" s="228"/>
    </row>
    <row r="9" spans="1:10" x14ac:dyDescent="0.35">
      <c r="A9" s="64" t="s">
        <v>232</v>
      </c>
      <c r="B9" s="65"/>
      <c r="C9" s="65"/>
      <c r="D9" s="65"/>
      <c r="E9" s="66"/>
      <c r="F9" s="64" t="s">
        <v>234</v>
      </c>
      <c r="G9" s="67"/>
      <c r="H9" s="67"/>
      <c r="I9" s="67"/>
      <c r="J9" s="68"/>
    </row>
    <row r="10" spans="1:10" x14ac:dyDescent="0.35">
      <c r="A10" s="207" t="s">
        <v>6</v>
      </c>
      <c r="B10" s="65"/>
      <c r="C10" s="65"/>
      <c r="D10" s="65"/>
      <c r="E10" s="66"/>
      <c r="F10" s="64" t="s">
        <v>85</v>
      </c>
      <c r="G10" s="67"/>
      <c r="H10" s="67"/>
      <c r="I10" s="67"/>
      <c r="J10" s="68"/>
    </row>
    <row r="11" spans="1:10" x14ac:dyDescent="0.35">
      <c r="A11" s="64" t="s">
        <v>223</v>
      </c>
      <c r="B11" s="65"/>
      <c r="C11" s="65"/>
      <c r="D11" s="65"/>
      <c r="E11" s="66"/>
      <c r="F11" s="64" t="s">
        <v>224</v>
      </c>
      <c r="G11" s="67"/>
      <c r="H11" s="67"/>
      <c r="I11" s="67"/>
      <c r="J11" s="68"/>
    </row>
    <row r="12" spans="1:10" ht="31.5" customHeight="1" x14ac:dyDescent="0.35">
      <c r="A12" s="238" t="s">
        <v>61</v>
      </c>
      <c r="B12" s="238"/>
      <c r="C12" s="220" t="s">
        <v>114</v>
      </c>
      <c r="D12" s="221"/>
      <c r="E12" s="221"/>
      <c r="F12" s="221"/>
      <c r="G12" s="221"/>
      <c r="H12" s="221"/>
      <c r="I12" s="221"/>
      <c r="J12" s="222"/>
    </row>
    <row r="13" spans="1:10" x14ac:dyDescent="0.35">
      <c r="A13" s="2" t="s">
        <v>62</v>
      </c>
      <c r="B13" s="143" t="s">
        <v>109</v>
      </c>
      <c r="C13" s="139"/>
      <c r="D13" s="140"/>
      <c r="E13" s="2" t="s">
        <v>86</v>
      </c>
      <c r="F13" s="9" t="s">
        <v>51</v>
      </c>
      <c r="G13" s="5" t="s">
        <v>63</v>
      </c>
      <c r="H13" s="143" t="s">
        <v>110</v>
      </c>
      <c r="I13" s="139"/>
      <c r="J13" s="140"/>
    </row>
    <row r="14" spans="1:10" x14ac:dyDescent="0.35">
      <c r="A14" s="3" t="s">
        <v>7</v>
      </c>
      <c r="B14" s="164" t="s">
        <v>111</v>
      </c>
      <c r="C14" s="144"/>
      <c r="D14" s="144"/>
      <c r="E14" s="145"/>
      <c r="F14" s="4" t="s">
        <v>64</v>
      </c>
      <c r="G14" s="164" t="s">
        <v>89</v>
      </c>
      <c r="H14" s="144"/>
      <c r="I14" s="144"/>
      <c r="J14" s="145"/>
    </row>
    <row r="15" spans="1:10" x14ac:dyDescent="0.35">
      <c r="A15" s="3" t="s">
        <v>8</v>
      </c>
      <c r="B15" s="164" t="s">
        <v>112</v>
      </c>
      <c r="C15" s="144"/>
      <c r="D15" s="144"/>
      <c r="E15" s="145"/>
      <c r="F15" s="4" t="s">
        <v>65</v>
      </c>
      <c r="G15" s="164" t="s">
        <v>113</v>
      </c>
      <c r="H15" s="144"/>
      <c r="I15" s="144"/>
      <c r="J15" s="145"/>
    </row>
    <row r="16" spans="1:10" ht="32.25" customHeight="1" x14ac:dyDescent="0.35">
      <c r="A16" s="142" t="s">
        <v>66</v>
      </c>
      <c r="B16" s="142"/>
      <c r="C16" s="146" t="s">
        <v>115</v>
      </c>
      <c r="D16" s="147"/>
      <c r="E16" s="148"/>
      <c r="F16" s="141" t="s">
        <v>53</v>
      </c>
      <c r="G16" s="141"/>
      <c r="H16" s="139" t="s">
        <v>116</v>
      </c>
      <c r="I16" s="139"/>
      <c r="J16" s="140"/>
    </row>
    <row r="17" spans="1:10" ht="15" customHeight="1" x14ac:dyDescent="0.35">
      <c r="A17" s="182" t="s">
        <v>55</v>
      </c>
      <c r="B17" s="183"/>
      <c r="C17" s="183"/>
      <c r="D17" s="183"/>
      <c r="E17" s="184"/>
      <c r="F17" s="239" t="s">
        <v>59</v>
      </c>
      <c r="G17" s="240"/>
      <c r="H17" s="240"/>
      <c r="I17" s="240"/>
      <c r="J17" s="241"/>
    </row>
    <row r="18" spans="1:10" x14ac:dyDescent="0.35">
      <c r="A18" s="185"/>
      <c r="B18" s="186"/>
      <c r="C18" s="186"/>
      <c r="D18" s="186"/>
      <c r="E18" s="187"/>
      <c r="F18" s="242"/>
      <c r="G18" s="243"/>
      <c r="H18" s="243"/>
      <c r="I18" s="243"/>
      <c r="J18" s="244"/>
    </row>
    <row r="19" spans="1:10" ht="15" customHeight="1" x14ac:dyDescent="0.35">
      <c r="A19" s="231" t="s">
        <v>9</v>
      </c>
      <c r="B19" s="232"/>
      <c r="C19" s="232"/>
      <c r="D19" s="232"/>
      <c r="E19" s="233"/>
      <c r="F19" s="182" t="s">
        <v>46</v>
      </c>
      <c r="G19" s="183"/>
      <c r="H19" s="183"/>
      <c r="I19" s="183"/>
      <c r="J19" s="184"/>
    </row>
    <row r="20" spans="1:10" x14ac:dyDescent="0.35">
      <c r="A20" s="234"/>
      <c r="B20" s="235"/>
      <c r="C20" s="235"/>
      <c r="D20" s="235"/>
      <c r="E20" s="236"/>
      <c r="F20" s="185"/>
      <c r="G20" s="186"/>
      <c r="H20" s="186"/>
      <c r="I20" s="186"/>
      <c r="J20" s="187"/>
    </row>
    <row r="21" spans="1:10" x14ac:dyDescent="0.35">
      <c r="A21" s="179" t="s">
        <v>10</v>
      </c>
      <c r="B21" s="180"/>
      <c r="C21" s="180"/>
      <c r="D21" s="180"/>
      <c r="E21" s="181"/>
      <c r="F21" s="191" t="s">
        <v>82</v>
      </c>
      <c r="G21" s="192"/>
      <c r="H21" s="192"/>
      <c r="I21" s="192"/>
      <c r="J21" s="193"/>
    </row>
    <row r="22" spans="1:10" x14ac:dyDescent="0.35">
      <c r="A22" s="179" t="s">
        <v>11</v>
      </c>
      <c r="B22" s="180"/>
      <c r="C22" s="180"/>
      <c r="D22" s="180"/>
      <c r="E22" s="181"/>
      <c r="F22" s="191" t="s">
        <v>54</v>
      </c>
      <c r="G22" s="192"/>
      <c r="H22" s="192"/>
      <c r="I22" s="192"/>
      <c r="J22" s="193"/>
    </row>
    <row r="23" spans="1:10" x14ac:dyDescent="0.35">
      <c r="A23" s="179" t="s">
        <v>12</v>
      </c>
      <c r="B23" s="180"/>
      <c r="C23" s="180"/>
      <c r="D23" s="180"/>
      <c r="E23" s="181"/>
      <c r="F23" s="191" t="s">
        <v>47</v>
      </c>
      <c r="G23" s="192"/>
      <c r="H23" s="192"/>
      <c r="I23" s="192"/>
      <c r="J23" s="193"/>
    </row>
    <row r="24" spans="1:10" x14ac:dyDescent="0.35">
      <c r="A24" s="179" t="s">
        <v>31</v>
      </c>
      <c r="B24" s="180"/>
      <c r="C24" s="180"/>
      <c r="D24" s="180"/>
      <c r="E24" s="181"/>
      <c r="F24" s="191" t="s">
        <v>67</v>
      </c>
      <c r="G24" s="229"/>
      <c r="H24" s="229"/>
      <c r="I24" s="229"/>
      <c r="J24" s="230"/>
    </row>
    <row r="25" spans="1:10" x14ac:dyDescent="0.35">
      <c r="A25" s="237" t="s">
        <v>13</v>
      </c>
      <c r="B25" s="189"/>
      <c r="C25" s="237" t="s">
        <v>14</v>
      </c>
      <c r="D25" s="189"/>
      <c r="E25" s="188" t="s">
        <v>15</v>
      </c>
      <c r="F25" s="189"/>
      <c r="G25" s="188" t="s">
        <v>52</v>
      </c>
      <c r="H25" s="190"/>
      <c r="I25" s="237" t="s">
        <v>16</v>
      </c>
      <c r="J25" s="189"/>
    </row>
    <row r="26" spans="1:10" x14ac:dyDescent="0.35">
      <c r="A26" s="188" t="s">
        <v>17</v>
      </c>
      <c r="B26" s="190"/>
      <c r="C26" s="188" t="s">
        <v>51</v>
      </c>
      <c r="D26" s="190"/>
      <c r="E26" s="188" t="s">
        <v>51</v>
      </c>
      <c r="F26" s="190"/>
      <c r="G26" s="188" t="s">
        <v>51</v>
      </c>
      <c r="H26" s="190"/>
      <c r="I26" s="188" t="s">
        <v>51</v>
      </c>
      <c r="J26" s="190"/>
    </row>
    <row r="27" spans="1:10" x14ac:dyDescent="0.35">
      <c r="A27" s="237" t="s">
        <v>18</v>
      </c>
      <c r="B27" s="189"/>
      <c r="C27" s="188" t="s">
        <v>111</v>
      </c>
      <c r="D27" s="190"/>
      <c r="E27" s="188" t="s">
        <v>117</v>
      </c>
      <c r="F27" s="190"/>
      <c r="G27" s="188" t="s">
        <v>118</v>
      </c>
      <c r="H27" s="190"/>
      <c r="I27" s="188" t="s">
        <v>119</v>
      </c>
      <c r="J27" s="190"/>
    </row>
    <row r="28" spans="1:10" x14ac:dyDescent="0.35">
      <c r="A28" s="164" t="s">
        <v>58</v>
      </c>
      <c r="B28" s="144"/>
      <c r="C28" s="144"/>
      <c r="D28" s="144"/>
      <c r="E28" s="144"/>
      <c r="F28" s="144"/>
      <c r="G28" s="144"/>
      <c r="H28" s="144"/>
      <c r="I28" s="144"/>
      <c r="J28" s="145"/>
    </row>
    <row r="29" spans="1:10" x14ac:dyDescent="0.35">
      <c r="A29" s="164" t="s">
        <v>48</v>
      </c>
      <c r="B29" s="144"/>
      <c r="C29" s="144"/>
      <c r="D29" s="144"/>
      <c r="E29" s="144"/>
      <c r="F29" s="144"/>
      <c r="G29" s="144"/>
      <c r="H29" s="144"/>
      <c r="I29" s="144"/>
      <c r="J29" s="145"/>
    </row>
    <row r="30" spans="1:10" x14ac:dyDescent="0.35">
      <c r="A30" s="175" t="s">
        <v>41</v>
      </c>
      <c r="B30" s="177"/>
      <c r="C30" s="164" t="s">
        <v>233</v>
      </c>
      <c r="D30" s="144"/>
      <c r="E30" s="144"/>
      <c r="F30" s="144"/>
      <c r="G30" s="144"/>
      <c r="H30" s="144"/>
      <c r="I30" s="144"/>
      <c r="J30" s="145"/>
    </row>
    <row r="31" spans="1:10" x14ac:dyDescent="0.35">
      <c r="A31" s="175" t="s">
        <v>228</v>
      </c>
      <c r="B31" s="177"/>
      <c r="C31" s="247" t="s">
        <v>229</v>
      </c>
      <c r="D31" s="144"/>
      <c r="E31" s="144"/>
      <c r="F31" s="144"/>
      <c r="G31" s="144"/>
      <c r="H31" s="144"/>
      <c r="I31" s="144"/>
      <c r="J31" s="145"/>
    </row>
    <row r="32" spans="1:10" x14ac:dyDescent="0.35">
      <c r="A32" s="175" t="s">
        <v>19</v>
      </c>
      <c r="B32" s="176"/>
      <c r="C32" s="176"/>
      <c r="D32" s="176"/>
      <c r="E32" s="176"/>
      <c r="F32" s="176"/>
      <c r="G32" s="176"/>
      <c r="H32" s="176"/>
      <c r="I32" s="176"/>
      <c r="J32" s="177"/>
    </row>
    <row r="33" spans="1:10" ht="15" customHeight="1" x14ac:dyDescent="0.35">
      <c r="A33" s="182" t="s">
        <v>104</v>
      </c>
      <c r="B33" s="183"/>
      <c r="C33" s="183"/>
      <c r="D33" s="183"/>
      <c r="E33" s="183"/>
      <c r="F33" s="183"/>
      <c r="G33" s="183"/>
      <c r="H33" s="183"/>
      <c r="I33" s="183"/>
      <c r="J33" s="184"/>
    </row>
    <row r="34" spans="1:10" x14ac:dyDescent="0.35">
      <c r="A34" s="185"/>
      <c r="B34" s="186"/>
      <c r="C34" s="186"/>
      <c r="D34" s="186"/>
      <c r="E34" s="186"/>
      <c r="F34" s="186"/>
      <c r="G34" s="186"/>
      <c r="H34" s="186"/>
      <c r="I34" s="186"/>
      <c r="J34" s="187"/>
    </row>
    <row r="35" spans="1:10" ht="16.5" customHeight="1" x14ac:dyDescent="0.35">
      <c r="A35" s="164" t="s">
        <v>68</v>
      </c>
      <c r="B35" s="180"/>
      <c r="C35" s="180"/>
      <c r="D35" s="180"/>
      <c r="E35" s="181"/>
      <c r="F35" s="143">
        <v>4338.5</v>
      </c>
      <c r="G35" s="139"/>
      <c r="H35" s="139"/>
      <c r="I35" s="139"/>
      <c r="J35" s="140"/>
    </row>
    <row r="36" spans="1:10" x14ac:dyDescent="0.35">
      <c r="A36" s="179" t="s">
        <v>20</v>
      </c>
      <c r="B36" s="180"/>
      <c r="C36" s="180"/>
      <c r="D36" s="180"/>
      <c r="E36" s="181"/>
      <c r="F36" s="164">
        <v>1</v>
      </c>
      <c r="G36" s="144"/>
      <c r="H36" s="144"/>
      <c r="I36" s="144"/>
      <c r="J36" s="145"/>
    </row>
    <row r="37" spans="1:10" x14ac:dyDescent="0.35">
      <c r="A37" s="179" t="s">
        <v>21</v>
      </c>
      <c r="B37" s="180"/>
      <c r="C37" s="180"/>
      <c r="D37" s="180"/>
      <c r="E37" s="181"/>
      <c r="F37" s="164" t="s">
        <v>105</v>
      </c>
      <c r="G37" s="144"/>
      <c r="H37" s="144"/>
      <c r="I37" s="144"/>
      <c r="J37" s="145"/>
    </row>
    <row r="38" spans="1:10" x14ac:dyDescent="0.35">
      <c r="A38" s="179" t="s">
        <v>22</v>
      </c>
      <c r="B38" s="180"/>
      <c r="C38" s="180"/>
      <c r="D38" s="180"/>
      <c r="E38" s="181"/>
      <c r="F38" s="164">
        <v>1.61</v>
      </c>
      <c r="G38" s="144"/>
      <c r="H38" s="144"/>
      <c r="I38" s="144"/>
      <c r="J38" s="145"/>
    </row>
    <row r="39" spans="1:10" x14ac:dyDescent="0.35">
      <c r="A39" s="164" t="s">
        <v>69</v>
      </c>
      <c r="B39" s="180"/>
      <c r="C39" s="180"/>
      <c r="D39" s="180"/>
      <c r="E39" s="181"/>
      <c r="F39" s="164">
        <v>6125.88</v>
      </c>
      <c r="G39" s="144"/>
      <c r="H39" s="144"/>
      <c r="I39" s="144"/>
      <c r="J39" s="145"/>
    </row>
    <row r="40" spans="1:10" x14ac:dyDescent="0.35">
      <c r="A40" s="179" t="s">
        <v>23</v>
      </c>
      <c r="B40" s="180"/>
      <c r="C40" s="180"/>
      <c r="D40" s="180"/>
      <c r="E40" s="181"/>
      <c r="F40" s="164" t="s">
        <v>106</v>
      </c>
      <c r="G40" s="144"/>
      <c r="H40" s="144"/>
      <c r="I40" s="144"/>
      <c r="J40" s="145"/>
    </row>
    <row r="41" spans="1:10" x14ac:dyDescent="0.35">
      <c r="A41" s="175" t="s">
        <v>71</v>
      </c>
      <c r="B41" s="176"/>
      <c r="C41" s="176"/>
      <c r="D41" s="176"/>
      <c r="E41" s="176"/>
      <c r="F41" s="176"/>
      <c r="G41" s="176"/>
      <c r="H41" s="176"/>
      <c r="I41" s="176"/>
      <c r="J41" s="177"/>
    </row>
    <row r="42" spans="1:10" x14ac:dyDescent="0.35">
      <c r="A42" s="141" t="s">
        <v>70</v>
      </c>
      <c r="B42" s="141"/>
      <c r="C42" s="136" t="s">
        <v>88</v>
      </c>
      <c r="D42" s="137"/>
      <c r="E42" s="137"/>
      <c r="F42" s="138"/>
      <c r="G42" s="6" t="s">
        <v>60</v>
      </c>
      <c r="H42" s="136" t="s">
        <v>150</v>
      </c>
      <c r="I42" s="137"/>
      <c r="J42" s="138"/>
    </row>
    <row r="43" spans="1:10" x14ac:dyDescent="0.35">
      <c r="A43" s="143" t="s">
        <v>72</v>
      </c>
      <c r="B43" s="140"/>
      <c r="C43" s="136" t="str">
        <f>C42</f>
        <v>CE/3926/BPES/AL</v>
      </c>
      <c r="D43" s="137"/>
      <c r="E43" s="137"/>
      <c r="F43" s="138"/>
      <c r="G43" s="6" t="s">
        <v>60</v>
      </c>
      <c r="H43" s="136" t="s">
        <v>150</v>
      </c>
      <c r="I43" s="137"/>
      <c r="J43" s="138"/>
    </row>
    <row r="44" spans="1:10" ht="45" customHeight="1" x14ac:dyDescent="0.35">
      <c r="A44" s="143" t="s">
        <v>73</v>
      </c>
      <c r="B44" s="140"/>
      <c r="C44" s="146" t="s">
        <v>148</v>
      </c>
      <c r="D44" s="147"/>
      <c r="E44" s="147"/>
      <c r="F44" s="148"/>
      <c r="G44" s="6" t="s">
        <v>60</v>
      </c>
      <c r="H44" s="10" t="s">
        <v>124</v>
      </c>
      <c r="I44" s="98" t="s">
        <v>149</v>
      </c>
      <c r="J44" s="98"/>
    </row>
    <row r="45" spans="1:10" x14ac:dyDescent="0.35">
      <c r="A45" s="143" t="s">
        <v>83</v>
      </c>
      <c r="B45" s="140"/>
      <c r="C45" s="136" t="s">
        <v>51</v>
      </c>
      <c r="D45" s="137"/>
      <c r="E45" s="137"/>
      <c r="F45" s="138" t="s">
        <v>84</v>
      </c>
      <c r="G45" s="6" t="s">
        <v>60</v>
      </c>
      <c r="H45" s="136" t="s">
        <v>51</v>
      </c>
      <c r="I45" s="137" t="s">
        <v>56</v>
      </c>
      <c r="J45" s="138"/>
    </row>
    <row r="46" spans="1:10" x14ac:dyDescent="0.35">
      <c r="A46" s="142" t="s">
        <v>78</v>
      </c>
      <c r="B46" s="142"/>
      <c r="C46" s="142"/>
      <c r="D46" s="178" t="str">
        <f>H44</f>
        <v>15/06/2018.</v>
      </c>
      <c r="E46" s="178"/>
      <c r="F46" s="164" t="s">
        <v>74</v>
      </c>
      <c r="G46" s="165"/>
      <c r="H46" s="143" t="s">
        <v>225</v>
      </c>
      <c r="I46" s="144"/>
      <c r="J46" s="145"/>
    </row>
    <row r="47" spans="1:10" x14ac:dyDescent="0.35">
      <c r="A47" s="197" t="s">
        <v>24</v>
      </c>
      <c r="B47" s="198"/>
      <c r="C47" s="198"/>
      <c r="D47" s="198"/>
      <c r="E47" s="198"/>
      <c r="F47" s="198"/>
      <c r="G47" s="198"/>
      <c r="H47" s="198"/>
      <c r="I47" s="198"/>
      <c r="J47" s="199"/>
    </row>
    <row r="48" spans="1:10" ht="31.5" customHeight="1" x14ac:dyDescent="0.35">
      <c r="A48" s="98" t="s">
        <v>81</v>
      </c>
      <c r="B48" s="98"/>
      <c r="C48" s="56">
        <f>F39</f>
        <v>6125.88</v>
      </c>
      <c r="D48" s="99" t="s">
        <v>173</v>
      </c>
      <c r="E48" s="99"/>
      <c r="F48" s="99"/>
      <c r="G48" s="100" t="s">
        <v>226</v>
      </c>
      <c r="H48" s="100"/>
      <c r="I48" s="100"/>
      <c r="J48" s="100"/>
    </row>
    <row r="49" spans="1:12" ht="45.75" customHeight="1" x14ac:dyDescent="0.35">
      <c r="A49" s="141" t="s">
        <v>75</v>
      </c>
      <c r="B49" s="141"/>
      <c r="C49" s="139" t="s">
        <v>168</v>
      </c>
      <c r="D49" s="139"/>
      <c r="E49" s="139"/>
      <c r="F49" s="139"/>
      <c r="G49" s="139"/>
      <c r="H49" s="139"/>
      <c r="I49" s="139"/>
      <c r="J49" s="140"/>
    </row>
    <row r="50" spans="1:12" x14ac:dyDescent="0.35">
      <c r="A50" s="2" t="s">
        <v>49</v>
      </c>
      <c r="B50" s="21"/>
      <c r="C50" s="21"/>
      <c r="D50" s="98" t="s">
        <v>57</v>
      </c>
      <c r="E50" s="98"/>
      <c r="F50" s="98"/>
      <c r="G50" s="98"/>
      <c r="H50" s="98"/>
      <c r="I50" s="98"/>
      <c r="J50" s="98"/>
    </row>
    <row r="51" spans="1:12" ht="15" thickBot="1" x14ac:dyDescent="0.4">
      <c r="A51" s="164" t="s">
        <v>170</v>
      </c>
      <c r="B51" s="144"/>
      <c r="C51" s="144"/>
      <c r="D51" s="144"/>
      <c r="E51" s="144"/>
      <c r="F51" s="144"/>
      <c r="G51" s="144"/>
      <c r="H51" s="144"/>
      <c r="I51" s="144"/>
      <c r="J51" s="145"/>
    </row>
    <row r="52" spans="1:12" ht="16.5" customHeight="1" x14ac:dyDescent="0.35">
      <c r="A52" s="248" t="s">
        <v>188</v>
      </c>
      <c r="B52" s="249"/>
      <c r="C52" s="250" t="s">
        <v>227</v>
      </c>
      <c r="D52" s="251"/>
      <c r="E52" s="251"/>
      <c r="F52" s="251"/>
      <c r="G52" s="251"/>
      <c r="H52" s="251"/>
      <c r="I52" s="251"/>
      <c r="J52" s="252"/>
      <c r="K52" s="36" t="str">
        <f ca="1">(IF(F56&gt;99%,"All work completed. Please provide OC.",IF(F56&gt;89.8%,"Plinth, RCC, Brick, Plaster, Flooring, Painting work Completed. Finishing work is in process.",IF(F56&lt;94%,(IF(C56=0,"Work not yet Started.",IF(D56=25%,"Piling work in process",IF(D56=50%,"Excavation work in process",IF(D56=100%,"Excavation work Completed. ","0")))&amp;(IF(C57=0%,"",IF(C57=L58,"Footing work is process",IF(C57=L59,"Footing work Completed",IF(C57=L60,"1st Basement Completed",IF(C57=L61,"1st &amp; 2nd Basement Completed",IF(C57=L62,"1st to 3rd Basement Completed",IF(C57=L63,"1st to 4th Basement Completed",IF(C57=L64,"Plinth work is process",IF(C57=L65,"Plinth work completed","0")))))))))))&amp;(IF(C58=(D53+G53+I53),", RCC Slab",IF(C58&gt;0,", RCC upto "&amp;C58&amp;" Slab",""))&amp;(IF(C59=I53,", Brickwork",IF(C59&gt;0,", Brickwork upto "&amp;C59&amp;" Floor",""))&amp;(IF(C60=I53,", Internal Plaster",IF(C60&gt;0,", Internal Plaster upto "&amp;C60&amp;" Floor",""))&amp;(IF(C61=I53,", External Plaster",IF(C61&gt;0,", External Plaster upto "&amp;C61&amp;" Floor",""))&amp;(IF(C62=I53,", Flooring",IF(C62&gt;0,", Flooring upto "&amp;C62&amp;" Floor",""))&amp;(IF(C63=I53,", Painting",IF(C63&gt;0,", Painting upto "&amp;C63&amp;" Floor",""))&amp;(IF(C64&gt;0,", Finishing upto "&amp;C64&amp;" Floor","")&amp;(IF(C58&gt;0.5," Completed",""))))))))))))))</f>
        <v>Excavation work Completed. Plinth work completed, RCC upto 10 Slab, Brickwork upto 9 Floor, Internal Plaster upto 9 Floor, External Plaster upto 9 Floor, Flooring upto 9 Floor, Painting upto 6 Floor Completed</v>
      </c>
      <c r="L52" s="37"/>
    </row>
    <row r="53" spans="1:12" s="20" customFormat="1" ht="15.5" x14ac:dyDescent="0.35">
      <c r="A53" s="54" t="s">
        <v>189</v>
      </c>
      <c r="B53" s="55">
        <v>2</v>
      </c>
      <c r="C53" s="55" t="s">
        <v>190</v>
      </c>
      <c r="D53" s="55">
        <v>1</v>
      </c>
      <c r="E53" s="69" t="s">
        <v>191</v>
      </c>
      <c r="F53" s="70"/>
      <c r="G53" s="55">
        <v>0</v>
      </c>
      <c r="H53" s="55" t="s">
        <v>192</v>
      </c>
      <c r="I53" s="69">
        <f ca="1">--TRIM(RIGHT(SUBSTITUTE(LEFT(C52,_xlfn.AGGREGATE(16,6,FIND({0,1,2,3,4,5,6,7,8,9},C52,ROW(INDIRECT("1:"&amp;LEN(C52)))),1))," ",REPT(" ",LEN(C52))),LEN(C52)))</f>
        <v>10</v>
      </c>
      <c r="J53" s="71"/>
      <c r="K53" s="38"/>
      <c r="L53" s="39"/>
    </row>
    <row r="54" spans="1:12" ht="50.25" customHeight="1" x14ac:dyDescent="0.35">
      <c r="A54" s="112" t="s">
        <v>193</v>
      </c>
      <c r="B54" s="113"/>
      <c r="C54" s="114" t="str">
        <f ca="1">K52</f>
        <v>Excavation work Completed. Plinth work completed, RCC upto 10 Slab, Brickwork upto 9 Floor, Internal Plaster upto 9 Floor, External Plaster upto 9 Floor, Flooring upto 9 Floor, Painting upto 6 Floor Completed</v>
      </c>
      <c r="D54" s="115"/>
      <c r="E54" s="115"/>
      <c r="F54" s="115"/>
      <c r="G54" s="115"/>
      <c r="H54" s="115"/>
      <c r="I54" s="115"/>
      <c r="J54" s="116"/>
      <c r="K54" s="38" t="s">
        <v>194</v>
      </c>
      <c r="L54" s="39"/>
    </row>
    <row r="55" spans="1:12" ht="15.75" customHeight="1" x14ac:dyDescent="0.35">
      <c r="A55" s="117" t="s">
        <v>36</v>
      </c>
      <c r="B55" s="118"/>
      <c r="C55" s="53" t="s">
        <v>195</v>
      </c>
      <c r="D55" s="119" t="s">
        <v>196</v>
      </c>
      <c r="E55" s="119"/>
      <c r="F55" s="119" t="s">
        <v>197</v>
      </c>
      <c r="G55" s="119"/>
      <c r="H55" s="119" t="s">
        <v>198</v>
      </c>
      <c r="I55" s="119"/>
      <c r="J55" s="120"/>
      <c r="K55" s="40" t="s">
        <v>199</v>
      </c>
      <c r="L55" s="41">
        <f ca="1">I53*25%</f>
        <v>2.5</v>
      </c>
    </row>
    <row r="56" spans="1:12" ht="15.75" customHeight="1" x14ac:dyDescent="0.35">
      <c r="A56" s="81" t="s">
        <v>200</v>
      </c>
      <c r="B56" s="82"/>
      <c r="C56" s="47">
        <f ca="1">L57</f>
        <v>10</v>
      </c>
      <c r="D56" s="83">
        <f ca="1">((100/I53)*C56)/100</f>
        <v>1</v>
      </c>
      <c r="E56" s="84"/>
      <c r="F56" s="85">
        <f ca="1">(((C57/I53*10)+(40/(D53+G53+I53)*C58)+(7.5/(I53)*C59)+(7.5/(I53)*C60)+(10/I53*C61)+(10/I53*C62)+(5/I53*C63)+(5/I53*C64)+(5/I53*C65))/100)</f>
        <v>0.8086363636363636</v>
      </c>
      <c r="G56" s="85"/>
      <c r="H56" s="87">
        <f ca="1">((((C56/I53)*20)+((C57/I53)*25)+(30/(I53+G53+D53)*C58)+(5/I53*C59)+(5/I53*C60)+(5/I53*C61)+(5/I53*C62)+(0/I53*C63)+(0/I53*C64)+(5/I53*C65))/100)</f>
        <v>0.90272727272727271</v>
      </c>
      <c r="I56" s="88"/>
      <c r="J56" s="89"/>
      <c r="K56" s="40" t="s">
        <v>201</v>
      </c>
      <c r="L56" s="42">
        <f ca="1">I53*50%</f>
        <v>5</v>
      </c>
    </row>
    <row r="57" spans="1:12" ht="15.5" x14ac:dyDescent="0.35">
      <c r="A57" s="81" t="s">
        <v>37</v>
      </c>
      <c r="B57" s="82"/>
      <c r="C57" s="48">
        <f ca="1">L65</f>
        <v>10</v>
      </c>
      <c r="D57" s="83">
        <f ca="1">((100/I53)*C57)/100</f>
        <v>1</v>
      </c>
      <c r="E57" s="84"/>
      <c r="F57" s="85"/>
      <c r="G57" s="85"/>
      <c r="H57" s="90"/>
      <c r="I57" s="91"/>
      <c r="J57" s="92"/>
      <c r="K57" s="40" t="s">
        <v>202</v>
      </c>
      <c r="L57" s="42">
        <f ca="1">I53</f>
        <v>10</v>
      </c>
    </row>
    <row r="58" spans="1:12" ht="15.75" customHeight="1" x14ac:dyDescent="0.35">
      <c r="A58" s="96" t="s">
        <v>203</v>
      </c>
      <c r="B58" s="97"/>
      <c r="C58" s="48">
        <v>10</v>
      </c>
      <c r="D58" s="83">
        <f ca="1">((100/(D53+G53+I53))*C58)/100</f>
        <v>0.90909090909090917</v>
      </c>
      <c r="E58" s="84"/>
      <c r="F58" s="85"/>
      <c r="G58" s="85"/>
      <c r="H58" s="90"/>
      <c r="I58" s="91"/>
      <c r="J58" s="92"/>
      <c r="K58" s="40" t="s">
        <v>204</v>
      </c>
      <c r="L58" s="43">
        <f ca="1">(IF(B53&gt;1,(I53/(B53+2)),I53/4))</f>
        <v>2.5</v>
      </c>
    </row>
    <row r="59" spans="1:12" ht="15.75" customHeight="1" x14ac:dyDescent="0.35">
      <c r="A59" s="81" t="s">
        <v>205</v>
      </c>
      <c r="B59" s="82" t="s">
        <v>206</v>
      </c>
      <c r="C59" s="47">
        <v>9</v>
      </c>
      <c r="D59" s="83">
        <f ca="1">((100/I53)*C59)/100</f>
        <v>0.9</v>
      </c>
      <c r="E59" s="84"/>
      <c r="F59" s="85"/>
      <c r="G59" s="85"/>
      <c r="H59" s="90"/>
      <c r="I59" s="91"/>
      <c r="J59" s="92"/>
      <c r="K59" s="40" t="s">
        <v>207</v>
      </c>
      <c r="L59" s="43">
        <f ca="1">(IF(B53&gt;1,(I53/(B53+2)+L58),I53/4+L58))</f>
        <v>5</v>
      </c>
    </row>
    <row r="60" spans="1:12" ht="15.75" customHeight="1" x14ac:dyDescent="0.35">
      <c r="A60" s="81" t="s">
        <v>208</v>
      </c>
      <c r="B60" s="82" t="s">
        <v>206</v>
      </c>
      <c r="C60" s="47">
        <v>9</v>
      </c>
      <c r="D60" s="83">
        <f ca="1">((100/I53)*C60)/100</f>
        <v>0.9</v>
      </c>
      <c r="E60" s="84"/>
      <c r="F60" s="85"/>
      <c r="G60" s="85"/>
      <c r="H60" s="90"/>
      <c r="I60" s="91"/>
      <c r="J60" s="92"/>
      <c r="K60" s="40" t="s">
        <v>209</v>
      </c>
      <c r="L60" s="43">
        <f ca="1">(IF(B53&gt;1,(I53/(B53+2)+L59),0))</f>
        <v>7.5</v>
      </c>
    </row>
    <row r="61" spans="1:12" ht="15.75" customHeight="1" x14ac:dyDescent="0.35">
      <c r="A61" s="81" t="s">
        <v>210</v>
      </c>
      <c r="B61" s="82" t="s">
        <v>211</v>
      </c>
      <c r="C61" s="47">
        <v>9</v>
      </c>
      <c r="D61" s="83">
        <f ca="1">((100/(I53))*C61)/100</f>
        <v>0.9</v>
      </c>
      <c r="E61" s="84"/>
      <c r="F61" s="85"/>
      <c r="G61" s="85"/>
      <c r="H61" s="90"/>
      <c r="I61" s="91"/>
      <c r="J61" s="92"/>
      <c r="K61" s="40" t="s">
        <v>212</v>
      </c>
      <c r="L61" s="43">
        <f>(IF(B53&gt;2,(I53/(B53+2)+L60),0))</f>
        <v>0</v>
      </c>
    </row>
    <row r="62" spans="1:12" ht="15.75" customHeight="1" x14ac:dyDescent="0.35">
      <c r="A62" s="81" t="s">
        <v>213</v>
      </c>
      <c r="B62" s="82" t="s">
        <v>213</v>
      </c>
      <c r="C62" s="47">
        <v>9</v>
      </c>
      <c r="D62" s="83">
        <f ca="1">((100/I53)*C62)/100</f>
        <v>0.9</v>
      </c>
      <c r="E62" s="84"/>
      <c r="F62" s="85"/>
      <c r="G62" s="85"/>
      <c r="H62" s="90"/>
      <c r="I62" s="91"/>
      <c r="J62" s="92"/>
      <c r="K62" s="40" t="s">
        <v>214</v>
      </c>
      <c r="L62" s="44">
        <f>(IF(B53&gt;3,(I53/(B53+2)+L61),0))</f>
        <v>0</v>
      </c>
    </row>
    <row r="63" spans="1:12" ht="15" customHeight="1" x14ac:dyDescent="0.35">
      <c r="A63" s="81" t="s">
        <v>215</v>
      </c>
      <c r="B63" s="82"/>
      <c r="C63" s="47">
        <v>6</v>
      </c>
      <c r="D63" s="83">
        <f ca="1">((100/I53)*C63)/100</f>
        <v>0.6</v>
      </c>
      <c r="E63" s="84"/>
      <c r="F63" s="85"/>
      <c r="G63" s="85"/>
      <c r="H63" s="90"/>
      <c r="I63" s="91"/>
      <c r="J63" s="92"/>
      <c r="K63" s="40" t="s">
        <v>216</v>
      </c>
      <c r="L63" s="43">
        <f>(IF(B53&gt;4,(I53/(B53+2)+L62),0))</f>
        <v>0</v>
      </c>
    </row>
    <row r="64" spans="1:12" ht="15.75" customHeight="1" x14ac:dyDescent="0.35">
      <c r="A64" s="81" t="s">
        <v>217</v>
      </c>
      <c r="B64" s="82" t="s">
        <v>217</v>
      </c>
      <c r="C64" s="47">
        <v>0</v>
      </c>
      <c r="D64" s="83">
        <f ca="1">((100/(I53))*C64)/100</f>
        <v>0</v>
      </c>
      <c r="E64" s="84"/>
      <c r="F64" s="85"/>
      <c r="G64" s="85"/>
      <c r="H64" s="90"/>
      <c r="I64" s="91"/>
      <c r="J64" s="92"/>
      <c r="K64" s="40" t="s">
        <v>218</v>
      </c>
      <c r="L64" s="43">
        <f>(IF(B53=1,(I53/(B53+3)+L59),IF(B53=0,(I53/4+L59),IF(B53&gt;1,0))))</f>
        <v>0</v>
      </c>
    </row>
    <row r="65" spans="1:12" ht="16.5" customHeight="1" thickBot="1" x14ac:dyDescent="0.4">
      <c r="A65" s="60" t="s">
        <v>219</v>
      </c>
      <c r="B65" s="61"/>
      <c r="C65" s="49">
        <v>0</v>
      </c>
      <c r="D65" s="62">
        <f ca="1">((100/(I53))*C65)/100</f>
        <v>0</v>
      </c>
      <c r="E65" s="63"/>
      <c r="F65" s="86"/>
      <c r="G65" s="86"/>
      <c r="H65" s="93"/>
      <c r="I65" s="94"/>
      <c r="J65" s="95"/>
      <c r="K65" s="45" t="s">
        <v>220</v>
      </c>
      <c r="L65" s="46">
        <f ca="1">(IF(B53&gt;1.5,(I53/(B53+2)+L59+MAX(0,L60-L59)+MAX(0,L61-L60)+MAX(0,L62-L61)+MAX(0,L63-L62)+MAX(0,L64-L63)),IF(B53=1,(I53/(B53+3)+L64),IF(B53=0,I53/4+L64))))</f>
        <v>10</v>
      </c>
    </row>
    <row r="66" spans="1:12" ht="15" customHeight="1" x14ac:dyDescent="0.35">
      <c r="A66" s="107" t="s">
        <v>188</v>
      </c>
      <c r="B66" s="108"/>
      <c r="C66" s="109" t="s">
        <v>221</v>
      </c>
      <c r="D66" s="110"/>
      <c r="E66" s="110"/>
      <c r="F66" s="110"/>
      <c r="G66" s="110"/>
      <c r="H66" s="110"/>
      <c r="I66" s="110"/>
      <c r="J66" s="111"/>
      <c r="K66" s="36" t="str">
        <f ca="1">(IF(F70&gt;99%,"All work completed. Please provide OC.",IF(F70&gt;89.8%,"Plinth, RCC, Brick, Plaster, Flooring, Painting work Completed. Finishing work is in process.",IF(F70&lt;94%,(IF(C70=0,"Work not yet Started.",IF(D70=25%,"Piling work in process",IF(D70=50%,"Excavation work in process",IF(D70=100%,"Excavation work Completed. ","0")))&amp;(IF(C71=0%,"",IF(C71=L72,"Footing work is process",IF(C71=L73,"Footing work Completed",IF(C71=L74,"1st Basement Completed",IF(C71=L75,"1st &amp; 2nd Basement Completed",IF(C71=L76,"1st to 3rd Basement Completed",IF(C71=L77,"1st to 4th Basement Completed",IF(C71=L78,"Plinth work is process",IF(C71=L79,"Plinth work completed","0")))))))))))&amp;(IF(C72=(D67+G67+I67),", RCC Slab",IF(C72&gt;0,", RCC upto "&amp;C72&amp;" Slab",""))&amp;(IF(C73=I67,", Brickwork",IF(C73&gt;0,", Brickwork upto "&amp;C73&amp;" Floor",""))&amp;(IF(C74=I67,", Internal Plaster",IF(C74&gt;0,", Internal Plaster upto "&amp;C74&amp;" Floor",""))&amp;(IF(C75=I67,", External Plaster",IF(C75&gt;0,", External Plaster upto "&amp;C75&amp;" Floor",""))&amp;(IF(C76=I67,", Flooring",IF(C76&gt;0,", Flooring upto "&amp;C76&amp;" Floor",""))&amp;(IF(C77=I67,", Painting",IF(C77&gt;0,", Painting upto "&amp;C77&amp;" Floor",""))&amp;(IF(C78&gt;0,", Finishing upto "&amp;C78&amp;" Floor","")&amp;(IF(C72&gt;0.5," Completed",""))))))))))))))</f>
        <v>Plinth, RCC, Brick, Plaster, Flooring, Painting work Completed. Finishing work is in process.</v>
      </c>
      <c r="L66" s="37"/>
    </row>
    <row r="67" spans="1:12" s="20" customFormat="1" ht="15.5" x14ac:dyDescent="0.35">
      <c r="A67" s="54" t="s">
        <v>189</v>
      </c>
      <c r="B67" s="55">
        <v>2</v>
      </c>
      <c r="C67" s="55" t="s">
        <v>190</v>
      </c>
      <c r="D67" s="55">
        <v>1</v>
      </c>
      <c r="E67" s="69" t="s">
        <v>191</v>
      </c>
      <c r="F67" s="70"/>
      <c r="G67" s="55">
        <v>0</v>
      </c>
      <c r="H67" s="55" t="s">
        <v>192</v>
      </c>
      <c r="I67" s="69">
        <f ca="1">--TRIM(RIGHT(SUBSTITUTE(LEFT(C66,_xlfn.AGGREGATE(16,6,FIND({0,1,2,3,4,5,6,7,8,9},C66,ROW(INDIRECT("1:"&amp;LEN(C66)))),1))," ",REPT(" ",LEN(C66))),LEN(C66)))</f>
        <v>9</v>
      </c>
      <c r="J67" s="71"/>
      <c r="K67" s="38"/>
      <c r="L67" s="39"/>
    </row>
    <row r="68" spans="1:12" ht="34.5" customHeight="1" x14ac:dyDescent="0.35">
      <c r="A68" s="112" t="s">
        <v>193</v>
      </c>
      <c r="B68" s="113"/>
      <c r="C68" s="114" t="str">
        <f ca="1">K66</f>
        <v>Plinth, RCC, Brick, Plaster, Flooring, Painting work Completed. Finishing work is in process.</v>
      </c>
      <c r="D68" s="115"/>
      <c r="E68" s="115"/>
      <c r="F68" s="115"/>
      <c r="G68" s="115"/>
      <c r="H68" s="115"/>
      <c r="I68" s="115"/>
      <c r="J68" s="116"/>
      <c r="K68" s="38" t="s">
        <v>194</v>
      </c>
      <c r="L68" s="39"/>
    </row>
    <row r="69" spans="1:12" ht="15.75" customHeight="1" x14ac:dyDescent="0.35">
      <c r="A69" s="117" t="s">
        <v>36</v>
      </c>
      <c r="B69" s="118"/>
      <c r="C69" s="53" t="s">
        <v>195</v>
      </c>
      <c r="D69" s="119" t="s">
        <v>196</v>
      </c>
      <c r="E69" s="119"/>
      <c r="F69" s="119" t="s">
        <v>197</v>
      </c>
      <c r="G69" s="119"/>
      <c r="H69" s="119" t="s">
        <v>198</v>
      </c>
      <c r="I69" s="119"/>
      <c r="J69" s="120"/>
      <c r="K69" s="40" t="s">
        <v>199</v>
      </c>
      <c r="L69" s="41">
        <f ca="1">I67*25%</f>
        <v>2.25</v>
      </c>
    </row>
    <row r="70" spans="1:12" ht="15.75" customHeight="1" x14ac:dyDescent="0.35">
      <c r="A70" s="82" t="s">
        <v>200</v>
      </c>
      <c r="B70" s="82"/>
      <c r="C70" s="47">
        <f ca="1">L71</f>
        <v>9</v>
      </c>
      <c r="D70" s="85">
        <f ca="1">((100/I67)*C70)/100</f>
        <v>1</v>
      </c>
      <c r="E70" s="85"/>
      <c r="F70" s="85">
        <f ca="1">(((C71/I67*10)+(40/(D67+G67+I67)*C72)+(7.5/(I67)*C73)+(7.5/(I67)*C74)+(10/I67*C75)+(10/I67*C76)+(5/I67*C77)+(5/I67*C78)+(5/I67*C79))/100)</f>
        <v>0.9</v>
      </c>
      <c r="G70" s="85"/>
      <c r="H70" s="85">
        <f ca="1">((((C70/I67)*20)+((C71/I67)*25)+(30/(I67+G67+D67)*C72)+(5/I67*C73)+(5/I67*C74)+(5/I67*C75)+(5/I67*C76)+(0/I67*C77)+(0/I67*C78)+(5/I67*C79))/100)</f>
        <v>0.95</v>
      </c>
      <c r="I70" s="85"/>
      <c r="J70" s="85"/>
      <c r="K70" s="40" t="s">
        <v>201</v>
      </c>
      <c r="L70" s="42">
        <f ca="1">I67*50%</f>
        <v>4.5</v>
      </c>
    </row>
    <row r="71" spans="1:12" ht="15.5" x14ac:dyDescent="0.35">
      <c r="A71" s="82" t="s">
        <v>37</v>
      </c>
      <c r="B71" s="82"/>
      <c r="C71" s="48">
        <f ca="1">L79</f>
        <v>9</v>
      </c>
      <c r="D71" s="85">
        <f ca="1">((100/I67)*C71)/100</f>
        <v>1</v>
      </c>
      <c r="E71" s="85"/>
      <c r="F71" s="85"/>
      <c r="G71" s="85"/>
      <c r="H71" s="85"/>
      <c r="I71" s="85"/>
      <c r="J71" s="85"/>
      <c r="K71" s="40" t="s">
        <v>202</v>
      </c>
      <c r="L71" s="42">
        <f ca="1">I67</f>
        <v>9</v>
      </c>
    </row>
    <row r="72" spans="1:12" ht="15.75" customHeight="1" x14ac:dyDescent="0.35">
      <c r="A72" s="97" t="s">
        <v>203</v>
      </c>
      <c r="B72" s="97"/>
      <c r="C72" s="48">
        <v>10</v>
      </c>
      <c r="D72" s="85">
        <f ca="1">((100/(D67+G67+I67))*C72)/100</f>
        <v>1</v>
      </c>
      <c r="E72" s="85"/>
      <c r="F72" s="85"/>
      <c r="G72" s="85"/>
      <c r="H72" s="85"/>
      <c r="I72" s="85"/>
      <c r="J72" s="85"/>
      <c r="K72" s="40" t="s">
        <v>204</v>
      </c>
      <c r="L72" s="43">
        <f ca="1">(IF(B67&gt;1,(I67/(B67+2)),I67/4))</f>
        <v>2.25</v>
      </c>
    </row>
    <row r="73" spans="1:12" ht="15.75" customHeight="1" x14ac:dyDescent="0.35">
      <c r="A73" s="82" t="s">
        <v>205</v>
      </c>
      <c r="B73" s="82" t="s">
        <v>206</v>
      </c>
      <c r="C73" s="47">
        <v>9</v>
      </c>
      <c r="D73" s="85">
        <f ca="1">((100/I67)*C73)/100</f>
        <v>1</v>
      </c>
      <c r="E73" s="85"/>
      <c r="F73" s="85"/>
      <c r="G73" s="85"/>
      <c r="H73" s="85"/>
      <c r="I73" s="85"/>
      <c r="J73" s="85"/>
      <c r="K73" s="40" t="s">
        <v>207</v>
      </c>
      <c r="L73" s="43">
        <f ca="1">(IF(B67&gt;1,(I67/(B67+2)+L72),I67/4+L72))</f>
        <v>4.5</v>
      </c>
    </row>
    <row r="74" spans="1:12" ht="15.75" customHeight="1" x14ac:dyDescent="0.35">
      <c r="A74" s="82" t="s">
        <v>208</v>
      </c>
      <c r="B74" s="82" t="s">
        <v>206</v>
      </c>
      <c r="C74" s="47">
        <v>9</v>
      </c>
      <c r="D74" s="85">
        <f ca="1">((100/I67)*C74)/100</f>
        <v>1</v>
      </c>
      <c r="E74" s="85"/>
      <c r="F74" s="85"/>
      <c r="G74" s="85"/>
      <c r="H74" s="85"/>
      <c r="I74" s="85"/>
      <c r="J74" s="85"/>
      <c r="K74" s="40" t="s">
        <v>209</v>
      </c>
      <c r="L74" s="43">
        <f ca="1">(IF(B67&gt;1,(I67/(B67+2)+L73),0))</f>
        <v>6.75</v>
      </c>
    </row>
    <row r="75" spans="1:12" ht="15.75" customHeight="1" x14ac:dyDescent="0.35">
      <c r="A75" s="82" t="s">
        <v>210</v>
      </c>
      <c r="B75" s="82" t="s">
        <v>211</v>
      </c>
      <c r="C75" s="47">
        <v>9</v>
      </c>
      <c r="D75" s="85">
        <f ca="1">((100/(I67))*C75)/100</f>
        <v>1</v>
      </c>
      <c r="E75" s="85"/>
      <c r="F75" s="85"/>
      <c r="G75" s="85"/>
      <c r="H75" s="85"/>
      <c r="I75" s="85"/>
      <c r="J75" s="85"/>
      <c r="K75" s="40" t="s">
        <v>212</v>
      </c>
      <c r="L75" s="43">
        <f>(IF(B67&gt;2,(I67/(B67+2)+L74),0))</f>
        <v>0</v>
      </c>
    </row>
    <row r="76" spans="1:12" ht="15.75" customHeight="1" x14ac:dyDescent="0.35">
      <c r="A76" s="82" t="s">
        <v>213</v>
      </c>
      <c r="B76" s="82" t="s">
        <v>213</v>
      </c>
      <c r="C76" s="47">
        <v>9</v>
      </c>
      <c r="D76" s="85">
        <f ca="1">((100/I67)*C76)/100</f>
        <v>1</v>
      </c>
      <c r="E76" s="85"/>
      <c r="F76" s="85"/>
      <c r="G76" s="85"/>
      <c r="H76" s="85"/>
      <c r="I76" s="85"/>
      <c r="J76" s="85"/>
      <c r="K76" s="40" t="s">
        <v>214</v>
      </c>
      <c r="L76" s="44">
        <f>(IF(B67&gt;3,(I67/(B67+2)+L75),0))</f>
        <v>0</v>
      </c>
    </row>
    <row r="77" spans="1:12" ht="15" customHeight="1" x14ac:dyDescent="0.35">
      <c r="A77" s="82" t="s">
        <v>215</v>
      </c>
      <c r="B77" s="82"/>
      <c r="C77" s="47">
        <v>9</v>
      </c>
      <c r="D77" s="85">
        <f ca="1">((100/I67)*C77)/100</f>
        <v>1</v>
      </c>
      <c r="E77" s="85"/>
      <c r="F77" s="85"/>
      <c r="G77" s="85"/>
      <c r="H77" s="85"/>
      <c r="I77" s="85"/>
      <c r="J77" s="85"/>
      <c r="K77" s="40" t="s">
        <v>216</v>
      </c>
      <c r="L77" s="43">
        <f>(IF(B67&gt;4,(I67/(B67+2)+L76),0))</f>
        <v>0</v>
      </c>
    </row>
    <row r="78" spans="1:12" ht="15.75" customHeight="1" x14ac:dyDescent="0.35">
      <c r="A78" s="82" t="s">
        <v>217</v>
      </c>
      <c r="B78" s="82" t="s">
        <v>217</v>
      </c>
      <c r="C78" s="47">
        <v>0</v>
      </c>
      <c r="D78" s="85">
        <f ca="1">((100/(I67))*C78)/100</f>
        <v>0</v>
      </c>
      <c r="E78" s="85"/>
      <c r="F78" s="85"/>
      <c r="G78" s="85"/>
      <c r="H78" s="85"/>
      <c r="I78" s="85"/>
      <c r="J78" s="85"/>
      <c r="K78" s="40" t="s">
        <v>218</v>
      </c>
      <c r="L78" s="43">
        <f>(IF(B67=1,(I67/(B67+3)+L73),IF(B67=0,(I67/4+L73),IF(B67&gt;1,0))))</f>
        <v>0</v>
      </c>
    </row>
    <row r="79" spans="1:12" ht="16.5" customHeight="1" thickBot="1" x14ac:dyDescent="0.4">
      <c r="A79" s="82" t="s">
        <v>219</v>
      </c>
      <c r="B79" s="82"/>
      <c r="C79" s="47">
        <v>0</v>
      </c>
      <c r="D79" s="85">
        <f ca="1">((100/(I67))*C79)/100</f>
        <v>0</v>
      </c>
      <c r="E79" s="85"/>
      <c r="F79" s="85"/>
      <c r="G79" s="85"/>
      <c r="H79" s="85"/>
      <c r="I79" s="85"/>
      <c r="J79" s="85"/>
      <c r="K79" s="45" t="s">
        <v>220</v>
      </c>
      <c r="L79" s="46">
        <f ca="1">(IF(B67&gt;1.5,(I67/(B67+2)+L73+MAX(0,L74-L73)+MAX(0,L75-L74)+MAX(0,L76-L75)+MAX(0,L77-L76)+MAX(0,L78-L77)),IF(B67=1,(I67/(B67+3)+L78),IF(B67=0,I67/4+L78))))</f>
        <v>9</v>
      </c>
    </row>
    <row r="80" spans="1:12" ht="15" customHeight="1" x14ac:dyDescent="0.35">
      <c r="A80" s="254" t="s">
        <v>188</v>
      </c>
      <c r="B80" s="254"/>
      <c r="C80" s="255" t="s">
        <v>222</v>
      </c>
      <c r="D80" s="255"/>
      <c r="E80" s="255"/>
      <c r="F80" s="255"/>
      <c r="G80" s="255"/>
      <c r="H80" s="255"/>
      <c r="I80" s="255"/>
      <c r="J80" s="255"/>
      <c r="K80" s="36" t="str">
        <f ca="1">(IF(F85&gt;99%,"All work completed. Please provide OC.",IF(F85&gt;89.8%,"Plinth, RCC, Brick, Plaster, Flooring, Painting work Completed. Finishing work is in process.",IF(F85&lt;94%,(IF(C85=0,"Work not yet Started.",IF(D85=25%,"Piling work in process",IF(D85=50%,"Excavation work in process",IF(D85=100%,"Excavation work Completed. ","0")))&amp;(IF(C86=0%,"",IF(C86=L87,"Footing work is process",IF(C86=L88,"Footing work Completed",IF(C86=L89,"1st Basement Completed",IF(C86=L90,"1st &amp; 2nd Basement Completed",IF(C86=L91,"1st to 3rd Basement Completed",IF(C86=L92,"1st to 4th Basement Completed",IF(C86=L93,"Plinth work is process",IF(C86=L94,"Plinth work completed","0")))))))))))&amp;(IF(C87=(D81+G81+I81),", RCC Slab",IF(C87&gt;0,", RCC upto "&amp;C87&amp;" Slab",""))&amp;(IF(C88=I81,", Brickwork",IF(C88&gt;0,", Brickwork upto "&amp;C88&amp;" Floor",""))&amp;(IF(C89=I81,", Internal Plaster",IF(C89&gt;0,", Internal Plaster upto "&amp;C89&amp;" Floor",""))&amp;(IF(C90=I81,", External Plaster",IF(C90&gt;0,", External Plaster upto "&amp;C90&amp;" Floor",""))&amp;(IF(C91=I81,", Flooring",IF(C91&gt;0,", Flooring upto "&amp;C91&amp;" Floor",""))&amp;(IF(C92=I81,", Painting",IF(C92&gt;0,", Painting upto "&amp;C92&amp;" Floor",""))&amp;(IF(C93&gt;0,", Finishing upto "&amp;C93&amp;" Floor","")&amp;(IF(C87&gt;0.5," Completed",""))))))))))))))</f>
        <v>All work completed. Please provide OC.</v>
      </c>
      <c r="L80" s="37"/>
    </row>
    <row r="81" spans="1:12" s="20" customFormat="1" ht="15.5" x14ac:dyDescent="0.35">
      <c r="A81" s="59" t="s">
        <v>189</v>
      </c>
      <c r="B81" s="59">
        <v>2</v>
      </c>
      <c r="C81" s="59" t="s">
        <v>190</v>
      </c>
      <c r="D81" s="59">
        <v>1</v>
      </c>
      <c r="E81" s="97" t="s">
        <v>191</v>
      </c>
      <c r="F81" s="97"/>
      <c r="G81" s="59">
        <v>0</v>
      </c>
      <c r="H81" s="59" t="s">
        <v>192</v>
      </c>
      <c r="I81" s="97">
        <f ca="1">--TRIM(RIGHT(SUBSTITUTE(LEFT(C80,_xlfn.AGGREGATE(16,6,FIND({0,1,2,3,4,5,6,7,8,9},C80,ROW(INDIRECT("1:"&amp;LEN(C80)))),1))," ",REPT(" ",LEN(C80))),LEN(C80)))</f>
        <v>7</v>
      </c>
      <c r="J81" s="97"/>
      <c r="K81" s="38"/>
      <c r="L81" s="39"/>
    </row>
    <row r="82" spans="1:12" s="20" customFormat="1" ht="15.5" x14ac:dyDescent="0.35">
      <c r="A82" s="246" t="s">
        <v>197</v>
      </c>
      <c r="B82" s="246"/>
      <c r="C82" s="245">
        <v>1</v>
      </c>
      <c r="D82" s="246"/>
      <c r="E82" s="246"/>
      <c r="F82" s="246" t="s">
        <v>198</v>
      </c>
      <c r="G82" s="246"/>
      <c r="H82" s="245">
        <v>1</v>
      </c>
      <c r="I82" s="246"/>
      <c r="J82" s="246"/>
      <c r="K82" s="38"/>
      <c r="L82" s="39"/>
    </row>
    <row r="83" spans="1:12" ht="16" thickBot="1" x14ac:dyDescent="0.4">
      <c r="A83" s="72" t="s">
        <v>193</v>
      </c>
      <c r="B83" s="73"/>
      <c r="C83" s="74" t="str">
        <f ca="1">K80</f>
        <v>All work completed. Please provide OC.</v>
      </c>
      <c r="D83" s="75"/>
      <c r="E83" s="75"/>
      <c r="F83" s="75"/>
      <c r="G83" s="75"/>
      <c r="H83" s="75"/>
      <c r="I83" s="75"/>
      <c r="J83" s="76"/>
      <c r="K83" s="38" t="s">
        <v>194</v>
      </c>
      <c r="L83" s="39"/>
    </row>
    <row r="84" spans="1:12" ht="15.75" hidden="1" customHeight="1" x14ac:dyDescent="0.35">
      <c r="A84" s="77" t="s">
        <v>36</v>
      </c>
      <c r="B84" s="78"/>
      <c r="C84" s="58" t="s">
        <v>195</v>
      </c>
      <c r="D84" s="79" t="s">
        <v>196</v>
      </c>
      <c r="E84" s="79"/>
      <c r="F84" s="79" t="s">
        <v>197</v>
      </c>
      <c r="G84" s="79"/>
      <c r="H84" s="79" t="s">
        <v>198</v>
      </c>
      <c r="I84" s="79"/>
      <c r="J84" s="80"/>
      <c r="K84" s="40" t="s">
        <v>199</v>
      </c>
      <c r="L84" s="41">
        <f ca="1">I81*25%</f>
        <v>1.75</v>
      </c>
    </row>
    <row r="85" spans="1:12" ht="15.75" hidden="1" customHeight="1" x14ac:dyDescent="0.35">
      <c r="A85" s="81" t="s">
        <v>200</v>
      </c>
      <c r="B85" s="82"/>
      <c r="C85" s="47">
        <f ca="1">L86</f>
        <v>7</v>
      </c>
      <c r="D85" s="83">
        <f ca="1">((100/I81)*C85)/100</f>
        <v>1</v>
      </c>
      <c r="E85" s="84"/>
      <c r="F85" s="85">
        <f ca="1">(((C86/I81*10)+(40/(D81+G81+I81)*C87)+(7.5/(I81)*C88)+(7.5/(I81)*C89)+(10/I81*C90)+(10/I81*C91)+(5/I81*C92)+(5/I81*C93)+(5/I81*C94))/100)</f>
        <v>1</v>
      </c>
      <c r="G85" s="85"/>
      <c r="H85" s="87">
        <f ca="1">((((C85/I81)*20)+((C86/I81)*25)+(30/(I81+G81+D81)*C87)+(5/I81*C88)+(5/I81*C89)+(5/I81*C90)+(5/I81*C91)+(0/I81*C92)+(0/I81*C93)+(5/I81*C94))/100)</f>
        <v>1</v>
      </c>
      <c r="I85" s="88"/>
      <c r="J85" s="89"/>
      <c r="K85" s="40" t="s">
        <v>201</v>
      </c>
      <c r="L85" s="42">
        <f ca="1">I81*50%</f>
        <v>3.5</v>
      </c>
    </row>
    <row r="86" spans="1:12" ht="15.5" hidden="1" x14ac:dyDescent="0.35">
      <c r="A86" s="81" t="s">
        <v>37</v>
      </c>
      <c r="B86" s="82"/>
      <c r="C86" s="48">
        <f ca="1">L94</f>
        <v>7</v>
      </c>
      <c r="D86" s="83">
        <f ca="1">((100/I81)*C86)/100</f>
        <v>1</v>
      </c>
      <c r="E86" s="84"/>
      <c r="F86" s="85"/>
      <c r="G86" s="85"/>
      <c r="H86" s="90"/>
      <c r="I86" s="91"/>
      <c r="J86" s="92"/>
      <c r="K86" s="40" t="s">
        <v>202</v>
      </c>
      <c r="L86" s="42">
        <f ca="1">I81</f>
        <v>7</v>
      </c>
    </row>
    <row r="87" spans="1:12" ht="15.75" hidden="1" customHeight="1" x14ac:dyDescent="0.35">
      <c r="A87" s="96" t="s">
        <v>203</v>
      </c>
      <c r="B87" s="97"/>
      <c r="C87" s="48">
        <v>8</v>
      </c>
      <c r="D87" s="83">
        <f ca="1">((100/(D81+G81+I81))*C87)/100</f>
        <v>1</v>
      </c>
      <c r="E87" s="84"/>
      <c r="F87" s="85"/>
      <c r="G87" s="85"/>
      <c r="H87" s="90"/>
      <c r="I87" s="91"/>
      <c r="J87" s="92"/>
      <c r="K87" s="40" t="s">
        <v>204</v>
      </c>
      <c r="L87" s="43">
        <f ca="1">(IF(B81&gt;1,(I81/(B81+2)),I81/4))</f>
        <v>1.75</v>
      </c>
    </row>
    <row r="88" spans="1:12" ht="15.75" hidden="1" customHeight="1" x14ac:dyDescent="0.35">
      <c r="A88" s="81" t="s">
        <v>205</v>
      </c>
      <c r="B88" s="82" t="s">
        <v>206</v>
      </c>
      <c r="C88" s="47">
        <v>7</v>
      </c>
      <c r="D88" s="83">
        <f ca="1">((100/I81)*C88)/100</f>
        <v>1</v>
      </c>
      <c r="E88" s="84"/>
      <c r="F88" s="85"/>
      <c r="G88" s="85"/>
      <c r="H88" s="90"/>
      <c r="I88" s="91"/>
      <c r="J88" s="92"/>
      <c r="K88" s="40" t="s">
        <v>207</v>
      </c>
      <c r="L88" s="43">
        <f ca="1">(IF(B81&gt;1,(I81/(B81+2)+L87),I81/4+L87))</f>
        <v>3.5</v>
      </c>
    </row>
    <row r="89" spans="1:12" ht="15.75" hidden="1" customHeight="1" x14ac:dyDescent="0.35">
      <c r="A89" s="81" t="s">
        <v>208</v>
      </c>
      <c r="B89" s="82" t="s">
        <v>206</v>
      </c>
      <c r="C89" s="47">
        <v>7</v>
      </c>
      <c r="D89" s="83">
        <f ca="1">((100/I81)*C89)/100</f>
        <v>1</v>
      </c>
      <c r="E89" s="84"/>
      <c r="F89" s="85"/>
      <c r="G89" s="85"/>
      <c r="H89" s="90"/>
      <c r="I89" s="91"/>
      <c r="J89" s="92"/>
      <c r="K89" s="40" t="s">
        <v>209</v>
      </c>
      <c r="L89" s="43">
        <f ca="1">(IF(B81&gt;1,(I81/(B81+2)+L88),0))</f>
        <v>5.25</v>
      </c>
    </row>
    <row r="90" spans="1:12" ht="15.75" hidden="1" customHeight="1" x14ac:dyDescent="0.35">
      <c r="A90" s="81" t="s">
        <v>210</v>
      </c>
      <c r="B90" s="82" t="s">
        <v>211</v>
      </c>
      <c r="C90" s="47">
        <v>7</v>
      </c>
      <c r="D90" s="83">
        <f ca="1">((100/(I81))*C90)/100</f>
        <v>1</v>
      </c>
      <c r="E90" s="84"/>
      <c r="F90" s="85"/>
      <c r="G90" s="85"/>
      <c r="H90" s="90"/>
      <c r="I90" s="91"/>
      <c r="J90" s="92"/>
      <c r="K90" s="40" t="s">
        <v>212</v>
      </c>
      <c r="L90" s="43">
        <f>(IF(B81&gt;2,(I81/(B81+2)+L89),0))</f>
        <v>0</v>
      </c>
    </row>
    <row r="91" spans="1:12" ht="15.75" hidden="1" customHeight="1" x14ac:dyDescent="0.35">
      <c r="A91" s="81" t="s">
        <v>213</v>
      </c>
      <c r="B91" s="82" t="s">
        <v>213</v>
      </c>
      <c r="C91" s="47">
        <v>7</v>
      </c>
      <c r="D91" s="83">
        <f ca="1">((100/I81)*C91)/100</f>
        <v>1</v>
      </c>
      <c r="E91" s="84"/>
      <c r="F91" s="85"/>
      <c r="G91" s="85"/>
      <c r="H91" s="90"/>
      <c r="I91" s="91"/>
      <c r="J91" s="92"/>
      <c r="K91" s="40" t="s">
        <v>214</v>
      </c>
      <c r="L91" s="44">
        <f>(IF(B81&gt;3,(I81/(B81+2)+L90),0))</f>
        <v>0</v>
      </c>
    </row>
    <row r="92" spans="1:12" ht="15" hidden="1" customHeight="1" x14ac:dyDescent="0.35">
      <c r="A92" s="81" t="s">
        <v>215</v>
      </c>
      <c r="B92" s="82"/>
      <c r="C92" s="47">
        <v>7</v>
      </c>
      <c r="D92" s="83">
        <f ca="1">((100/I81)*C92)/100</f>
        <v>1</v>
      </c>
      <c r="E92" s="84"/>
      <c r="F92" s="85"/>
      <c r="G92" s="85"/>
      <c r="H92" s="90"/>
      <c r="I92" s="91"/>
      <c r="J92" s="92"/>
      <c r="K92" s="40" t="s">
        <v>216</v>
      </c>
      <c r="L92" s="43">
        <f>(IF(B81&gt;4,(I81/(B81+2)+L91),0))</f>
        <v>0</v>
      </c>
    </row>
    <row r="93" spans="1:12" ht="15.75" hidden="1" customHeight="1" x14ac:dyDescent="0.35">
      <c r="A93" s="81" t="s">
        <v>217</v>
      </c>
      <c r="B93" s="82" t="s">
        <v>217</v>
      </c>
      <c r="C93" s="47">
        <v>7</v>
      </c>
      <c r="D93" s="83">
        <f ca="1">((100/(I81))*C93)/100</f>
        <v>1</v>
      </c>
      <c r="E93" s="84"/>
      <c r="F93" s="85"/>
      <c r="G93" s="85"/>
      <c r="H93" s="90"/>
      <c r="I93" s="91"/>
      <c r="J93" s="92"/>
      <c r="K93" s="40" t="s">
        <v>218</v>
      </c>
      <c r="L93" s="43">
        <f>(IF(B81=1,(I81/(B81+3)+L88),IF(B81=0,(I81/4+L88),IF(B81&gt;1,0))))</f>
        <v>0</v>
      </c>
    </row>
    <row r="94" spans="1:12" ht="16.5" hidden="1" customHeight="1" thickBot="1" x14ac:dyDescent="0.4">
      <c r="A94" s="60" t="s">
        <v>219</v>
      </c>
      <c r="B94" s="61"/>
      <c r="C94" s="49">
        <v>7</v>
      </c>
      <c r="D94" s="62">
        <f ca="1">((100/(I81))*C94)/100</f>
        <v>1</v>
      </c>
      <c r="E94" s="63"/>
      <c r="F94" s="86"/>
      <c r="G94" s="86"/>
      <c r="H94" s="93"/>
      <c r="I94" s="94"/>
      <c r="J94" s="95"/>
      <c r="K94" s="45" t="s">
        <v>220</v>
      </c>
      <c r="L94" s="46">
        <f ca="1">(IF(B81&gt;1.5,(I81/(B81+2)+L88+MAX(0,L89-L88)+MAX(0,L90-L89)+MAX(0,L91-L90)+MAX(0,L92-L91)+MAX(0,L93-L92)),IF(B81=1,(I81/(B81+3)+L93),IF(B81=0,I81/4+L93))))</f>
        <v>7</v>
      </c>
    </row>
    <row r="95" spans="1:12" x14ac:dyDescent="0.35">
      <c r="A95" s="149" t="s">
        <v>169</v>
      </c>
      <c r="B95" s="150"/>
      <c r="C95" s="150"/>
      <c r="D95" s="150"/>
      <c r="E95" s="150"/>
      <c r="F95" s="150"/>
      <c r="G95" s="150"/>
      <c r="H95" s="150"/>
      <c r="I95" s="150"/>
      <c r="J95" s="151"/>
    </row>
    <row r="96" spans="1:12" x14ac:dyDescent="0.35">
      <c r="A96" s="152" t="s">
        <v>50</v>
      </c>
      <c r="B96" s="153"/>
      <c r="C96" s="153"/>
      <c r="D96" s="153"/>
      <c r="E96" s="153"/>
      <c r="F96" s="153"/>
      <c r="G96" s="153"/>
      <c r="H96" s="153"/>
      <c r="I96" s="153"/>
      <c r="J96" s="154"/>
    </row>
    <row r="97" spans="1:12" ht="15" customHeight="1" x14ac:dyDescent="0.35">
      <c r="A97" s="155" t="s">
        <v>174</v>
      </c>
      <c r="B97" s="156"/>
      <c r="C97" s="156"/>
      <c r="D97" s="156"/>
      <c r="E97" s="156"/>
      <c r="F97" s="156"/>
      <c r="G97" s="156"/>
      <c r="H97" s="156"/>
      <c r="I97" s="156"/>
      <c r="J97" s="157"/>
    </row>
    <row r="98" spans="1:12" ht="15" hidden="1" customHeight="1" x14ac:dyDescent="0.35">
      <c r="A98" s="158"/>
      <c r="B98" s="159"/>
      <c r="C98" s="159"/>
      <c r="D98" s="159"/>
      <c r="E98" s="159"/>
      <c r="F98" s="159"/>
      <c r="G98" s="159"/>
      <c r="H98" s="159"/>
      <c r="I98" s="159"/>
      <c r="J98" s="160"/>
    </row>
    <row r="99" spans="1:12" ht="15" hidden="1" customHeight="1" x14ac:dyDescent="0.35">
      <c r="A99" s="158"/>
      <c r="B99" s="159"/>
      <c r="C99" s="159"/>
      <c r="D99" s="159"/>
      <c r="E99" s="159"/>
      <c r="F99" s="159"/>
      <c r="G99" s="159"/>
      <c r="H99" s="159"/>
      <c r="I99" s="159"/>
      <c r="J99" s="160"/>
    </row>
    <row r="100" spans="1:12" ht="15" hidden="1" customHeight="1" x14ac:dyDescent="0.35">
      <c r="A100" s="158"/>
      <c r="B100" s="159"/>
      <c r="C100" s="159"/>
      <c r="D100" s="159"/>
      <c r="E100" s="159"/>
      <c r="F100" s="159"/>
      <c r="G100" s="159"/>
      <c r="H100" s="159"/>
      <c r="I100" s="159"/>
      <c r="J100" s="160"/>
    </row>
    <row r="101" spans="1:12" ht="15" hidden="1" customHeight="1" x14ac:dyDescent="0.35">
      <c r="A101" s="161"/>
      <c r="B101" s="162"/>
      <c r="C101" s="162"/>
      <c r="D101" s="162"/>
      <c r="E101" s="162"/>
      <c r="F101" s="162"/>
      <c r="G101" s="162"/>
      <c r="H101" s="162"/>
      <c r="I101" s="162"/>
      <c r="J101" s="163"/>
    </row>
    <row r="102" spans="1:12" x14ac:dyDescent="0.35">
      <c r="A102" s="201" t="s">
        <v>25</v>
      </c>
      <c r="B102" s="202"/>
      <c r="C102" s="202"/>
      <c r="D102" s="202"/>
      <c r="E102" s="202"/>
      <c r="F102" s="202"/>
      <c r="G102" s="202"/>
      <c r="H102" s="202"/>
      <c r="I102" s="202"/>
      <c r="J102" s="203"/>
    </row>
    <row r="103" spans="1:12" x14ac:dyDescent="0.35">
      <c r="A103" s="152" t="s">
        <v>120</v>
      </c>
      <c r="B103" s="153"/>
      <c r="C103" s="153"/>
      <c r="D103" s="153"/>
      <c r="E103" s="153"/>
      <c r="F103" s="154"/>
      <c r="G103" s="169">
        <v>24900</v>
      </c>
      <c r="H103" s="170"/>
      <c r="I103" s="170"/>
      <c r="J103" s="171"/>
      <c r="L103">
        <f>G103/1.6</f>
        <v>15562.5</v>
      </c>
    </row>
    <row r="104" spans="1:12" ht="17.25" customHeight="1" x14ac:dyDescent="0.35">
      <c r="A104" s="152" t="s">
        <v>165</v>
      </c>
      <c r="B104" s="153"/>
      <c r="C104" s="153"/>
      <c r="D104" s="153"/>
      <c r="E104" s="153"/>
      <c r="F104" s="154"/>
      <c r="G104" s="169">
        <v>35000</v>
      </c>
      <c r="H104" s="170"/>
      <c r="I104" s="170"/>
      <c r="J104" s="171"/>
    </row>
    <row r="105" spans="1:12" ht="15" customHeight="1" x14ac:dyDescent="0.35">
      <c r="A105" s="152" t="s">
        <v>166</v>
      </c>
      <c r="B105" s="153"/>
      <c r="C105" s="153"/>
      <c r="D105" s="153"/>
      <c r="E105" s="153"/>
      <c r="F105" s="154"/>
      <c r="G105" s="169">
        <v>45000</v>
      </c>
      <c r="H105" s="170"/>
      <c r="I105" s="170"/>
      <c r="J105" s="171"/>
    </row>
    <row r="106" spans="1:12" ht="17.25" customHeight="1" x14ac:dyDescent="0.35">
      <c r="A106" s="152" t="s">
        <v>80</v>
      </c>
      <c r="B106" s="153"/>
      <c r="C106" s="153"/>
      <c r="D106" s="153"/>
      <c r="E106" s="153"/>
      <c r="F106" s="154"/>
      <c r="G106" s="166" t="s">
        <v>171</v>
      </c>
      <c r="H106" s="167"/>
      <c r="I106" s="167"/>
      <c r="J106" s="168"/>
    </row>
    <row r="107" spans="1:12" ht="15" hidden="1" customHeight="1" x14ac:dyDescent="0.35">
      <c r="A107" s="152" t="s">
        <v>76</v>
      </c>
      <c r="B107" s="153"/>
      <c r="C107" s="153"/>
      <c r="D107" s="153"/>
      <c r="E107" s="153"/>
      <c r="F107" s="154"/>
      <c r="G107" s="166" t="s">
        <v>51</v>
      </c>
      <c r="H107" s="167"/>
      <c r="I107" s="167"/>
      <c r="J107" s="168"/>
    </row>
    <row r="108" spans="1:12" hidden="1" x14ac:dyDescent="0.35">
      <c r="A108" s="152" t="s">
        <v>26</v>
      </c>
      <c r="B108" s="153"/>
      <c r="C108" s="153"/>
      <c r="D108" s="153"/>
      <c r="E108" s="153"/>
      <c r="F108" s="154"/>
      <c r="G108" s="166" t="s">
        <v>51</v>
      </c>
      <c r="H108" s="167"/>
      <c r="I108" s="167"/>
      <c r="J108" s="168"/>
    </row>
    <row r="109" spans="1:12" s="1" customFormat="1" ht="14.5" customHeight="1" x14ac:dyDescent="0.35">
      <c r="A109" s="201" t="s">
        <v>77</v>
      </c>
      <c r="B109" s="202"/>
      <c r="C109" s="202"/>
      <c r="D109" s="202"/>
      <c r="E109" s="202"/>
      <c r="F109" s="203"/>
      <c r="G109" s="169">
        <f>G103*0.8</f>
        <v>19920</v>
      </c>
      <c r="H109" s="170"/>
      <c r="I109" s="170"/>
      <c r="J109" s="171"/>
    </row>
    <row r="110" spans="1:12" s="1" customFormat="1" x14ac:dyDescent="0.35">
      <c r="A110" s="201" t="s">
        <v>27</v>
      </c>
      <c r="B110" s="202"/>
      <c r="C110" s="202"/>
      <c r="D110" s="202"/>
      <c r="E110" s="202"/>
      <c r="F110" s="202"/>
      <c r="G110" s="202"/>
      <c r="H110" s="202"/>
      <c r="I110" s="202"/>
      <c r="J110" s="203"/>
    </row>
    <row r="111" spans="1:12" x14ac:dyDescent="0.35">
      <c r="A111" s="204" t="s">
        <v>45</v>
      </c>
      <c r="B111" s="205"/>
      <c r="C111" s="205"/>
      <c r="D111" s="205"/>
      <c r="E111" s="205"/>
      <c r="F111" s="205"/>
      <c r="G111" s="205"/>
      <c r="H111" s="205"/>
      <c r="I111" s="205"/>
      <c r="J111" s="206"/>
    </row>
    <row r="112" spans="1:12" ht="42" x14ac:dyDescent="0.35">
      <c r="A112" s="132" t="s">
        <v>34</v>
      </c>
      <c r="B112" s="134"/>
      <c r="C112" s="50" t="s">
        <v>32</v>
      </c>
      <c r="D112" s="130" t="s">
        <v>79</v>
      </c>
      <c r="E112" s="131"/>
      <c r="F112" s="51" t="s">
        <v>33</v>
      </c>
      <c r="G112" s="50" t="s">
        <v>154</v>
      </c>
      <c r="H112" s="132" t="s">
        <v>151</v>
      </c>
      <c r="I112" s="133"/>
      <c r="J112" s="134"/>
    </row>
    <row r="113" spans="1:10" ht="15" x14ac:dyDescent="0.35">
      <c r="A113" s="132" t="s">
        <v>90</v>
      </c>
      <c r="B113" s="133"/>
      <c r="C113" s="133"/>
      <c r="D113" s="133"/>
      <c r="E113" s="133"/>
      <c r="F113" s="133"/>
      <c r="G113" s="133"/>
      <c r="H113" s="133"/>
      <c r="I113" s="133"/>
      <c r="J113" s="134"/>
    </row>
    <row r="114" spans="1:10" ht="19.5" customHeight="1" x14ac:dyDescent="0.35">
      <c r="A114" s="135" t="s">
        <v>91</v>
      </c>
      <c r="B114" s="135"/>
      <c r="C114" s="135"/>
      <c r="D114" s="135"/>
      <c r="E114" s="135"/>
      <c r="F114" s="135"/>
      <c r="G114" s="135"/>
      <c r="H114" s="135"/>
      <c r="I114" s="135"/>
      <c r="J114" s="135"/>
    </row>
    <row r="115" spans="1:10" ht="15.5" x14ac:dyDescent="0.35">
      <c r="A115" s="124">
        <v>1</v>
      </c>
      <c r="B115" s="126"/>
      <c r="C115" s="52" t="s">
        <v>158</v>
      </c>
      <c r="D115" s="124">
        <f>21.06*10.764</f>
        <v>226.68983999999998</v>
      </c>
      <c r="E115" s="126"/>
      <c r="F115" s="52">
        <v>0</v>
      </c>
      <c r="G115" s="52">
        <f>D115*1.6</f>
        <v>362.70374399999997</v>
      </c>
      <c r="H115" s="124" t="s">
        <v>157</v>
      </c>
      <c r="I115" s="125"/>
      <c r="J115" s="126"/>
    </row>
    <row r="116" spans="1:10" ht="15.5" x14ac:dyDescent="0.35">
      <c r="A116" s="124">
        <v>2</v>
      </c>
      <c r="B116" s="126"/>
      <c r="C116" s="52" t="s">
        <v>158</v>
      </c>
      <c r="D116" s="124">
        <f>13.71*10.764</f>
        <v>147.57444000000001</v>
      </c>
      <c r="E116" s="126"/>
      <c r="F116" s="52">
        <v>0</v>
      </c>
      <c r="G116" s="52">
        <f t="shared" ref="G116:G130" si="0">D116*1.6</f>
        <v>236.11910400000002</v>
      </c>
      <c r="H116" s="124" t="s">
        <v>157</v>
      </c>
      <c r="I116" s="125"/>
      <c r="J116" s="126"/>
    </row>
    <row r="117" spans="1:10" ht="15.5" x14ac:dyDescent="0.35">
      <c r="A117" s="124">
        <v>3</v>
      </c>
      <c r="B117" s="126"/>
      <c r="C117" s="52" t="s">
        <v>158</v>
      </c>
      <c r="D117" s="124">
        <f>13.78*10.764</f>
        <v>148.32791999999998</v>
      </c>
      <c r="E117" s="126"/>
      <c r="F117" s="52">
        <v>0</v>
      </c>
      <c r="G117" s="52">
        <f t="shared" si="0"/>
        <v>237.32467199999996</v>
      </c>
      <c r="H117" s="124" t="s">
        <v>157</v>
      </c>
      <c r="I117" s="125"/>
      <c r="J117" s="126"/>
    </row>
    <row r="118" spans="1:10" ht="15.5" x14ac:dyDescent="0.35">
      <c r="A118" s="124">
        <v>4</v>
      </c>
      <c r="B118" s="126"/>
      <c r="C118" s="52" t="s">
        <v>158</v>
      </c>
      <c r="D118" s="124">
        <f>20.63*10.764</f>
        <v>222.06131999999997</v>
      </c>
      <c r="E118" s="126"/>
      <c r="F118" s="52">
        <v>0</v>
      </c>
      <c r="G118" s="52">
        <f t="shared" si="0"/>
        <v>355.29811199999995</v>
      </c>
      <c r="H118" s="124" t="s">
        <v>157</v>
      </c>
      <c r="I118" s="125"/>
      <c r="J118" s="126"/>
    </row>
    <row r="119" spans="1:10" ht="15.5" x14ac:dyDescent="0.35">
      <c r="A119" s="124">
        <v>5</v>
      </c>
      <c r="B119" s="126"/>
      <c r="C119" s="52" t="s">
        <v>158</v>
      </c>
      <c r="D119" s="124">
        <f>41.32*10.764</f>
        <v>444.76847999999995</v>
      </c>
      <c r="E119" s="126"/>
      <c r="F119" s="52">
        <v>0</v>
      </c>
      <c r="G119" s="52">
        <f t="shared" si="0"/>
        <v>711.62956799999995</v>
      </c>
      <c r="H119" s="124" t="s">
        <v>157</v>
      </c>
      <c r="I119" s="125"/>
      <c r="J119" s="126"/>
    </row>
    <row r="120" spans="1:10" ht="15.5" x14ac:dyDescent="0.35">
      <c r="A120" s="124" t="s">
        <v>152</v>
      </c>
      <c r="B120" s="126"/>
      <c r="C120" s="52" t="s">
        <v>158</v>
      </c>
      <c r="D120" s="124">
        <f>37.59*10.764</f>
        <v>404.61876000000001</v>
      </c>
      <c r="E120" s="126"/>
      <c r="F120" s="52">
        <v>0</v>
      </c>
      <c r="G120" s="52">
        <f t="shared" si="0"/>
        <v>647.39001600000006</v>
      </c>
      <c r="H120" s="124" t="s">
        <v>157</v>
      </c>
      <c r="I120" s="125"/>
      <c r="J120" s="126"/>
    </row>
    <row r="121" spans="1:10" ht="15.5" x14ac:dyDescent="0.35">
      <c r="A121" s="124" t="s">
        <v>153</v>
      </c>
      <c r="B121" s="126"/>
      <c r="C121" s="52" t="s">
        <v>158</v>
      </c>
      <c r="D121" s="124">
        <f>40.7*10.764</f>
        <v>438.09480000000002</v>
      </c>
      <c r="E121" s="126"/>
      <c r="F121" s="52">
        <v>0</v>
      </c>
      <c r="G121" s="52">
        <f t="shared" si="0"/>
        <v>700.95168000000012</v>
      </c>
      <c r="H121" s="124" t="s">
        <v>157</v>
      </c>
      <c r="I121" s="125"/>
      <c r="J121" s="126"/>
    </row>
    <row r="122" spans="1:10" ht="31.5" customHeight="1" x14ac:dyDescent="0.35">
      <c r="A122" s="124">
        <v>10</v>
      </c>
      <c r="B122" s="126"/>
      <c r="C122" s="52" t="s">
        <v>156</v>
      </c>
      <c r="D122" s="124">
        <f>63.44*10.764+6.1*11.15*10.764</f>
        <v>1414.98162</v>
      </c>
      <c r="E122" s="126"/>
      <c r="F122" s="52">
        <v>0</v>
      </c>
      <c r="G122" s="52">
        <f t="shared" si="0"/>
        <v>2263.9705920000001</v>
      </c>
      <c r="H122" s="124" t="s">
        <v>155</v>
      </c>
      <c r="I122" s="125"/>
      <c r="J122" s="126"/>
    </row>
    <row r="123" spans="1:10" ht="32.25" customHeight="1" x14ac:dyDescent="0.35">
      <c r="A123" s="124">
        <v>11</v>
      </c>
      <c r="B123" s="126"/>
      <c r="C123" s="52" t="s">
        <v>156</v>
      </c>
      <c r="D123" s="124">
        <f>46.4*10.764+4.57*11.15*10.764</f>
        <v>1047.934602</v>
      </c>
      <c r="E123" s="126"/>
      <c r="F123" s="52">
        <v>0</v>
      </c>
      <c r="G123" s="52">
        <f t="shared" si="0"/>
        <v>1676.6953632000002</v>
      </c>
      <c r="H123" s="124" t="s">
        <v>155</v>
      </c>
      <c r="I123" s="125"/>
      <c r="J123" s="126"/>
    </row>
    <row r="124" spans="1:10" ht="32.25" customHeight="1" x14ac:dyDescent="0.35">
      <c r="A124" s="124">
        <v>12</v>
      </c>
      <c r="B124" s="126"/>
      <c r="C124" s="52" t="s">
        <v>156</v>
      </c>
      <c r="D124" s="124">
        <f>64.66*10.764+6.1*11.15*10.764</f>
        <v>1428.1136999999999</v>
      </c>
      <c r="E124" s="126"/>
      <c r="F124" s="52">
        <v>0</v>
      </c>
      <c r="G124" s="52">
        <f t="shared" si="0"/>
        <v>2284.9819199999997</v>
      </c>
      <c r="H124" s="124" t="s">
        <v>155</v>
      </c>
      <c r="I124" s="125"/>
      <c r="J124" s="126"/>
    </row>
    <row r="125" spans="1:10" ht="15.5" x14ac:dyDescent="0.35">
      <c r="A125" s="124">
        <v>13</v>
      </c>
      <c r="B125" s="126"/>
      <c r="C125" s="52" t="s">
        <v>158</v>
      </c>
      <c r="D125" s="124">
        <f>32.23*10.764</f>
        <v>346.92371999999995</v>
      </c>
      <c r="E125" s="126"/>
      <c r="F125" s="52">
        <v>0</v>
      </c>
      <c r="G125" s="52">
        <f t="shared" si="0"/>
        <v>555.07795199999998</v>
      </c>
      <c r="H125" s="124" t="s">
        <v>157</v>
      </c>
      <c r="I125" s="125"/>
      <c r="J125" s="126"/>
    </row>
    <row r="126" spans="1:10" ht="15.5" x14ac:dyDescent="0.35">
      <c r="A126" s="124">
        <v>14</v>
      </c>
      <c r="B126" s="126"/>
      <c r="C126" s="52" t="s">
        <v>158</v>
      </c>
      <c r="D126" s="124">
        <f>41.96*10.764</f>
        <v>451.65744000000001</v>
      </c>
      <c r="E126" s="126"/>
      <c r="F126" s="52">
        <v>0</v>
      </c>
      <c r="G126" s="52">
        <f t="shared" si="0"/>
        <v>722.65190400000006</v>
      </c>
      <c r="H126" s="124" t="s">
        <v>157</v>
      </c>
      <c r="I126" s="125"/>
      <c r="J126" s="126"/>
    </row>
    <row r="127" spans="1:10" ht="15.5" x14ac:dyDescent="0.35">
      <c r="A127" s="124">
        <v>15</v>
      </c>
      <c r="B127" s="126"/>
      <c r="C127" s="52" t="s">
        <v>158</v>
      </c>
      <c r="D127" s="124">
        <f>41.37*10.764</f>
        <v>445.30667999999997</v>
      </c>
      <c r="E127" s="126"/>
      <c r="F127" s="52">
        <v>0</v>
      </c>
      <c r="G127" s="52">
        <f t="shared" si="0"/>
        <v>712.49068799999998</v>
      </c>
      <c r="H127" s="124" t="s">
        <v>157</v>
      </c>
      <c r="I127" s="125"/>
      <c r="J127" s="126"/>
    </row>
    <row r="128" spans="1:10" ht="15.5" x14ac:dyDescent="0.35">
      <c r="A128" s="124">
        <v>16</v>
      </c>
      <c r="B128" s="126"/>
      <c r="C128" s="52" t="s">
        <v>158</v>
      </c>
      <c r="D128" s="124">
        <f>15.59*10.764</f>
        <v>167.81075999999999</v>
      </c>
      <c r="E128" s="126"/>
      <c r="F128" s="52">
        <v>0</v>
      </c>
      <c r="G128" s="52">
        <f t="shared" si="0"/>
        <v>268.49721599999998</v>
      </c>
      <c r="H128" s="124" t="s">
        <v>157</v>
      </c>
      <c r="I128" s="125"/>
      <c r="J128" s="126"/>
    </row>
    <row r="129" spans="1:13" ht="15.5" x14ac:dyDescent="0.35">
      <c r="A129" s="124">
        <v>17</v>
      </c>
      <c r="B129" s="126"/>
      <c r="C129" s="52" t="s">
        <v>158</v>
      </c>
      <c r="D129" s="124">
        <f>15.8*10.764</f>
        <v>170.0712</v>
      </c>
      <c r="E129" s="126"/>
      <c r="F129" s="52">
        <v>0</v>
      </c>
      <c r="G129" s="52">
        <f t="shared" si="0"/>
        <v>272.11392000000001</v>
      </c>
      <c r="H129" s="124" t="s">
        <v>157</v>
      </c>
      <c r="I129" s="125"/>
      <c r="J129" s="126"/>
    </row>
    <row r="130" spans="1:13" ht="15.5" x14ac:dyDescent="0.35">
      <c r="A130" s="124">
        <v>18</v>
      </c>
      <c r="B130" s="126"/>
      <c r="C130" s="52" t="s">
        <v>158</v>
      </c>
      <c r="D130" s="124">
        <f>17.85*10.764</f>
        <v>192.13740000000001</v>
      </c>
      <c r="E130" s="126"/>
      <c r="F130" s="52">
        <v>0</v>
      </c>
      <c r="G130" s="52">
        <f t="shared" si="0"/>
        <v>307.41984000000002</v>
      </c>
      <c r="H130" s="124" t="s">
        <v>157</v>
      </c>
      <c r="I130" s="125"/>
      <c r="J130" s="126"/>
    </row>
    <row r="131" spans="1:13" ht="15" x14ac:dyDescent="0.35">
      <c r="A131" s="127" t="s">
        <v>93</v>
      </c>
      <c r="B131" s="128"/>
      <c r="C131" s="128"/>
      <c r="D131" s="128"/>
      <c r="E131" s="128"/>
      <c r="F131" s="128"/>
      <c r="G131" s="128"/>
      <c r="H131" s="128"/>
      <c r="I131" s="128"/>
      <c r="J131" s="129"/>
    </row>
    <row r="132" spans="1:13" ht="15" x14ac:dyDescent="0.35">
      <c r="A132" s="127" t="s">
        <v>163</v>
      </c>
      <c r="B132" s="128"/>
      <c r="C132" s="128"/>
      <c r="D132" s="128"/>
      <c r="E132" s="128"/>
      <c r="F132" s="128"/>
      <c r="G132" s="128"/>
      <c r="H132" s="128"/>
      <c r="I132" s="128"/>
      <c r="J132" s="129"/>
    </row>
    <row r="133" spans="1:13" ht="15.5" x14ac:dyDescent="0.35">
      <c r="A133" s="124">
        <v>1</v>
      </c>
      <c r="B133" s="126"/>
      <c r="C133" s="52" t="s">
        <v>160</v>
      </c>
      <c r="D133" s="124">
        <f>219.77*10.764</f>
        <v>2365.60428</v>
      </c>
      <c r="E133" s="126"/>
      <c r="F133" s="52">
        <v>0</v>
      </c>
      <c r="G133" s="52">
        <f t="shared" ref="G133:G138" si="1">D133*1.6</f>
        <v>3784.966848</v>
      </c>
      <c r="H133" s="124" t="s">
        <v>99</v>
      </c>
      <c r="I133" s="125"/>
      <c r="J133" s="126"/>
    </row>
    <row r="134" spans="1:13" ht="15.5" x14ac:dyDescent="0.35">
      <c r="A134" s="124">
        <v>2</v>
      </c>
      <c r="B134" s="126"/>
      <c r="C134" s="52" t="s">
        <v>160</v>
      </c>
      <c r="D134" s="124">
        <f>54.29*10.764</f>
        <v>584.3775599999999</v>
      </c>
      <c r="E134" s="126"/>
      <c r="F134" s="52">
        <v>0</v>
      </c>
      <c r="G134" s="52">
        <f t="shared" si="1"/>
        <v>935.00409599999989</v>
      </c>
      <c r="H134" s="124" t="s">
        <v>99</v>
      </c>
      <c r="I134" s="125"/>
      <c r="J134" s="126"/>
    </row>
    <row r="135" spans="1:13" ht="15.5" x14ac:dyDescent="0.35">
      <c r="A135" s="124">
        <v>3</v>
      </c>
      <c r="B135" s="126"/>
      <c r="C135" s="52" t="s">
        <v>160</v>
      </c>
      <c r="D135" s="124">
        <f>48.27*10.764</f>
        <v>519.57827999999995</v>
      </c>
      <c r="E135" s="126"/>
      <c r="F135" s="52">
        <v>0</v>
      </c>
      <c r="G135" s="52">
        <f t="shared" si="1"/>
        <v>831.32524799999999</v>
      </c>
      <c r="H135" s="124" t="s">
        <v>99</v>
      </c>
      <c r="I135" s="125"/>
      <c r="J135" s="126"/>
      <c r="L135">
        <f>12000000/G135</f>
        <v>14434.783532521798</v>
      </c>
    </row>
    <row r="136" spans="1:13" ht="15.5" x14ac:dyDescent="0.35">
      <c r="A136" s="124">
        <v>4</v>
      </c>
      <c r="B136" s="126"/>
      <c r="C136" s="52" t="s">
        <v>160</v>
      </c>
      <c r="D136" s="124">
        <f>65.97*10.764</f>
        <v>710.10107999999991</v>
      </c>
      <c r="E136" s="126"/>
      <c r="F136" s="52">
        <v>0</v>
      </c>
      <c r="G136" s="52">
        <f t="shared" si="1"/>
        <v>1136.1617279999998</v>
      </c>
      <c r="H136" s="124" t="s">
        <v>99</v>
      </c>
      <c r="I136" s="125"/>
      <c r="J136" s="126"/>
    </row>
    <row r="137" spans="1:13" ht="15.5" x14ac:dyDescent="0.35">
      <c r="A137" s="124">
        <v>5</v>
      </c>
      <c r="B137" s="126"/>
      <c r="C137" s="52" t="s">
        <v>160</v>
      </c>
      <c r="D137" s="124">
        <f>81.42*10.764</f>
        <v>876.40487999999993</v>
      </c>
      <c r="E137" s="126"/>
      <c r="F137" s="52">
        <v>0</v>
      </c>
      <c r="G137" s="52">
        <f t="shared" si="1"/>
        <v>1402.2478080000001</v>
      </c>
      <c r="H137" s="124" t="s">
        <v>99</v>
      </c>
      <c r="I137" s="125"/>
      <c r="J137" s="126"/>
    </row>
    <row r="138" spans="1:13" ht="15.5" x14ac:dyDescent="0.35">
      <c r="A138" s="124">
        <v>6</v>
      </c>
      <c r="B138" s="126"/>
      <c r="C138" s="52" t="s">
        <v>160</v>
      </c>
      <c r="D138" s="124">
        <f>161.06*10.764</f>
        <v>1733.6498399999998</v>
      </c>
      <c r="E138" s="126"/>
      <c r="F138" s="52">
        <v>0</v>
      </c>
      <c r="G138" s="52">
        <f t="shared" si="1"/>
        <v>2773.8397439999999</v>
      </c>
      <c r="H138" s="124" t="s">
        <v>99</v>
      </c>
      <c r="I138" s="125"/>
      <c r="J138" s="126"/>
    </row>
    <row r="139" spans="1:13" ht="15" x14ac:dyDescent="0.35">
      <c r="A139" s="135" t="s">
        <v>96</v>
      </c>
      <c r="B139" s="135"/>
      <c r="C139" s="135"/>
      <c r="D139" s="135"/>
      <c r="E139" s="135"/>
      <c r="F139" s="135"/>
      <c r="G139" s="135"/>
      <c r="H139" s="135"/>
      <c r="I139" s="135"/>
      <c r="J139" s="135"/>
    </row>
    <row r="140" spans="1:13" ht="15.5" x14ac:dyDescent="0.35">
      <c r="A140" s="256">
        <v>1</v>
      </c>
      <c r="B140" s="256">
        <v>1</v>
      </c>
      <c r="C140" s="52" t="s">
        <v>95</v>
      </c>
      <c r="D140" s="256">
        <f>70.45*10.764</f>
        <v>758.32380000000001</v>
      </c>
      <c r="E140" s="256">
        <v>0</v>
      </c>
      <c r="F140" s="52">
        <v>0</v>
      </c>
      <c r="G140" s="52">
        <f>D140*1.6</f>
        <v>1213.31808</v>
      </c>
      <c r="H140" s="256" t="s">
        <v>159</v>
      </c>
      <c r="I140" s="256"/>
      <c r="J140" s="256"/>
      <c r="K140" s="57">
        <f>G140/D140</f>
        <v>1.6</v>
      </c>
      <c r="L140">
        <f>14700000/G140</f>
        <v>12115.536924991673</v>
      </c>
      <c r="M140">
        <f>18200000/G140</f>
        <v>15000.188573799212</v>
      </c>
    </row>
    <row r="141" spans="1:13" ht="15.5" x14ac:dyDescent="0.35">
      <c r="A141" s="256">
        <v>2</v>
      </c>
      <c r="B141" s="256">
        <v>2</v>
      </c>
      <c r="C141" s="52" t="s">
        <v>95</v>
      </c>
      <c r="D141" s="256">
        <f>68.67*10.764</f>
        <v>739.16387999999995</v>
      </c>
      <c r="E141" s="256">
        <v>0</v>
      </c>
      <c r="F141" s="52">
        <v>0</v>
      </c>
      <c r="G141" s="52">
        <f>D141*1.6</f>
        <v>1182.662208</v>
      </c>
      <c r="H141" s="256" t="s">
        <v>159</v>
      </c>
      <c r="I141" s="256"/>
      <c r="J141" s="256"/>
    </row>
    <row r="142" spans="1:13" ht="15.5" x14ac:dyDescent="0.35">
      <c r="A142" s="256">
        <v>3</v>
      </c>
      <c r="B142" s="256">
        <v>3</v>
      </c>
      <c r="C142" s="52" t="s">
        <v>95</v>
      </c>
      <c r="D142" s="256">
        <f>54.85*10.764</f>
        <v>590.40539999999999</v>
      </c>
      <c r="E142" s="256">
        <v>0</v>
      </c>
      <c r="F142" s="52">
        <v>0</v>
      </c>
      <c r="G142" s="52">
        <f>D142*1.6</f>
        <v>944.64864</v>
      </c>
      <c r="H142" s="256" t="s">
        <v>159</v>
      </c>
      <c r="I142" s="256"/>
      <c r="J142" s="256"/>
    </row>
    <row r="143" spans="1:13" ht="15.5" x14ac:dyDescent="0.35">
      <c r="A143" s="256">
        <v>4</v>
      </c>
      <c r="B143" s="256">
        <v>4</v>
      </c>
      <c r="C143" s="52" t="s">
        <v>95</v>
      </c>
      <c r="D143" s="256">
        <f>55.39*10.764</f>
        <v>596.21795999999995</v>
      </c>
      <c r="E143" s="256">
        <v>0</v>
      </c>
      <c r="F143" s="52">
        <v>0</v>
      </c>
      <c r="G143" s="52">
        <f>D143*1.6</f>
        <v>953.94873599999994</v>
      </c>
      <c r="H143" s="256" t="s">
        <v>159</v>
      </c>
      <c r="I143" s="256"/>
      <c r="J143" s="256"/>
    </row>
    <row r="144" spans="1:13" ht="15" x14ac:dyDescent="0.35">
      <c r="A144" s="135" t="s">
        <v>97</v>
      </c>
      <c r="B144" s="135"/>
      <c r="C144" s="135"/>
      <c r="D144" s="135"/>
      <c r="E144" s="135"/>
      <c r="F144" s="135"/>
      <c r="G144" s="135"/>
      <c r="H144" s="135"/>
      <c r="I144" s="135"/>
      <c r="J144" s="135"/>
    </row>
    <row r="145" spans="1:12" ht="15.5" x14ac:dyDescent="0.35">
      <c r="A145" s="256">
        <v>1</v>
      </c>
      <c r="B145" s="256">
        <v>1</v>
      </c>
      <c r="C145" s="52" t="s">
        <v>95</v>
      </c>
      <c r="D145" s="256">
        <f>70.45*10.764</f>
        <v>758.32380000000001</v>
      </c>
      <c r="E145" s="256">
        <v>0</v>
      </c>
      <c r="F145" s="52">
        <v>0</v>
      </c>
      <c r="G145" s="52">
        <f>D145*1.6</f>
        <v>1213.31808</v>
      </c>
      <c r="H145" s="256" t="s">
        <v>162</v>
      </c>
      <c r="I145" s="256"/>
      <c r="J145" s="256"/>
      <c r="L145">
        <f>18200000/G145</f>
        <v>15000.188573799212</v>
      </c>
    </row>
    <row r="146" spans="1:12" ht="15.5" x14ac:dyDescent="0.35">
      <c r="A146" s="256">
        <v>2</v>
      </c>
      <c r="B146" s="256">
        <v>2</v>
      </c>
      <c r="C146" s="52" t="s">
        <v>95</v>
      </c>
      <c r="D146" s="256">
        <f>68.67*10.764</f>
        <v>739.16387999999995</v>
      </c>
      <c r="E146" s="256">
        <v>0</v>
      </c>
      <c r="F146" s="52">
        <v>0</v>
      </c>
      <c r="G146" s="52">
        <f>D146*1.6</f>
        <v>1182.662208</v>
      </c>
      <c r="H146" s="256" t="s">
        <v>162</v>
      </c>
      <c r="I146" s="256"/>
      <c r="J146" s="256"/>
    </row>
    <row r="147" spans="1:12" ht="15.5" x14ac:dyDescent="0.35">
      <c r="A147" s="256">
        <v>3</v>
      </c>
      <c r="B147" s="256">
        <v>3</v>
      </c>
      <c r="C147" s="52" t="s">
        <v>95</v>
      </c>
      <c r="D147" s="256">
        <f>54.85*10.764</f>
        <v>590.40539999999999</v>
      </c>
      <c r="E147" s="256">
        <v>0</v>
      </c>
      <c r="F147" s="52">
        <v>0</v>
      </c>
      <c r="G147" s="52">
        <f>D147*1.6</f>
        <v>944.64864</v>
      </c>
      <c r="H147" s="256" t="s">
        <v>162</v>
      </c>
      <c r="I147" s="256"/>
      <c r="J147" s="256"/>
    </row>
    <row r="148" spans="1:12" ht="15.5" x14ac:dyDescent="0.35">
      <c r="A148" s="124">
        <v>4</v>
      </c>
      <c r="B148" s="126">
        <v>4</v>
      </c>
      <c r="C148" s="52" t="s">
        <v>95</v>
      </c>
      <c r="D148" s="124">
        <f>55.39*10.764</f>
        <v>596.21795999999995</v>
      </c>
      <c r="E148" s="126">
        <v>0</v>
      </c>
      <c r="F148" s="52">
        <v>0</v>
      </c>
      <c r="G148" s="52">
        <f>D148*1.6</f>
        <v>953.94873599999994</v>
      </c>
      <c r="H148" s="124" t="s">
        <v>162</v>
      </c>
      <c r="I148" s="125"/>
      <c r="J148" s="126"/>
    </row>
    <row r="149" spans="1:12" ht="15" x14ac:dyDescent="0.35">
      <c r="A149" s="127" t="s">
        <v>101</v>
      </c>
      <c r="B149" s="128"/>
      <c r="C149" s="128"/>
      <c r="D149" s="128"/>
      <c r="E149" s="128"/>
      <c r="F149" s="128"/>
      <c r="G149" s="128"/>
      <c r="H149" s="128"/>
      <c r="I149" s="128"/>
      <c r="J149" s="129"/>
    </row>
    <row r="150" spans="1:12" ht="15.5" x14ac:dyDescent="0.35">
      <c r="A150" s="124">
        <v>1</v>
      </c>
      <c r="B150" s="126">
        <v>1</v>
      </c>
      <c r="C150" s="52" t="s">
        <v>95</v>
      </c>
      <c r="D150" s="124">
        <f>70.45*10.764</f>
        <v>758.32380000000001</v>
      </c>
      <c r="E150" s="126">
        <v>0</v>
      </c>
      <c r="F150" s="52">
        <v>0</v>
      </c>
      <c r="G150" s="52">
        <f>D150*1.6</f>
        <v>1213.31808</v>
      </c>
      <c r="H150" s="124" t="s">
        <v>101</v>
      </c>
      <c r="I150" s="125" t="s">
        <v>51</v>
      </c>
      <c r="J150" s="126"/>
    </row>
    <row r="151" spans="1:12" ht="15.5" x14ac:dyDescent="0.35">
      <c r="A151" s="124">
        <v>2</v>
      </c>
      <c r="B151" s="126">
        <v>2</v>
      </c>
      <c r="C151" s="52" t="s">
        <v>95</v>
      </c>
      <c r="D151" s="124">
        <f>68.67*10.764</f>
        <v>739.16387999999995</v>
      </c>
      <c r="E151" s="126">
        <v>0</v>
      </c>
      <c r="F151" s="52">
        <v>0</v>
      </c>
      <c r="G151" s="52">
        <f>D151*1.6</f>
        <v>1182.662208</v>
      </c>
      <c r="H151" s="124" t="s">
        <v>101</v>
      </c>
      <c r="I151" s="125" t="s">
        <v>51</v>
      </c>
      <c r="J151" s="126"/>
    </row>
    <row r="152" spans="1:12" ht="15.5" x14ac:dyDescent="0.35">
      <c r="A152" s="124">
        <v>3</v>
      </c>
      <c r="B152" s="126">
        <v>3</v>
      </c>
      <c r="C152" s="52" t="s">
        <v>95</v>
      </c>
      <c r="D152" s="124">
        <f>54.85*10.764</f>
        <v>590.40539999999999</v>
      </c>
      <c r="E152" s="126">
        <v>0</v>
      </c>
      <c r="F152" s="52">
        <v>0</v>
      </c>
      <c r="G152" s="52">
        <f>D152*1.6</f>
        <v>944.64864</v>
      </c>
      <c r="H152" s="124" t="s">
        <v>101</v>
      </c>
      <c r="I152" s="125" t="s">
        <v>51</v>
      </c>
      <c r="J152" s="126"/>
    </row>
    <row r="153" spans="1:12" ht="15.5" x14ac:dyDescent="0.35">
      <c r="A153" s="124">
        <v>4</v>
      </c>
      <c r="B153" s="126">
        <v>4</v>
      </c>
      <c r="C153" s="52" t="s">
        <v>95</v>
      </c>
      <c r="D153" s="124">
        <f>55.39*10.764</f>
        <v>596.21795999999995</v>
      </c>
      <c r="E153" s="126">
        <v>0</v>
      </c>
      <c r="F153" s="52">
        <v>0</v>
      </c>
      <c r="G153" s="52">
        <f>D153*1.6</f>
        <v>953.94873599999994</v>
      </c>
      <c r="H153" s="124" t="s">
        <v>101</v>
      </c>
      <c r="I153" s="125" t="s">
        <v>51</v>
      </c>
      <c r="J153" s="126"/>
      <c r="L153">
        <f>14500000/G153</f>
        <v>15199.978209311241</v>
      </c>
    </row>
    <row r="154" spans="1:12" ht="15" x14ac:dyDescent="0.35">
      <c r="A154" s="127" t="s">
        <v>102</v>
      </c>
      <c r="B154" s="128"/>
      <c r="C154" s="128"/>
      <c r="D154" s="128"/>
      <c r="E154" s="128"/>
      <c r="F154" s="128"/>
      <c r="G154" s="128"/>
      <c r="H154" s="128"/>
      <c r="I154" s="128"/>
      <c r="J154" s="129"/>
    </row>
    <row r="155" spans="1:12" ht="15.5" x14ac:dyDescent="0.35">
      <c r="A155" s="124">
        <v>1</v>
      </c>
      <c r="B155" s="126">
        <v>1</v>
      </c>
      <c r="C155" s="52" t="s">
        <v>95</v>
      </c>
      <c r="D155" s="124">
        <f>70.45*10.764</f>
        <v>758.32380000000001</v>
      </c>
      <c r="E155" s="126">
        <v>0</v>
      </c>
      <c r="F155" s="52">
        <v>0</v>
      </c>
      <c r="G155" s="52">
        <f>D155*1.6</f>
        <v>1213.31808</v>
      </c>
      <c r="H155" s="124" t="s">
        <v>102</v>
      </c>
      <c r="I155" s="125" t="s">
        <v>51</v>
      </c>
      <c r="J155" s="126"/>
    </row>
    <row r="156" spans="1:12" ht="15.5" x14ac:dyDescent="0.35">
      <c r="A156" s="124">
        <v>2</v>
      </c>
      <c r="B156" s="126">
        <v>2</v>
      </c>
      <c r="C156" s="52" t="s">
        <v>95</v>
      </c>
      <c r="D156" s="124">
        <f>68.67*10.764</f>
        <v>739.16387999999995</v>
      </c>
      <c r="E156" s="126">
        <v>0</v>
      </c>
      <c r="F156" s="52">
        <v>0</v>
      </c>
      <c r="G156" s="52">
        <f>D156*1.6</f>
        <v>1182.662208</v>
      </c>
      <c r="H156" s="124" t="s">
        <v>102</v>
      </c>
      <c r="I156" s="125" t="s">
        <v>51</v>
      </c>
      <c r="J156" s="126"/>
    </row>
    <row r="157" spans="1:12" ht="15.5" x14ac:dyDescent="0.35">
      <c r="A157" s="124">
        <v>3</v>
      </c>
      <c r="B157" s="126">
        <v>3</v>
      </c>
      <c r="C157" s="52" t="s">
        <v>95</v>
      </c>
      <c r="D157" s="124">
        <f>54.85*10.764</f>
        <v>590.40539999999999</v>
      </c>
      <c r="E157" s="126">
        <v>0</v>
      </c>
      <c r="F157" s="52">
        <v>0</v>
      </c>
      <c r="G157" s="52">
        <f>D157*1.6</f>
        <v>944.64864</v>
      </c>
      <c r="H157" s="124" t="s">
        <v>102</v>
      </c>
      <c r="I157" s="125" t="s">
        <v>51</v>
      </c>
      <c r="J157" s="126"/>
    </row>
    <row r="158" spans="1:12" ht="15.5" x14ac:dyDescent="0.35">
      <c r="A158" s="124">
        <v>4</v>
      </c>
      <c r="B158" s="126">
        <v>4</v>
      </c>
      <c r="C158" s="52" t="s">
        <v>95</v>
      </c>
      <c r="D158" s="124">
        <f>55.39*10.764</f>
        <v>596.21795999999995</v>
      </c>
      <c r="E158" s="126">
        <v>0</v>
      </c>
      <c r="F158" s="52">
        <v>0</v>
      </c>
      <c r="G158" s="52">
        <f>D158*1.6</f>
        <v>953.94873599999994</v>
      </c>
      <c r="H158" s="124" t="s">
        <v>102</v>
      </c>
      <c r="I158" s="125" t="s">
        <v>51</v>
      </c>
      <c r="J158" s="126"/>
    </row>
    <row r="159" spans="1:12" ht="15" x14ac:dyDescent="0.35">
      <c r="A159" s="127" t="s">
        <v>103</v>
      </c>
      <c r="B159" s="128"/>
      <c r="C159" s="128"/>
      <c r="D159" s="128"/>
      <c r="E159" s="128"/>
      <c r="F159" s="128"/>
      <c r="G159" s="128"/>
      <c r="H159" s="128"/>
      <c r="I159" s="128"/>
      <c r="J159" s="129"/>
    </row>
    <row r="160" spans="1:12" ht="15.5" x14ac:dyDescent="0.35">
      <c r="A160" s="124">
        <v>1</v>
      </c>
      <c r="B160" s="126">
        <v>1</v>
      </c>
      <c r="C160" s="52" t="s">
        <v>95</v>
      </c>
      <c r="D160" s="124">
        <f>70.45*10.764</f>
        <v>758.32380000000001</v>
      </c>
      <c r="E160" s="126">
        <v>0</v>
      </c>
      <c r="F160" s="52">
        <v>0</v>
      </c>
      <c r="G160" s="52">
        <f>D160*1.6</f>
        <v>1213.31808</v>
      </c>
      <c r="H160" s="124" t="s">
        <v>103</v>
      </c>
      <c r="I160" s="125" t="s">
        <v>51</v>
      </c>
      <c r="J160" s="126"/>
    </row>
    <row r="161" spans="1:12" ht="15.5" x14ac:dyDescent="0.35">
      <c r="A161" s="124">
        <v>2</v>
      </c>
      <c r="B161" s="126">
        <v>2</v>
      </c>
      <c r="C161" s="52" t="s">
        <v>95</v>
      </c>
      <c r="D161" s="124">
        <f>68.67*10.764</f>
        <v>739.16387999999995</v>
      </c>
      <c r="E161" s="126">
        <v>0</v>
      </c>
      <c r="F161" s="52">
        <v>0</v>
      </c>
      <c r="G161" s="52">
        <f>D161*1.6</f>
        <v>1182.662208</v>
      </c>
      <c r="H161" s="124" t="s">
        <v>103</v>
      </c>
      <c r="I161" s="125" t="s">
        <v>51</v>
      </c>
      <c r="J161" s="126"/>
      <c r="L161">
        <f>14500000/G160</f>
        <v>11950.699687916956</v>
      </c>
    </row>
    <row r="162" spans="1:12" ht="15.5" x14ac:dyDescent="0.35">
      <c r="A162" s="124">
        <v>3</v>
      </c>
      <c r="B162" s="126">
        <v>3</v>
      </c>
      <c r="C162" s="52" t="s">
        <v>95</v>
      </c>
      <c r="D162" s="124">
        <f>54.85*10.764</f>
        <v>590.40539999999999</v>
      </c>
      <c r="E162" s="126">
        <v>0</v>
      </c>
      <c r="F162" s="52">
        <v>0</v>
      </c>
      <c r="G162" s="52">
        <f>D162*1.6</f>
        <v>944.64864</v>
      </c>
      <c r="H162" s="124" t="s">
        <v>103</v>
      </c>
      <c r="I162" s="125" t="s">
        <v>51</v>
      </c>
      <c r="J162" s="126"/>
    </row>
    <row r="163" spans="1:12" ht="15.5" x14ac:dyDescent="0.35">
      <c r="A163" s="124">
        <v>4</v>
      </c>
      <c r="B163" s="126">
        <v>4</v>
      </c>
      <c r="C163" s="52" t="s">
        <v>95</v>
      </c>
      <c r="D163" s="124">
        <f>55.39*10.764</f>
        <v>596.21795999999995</v>
      </c>
      <c r="E163" s="126">
        <v>0</v>
      </c>
      <c r="F163" s="52">
        <v>0</v>
      </c>
      <c r="G163" s="52">
        <f>D163*1.6</f>
        <v>953.94873599999994</v>
      </c>
      <c r="H163" s="124" t="s">
        <v>103</v>
      </c>
      <c r="I163" s="125" t="s">
        <v>51</v>
      </c>
      <c r="J163" s="126"/>
    </row>
    <row r="164" spans="1:12" ht="15" x14ac:dyDescent="0.35">
      <c r="A164" s="127" t="s">
        <v>121</v>
      </c>
      <c r="B164" s="128"/>
      <c r="C164" s="128"/>
      <c r="D164" s="128"/>
      <c r="E164" s="128"/>
      <c r="F164" s="128"/>
      <c r="G164" s="128"/>
      <c r="H164" s="128"/>
      <c r="I164" s="128"/>
      <c r="J164" s="129"/>
    </row>
    <row r="165" spans="1:12" ht="15.5" x14ac:dyDescent="0.35">
      <c r="A165" s="124">
        <v>1</v>
      </c>
      <c r="B165" s="126">
        <v>1</v>
      </c>
      <c r="C165" s="52" t="s">
        <v>95</v>
      </c>
      <c r="D165" s="124">
        <f>70.45*10.764</f>
        <v>758.32380000000001</v>
      </c>
      <c r="E165" s="126">
        <v>0</v>
      </c>
      <c r="F165" s="52">
        <v>0</v>
      </c>
      <c r="G165" s="52">
        <f>D165*1.6</f>
        <v>1213.31808</v>
      </c>
      <c r="H165" s="124" t="s">
        <v>121</v>
      </c>
      <c r="I165" s="125" t="s">
        <v>51</v>
      </c>
      <c r="J165" s="126"/>
    </row>
    <row r="166" spans="1:12" ht="15.5" x14ac:dyDescent="0.35">
      <c r="A166" s="101">
        <v>2</v>
      </c>
      <c r="B166" s="102">
        <v>2</v>
      </c>
      <c r="C166" s="8" t="s">
        <v>95</v>
      </c>
      <c r="D166" s="101">
        <f>68.67*10.764</f>
        <v>739.16387999999995</v>
      </c>
      <c r="E166" s="102">
        <v>0</v>
      </c>
      <c r="F166" s="8">
        <v>0</v>
      </c>
      <c r="G166" s="8">
        <f>D166*1.6</f>
        <v>1182.662208</v>
      </c>
      <c r="H166" s="101" t="s">
        <v>121</v>
      </c>
      <c r="I166" s="106" t="s">
        <v>51</v>
      </c>
      <c r="J166" s="102"/>
    </row>
    <row r="167" spans="1:12" ht="15.5" x14ac:dyDescent="0.35">
      <c r="A167" s="101">
        <v>3</v>
      </c>
      <c r="B167" s="102">
        <v>3</v>
      </c>
      <c r="C167" s="8" t="s">
        <v>95</v>
      </c>
      <c r="D167" s="101">
        <f>54.85*10.764</f>
        <v>590.40539999999999</v>
      </c>
      <c r="E167" s="102">
        <v>0</v>
      </c>
      <c r="F167" s="8">
        <v>0</v>
      </c>
      <c r="G167" s="8">
        <f>D167*1.6</f>
        <v>944.64864</v>
      </c>
      <c r="H167" s="101" t="s">
        <v>121</v>
      </c>
      <c r="I167" s="106" t="s">
        <v>51</v>
      </c>
      <c r="J167" s="102"/>
    </row>
    <row r="168" spans="1:12" ht="15.5" x14ac:dyDescent="0.35">
      <c r="A168" s="101">
        <v>4</v>
      </c>
      <c r="B168" s="102">
        <v>4</v>
      </c>
      <c r="C168" s="8" t="s">
        <v>95</v>
      </c>
      <c r="D168" s="101">
        <f>55.39*10.764</f>
        <v>596.21795999999995</v>
      </c>
      <c r="E168" s="102">
        <v>0</v>
      </c>
      <c r="F168" s="8">
        <v>0</v>
      </c>
      <c r="G168" s="8">
        <f>D168*1.6</f>
        <v>953.94873599999994</v>
      </c>
      <c r="H168" s="101" t="s">
        <v>121</v>
      </c>
      <c r="I168" s="106" t="s">
        <v>51</v>
      </c>
      <c r="J168" s="102"/>
    </row>
    <row r="169" spans="1:12" ht="15" x14ac:dyDescent="0.35">
      <c r="A169" s="103" t="s">
        <v>122</v>
      </c>
      <c r="B169" s="104"/>
      <c r="C169" s="104"/>
      <c r="D169" s="104"/>
      <c r="E169" s="104"/>
      <c r="F169" s="104"/>
      <c r="G169" s="104"/>
      <c r="H169" s="104"/>
      <c r="I169" s="104"/>
      <c r="J169" s="105"/>
    </row>
    <row r="170" spans="1:12" ht="15.5" x14ac:dyDescent="0.35">
      <c r="A170" s="101">
        <v>1</v>
      </c>
      <c r="B170" s="102">
        <v>1</v>
      </c>
      <c r="C170" s="8" t="s">
        <v>123</v>
      </c>
      <c r="D170" s="101">
        <f>82.83*10.764</f>
        <v>891.58211999999992</v>
      </c>
      <c r="E170" s="102">
        <v>0</v>
      </c>
      <c r="F170" s="8">
        <v>0</v>
      </c>
      <c r="G170" s="8">
        <f>D170*1.6</f>
        <v>1426.5313919999999</v>
      </c>
      <c r="H170" s="101" t="s">
        <v>122</v>
      </c>
      <c r="I170" s="106" t="s">
        <v>51</v>
      </c>
      <c r="J170" s="102"/>
    </row>
    <row r="171" spans="1:12" ht="15.5" x14ac:dyDescent="0.35">
      <c r="A171" s="101">
        <v>2</v>
      </c>
      <c r="B171" s="102">
        <v>2</v>
      </c>
      <c r="C171" s="8" t="s">
        <v>95</v>
      </c>
      <c r="D171" s="101">
        <f>55.39*10.764</f>
        <v>596.21795999999995</v>
      </c>
      <c r="E171" s="102">
        <v>0</v>
      </c>
      <c r="F171" s="8">
        <v>0</v>
      </c>
      <c r="G171" s="8">
        <f>D171*1.6</f>
        <v>953.94873599999994</v>
      </c>
      <c r="H171" s="101" t="s">
        <v>122</v>
      </c>
      <c r="I171" s="106" t="s">
        <v>51</v>
      </c>
      <c r="J171" s="102"/>
    </row>
    <row r="172" spans="1:12" ht="15" x14ac:dyDescent="0.35">
      <c r="A172" s="127" t="s">
        <v>100</v>
      </c>
      <c r="B172" s="128"/>
      <c r="C172" s="128"/>
      <c r="D172" s="128"/>
      <c r="E172" s="128"/>
      <c r="F172" s="128"/>
      <c r="G172" s="128"/>
      <c r="H172" s="128"/>
      <c r="I172" s="128"/>
      <c r="J172" s="129"/>
    </row>
    <row r="173" spans="1:12" ht="15" x14ac:dyDescent="0.35">
      <c r="A173" s="127" t="s">
        <v>99</v>
      </c>
      <c r="B173" s="128"/>
      <c r="C173" s="128"/>
      <c r="D173" s="128"/>
      <c r="E173" s="128"/>
      <c r="F173" s="128"/>
      <c r="G173" s="128"/>
      <c r="H173" s="128"/>
      <c r="I173" s="128"/>
      <c r="J173" s="129"/>
    </row>
    <row r="174" spans="1:12" ht="15.5" x14ac:dyDescent="0.35">
      <c r="A174" s="101">
        <v>1</v>
      </c>
      <c r="B174" s="102">
        <v>1</v>
      </c>
      <c r="C174" s="8" t="s">
        <v>95</v>
      </c>
      <c r="D174" s="101">
        <v>732</v>
      </c>
      <c r="E174" s="102">
        <v>0</v>
      </c>
      <c r="F174" s="8">
        <v>0</v>
      </c>
      <c r="G174" s="8">
        <f>D174*1.6</f>
        <v>1171.2</v>
      </c>
      <c r="H174" s="101" t="s">
        <v>99</v>
      </c>
      <c r="I174" s="106"/>
      <c r="J174" s="102"/>
    </row>
    <row r="175" spans="1:12" ht="15.5" x14ac:dyDescent="0.35">
      <c r="A175" s="101">
        <v>2</v>
      </c>
      <c r="B175" s="102">
        <v>2</v>
      </c>
      <c r="C175" s="8" t="s">
        <v>98</v>
      </c>
      <c r="D175" s="101">
        <v>596</v>
      </c>
      <c r="E175" s="102">
        <v>0</v>
      </c>
      <c r="F175" s="8">
        <v>0</v>
      </c>
      <c r="G175" s="8">
        <f>D175*1.6</f>
        <v>953.6</v>
      </c>
      <c r="H175" s="101" t="s">
        <v>99</v>
      </c>
      <c r="I175" s="106"/>
      <c r="J175" s="102"/>
    </row>
    <row r="176" spans="1:12" ht="15" x14ac:dyDescent="0.35">
      <c r="A176" s="103" t="s">
        <v>96</v>
      </c>
      <c r="B176" s="104"/>
      <c r="C176" s="104"/>
      <c r="D176" s="104"/>
      <c r="E176" s="104"/>
      <c r="F176" s="104"/>
      <c r="G176" s="104"/>
      <c r="H176" s="104"/>
      <c r="I176" s="104"/>
      <c r="J176" s="105"/>
    </row>
    <row r="177" spans="1:10" ht="15.5" x14ac:dyDescent="0.35">
      <c r="A177" s="101">
        <v>1</v>
      </c>
      <c r="B177" s="102">
        <v>1</v>
      </c>
      <c r="C177" s="8" t="s">
        <v>95</v>
      </c>
      <c r="D177" s="101">
        <f>65.58*10.764</f>
        <v>705.90311999999994</v>
      </c>
      <c r="E177" s="102">
        <v>0</v>
      </c>
      <c r="F177" s="8">
        <v>0</v>
      </c>
      <c r="G177" s="8">
        <f>D177*1.6</f>
        <v>1129.444992</v>
      </c>
      <c r="H177" s="101" t="s">
        <v>159</v>
      </c>
      <c r="I177" s="106"/>
      <c r="J177" s="102"/>
    </row>
    <row r="178" spans="1:10" ht="15.5" x14ac:dyDescent="0.35">
      <c r="A178" s="101">
        <v>2</v>
      </c>
      <c r="B178" s="102">
        <v>2</v>
      </c>
      <c r="C178" s="8" t="s">
        <v>95</v>
      </c>
      <c r="D178" s="101">
        <f>69.11*10.764</f>
        <v>743.90003999999999</v>
      </c>
      <c r="E178" s="102">
        <v>0</v>
      </c>
      <c r="F178" s="8">
        <v>0</v>
      </c>
      <c r="G178" s="8">
        <f>D178*1.6</f>
        <v>1190.2400640000001</v>
      </c>
      <c r="H178" s="101" t="s">
        <v>159</v>
      </c>
      <c r="I178" s="106"/>
      <c r="J178" s="102"/>
    </row>
    <row r="179" spans="1:10" ht="15.5" x14ac:dyDescent="0.35">
      <c r="A179" s="101">
        <v>3</v>
      </c>
      <c r="B179" s="102">
        <v>3</v>
      </c>
      <c r="C179" s="8" t="s">
        <v>95</v>
      </c>
      <c r="D179" s="101">
        <f>66.18*10.764</f>
        <v>712.36152000000004</v>
      </c>
      <c r="E179" s="102">
        <v>0</v>
      </c>
      <c r="F179" s="8">
        <v>0</v>
      </c>
      <c r="G179" s="8">
        <f>D179*1.6</f>
        <v>1139.7784320000001</v>
      </c>
      <c r="H179" s="101" t="s">
        <v>159</v>
      </c>
      <c r="I179" s="106"/>
      <c r="J179" s="102"/>
    </row>
    <row r="180" spans="1:10" ht="15.5" x14ac:dyDescent="0.35">
      <c r="A180" s="101">
        <v>4</v>
      </c>
      <c r="B180" s="102">
        <v>4</v>
      </c>
      <c r="C180" s="8" t="s">
        <v>95</v>
      </c>
      <c r="D180" s="101">
        <f>69.01*10.764</f>
        <v>742.82363999999995</v>
      </c>
      <c r="E180" s="102">
        <v>0</v>
      </c>
      <c r="F180" s="8">
        <v>0</v>
      </c>
      <c r="G180" s="8">
        <f>D180*1.6</f>
        <v>1188.517824</v>
      </c>
      <c r="H180" s="101" t="s">
        <v>159</v>
      </c>
      <c r="I180" s="106"/>
      <c r="J180" s="102"/>
    </row>
    <row r="181" spans="1:10" ht="15" x14ac:dyDescent="0.35">
      <c r="A181" s="103" t="s">
        <v>97</v>
      </c>
      <c r="B181" s="104"/>
      <c r="C181" s="104"/>
      <c r="D181" s="104"/>
      <c r="E181" s="104"/>
      <c r="F181" s="104"/>
      <c r="G181" s="104"/>
      <c r="H181" s="104"/>
      <c r="I181" s="104"/>
      <c r="J181" s="105"/>
    </row>
    <row r="182" spans="1:10" ht="15.5" x14ac:dyDescent="0.35">
      <c r="A182" s="101">
        <v>1</v>
      </c>
      <c r="B182" s="102">
        <v>1</v>
      </c>
      <c r="C182" s="8" t="s">
        <v>95</v>
      </c>
      <c r="D182" s="101">
        <f>65.58*10.764</f>
        <v>705.90311999999994</v>
      </c>
      <c r="E182" s="102">
        <v>0</v>
      </c>
      <c r="F182" s="8">
        <v>0</v>
      </c>
      <c r="G182" s="8">
        <f>D182*1.6</f>
        <v>1129.444992</v>
      </c>
      <c r="H182" s="101" t="s">
        <v>162</v>
      </c>
      <c r="I182" s="106"/>
      <c r="J182" s="102"/>
    </row>
    <row r="183" spans="1:10" ht="15.5" x14ac:dyDescent="0.35">
      <c r="A183" s="101">
        <v>2</v>
      </c>
      <c r="B183" s="102">
        <v>2</v>
      </c>
      <c r="C183" s="8" t="s">
        <v>95</v>
      </c>
      <c r="D183" s="101">
        <f>69.11*10.764</f>
        <v>743.90003999999999</v>
      </c>
      <c r="E183" s="102">
        <v>0</v>
      </c>
      <c r="F183" s="8">
        <v>0</v>
      </c>
      <c r="G183" s="8">
        <f>D183*1.6</f>
        <v>1190.2400640000001</v>
      </c>
      <c r="H183" s="101" t="s">
        <v>162</v>
      </c>
      <c r="I183" s="106"/>
      <c r="J183" s="102"/>
    </row>
    <row r="184" spans="1:10" ht="15.5" x14ac:dyDescent="0.35">
      <c r="A184" s="101">
        <v>3</v>
      </c>
      <c r="B184" s="102">
        <v>3</v>
      </c>
      <c r="C184" s="8" t="s">
        <v>95</v>
      </c>
      <c r="D184" s="101">
        <f>66.18*10.764</f>
        <v>712.36152000000004</v>
      </c>
      <c r="E184" s="102">
        <v>0</v>
      </c>
      <c r="F184" s="8">
        <v>0</v>
      </c>
      <c r="G184" s="8">
        <f>D184*1.6</f>
        <v>1139.7784320000001</v>
      </c>
      <c r="H184" s="101" t="s">
        <v>162</v>
      </c>
      <c r="I184" s="106"/>
      <c r="J184" s="102"/>
    </row>
    <row r="185" spans="1:10" ht="15.5" x14ac:dyDescent="0.35">
      <c r="A185" s="101">
        <v>4</v>
      </c>
      <c r="B185" s="102">
        <v>4</v>
      </c>
      <c r="C185" s="8" t="s">
        <v>95</v>
      </c>
      <c r="D185" s="101">
        <f>69.01*10.764</f>
        <v>742.82363999999995</v>
      </c>
      <c r="E185" s="102">
        <v>0</v>
      </c>
      <c r="F185" s="8">
        <v>0</v>
      </c>
      <c r="G185" s="8">
        <f>D185*1.6</f>
        <v>1188.517824</v>
      </c>
      <c r="H185" s="101" t="s">
        <v>162</v>
      </c>
      <c r="I185" s="106"/>
      <c r="J185" s="102"/>
    </row>
    <row r="186" spans="1:10" ht="15" x14ac:dyDescent="0.35">
      <c r="A186" s="103" t="s">
        <v>101</v>
      </c>
      <c r="B186" s="104"/>
      <c r="C186" s="104"/>
      <c r="D186" s="104"/>
      <c r="E186" s="104"/>
      <c r="F186" s="104"/>
      <c r="G186" s="104"/>
      <c r="H186" s="104"/>
      <c r="I186" s="104"/>
      <c r="J186" s="105"/>
    </row>
    <row r="187" spans="1:10" ht="15.5" x14ac:dyDescent="0.35">
      <c r="A187" s="101">
        <v>1</v>
      </c>
      <c r="B187" s="102">
        <v>1</v>
      </c>
      <c r="C187" s="8" t="s">
        <v>95</v>
      </c>
      <c r="D187" s="101">
        <f>65.58*10.764</f>
        <v>705.90311999999994</v>
      </c>
      <c r="E187" s="102">
        <v>0</v>
      </c>
      <c r="F187" s="8">
        <v>0</v>
      </c>
      <c r="G187" s="8">
        <f>D187*1.6</f>
        <v>1129.444992</v>
      </c>
      <c r="H187" s="101" t="s">
        <v>101</v>
      </c>
      <c r="I187" s="106" t="s">
        <v>51</v>
      </c>
      <c r="J187" s="102"/>
    </row>
    <row r="188" spans="1:10" ht="15.5" x14ac:dyDescent="0.35">
      <c r="A188" s="101">
        <v>2</v>
      </c>
      <c r="B188" s="102">
        <v>2</v>
      </c>
      <c r="C188" s="8" t="s">
        <v>95</v>
      </c>
      <c r="D188" s="101">
        <f>69.11*10.764</f>
        <v>743.90003999999999</v>
      </c>
      <c r="E188" s="102">
        <v>0</v>
      </c>
      <c r="F188" s="8">
        <v>0</v>
      </c>
      <c r="G188" s="8">
        <f>D188*1.6</f>
        <v>1190.2400640000001</v>
      </c>
      <c r="H188" s="101" t="s">
        <v>101</v>
      </c>
      <c r="I188" s="106" t="s">
        <v>51</v>
      </c>
      <c r="J188" s="102"/>
    </row>
    <row r="189" spans="1:10" ht="15.5" x14ac:dyDescent="0.35">
      <c r="A189" s="101">
        <v>3</v>
      </c>
      <c r="B189" s="102">
        <v>3</v>
      </c>
      <c r="C189" s="8" t="s">
        <v>95</v>
      </c>
      <c r="D189" s="101">
        <f>66.18*10.764</f>
        <v>712.36152000000004</v>
      </c>
      <c r="E189" s="102">
        <v>0</v>
      </c>
      <c r="F189" s="8">
        <v>0</v>
      </c>
      <c r="G189" s="8">
        <f>D189*1.6</f>
        <v>1139.7784320000001</v>
      </c>
      <c r="H189" s="101" t="s">
        <v>101</v>
      </c>
      <c r="I189" s="106" t="s">
        <v>51</v>
      </c>
      <c r="J189" s="102"/>
    </row>
    <row r="190" spans="1:10" ht="15.5" x14ac:dyDescent="0.35">
      <c r="A190" s="101">
        <v>4</v>
      </c>
      <c r="B190" s="102">
        <v>4</v>
      </c>
      <c r="C190" s="8" t="s">
        <v>95</v>
      </c>
      <c r="D190" s="101">
        <f>70.88*10.764</f>
        <v>762.95231999999987</v>
      </c>
      <c r="E190" s="102">
        <v>0</v>
      </c>
      <c r="F190" s="8">
        <v>0</v>
      </c>
      <c r="G190" s="8">
        <f>D190*1.6</f>
        <v>1220.7237119999998</v>
      </c>
      <c r="H190" s="101" t="s">
        <v>101</v>
      </c>
      <c r="I190" s="106" t="s">
        <v>51</v>
      </c>
      <c r="J190" s="102"/>
    </row>
    <row r="191" spans="1:10" ht="15" x14ac:dyDescent="0.35">
      <c r="A191" s="103" t="s">
        <v>102</v>
      </c>
      <c r="B191" s="104"/>
      <c r="C191" s="104"/>
      <c r="D191" s="104"/>
      <c r="E191" s="104"/>
      <c r="F191" s="104"/>
      <c r="G191" s="104"/>
      <c r="H191" s="104"/>
      <c r="I191" s="104"/>
      <c r="J191" s="105"/>
    </row>
    <row r="192" spans="1:10" ht="15.5" x14ac:dyDescent="0.35">
      <c r="A192" s="101">
        <v>1</v>
      </c>
      <c r="B192" s="102">
        <v>1</v>
      </c>
      <c r="C192" s="8" t="s">
        <v>95</v>
      </c>
      <c r="D192" s="101">
        <f>65.58*10.764</f>
        <v>705.90311999999994</v>
      </c>
      <c r="E192" s="102">
        <v>0</v>
      </c>
      <c r="F192" s="8">
        <v>0</v>
      </c>
      <c r="G192" s="8">
        <f>D192*1.6</f>
        <v>1129.444992</v>
      </c>
      <c r="H192" s="101" t="s">
        <v>102</v>
      </c>
      <c r="I192" s="106" t="s">
        <v>51</v>
      </c>
      <c r="J192" s="102"/>
    </row>
    <row r="193" spans="1:10" ht="15.5" x14ac:dyDescent="0.35">
      <c r="A193" s="101">
        <v>2</v>
      </c>
      <c r="B193" s="102">
        <v>2</v>
      </c>
      <c r="C193" s="8" t="s">
        <v>95</v>
      </c>
      <c r="D193" s="101">
        <f>69.11*10.764</f>
        <v>743.90003999999999</v>
      </c>
      <c r="E193" s="102">
        <v>0</v>
      </c>
      <c r="F193" s="8">
        <v>0</v>
      </c>
      <c r="G193" s="8">
        <f>D193*1.6</f>
        <v>1190.2400640000001</v>
      </c>
      <c r="H193" s="101" t="s">
        <v>102</v>
      </c>
      <c r="I193" s="106" t="s">
        <v>51</v>
      </c>
      <c r="J193" s="102"/>
    </row>
    <row r="194" spans="1:10" ht="15.5" x14ac:dyDescent="0.35">
      <c r="A194" s="101">
        <v>3</v>
      </c>
      <c r="B194" s="102">
        <v>3</v>
      </c>
      <c r="C194" s="8" t="s">
        <v>95</v>
      </c>
      <c r="D194" s="101">
        <f>66.18*10.764</f>
        <v>712.36152000000004</v>
      </c>
      <c r="E194" s="102">
        <v>0</v>
      </c>
      <c r="F194" s="8">
        <v>0</v>
      </c>
      <c r="G194" s="8">
        <f>D194*1.6</f>
        <v>1139.7784320000001</v>
      </c>
      <c r="H194" s="101" t="s">
        <v>102</v>
      </c>
      <c r="I194" s="106" t="s">
        <v>51</v>
      </c>
      <c r="J194" s="102"/>
    </row>
    <row r="195" spans="1:10" ht="15.5" x14ac:dyDescent="0.35">
      <c r="A195" s="101">
        <v>4</v>
      </c>
      <c r="B195" s="102">
        <v>4</v>
      </c>
      <c r="C195" s="8" t="s">
        <v>95</v>
      </c>
      <c r="D195" s="101">
        <f>70.88*10.764</f>
        <v>762.95231999999987</v>
      </c>
      <c r="E195" s="102">
        <v>0</v>
      </c>
      <c r="F195" s="8">
        <v>0</v>
      </c>
      <c r="G195" s="8">
        <f>D195*1.6</f>
        <v>1220.7237119999998</v>
      </c>
      <c r="H195" s="101" t="s">
        <v>102</v>
      </c>
      <c r="I195" s="106" t="s">
        <v>51</v>
      </c>
      <c r="J195" s="102"/>
    </row>
    <row r="196" spans="1:10" ht="15" x14ac:dyDescent="0.35">
      <c r="A196" s="103" t="s">
        <v>103</v>
      </c>
      <c r="B196" s="104"/>
      <c r="C196" s="104"/>
      <c r="D196" s="104"/>
      <c r="E196" s="104"/>
      <c r="F196" s="104"/>
      <c r="G196" s="104"/>
      <c r="H196" s="104"/>
      <c r="I196" s="104"/>
      <c r="J196" s="105"/>
    </row>
    <row r="197" spans="1:10" ht="15.5" x14ac:dyDescent="0.35">
      <c r="A197" s="101">
        <v>1</v>
      </c>
      <c r="B197" s="102">
        <v>1</v>
      </c>
      <c r="C197" s="8" t="s">
        <v>95</v>
      </c>
      <c r="D197" s="101">
        <f>65.58*10.764</f>
        <v>705.90311999999994</v>
      </c>
      <c r="E197" s="102">
        <v>0</v>
      </c>
      <c r="F197" s="8">
        <v>0</v>
      </c>
      <c r="G197" s="8">
        <f>D197*1.6</f>
        <v>1129.444992</v>
      </c>
      <c r="H197" s="101" t="s">
        <v>103</v>
      </c>
      <c r="I197" s="106" t="s">
        <v>51</v>
      </c>
      <c r="J197" s="102"/>
    </row>
    <row r="198" spans="1:10" ht="15.5" x14ac:dyDescent="0.35">
      <c r="A198" s="101">
        <v>2</v>
      </c>
      <c r="B198" s="102">
        <v>2</v>
      </c>
      <c r="C198" s="8" t="s">
        <v>95</v>
      </c>
      <c r="D198" s="101">
        <f>69.11*10.764</f>
        <v>743.90003999999999</v>
      </c>
      <c r="E198" s="102">
        <v>0</v>
      </c>
      <c r="F198" s="8">
        <v>0</v>
      </c>
      <c r="G198" s="8">
        <f>D198*1.6</f>
        <v>1190.2400640000001</v>
      </c>
      <c r="H198" s="101" t="s">
        <v>103</v>
      </c>
      <c r="I198" s="106" t="s">
        <v>51</v>
      </c>
      <c r="J198" s="102"/>
    </row>
    <row r="199" spans="1:10" ht="15.5" x14ac:dyDescent="0.35">
      <c r="A199" s="101">
        <v>3</v>
      </c>
      <c r="B199" s="102">
        <v>3</v>
      </c>
      <c r="C199" s="8" t="s">
        <v>95</v>
      </c>
      <c r="D199" s="101">
        <f>66.18*10.764</f>
        <v>712.36152000000004</v>
      </c>
      <c r="E199" s="102">
        <v>0</v>
      </c>
      <c r="F199" s="8">
        <v>0</v>
      </c>
      <c r="G199" s="8">
        <f>D199*1.6</f>
        <v>1139.7784320000001</v>
      </c>
      <c r="H199" s="101" t="s">
        <v>103</v>
      </c>
      <c r="I199" s="106" t="s">
        <v>51</v>
      </c>
      <c r="J199" s="102"/>
    </row>
    <row r="200" spans="1:10" ht="15.5" x14ac:dyDescent="0.35">
      <c r="A200" s="101">
        <v>4</v>
      </c>
      <c r="B200" s="102">
        <v>4</v>
      </c>
      <c r="C200" s="8" t="s">
        <v>95</v>
      </c>
      <c r="D200" s="101">
        <f>70.88*10.764</f>
        <v>762.95231999999987</v>
      </c>
      <c r="E200" s="102">
        <v>0</v>
      </c>
      <c r="F200" s="8">
        <v>0</v>
      </c>
      <c r="G200" s="8">
        <f>D200*1.6</f>
        <v>1220.7237119999998</v>
      </c>
      <c r="H200" s="101" t="s">
        <v>103</v>
      </c>
      <c r="I200" s="106" t="s">
        <v>51</v>
      </c>
      <c r="J200" s="102"/>
    </row>
    <row r="201" spans="1:10" ht="15" x14ac:dyDescent="0.35">
      <c r="A201" s="103" t="s">
        <v>121</v>
      </c>
      <c r="B201" s="104"/>
      <c r="C201" s="104"/>
      <c r="D201" s="104"/>
      <c r="E201" s="104"/>
      <c r="F201" s="104"/>
      <c r="G201" s="104"/>
      <c r="H201" s="104"/>
      <c r="I201" s="104"/>
      <c r="J201" s="105"/>
    </row>
    <row r="202" spans="1:10" ht="15.5" x14ac:dyDescent="0.35">
      <c r="A202" s="101">
        <v>1</v>
      </c>
      <c r="B202" s="102">
        <v>1</v>
      </c>
      <c r="C202" s="8" t="s">
        <v>95</v>
      </c>
      <c r="D202" s="101">
        <f>65.58*10.764</f>
        <v>705.90311999999994</v>
      </c>
      <c r="E202" s="102">
        <v>0</v>
      </c>
      <c r="F202" s="8">
        <v>0</v>
      </c>
      <c r="G202" s="8">
        <f>D202*1.6</f>
        <v>1129.444992</v>
      </c>
      <c r="H202" s="101" t="s">
        <v>121</v>
      </c>
      <c r="I202" s="106" t="s">
        <v>51</v>
      </c>
      <c r="J202" s="102"/>
    </row>
    <row r="203" spans="1:10" ht="15.5" x14ac:dyDescent="0.35">
      <c r="A203" s="101">
        <v>2</v>
      </c>
      <c r="B203" s="102">
        <v>2</v>
      </c>
      <c r="C203" s="8" t="s">
        <v>95</v>
      </c>
      <c r="D203" s="101">
        <f>69.11*10.764</f>
        <v>743.90003999999999</v>
      </c>
      <c r="E203" s="102">
        <v>0</v>
      </c>
      <c r="F203" s="8">
        <v>0</v>
      </c>
      <c r="G203" s="8">
        <f>D203*1.6</f>
        <v>1190.2400640000001</v>
      </c>
      <c r="H203" s="101" t="s">
        <v>121</v>
      </c>
      <c r="I203" s="106" t="s">
        <v>51</v>
      </c>
      <c r="J203" s="102"/>
    </row>
    <row r="204" spans="1:10" ht="15.5" x14ac:dyDescent="0.35">
      <c r="A204" s="101">
        <v>3</v>
      </c>
      <c r="B204" s="102">
        <v>3</v>
      </c>
      <c r="C204" s="8" t="s">
        <v>95</v>
      </c>
      <c r="D204" s="101">
        <f>66.18*10.764</f>
        <v>712.36152000000004</v>
      </c>
      <c r="E204" s="102">
        <v>0</v>
      </c>
      <c r="F204" s="8">
        <v>0</v>
      </c>
      <c r="G204" s="8">
        <f>D204*1.6</f>
        <v>1139.7784320000001</v>
      </c>
      <c r="H204" s="101" t="s">
        <v>121</v>
      </c>
      <c r="I204" s="106" t="s">
        <v>51</v>
      </c>
      <c r="J204" s="102"/>
    </row>
    <row r="205" spans="1:10" ht="15.5" x14ac:dyDescent="0.35">
      <c r="A205" s="101">
        <v>4</v>
      </c>
      <c r="B205" s="102">
        <v>4</v>
      </c>
      <c r="C205" s="8" t="s">
        <v>95</v>
      </c>
      <c r="D205" s="101">
        <f>70.88*10.764</f>
        <v>762.95231999999987</v>
      </c>
      <c r="E205" s="102">
        <v>0</v>
      </c>
      <c r="F205" s="8">
        <v>0</v>
      </c>
      <c r="G205" s="8">
        <f>D205*1.6</f>
        <v>1220.7237119999998</v>
      </c>
      <c r="H205" s="101" t="s">
        <v>121</v>
      </c>
      <c r="I205" s="106" t="s">
        <v>51</v>
      </c>
      <c r="J205" s="102"/>
    </row>
    <row r="206" spans="1:10" ht="15" x14ac:dyDescent="0.35">
      <c r="A206" s="103" t="s">
        <v>94</v>
      </c>
      <c r="B206" s="104"/>
      <c r="C206" s="104"/>
      <c r="D206" s="104"/>
      <c r="E206" s="104"/>
      <c r="F206" s="104"/>
      <c r="G206" s="104"/>
      <c r="H206" s="104"/>
      <c r="I206" s="104"/>
      <c r="J206" s="105"/>
    </row>
    <row r="207" spans="1:10" ht="15" x14ac:dyDescent="0.35">
      <c r="A207" s="121" t="s">
        <v>164</v>
      </c>
      <c r="B207" s="122"/>
      <c r="C207" s="122"/>
      <c r="D207" s="122"/>
      <c r="E207" s="122"/>
      <c r="F207" s="122"/>
      <c r="G207" s="122"/>
      <c r="H207" s="122"/>
      <c r="I207" s="122"/>
      <c r="J207" s="123"/>
    </row>
    <row r="208" spans="1:10" ht="15.5" x14ac:dyDescent="0.35">
      <c r="A208" s="101">
        <v>1</v>
      </c>
      <c r="B208" s="102">
        <v>1</v>
      </c>
      <c r="C208" s="8" t="s">
        <v>92</v>
      </c>
      <c r="D208" s="101">
        <f>25.46*10.764</f>
        <v>274.05144000000001</v>
      </c>
      <c r="E208" s="102">
        <v>0</v>
      </c>
      <c r="F208" s="8">
        <v>0</v>
      </c>
      <c r="G208" s="8">
        <f>D208*1.5</f>
        <v>411.07716000000005</v>
      </c>
      <c r="H208" s="101" t="s">
        <v>157</v>
      </c>
      <c r="I208" s="106"/>
      <c r="J208" s="102"/>
    </row>
    <row r="209" spans="1:10" ht="15.5" x14ac:dyDescent="0.35">
      <c r="A209" s="101">
        <v>2</v>
      </c>
      <c r="B209" s="102">
        <v>2</v>
      </c>
      <c r="C209" s="8" t="s">
        <v>92</v>
      </c>
      <c r="D209" s="101">
        <f>25.46*10.764</f>
        <v>274.05144000000001</v>
      </c>
      <c r="E209" s="102">
        <v>0</v>
      </c>
      <c r="F209" s="8">
        <v>0</v>
      </c>
      <c r="G209" s="8">
        <f>D209*1.5</f>
        <v>411.07716000000005</v>
      </c>
      <c r="H209" s="101" t="s">
        <v>157</v>
      </c>
      <c r="I209" s="106"/>
      <c r="J209" s="102"/>
    </row>
    <row r="210" spans="1:10" ht="15.5" x14ac:dyDescent="0.35">
      <c r="A210" s="101">
        <v>3</v>
      </c>
      <c r="B210" s="102">
        <v>3</v>
      </c>
      <c r="C210" s="8" t="s">
        <v>92</v>
      </c>
      <c r="D210" s="101">
        <f>25.04*10.764</f>
        <v>269.53055999999998</v>
      </c>
      <c r="E210" s="102">
        <v>0</v>
      </c>
      <c r="F210" s="8">
        <v>0</v>
      </c>
      <c r="G210" s="8">
        <f>D210*1.5</f>
        <v>404.29584</v>
      </c>
      <c r="H210" s="101" t="s">
        <v>157</v>
      </c>
      <c r="I210" s="106"/>
      <c r="J210" s="102"/>
    </row>
    <row r="211" spans="1:10" ht="15.5" x14ac:dyDescent="0.35">
      <c r="A211" s="101">
        <v>4</v>
      </c>
      <c r="B211" s="102">
        <v>4</v>
      </c>
      <c r="C211" s="8" t="s">
        <v>92</v>
      </c>
      <c r="D211" s="101">
        <f>25.04*10.764</f>
        <v>269.53055999999998</v>
      </c>
      <c r="E211" s="102">
        <v>0</v>
      </c>
      <c r="F211" s="8">
        <v>0</v>
      </c>
      <c r="G211" s="8">
        <f>D211*1.5</f>
        <v>404.29584</v>
      </c>
      <c r="H211" s="101" t="s">
        <v>157</v>
      </c>
      <c r="I211" s="106"/>
      <c r="J211" s="102"/>
    </row>
    <row r="212" spans="1:10" ht="15" x14ac:dyDescent="0.35">
      <c r="A212" s="103" t="s">
        <v>99</v>
      </c>
      <c r="B212" s="104"/>
      <c r="C212" s="104"/>
      <c r="D212" s="104"/>
      <c r="E212" s="104"/>
      <c r="F212" s="104"/>
      <c r="G212" s="104"/>
      <c r="H212" s="104"/>
      <c r="I212" s="104"/>
      <c r="J212" s="105"/>
    </row>
    <row r="213" spans="1:10" ht="15.5" x14ac:dyDescent="0.35">
      <c r="A213" s="101">
        <v>1</v>
      </c>
      <c r="B213" s="102">
        <v>1</v>
      </c>
      <c r="C213" s="8" t="s">
        <v>95</v>
      </c>
      <c r="D213" s="101">
        <f>66.6*10.764</f>
        <v>716.88239999999985</v>
      </c>
      <c r="E213" s="102">
        <v>0</v>
      </c>
      <c r="F213" s="8">
        <v>0</v>
      </c>
      <c r="G213" s="8">
        <f>D213*1.6</f>
        <v>1147.0118399999999</v>
      </c>
      <c r="H213" s="101" t="s">
        <v>99</v>
      </c>
      <c r="I213" s="106"/>
      <c r="J213" s="102"/>
    </row>
    <row r="214" spans="1:10" ht="15.5" x14ac:dyDescent="0.35">
      <c r="A214" s="101">
        <v>2</v>
      </c>
      <c r="B214" s="102">
        <v>2</v>
      </c>
      <c r="C214" s="8" t="s">
        <v>161</v>
      </c>
      <c r="D214" s="101">
        <f>68.7*10.764</f>
        <v>739.48680000000002</v>
      </c>
      <c r="E214" s="102">
        <v>0</v>
      </c>
      <c r="F214" s="8">
        <v>0</v>
      </c>
      <c r="G214" s="8">
        <f>D214*1.6</f>
        <v>1183.1788800000002</v>
      </c>
      <c r="H214" s="101" t="s">
        <v>99</v>
      </c>
      <c r="I214" s="106"/>
      <c r="J214" s="102"/>
    </row>
    <row r="215" spans="1:10" ht="15" x14ac:dyDescent="0.35">
      <c r="A215" s="103" t="s">
        <v>96</v>
      </c>
      <c r="B215" s="104"/>
      <c r="C215" s="104"/>
      <c r="D215" s="104"/>
      <c r="E215" s="104"/>
      <c r="F215" s="104"/>
      <c r="G215" s="104"/>
      <c r="H215" s="104"/>
      <c r="I215" s="104"/>
      <c r="J215" s="105"/>
    </row>
    <row r="216" spans="1:10" ht="15.5" x14ac:dyDescent="0.35">
      <c r="A216" s="101">
        <v>1</v>
      </c>
      <c r="B216" s="102">
        <v>1</v>
      </c>
      <c r="C216" s="8" t="s">
        <v>95</v>
      </c>
      <c r="D216" s="101">
        <f>66.6*10.764</f>
        <v>716.88239999999985</v>
      </c>
      <c r="E216" s="102">
        <v>0</v>
      </c>
      <c r="F216" s="8">
        <v>0</v>
      </c>
      <c r="G216" s="8">
        <f>D216*1.6</f>
        <v>1147.0118399999999</v>
      </c>
      <c r="H216" s="101" t="s">
        <v>159</v>
      </c>
      <c r="I216" s="106"/>
      <c r="J216" s="102"/>
    </row>
    <row r="217" spans="1:10" ht="15.5" x14ac:dyDescent="0.35">
      <c r="A217" s="101">
        <v>2</v>
      </c>
      <c r="B217" s="102">
        <v>2</v>
      </c>
      <c r="C217" s="8" t="s">
        <v>161</v>
      </c>
      <c r="D217" s="101">
        <f>68.7*10.764</f>
        <v>739.48680000000002</v>
      </c>
      <c r="E217" s="102">
        <v>0</v>
      </c>
      <c r="F217" s="8">
        <v>0</v>
      </c>
      <c r="G217" s="8">
        <f>D217*1.6</f>
        <v>1183.1788800000002</v>
      </c>
      <c r="H217" s="101" t="s">
        <v>159</v>
      </c>
      <c r="I217" s="106"/>
      <c r="J217" s="102"/>
    </row>
    <row r="218" spans="1:10" ht="15" x14ac:dyDescent="0.35">
      <c r="A218" s="103" t="s">
        <v>97</v>
      </c>
      <c r="B218" s="104"/>
      <c r="C218" s="104"/>
      <c r="D218" s="104"/>
      <c r="E218" s="104"/>
      <c r="F218" s="104"/>
      <c r="G218" s="104"/>
      <c r="H218" s="104"/>
      <c r="I218" s="104"/>
      <c r="J218" s="105"/>
    </row>
    <row r="219" spans="1:10" ht="15.5" x14ac:dyDescent="0.35">
      <c r="A219" s="101">
        <v>1</v>
      </c>
      <c r="B219" s="102">
        <v>1</v>
      </c>
      <c r="C219" s="8" t="s">
        <v>95</v>
      </c>
      <c r="D219" s="101">
        <f>66.6*10.764</f>
        <v>716.88239999999985</v>
      </c>
      <c r="E219" s="102">
        <v>0</v>
      </c>
      <c r="F219" s="8">
        <v>0</v>
      </c>
      <c r="G219" s="8">
        <f>D219*1.6</f>
        <v>1147.0118399999999</v>
      </c>
      <c r="H219" s="101" t="s">
        <v>162</v>
      </c>
      <c r="I219" s="106"/>
      <c r="J219" s="102"/>
    </row>
    <row r="220" spans="1:10" ht="15.5" x14ac:dyDescent="0.35">
      <c r="A220" s="101">
        <v>2</v>
      </c>
      <c r="B220" s="102">
        <v>2</v>
      </c>
      <c r="C220" s="8" t="s">
        <v>161</v>
      </c>
      <c r="D220" s="101">
        <f>68.7*10.764</f>
        <v>739.48680000000002</v>
      </c>
      <c r="E220" s="102">
        <v>0</v>
      </c>
      <c r="F220" s="8">
        <v>0</v>
      </c>
      <c r="G220" s="8">
        <f>D220*1.6</f>
        <v>1183.1788800000002</v>
      </c>
      <c r="H220" s="101" t="s">
        <v>162</v>
      </c>
      <c r="I220" s="106"/>
      <c r="J220" s="102"/>
    </row>
    <row r="221" spans="1:10" ht="15" x14ac:dyDescent="0.35">
      <c r="A221" s="103" t="s">
        <v>101</v>
      </c>
      <c r="B221" s="104"/>
      <c r="C221" s="104"/>
      <c r="D221" s="104"/>
      <c r="E221" s="104"/>
      <c r="F221" s="104"/>
      <c r="G221" s="104"/>
      <c r="H221" s="104"/>
      <c r="I221" s="104"/>
      <c r="J221" s="105"/>
    </row>
    <row r="222" spans="1:10" ht="15.5" x14ac:dyDescent="0.35">
      <c r="A222" s="101">
        <v>1</v>
      </c>
      <c r="B222" s="102">
        <v>1</v>
      </c>
      <c r="C222" s="8" t="s">
        <v>95</v>
      </c>
      <c r="D222" s="101">
        <f>66.6*10.764</f>
        <v>716.88239999999985</v>
      </c>
      <c r="E222" s="102">
        <v>0</v>
      </c>
      <c r="F222" s="8">
        <v>0</v>
      </c>
      <c r="G222" s="8">
        <f>D222*1.6</f>
        <v>1147.0118399999999</v>
      </c>
      <c r="H222" s="101" t="s">
        <v>101</v>
      </c>
      <c r="I222" s="106" t="s">
        <v>51</v>
      </c>
      <c r="J222" s="102"/>
    </row>
    <row r="223" spans="1:10" ht="15.5" x14ac:dyDescent="0.35">
      <c r="A223" s="101">
        <v>2</v>
      </c>
      <c r="B223" s="102">
        <v>2</v>
      </c>
      <c r="C223" s="8" t="s">
        <v>161</v>
      </c>
      <c r="D223" s="101">
        <f>68.7*10.764</f>
        <v>739.48680000000002</v>
      </c>
      <c r="E223" s="102">
        <v>0</v>
      </c>
      <c r="F223" s="8">
        <v>0</v>
      </c>
      <c r="G223" s="8">
        <f>D223*1.6</f>
        <v>1183.1788800000002</v>
      </c>
      <c r="H223" s="101" t="s">
        <v>101</v>
      </c>
      <c r="I223" s="106" t="s">
        <v>51</v>
      </c>
      <c r="J223" s="102"/>
    </row>
    <row r="224" spans="1:10" ht="15" x14ac:dyDescent="0.35">
      <c r="A224" s="103" t="s">
        <v>102</v>
      </c>
      <c r="B224" s="104"/>
      <c r="C224" s="104"/>
      <c r="D224" s="104"/>
      <c r="E224" s="104"/>
      <c r="F224" s="104"/>
      <c r="G224" s="104"/>
      <c r="H224" s="104"/>
      <c r="I224" s="104"/>
      <c r="J224" s="105"/>
    </row>
    <row r="225" spans="1:10" ht="15.5" x14ac:dyDescent="0.35">
      <c r="A225" s="101">
        <v>1</v>
      </c>
      <c r="B225" s="102">
        <v>1</v>
      </c>
      <c r="C225" s="8" t="s">
        <v>95</v>
      </c>
      <c r="D225" s="101">
        <f>66.6*10.764</f>
        <v>716.88239999999985</v>
      </c>
      <c r="E225" s="102">
        <v>0</v>
      </c>
      <c r="F225" s="8">
        <v>0</v>
      </c>
      <c r="G225" s="8">
        <f>D225*1.6</f>
        <v>1147.0118399999999</v>
      </c>
      <c r="H225" s="101" t="s">
        <v>102</v>
      </c>
      <c r="I225" s="106" t="s">
        <v>51</v>
      </c>
      <c r="J225" s="102"/>
    </row>
    <row r="226" spans="1:10" ht="15.5" x14ac:dyDescent="0.35">
      <c r="A226" s="101">
        <v>2</v>
      </c>
      <c r="B226" s="102">
        <v>2</v>
      </c>
      <c r="C226" s="8" t="s">
        <v>161</v>
      </c>
      <c r="D226" s="101">
        <f>68.7*10.764</f>
        <v>739.48680000000002</v>
      </c>
      <c r="E226" s="102">
        <v>0</v>
      </c>
      <c r="F226" s="8">
        <v>0</v>
      </c>
      <c r="G226" s="8">
        <f>D226*1.6</f>
        <v>1183.1788800000002</v>
      </c>
      <c r="H226" s="101" t="s">
        <v>102</v>
      </c>
      <c r="I226" s="106" t="s">
        <v>51</v>
      </c>
      <c r="J226" s="102"/>
    </row>
    <row r="227" spans="1:10" ht="15" x14ac:dyDescent="0.35">
      <c r="A227" s="103" t="s">
        <v>103</v>
      </c>
      <c r="B227" s="104"/>
      <c r="C227" s="104"/>
      <c r="D227" s="104"/>
      <c r="E227" s="104"/>
      <c r="F227" s="104"/>
      <c r="G227" s="104"/>
      <c r="H227" s="104"/>
      <c r="I227" s="104"/>
      <c r="J227" s="105"/>
    </row>
    <row r="228" spans="1:10" ht="15.5" x14ac:dyDescent="0.35">
      <c r="A228" s="101">
        <v>1</v>
      </c>
      <c r="B228" s="102">
        <v>1</v>
      </c>
      <c r="C228" s="8" t="s">
        <v>95</v>
      </c>
      <c r="D228" s="101">
        <f>66.6*10.764</f>
        <v>716.88239999999985</v>
      </c>
      <c r="E228" s="102">
        <v>0</v>
      </c>
      <c r="F228" s="8">
        <v>0</v>
      </c>
      <c r="G228" s="8">
        <f>D228*1.6</f>
        <v>1147.0118399999999</v>
      </c>
      <c r="H228" s="101" t="s">
        <v>103</v>
      </c>
      <c r="I228" s="106" t="s">
        <v>51</v>
      </c>
      <c r="J228" s="102"/>
    </row>
    <row r="229" spans="1:10" ht="15.5" x14ac:dyDescent="0.35">
      <c r="A229" s="101">
        <v>2</v>
      </c>
      <c r="B229" s="102">
        <v>2</v>
      </c>
      <c r="C229" s="8" t="s">
        <v>161</v>
      </c>
      <c r="D229" s="101">
        <f>68.7*10.764</f>
        <v>739.48680000000002</v>
      </c>
      <c r="E229" s="102">
        <v>0</v>
      </c>
      <c r="F229" s="8">
        <v>0</v>
      </c>
      <c r="G229" s="8">
        <f>D229*1.6</f>
        <v>1183.1788800000002</v>
      </c>
      <c r="H229" s="101" t="s">
        <v>103</v>
      </c>
      <c r="I229" s="106" t="s">
        <v>51</v>
      </c>
      <c r="J229" s="102"/>
    </row>
    <row r="230" spans="1:10" ht="59.25" customHeight="1" x14ac:dyDescent="0.35">
      <c r="A230" s="208" t="s">
        <v>230</v>
      </c>
      <c r="B230" s="209"/>
      <c r="C230" s="209"/>
      <c r="D230" s="209"/>
      <c r="E230" s="209"/>
      <c r="F230" s="209"/>
      <c r="G230" s="209"/>
      <c r="H230" s="209"/>
      <c r="I230" s="209"/>
      <c r="J230" s="210"/>
    </row>
    <row r="231" spans="1:10" ht="163.5" customHeight="1" x14ac:dyDescent="0.35">
      <c r="A231" s="211"/>
      <c r="B231" s="212"/>
      <c r="C231" s="212"/>
      <c r="D231" s="212"/>
      <c r="E231" s="212"/>
      <c r="F231" s="212"/>
      <c r="G231" s="212"/>
      <c r="H231" s="212"/>
      <c r="I231" s="212"/>
      <c r="J231" s="213"/>
    </row>
    <row r="232" spans="1:10" x14ac:dyDescent="0.35">
      <c r="A232" s="194" t="s">
        <v>28</v>
      </c>
      <c r="B232" s="195"/>
      <c r="C232" s="195"/>
      <c r="D232" s="195"/>
      <c r="E232" s="195"/>
      <c r="F232" s="195"/>
      <c r="G232" s="195"/>
      <c r="H232" s="195"/>
      <c r="I232" s="195"/>
      <c r="J232" s="196"/>
    </row>
    <row r="233" spans="1:10" x14ac:dyDescent="0.35">
      <c r="A233" s="207" t="s">
        <v>35</v>
      </c>
      <c r="B233" s="65"/>
      <c r="C233" s="65"/>
      <c r="D233" s="65"/>
      <c r="E233" s="65"/>
      <c r="F233" s="65"/>
      <c r="G233" s="65"/>
      <c r="H233" s="65"/>
      <c r="I233" s="65"/>
      <c r="J233" s="66"/>
    </row>
    <row r="234" spans="1:10" x14ac:dyDescent="0.35">
      <c r="A234" s="194" t="s">
        <v>30</v>
      </c>
      <c r="B234" s="195"/>
      <c r="C234" s="195"/>
      <c r="D234" s="195"/>
      <c r="E234" s="195"/>
      <c r="F234" s="195"/>
      <c r="G234" s="195"/>
      <c r="H234" s="195"/>
      <c r="I234" s="195"/>
      <c r="J234" s="196"/>
    </row>
    <row r="235" spans="1:10" x14ac:dyDescent="0.35">
      <c r="A235" s="64" t="s">
        <v>40</v>
      </c>
      <c r="B235" s="67"/>
      <c r="C235" s="67"/>
      <c r="D235" s="67"/>
      <c r="E235" s="67"/>
      <c r="F235" s="67"/>
      <c r="G235" s="67"/>
      <c r="H235" s="67"/>
      <c r="I235" s="67"/>
      <c r="J235" s="68"/>
    </row>
    <row r="236" spans="1:10" hidden="1" x14ac:dyDescent="0.35">
      <c r="A236" s="64" t="s">
        <v>172</v>
      </c>
      <c r="B236" s="67"/>
      <c r="C236" s="67"/>
      <c r="D236" s="67"/>
      <c r="E236" s="67"/>
      <c r="F236" s="67"/>
      <c r="G236" s="67"/>
      <c r="H236" s="67"/>
      <c r="I236" s="67"/>
      <c r="J236" s="68"/>
    </row>
    <row r="237" spans="1:10" ht="15" customHeight="1" x14ac:dyDescent="0.35">
      <c r="A237" s="200" t="s">
        <v>29</v>
      </c>
      <c r="B237" s="200"/>
      <c r="C237" s="200"/>
      <c r="D237" s="200"/>
      <c r="E237" s="200"/>
      <c r="F237" s="200"/>
      <c r="G237" s="200"/>
      <c r="H237" s="200"/>
      <c r="I237" s="200"/>
      <c r="J237" s="200"/>
    </row>
    <row r="238" spans="1:10" x14ac:dyDescent="0.35">
      <c r="A238" s="200"/>
      <c r="B238" s="200"/>
      <c r="C238" s="200"/>
      <c r="D238" s="200"/>
      <c r="E238" s="200"/>
      <c r="F238" s="200"/>
      <c r="G238" s="200"/>
      <c r="H238" s="200"/>
      <c r="I238" s="200"/>
      <c r="J238" s="200"/>
    </row>
    <row r="239" spans="1:10" x14ac:dyDescent="0.35">
      <c r="A239" s="200"/>
      <c r="B239" s="200"/>
      <c r="C239" s="200"/>
      <c r="D239" s="200"/>
      <c r="E239" s="200"/>
      <c r="F239" s="200"/>
      <c r="G239" s="200"/>
      <c r="H239" s="200"/>
      <c r="I239" s="200"/>
      <c r="J239" s="200"/>
    </row>
    <row r="240" spans="1:10" x14ac:dyDescent="0.35">
      <c r="A240" s="200"/>
      <c r="B240" s="200"/>
      <c r="C240" s="200"/>
      <c r="D240" s="200"/>
      <c r="E240" s="200"/>
      <c r="F240" s="200"/>
      <c r="G240" s="200"/>
      <c r="H240" s="200"/>
      <c r="I240" s="200"/>
      <c r="J240" s="200"/>
    </row>
    <row r="241" spans="1:4" s="11" customFormat="1" x14ac:dyDescent="0.35">
      <c r="A241" s="11" t="s">
        <v>125</v>
      </c>
      <c r="D241" s="11" t="str">
        <f>F8</f>
        <v>Parijat Towers</v>
      </c>
    </row>
    <row r="285" hidden="1" x14ac:dyDescent="0.35"/>
    <row r="286" hidden="1" x14ac:dyDescent="0.35"/>
    <row r="287" hidden="1" x14ac:dyDescent="0.35"/>
    <row r="288" hidden="1" x14ac:dyDescent="0.35"/>
    <row r="289" hidden="1" x14ac:dyDescent="0.35"/>
    <row r="291" s="11" customFormat="1" x14ac:dyDescent="0.35"/>
    <row r="419" spans="1:1" x14ac:dyDescent="0.35">
      <c r="A419" s="11" t="s">
        <v>126</v>
      </c>
    </row>
  </sheetData>
  <mergeCells count="531">
    <mergeCell ref="A82:B82"/>
    <mergeCell ref="C82:E82"/>
    <mergeCell ref="F82:G82"/>
    <mergeCell ref="H82:J82"/>
    <mergeCell ref="D64:E64"/>
    <mergeCell ref="D58:E58"/>
    <mergeCell ref="C31:J31"/>
    <mergeCell ref="C30:J30"/>
    <mergeCell ref="A61:B61"/>
    <mergeCell ref="D61:E61"/>
    <mergeCell ref="C44:F44"/>
    <mergeCell ref="I44:J44"/>
    <mergeCell ref="A52:B52"/>
    <mergeCell ref="C52:J52"/>
    <mergeCell ref="E53:F53"/>
    <mergeCell ref="I53:J53"/>
    <mergeCell ref="A54:B54"/>
    <mergeCell ref="C54:J54"/>
    <mergeCell ref="A56:B56"/>
    <mergeCell ref="D56:E56"/>
    <mergeCell ref="F56:G65"/>
    <mergeCell ref="H56:J65"/>
    <mergeCell ref="A57:B57"/>
    <mergeCell ref="D57:E57"/>
    <mergeCell ref="A65:B65"/>
    <mergeCell ref="A62:B62"/>
    <mergeCell ref="D62:E62"/>
    <mergeCell ref="A63:B63"/>
    <mergeCell ref="D63:E63"/>
    <mergeCell ref="A64:B64"/>
    <mergeCell ref="G27:H27"/>
    <mergeCell ref="I27:J27"/>
    <mergeCell ref="A28:J28"/>
    <mergeCell ref="A29:J29"/>
    <mergeCell ref="A43:B43"/>
    <mergeCell ref="A35:E35"/>
    <mergeCell ref="H43:J43"/>
    <mergeCell ref="F22:J22"/>
    <mergeCell ref="I25:J25"/>
    <mergeCell ref="A25:B25"/>
    <mergeCell ref="C25:D25"/>
    <mergeCell ref="C26:D26"/>
    <mergeCell ref="A31:B31"/>
    <mergeCell ref="A59:B59"/>
    <mergeCell ref="D59:E59"/>
    <mergeCell ref="A60:B60"/>
    <mergeCell ref="D60:E60"/>
    <mergeCell ref="A32:J32"/>
    <mergeCell ref="F38:J38"/>
    <mergeCell ref="A39:E39"/>
    <mergeCell ref="C42:F42"/>
    <mergeCell ref="H42:J42"/>
    <mergeCell ref="A37:E37"/>
    <mergeCell ref="F35:J35"/>
    <mergeCell ref="A38:E38"/>
    <mergeCell ref="D50:J50"/>
    <mergeCell ref="A45:B45"/>
    <mergeCell ref="A42:B42"/>
    <mergeCell ref="F40:J40"/>
    <mergeCell ref="F39:J39"/>
    <mergeCell ref="A58:B58"/>
    <mergeCell ref="B13:D13"/>
    <mergeCell ref="H13:J13"/>
    <mergeCell ref="A10:E10"/>
    <mergeCell ref="A33:J34"/>
    <mergeCell ref="F10:J10"/>
    <mergeCell ref="B14:E14"/>
    <mergeCell ref="F24:J24"/>
    <mergeCell ref="A19:E20"/>
    <mergeCell ref="F19:J20"/>
    <mergeCell ref="G26:H26"/>
    <mergeCell ref="G14:J14"/>
    <mergeCell ref="A27:B27"/>
    <mergeCell ref="E26:F26"/>
    <mergeCell ref="A26:B26"/>
    <mergeCell ref="C27:D27"/>
    <mergeCell ref="A30:B30"/>
    <mergeCell ref="E27:F27"/>
    <mergeCell ref="A12:B12"/>
    <mergeCell ref="C12:J12"/>
    <mergeCell ref="A23:E23"/>
    <mergeCell ref="A24:E24"/>
    <mergeCell ref="F23:J23"/>
    <mergeCell ref="I26:J26"/>
    <mergeCell ref="F17:J18"/>
    <mergeCell ref="A2:J2"/>
    <mergeCell ref="A3:E3"/>
    <mergeCell ref="F3:J3"/>
    <mergeCell ref="A4:E4"/>
    <mergeCell ref="F4:J4"/>
    <mergeCell ref="A6:E6"/>
    <mergeCell ref="A9:E9"/>
    <mergeCell ref="F6:J6"/>
    <mergeCell ref="A5:E5"/>
    <mergeCell ref="F5:J5"/>
    <mergeCell ref="A7:E7"/>
    <mergeCell ref="F7:J7"/>
    <mergeCell ref="F8:J8"/>
    <mergeCell ref="A8:E8"/>
    <mergeCell ref="F9:J9"/>
    <mergeCell ref="F21:J21"/>
    <mergeCell ref="A232:J232"/>
    <mergeCell ref="A47:J47"/>
    <mergeCell ref="A237:J240"/>
    <mergeCell ref="A109:F109"/>
    <mergeCell ref="G109:J109"/>
    <mergeCell ref="A110:J110"/>
    <mergeCell ref="A111:J111"/>
    <mergeCell ref="A236:J236"/>
    <mergeCell ref="A233:J233"/>
    <mergeCell ref="A234:J234"/>
    <mergeCell ref="A230:J231"/>
    <mergeCell ref="A235:J235"/>
    <mergeCell ref="F55:G55"/>
    <mergeCell ref="A51:J51"/>
    <mergeCell ref="A103:F103"/>
    <mergeCell ref="A102:J102"/>
    <mergeCell ref="A75:B75"/>
    <mergeCell ref="D75:E75"/>
    <mergeCell ref="A76:B76"/>
    <mergeCell ref="D76:E76"/>
    <mergeCell ref="A77:B77"/>
    <mergeCell ref="D77:E77"/>
    <mergeCell ref="A78:B78"/>
    <mergeCell ref="G106:J106"/>
    <mergeCell ref="A108:F108"/>
    <mergeCell ref="G108:J108"/>
    <mergeCell ref="A104:F104"/>
    <mergeCell ref="A1:J1"/>
    <mergeCell ref="A41:J41"/>
    <mergeCell ref="D46:E46"/>
    <mergeCell ref="C43:F43"/>
    <mergeCell ref="A36:E36"/>
    <mergeCell ref="F36:J36"/>
    <mergeCell ref="F37:J37"/>
    <mergeCell ref="A40:E40"/>
    <mergeCell ref="D65:E65"/>
    <mergeCell ref="A44:B44"/>
    <mergeCell ref="F16:G16"/>
    <mergeCell ref="A17:E18"/>
    <mergeCell ref="H16:J16"/>
    <mergeCell ref="A22:E22"/>
    <mergeCell ref="B15:E15"/>
    <mergeCell ref="A16:B16"/>
    <mergeCell ref="G15:J15"/>
    <mergeCell ref="E25:F25"/>
    <mergeCell ref="G25:H25"/>
    <mergeCell ref="A21:E21"/>
    <mergeCell ref="A107:F107"/>
    <mergeCell ref="G107:J107"/>
    <mergeCell ref="D78:E78"/>
    <mergeCell ref="A79:B79"/>
    <mergeCell ref="D79:E79"/>
    <mergeCell ref="A80:B80"/>
    <mergeCell ref="C80:J80"/>
    <mergeCell ref="A88:B88"/>
    <mergeCell ref="D88:E88"/>
    <mergeCell ref="A89:B89"/>
    <mergeCell ref="D89:E89"/>
    <mergeCell ref="A90:B90"/>
    <mergeCell ref="D90:E90"/>
    <mergeCell ref="A91:B91"/>
    <mergeCell ref="D91:E91"/>
    <mergeCell ref="A92:B92"/>
    <mergeCell ref="D92:E92"/>
    <mergeCell ref="A93:B93"/>
    <mergeCell ref="G105:J105"/>
    <mergeCell ref="A106:F106"/>
    <mergeCell ref="G103:J103"/>
    <mergeCell ref="A105:F105"/>
    <mergeCell ref="G104:J104"/>
    <mergeCell ref="D93:E93"/>
    <mergeCell ref="C16:E16"/>
    <mergeCell ref="D160:E160"/>
    <mergeCell ref="H160:J160"/>
    <mergeCell ref="A156:B156"/>
    <mergeCell ref="A145:B145"/>
    <mergeCell ref="D145:E145"/>
    <mergeCell ref="H145:J145"/>
    <mergeCell ref="A146:B146"/>
    <mergeCell ref="D146:E146"/>
    <mergeCell ref="H146:J146"/>
    <mergeCell ref="A147:B147"/>
    <mergeCell ref="D147:E147"/>
    <mergeCell ref="A152:B152"/>
    <mergeCell ref="A95:J95"/>
    <mergeCell ref="A96:J96"/>
    <mergeCell ref="A97:J101"/>
    <mergeCell ref="F46:G46"/>
    <mergeCell ref="H127:J127"/>
    <mergeCell ref="A117:B117"/>
    <mergeCell ref="A118:B118"/>
    <mergeCell ref="A148:B148"/>
    <mergeCell ref="A113:J113"/>
    <mergeCell ref="A121:B121"/>
    <mergeCell ref="A122:B122"/>
    <mergeCell ref="D197:E197"/>
    <mergeCell ref="H197:J197"/>
    <mergeCell ref="A158:B158"/>
    <mergeCell ref="D158:E158"/>
    <mergeCell ref="H165:J165"/>
    <mergeCell ref="A166:B166"/>
    <mergeCell ref="D166:E166"/>
    <mergeCell ref="H166:J166"/>
    <mergeCell ref="H158:J158"/>
    <mergeCell ref="D183:E183"/>
    <mergeCell ref="H183:J183"/>
    <mergeCell ref="A178:B178"/>
    <mergeCell ref="A169:J169"/>
    <mergeCell ref="A167:B167"/>
    <mergeCell ref="D167:E167"/>
    <mergeCell ref="A188:B188"/>
    <mergeCell ref="D188:E188"/>
    <mergeCell ref="H188:J188"/>
    <mergeCell ref="A164:J164"/>
    <mergeCell ref="A165:B165"/>
    <mergeCell ref="D165:E165"/>
    <mergeCell ref="H174:J174"/>
    <mergeCell ref="D177:E177"/>
    <mergeCell ref="H177:J177"/>
    <mergeCell ref="A193:B193"/>
    <mergeCell ref="A183:B183"/>
    <mergeCell ref="H167:J167"/>
    <mergeCell ref="A168:B168"/>
    <mergeCell ref="D178:E178"/>
    <mergeCell ref="A176:J176"/>
    <mergeCell ref="A177:B177"/>
    <mergeCell ref="A194:B194"/>
    <mergeCell ref="A192:B192"/>
    <mergeCell ref="D192:E192"/>
    <mergeCell ref="H192:J192"/>
    <mergeCell ref="A173:J173"/>
    <mergeCell ref="D193:E193"/>
    <mergeCell ref="H193:J193"/>
    <mergeCell ref="D168:E168"/>
    <mergeCell ref="H168:J168"/>
    <mergeCell ref="A186:J186"/>
    <mergeCell ref="D171:E171"/>
    <mergeCell ref="H171:J171"/>
    <mergeCell ref="A172:J172"/>
    <mergeCell ref="D182:E182"/>
    <mergeCell ref="H182:J182"/>
    <mergeCell ref="A181:J181"/>
    <mergeCell ref="A179:B179"/>
    <mergeCell ref="A197:B197"/>
    <mergeCell ref="A175:B175"/>
    <mergeCell ref="D175:E175"/>
    <mergeCell ref="H175:J175"/>
    <mergeCell ref="H178:J178"/>
    <mergeCell ref="A191:J191"/>
    <mergeCell ref="H180:J180"/>
    <mergeCell ref="A187:B187"/>
    <mergeCell ref="D187:E187"/>
    <mergeCell ref="H187:J187"/>
    <mergeCell ref="A184:B184"/>
    <mergeCell ref="D184:E184"/>
    <mergeCell ref="H184:J184"/>
    <mergeCell ref="A185:B185"/>
    <mergeCell ref="D185:E185"/>
    <mergeCell ref="H185:J185"/>
    <mergeCell ref="A196:J196"/>
    <mergeCell ref="A189:B189"/>
    <mergeCell ref="D189:E189"/>
    <mergeCell ref="H189:J189"/>
    <mergeCell ref="A190:B190"/>
    <mergeCell ref="D190:E190"/>
    <mergeCell ref="H190:J190"/>
    <mergeCell ref="A182:B182"/>
    <mergeCell ref="A180:B180"/>
    <mergeCell ref="D180:E180"/>
    <mergeCell ref="C45:F45"/>
    <mergeCell ref="H45:J45"/>
    <mergeCell ref="C49:J49"/>
    <mergeCell ref="A49:B49"/>
    <mergeCell ref="A46:C46"/>
    <mergeCell ref="H46:J46"/>
    <mergeCell ref="D156:E156"/>
    <mergeCell ref="H156:J156"/>
    <mergeCell ref="H153:J153"/>
    <mergeCell ref="A153:B153"/>
    <mergeCell ref="D155:E155"/>
    <mergeCell ref="H155:J155"/>
    <mergeCell ref="H147:J147"/>
    <mergeCell ref="A154:J154"/>
    <mergeCell ref="D153:E153"/>
    <mergeCell ref="A155:B155"/>
    <mergeCell ref="A112:B112"/>
    <mergeCell ref="A115:B115"/>
    <mergeCell ref="A116:B116"/>
    <mergeCell ref="A55:B55"/>
    <mergeCell ref="D55:E55"/>
    <mergeCell ref="H55:J55"/>
    <mergeCell ref="A217:B217"/>
    <mergeCell ref="D217:E217"/>
    <mergeCell ref="H217:J217"/>
    <mergeCell ref="A213:B213"/>
    <mergeCell ref="A211:B211"/>
    <mergeCell ref="D211:E211"/>
    <mergeCell ref="H211:J211"/>
    <mergeCell ref="A212:J212"/>
    <mergeCell ref="A157:B157"/>
    <mergeCell ref="D157:E157"/>
    <mergeCell ref="H157:J157"/>
    <mergeCell ref="A214:B214"/>
    <mergeCell ref="D214:E214"/>
    <mergeCell ref="H214:J214"/>
    <mergeCell ref="A215:J215"/>
    <mergeCell ref="H200:J200"/>
    <mergeCell ref="A163:B163"/>
    <mergeCell ref="D163:E163"/>
    <mergeCell ref="H163:J163"/>
    <mergeCell ref="A174:B174"/>
    <mergeCell ref="D174:E174"/>
    <mergeCell ref="A171:B171"/>
    <mergeCell ref="D179:E179"/>
    <mergeCell ref="H179:J179"/>
    <mergeCell ref="A124:B124"/>
    <mergeCell ref="A125:B125"/>
    <mergeCell ref="A126:B126"/>
    <mergeCell ref="A127:B127"/>
    <mergeCell ref="A128:B128"/>
    <mergeCell ref="A129:B129"/>
    <mergeCell ref="A130:B130"/>
    <mergeCell ref="H123:J123"/>
    <mergeCell ref="D124:E124"/>
    <mergeCell ref="H124:J124"/>
    <mergeCell ref="D125:E125"/>
    <mergeCell ref="H125:J125"/>
    <mergeCell ref="D126:E126"/>
    <mergeCell ref="H126:J126"/>
    <mergeCell ref="D127:E127"/>
    <mergeCell ref="D128:E128"/>
    <mergeCell ref="D123:E123"/>
    <mergeCell ref="H128:J128"/>
    <mergeCell ref="D129:E129"/>
    <mergeCell ref="H129:J129"/>
    <mergeCell ref="D130:E130"/>
    <mergeCell ref="H130:J130"/>
    <mergeCell ref="D112:E112"/>
    <mergeCell ref="D115:E115"/>
    <mergeCell ref="D116:E116"/>
    <mergeCell ref="D117:E117"/>
    <mergeCell ref="D118:E118"/>
    <mergeCell ref="H142:J142"/>
    <mergeCell ref="H112:J112"/>
    <mergeCell ref="H115:J115"/>
    <mergeCell ref="H116:J116"/>
    <mergeCell ref="H117:J117"/>
    <mergeCell ref="H118:J118"/>
    <mergeCell ref="A131:J131"/>
    <mergeCell ref="A114:J114"/>
    <mergeCell ref="A119:B119"/>
    <mergeCell ref="A120:B120"/>
    <mergeCell ref="D119:E119"/>
    <mergeCell ref="H119:J119"/>
    <mergeCell ref="D120:E120"/>
    <mergeCell ref="H120:J120"/>
    <mergeCell ref="D121:E121"/>
    <mergeCell ref="H121:J121"/>
    <mergeCell ref="D122:E122"/>
    <mergeCell ref="H122:J122"/>
    <mergeCell ref="A123:B123"/>
    <mergeCell ref="H150:J150"/>
    <mergeCell ref="D150:E150"/>
    <mergeCell ref="D141:E141"/>
    <mergeCell ref="H141:J141"/>
    <mergeCell ref="H133:J133"/>
    <mergeCell ref="H134:J134"/>
    <mergeCell ref="H135:J135"/>
    <mergeCell ref="A132:J132"/>
    <mergeCell ref="A133:B133"/>
    <mergeCell ref="D133:E133"/>
    <mergeCell ref="A134:B134"/>
    <mergeCell ref="D134:E134"/>
    <mergeCell ref="A135:B135"/>
    <mergeCell ref="A136:B136"/>
    <mergeCell ref="D136:E136"/>
    <mergeCell ref="H136:J136"/>
    <mergeCell ref="A137:B137"/>
    <mergeCell ref="D137:E137"/>
    <mergeCell ref="H137:J137"/>
    <mergeCell ref="A138:B138"/>
    <mergeCell ref="D138:E138"/>
    <mergeCell ref="D135:E135"/>
    <mergeCell ref="D170:E170"/>
    <mergeCell ref="H170:J170"/>
    <mergeCell ref="A160:B160"/>
    <mergeCell ref="A161:B161"/>
    <mergeCell ref="D161:E161"/>
    <mergeCell ref="H161:J161"/>
    <mergeCell ref="A162:B162"/>
    <mergeCell ref="D162:E162"/>
    <mergeCell ref="H162:J162"/>
    <mergeCell ref="A208:B208"/>
    <mergeCell ref="H138:J138"/>
    <mergeCell ref="A140:B140"/>
    <mergeCell ref="D140:E140"/>
    <mergeCell ref="A139:J139"/>
    <mergeCell ref="A159:J159"/>
    <mergeCell ref="A144:J144"/>
    <mergeCell ref="D152:E152"/>
    <mergeCell ref="H152:J152"/>
    <mergeCell ref="A151:B151"/>
    <mergeCell ref="D151:E151"/>
    <mergeCell ref="H151:J151"/>
    <mergeCell ref="D148:E148"/>
    <mergeCell ref="H148:J148"/>
    <mergeCell ref="A149:J149"/>
    <mergeCell ref="A150:B150"/>
    <mergeCell ref="A143:B143"/>
    <mergeCell ref="D143:E143"/>
    <mergeCell ref="H143:J143"/>
    <mergeCell ref="H140:J140"/>
    <mergeCell ref="A141:B141"/>
    <mergeCell ref="A142:B142"/>
    <mergeCell ref="D142:E142"/>
    <mergeCell ref="A170:B170"/>
    <mergeCell ref="A228:B228"/>
    <mergeCell ref="D228:E228"/>
    <mergeCell ref="H228:J228"/>
    <mergeCell ref="A219:B219"/>
    <mergeCell ref="D219:E219"/>
    <mergeCell ref="H219:J219"/>
    <mergeCell ref="A221:J221"/>
    <mergeCell ref="A224:J224"/>
    <mergeCell ref="A223:B223"/>
    <mergeCell ref="D223:E223"/>
    <mergeCell ref="H223:J223"/>
    <mergeCell ref="H220:J220"/>
    <mergeCell ref="A225:B225"/>
    <mergeCell ref="D225:E225"/>
    <mergeCell ref="H225:J225"/>
    <mergeCell ref="A227:J227"/>
    <mergeCell ref="A226:B226"/>
    <mergeCell ref="H226:J226"/>
    <mergeCell ref="A222:B222"/>
    <mergeCell ref="D226:E226"/>
    <mergeCell ref="D222:E222"/>
    <mergeCell ref="A229:B229"/>
    <mergeCell ref="D229:E229"/>
    <mergeCell ref="H229:J229"/>
    <mergeCell ref="D202:E202"/>
    <mergeCell ref="H202:J202"/>
    <mergeCell ref="H199:J199"/>
    <mergeCell ref="A200:B200"/>
    <mergeCell ref="D200:E200"/>
    <mergeCell ref="D194:E194"/>
    <mergeCell ref="H194:J194"/>
    <mergeCell ref="A195:B195"/>
    <mergeCell ref="D195:E195"/>
    <mergeCell ref="H195:J195"/>
    <mergeCell ref="A205:B205"/>
    <mergeCell ref="D205:E205"/>
    <mergeCell ref="H205:J205"/>
    <mergeCell ref="A207:J207"/>
    <mergeCell ref="A216:B216"/>
    <mergeCell ref="D216:E216"/>
    <mergeCell ref="H216:J216"/>
    <mergeCell ref="D208:E208"/>
    <mergeCell ref="H208:J208"/>
    <mergeCell ref="A209:B209"/>
    <mergeCell ref="A218:J218"/>
    <mergeCell ref="A66:B66"/>
    <mergeCell ref="C66:J66"/>
    <mergeCell ref="E67:F67"/>
    <mergeCell ref="I67:J67"/>
    <mergeCell ref="A68:B68"/>
    <mergeCell ref="C68:J68"/>
    <mergeCell ref="A69:B69"/>
    <mergeCell ref="D69:E69"/>
    <mergeCell ref="F69:G69"/>
    <mergeCell ref="H69:J69"/>
    <mergeCell ref="D70:E70"/>
    <mergeCell ref="F70:G79"/>
    <mergeCell ref="H70:J79"/>
    <mergeCell ref="A71:B71"/>
    <mergeCell ref="D71:E71"/>
    <mergeCell ref="A72:B72"/>
    <mergeCell ref="D72:E72"/>
    <mergeCell ref="A73:B73"/>
    <mergeCell ref="D73:E73"/>
    <mergeCell ref="A74:B74"/>
    <mergeCell ref="D74:E74"/>
    <mergeCell ref="D209:E209"/>
    <mergeCell ref="A201:J201"/>
    <mergeCell ref="A202:B202"/>
    <mergeCell ref="A198:B198"/>
    <mergeCell ref="D198:E198"/>
    <mergeCell ref="H198:J198"/>
    <mergeCell ref="A199:B199"/>
    <mergeCell ref="D199:E199"/>
    <mergeCell ref="H222:J222"/>
    <mergeCell ref="A220:B220"/>
    <mergeCell ref="D220:E220"/>
    <mergeCell ref="D213:E213"/>
    <mergeCell ref="H213:J213"/>
    <mergeCell ref="H209:J209"/>
    <mergeCell ref="A210:B210"/>
    <mergeCell ref="D210:E210"/>
    <mergeCell ref="H210:J210"/>
    <mergeCell ref="A203:B203"/>
    <mergeCell ref="D203:E203"/>
    <mergeCell ref="H203:J203"/>
    <mergeCell ref="A204:B204"/>
    <mergeCell ref="D204:E204"/>
    <mergeCell ref="H204:J204"/>
    <mergeCell ref="A206:J206"/>
    <mergeCell ref="A94:B94"/>
    <mergeCell ref="D94:E94"/>
    <mergeCell ref="A11:E11"/>
    <mergeCell ref="F11:J11"/>
    <mergeCell ref="E81:F81"/>
    <mergeCell ref="I81:J81"/>
    <mergeCell ref="A83:B83"/>
    <mergeCell ref="C83:J83"/>
    <mergeCell ref="A84:B84"/>
    <mergeCell ref="D84:E84"/>
    <mergeCell ref="F84:G84"/>
    <mergeCell ref="H84:J84"/>
    <mergeCell ref="A85:B85"/>
    <mergeCell ref="D85:E85"/>
    <mergeCell ref="F85:G94"/>
    <mergeCell ref="H85:J94"/>
    <mergeCell ref="A86:B86"/>
    <mergeCell ref="D86:E86"/>
    <mergeCell ref="A87:B87"/>
    <mergeCell ref="D87:E87"/>
    <mergeCell ref="A48:B48"/>
    <mergeCell ref="D48:F48"/>
    <mergeCell ref="G48:J48"/>
    <mergeCell ref="A70:B70"/>
  </mergeCells>
  <phoneticPr fontId="0" type="noConversion"/>
  <hyperlinks>
    <hyperlink ref="C31" r:id="rId1"/>
  </hyperlinks>
  <pageMargins left="0.55118110236220474" right="0.55118110236220474" top="0.78740157480314965" bottom="0.78740157480314965" header="0.19685039370078741" footer="0.19685039370078741"/>
  <pageSetup paperSize="9" scale="90" fitToHeight="0" orientation="portrait" r:id="rId2"/>
  <headerFooter>
    <oddHeader>&amp;C&amp;G</oddHeader>
    <oddFooter>&amp;L&amp;"Times New Roman,Bold"Ref No: &amp;F&amp;C&amp;G&amp;R&amp;P</oddFooter>
  </headerFooter>
  <rowBreaks count="7" manualBreakCount="7">
    <brk id="79" max="16383" man="1"/>
    <brk id="229" max="16383" man="1"/>
    <brk id="240" max="16383" man="1"/>
    <brk id="289" max="16383" man="1"/>
    <brk id="333" max="16383" man="1"/>
    <brk id="381" max="16383" man="1"/>
    <brk id="417"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D19" sqref="D19"/>
    </sheetView>
  </sheetViews>
  <sheetFormatPr defaultRowHeight="14.5" x14ac:dyDescent="0.35"/>
  <cols>
    <col min="1" max="1" width="11.26953125" customWidth="1"/>
    <col min="2" max="2" width="12" customWidth="1"/>
    <col min="3" max="3" width="14.54296875" customWidth="1"/>
    <col min="4" max="4" width="4" customWidth="1"/>
    <col min="5" max="5" width="15.1796875" customWidth="1"/>
    <col min="6" max="7" width="9.1796875" customWidth="1"/>
    <col min="9" max="9" width="12.7265625" customWidth="1"/>
    <col min="10" max="10" width="15.1796875" customWidth="1"/>
    <col min="11" max="11" width="10.54296875" bestFit="1" customWidth="1"/>
    <col min="12" max="12" width="9.54296875" bestFit="1" customWidth="1"/>
    <col min="13" max="13" width="16.54296875" customWidth="1"/>
  </cols>
  <sheetData>
    <row r="2" spans="1:15" x14ac:dyDescent="0.35">
      <c r="A2" t="s">
        <v>127</v>
      </c>
      <c r="B2" s="12" t="s">
        <v>128</v>
      </c>
      <c r="C2" s="12">
        <v>10</v>
      </c>
    </row>
    <row r="3" spans="1:15" x14ac:dyDescent="0.35">
      <c r="B3" t="s">
        <v>129</v>
      </c>
      <c r="C3" t="s">
        <v>130</v>
      </c>
    </row>
    <row r="4" spans="1:15" x14ac:dyDescent="0.35">
      <c r="A4" t="s">
        <v>131</v>
      </c>
      <c r="B4" s="7">
        <v>10</v>
      </c>
      <c r="C4" s="7">
        <v>10</v>
      </c>
      <c r="D4" s="13"/>
      <c r="E4" s="13">
        <f>(100/B4)*C4</f>
        <v>100</v>
      </c>
    </row>
    <row r="5" spans="1:15" x14ac:dyDescent="0.35">
      <c r="A5" t="s">
        <v>132</v>
      </c>
      <c r="B5" t="s">
        <v>133</v>
      </c>
      <c r="C5" t="s">
        <v>134</v>
      </c>
      <c r="E5" s="17">
        <f>(100/B6)*C6</f>
        <v>90.909090909090921</v>
      </c>
      <c r="I5" s="7" t="s">
        <v>135</v>
      </c>
      <c r="J5" s="7" t="s">
        <v>136</v>
      </c>
      <c r="K5" s="7" t="s">
        <v>137</v>
      </c>
      <c r="L5" s="7" t="s">
        <v>39</v>
      </c>
      <c r="M5" s="7" t="s">
        <v>42</v>
      </c>
      <c r="N5" s="7" t="s">
        <v>138</v>
      </c>
      <c r="O5" s="7" t="s">
        <v>43</v>
      </c>
    </row>
    <row r="6" spans="1:15" x14ac:dyDescent="0.35">
      <c r="B6" s="7">
        <f>C2+1</f>
        <v>11</v>
      </c>
      <c r="C6" s="7">
        <v>10</v>
      </c>
      <c r="E6" s="17">
        <f>(100/B8)*C8</f>
        <v>90</v>
      </c>
      <c r="F6" s="14" t="s">
        <v>139</v>
      </c>
      <c r="I6" s="14">
        <f>C4</f>
        <v>10</v>
      </c>
      <c r="J6" s="19">
        <f>40/B6*C6</f>
        <v>36.36363636363636</v>
      </c>
      <c r="K6" s="19">
        <f>15/B8*C8</f>
        <v>13.5</v>
      </c>
      <c r="L6" s="19">
        <f>10/B10*C10</f>
        <v>9</v>
      </c>
      <c r="M6" s="14">
        <f>10/B12*C12</f>
        <v>3</v>
      </c>
      <c r="N6" s="14">
        <f>5/B14*C14</f>
        <v>1.5</v>
      </c>
      <c r="O6" s="14">
        <f>5/B16*C16</f>
        <v>0</v>
      </c>
    </row>
    <row r="7" spans="1:15" x14ac:dyDescent="0.35">
      <c r="A7" t="s">
        <v>140</v>
      </c>
      <c r="B7" t="s">
        <v>141</v>
      </c>
      <c r="C7" t="s">
        <v>142</v>
      </c>
      <c r="E7" s="17">
        <f>(100/B10)*C10</f>
        <v>90</v>
      </c>
      <c r="F7" s="7" t="s">
        <v>143</v>
      </c>
      <c r="G7" s="7"/>
      <c r="H7" s="7"/>
      <c r="I7" s="7">
        <f>I6+20</f>
        <v>30</v>
      </c>
      <c r="J7" s="18">
        <f>30/B6*C6</f>
        <v>27.27272727272727</v>
      </c>
      <c r="K7" s="18">
        <f>15/B8*C8</f>
        <v>13.5</v>
      </c>
      <c r="L7" s="18">
        <f>10/B10*C10</f>
        <v>9</v>
      </c>
      <c r="M7" s="7">
        <f>5/B12*C12</f>
        <v>1.5</v>
      </c>
      <c r="N7" s="7">
        <f>5/B14*C14</f>
        <v>1.5</v>
      </c>
      <c r="O7" s="7">
        <f>5/B16*C16</f>
        <v>0</v>
      </c>
    </row>
    <row r="8" spans="1:15" x14ac:dyDescent="0.35">
      <c r="B8" s="7">
        <f>C2</f>
        <v>10</v>
      </c>
      <c r="C8" s="7">
        <v>9</v>
      </c>
      <c r="D8" s="13"/>
      <c r="E8" s="13">
        <f>(100/B12)*C12</f>
        <v>30</v>
      </c>
    </row>
    <row r="9" spans="1:15" x14ac:dyDescent="0.35">
      <c r="A9" t="s">
        <v>144</v>
      </c>
      <c r="B9" t="s">
        <v>141</v>
      </c>
      <c r="C9" t="s">
        <v>142</v>
      </c>
      <c r="E9" s="13">
        <f>(100/B14)*C14</f>
        <v>30</v>
      </c>
    </row>
    <row r="10" spans="1:15" x14ac:dyDescent="0.35">
      <c r="B10" s="7">
        <f>C2</f>
        <v>10</v>
      </c>
      <c r="C10" s="7">
        <v>9</v>
      </c>
      <c r="D10" s="13"/>
      <c r="E10" s="13">
        <f>(100/B16)*C16</f>
        <v>0</v>
      </c>
    </row>
    <row r="11" spans="1:15" x14ac:dyDescent="0.35">
      <c r="A11" t="s">
        <v>42</v>
      </c>
      <c r="B11" t="s">
        <v>141</v>
      </c>
      <c r="C11" t="s">
        <v>142</v>
      </c>
    </row>
    <row r="12" spans="1:15" x14ac:dyDescent="0.35">
      <c r="B12" s="7">
        <f>C2</f>
        <v>10</v>
      </c>
      <c r="C12" s="7">
        <v>3</v>
      </c>
      <c r="D12" s="13"/>
      <c r="F12" s="7"/>
      <c r="G12" s="7" t="s">
        <v>139</v>
      </c>
      <c r="H12" s="7" t="s">
        <v>145</v>
      </c>
      <c r="L12" s="13" t="s">
        <v>146</v>
      </c>
    </row>
    <row r="13" spans="1:15" ht="31.5" customHeight="1" x14ac:dyDescent="0.35">
      <c r="A13" s="15" t="s">
        <v>138</v>
      </c>
      <c r="B13" t="s">
        <v>141</v>
      </c>
      <c r="C13" t="s">
        <v>142</v>
      </c>
      <c r="F13" s="7" t="s">
        <v>37</v>
      </c>
      <c r="G13" s="7">
        <f>I6</f>
        <v>10</v>
      </c>
      <c r="H13" s="7">
        <f>I7</f>
        <v>30</v>
      </c>
      <c r="L13" s="13" t="s">
        <v>146</v>
      </c>
    </row>
    <row r="14" spans="1:15" x14ac:dyDescent="0.35">
      <c r="B14" s="7">
        <f>C2</f>
        <v>10</v>
      </c>
      <c r="C14" s="7">
        <v>3</v>
      </c>
      <c r="D14" s="13"/>
      <c r="F14" s="7" t="s">
        <v>38</v>
      </c>
      <c r="G14" s="18">
        <f>J6</f>
        <v>36.36363636363636</v>
      </c>
      <c r="H14" s="18">
        <f>J7</f>
        <v>27.27272727272727</v>
      </c>
      <c r="L14" s="13"/>
    </row>
    <row r="15" spans="1:15" x14ac:dyDescent="0.35">
      <c r="A15" t="s">
        <v>43</v>
      </c>
      <c r="B15" t="s">
        <v>141</v>
      </c>
      <c r="C15" t="s">
        <v>142</v>
      </c>
      <c r="F15" s="7" t="s">
        <v>137</v>
      </c>
      <c r="G15" s="18">
        <f>K6</f>
        <v>13.5</v>
      </c>
      <c r="H15" s="18">
        <f>K7</f>
        <v>13.5</v>
      </c>
      <c r="L15" s="13"/>
    </row>
    <row r="16" spans="1:15" x14ac:dyDescent="0.35">
      <c r="B16" s="7">
        <f>C2</f>
        <v>10</v>
      </c>
      <c r="C16" s="7">
        <v>0</v>
      </c>
      <c r="D16" s="13"/>
      <c r="F16" s="7" t="s">
        <v>39</v>
      </c>
      <c r="G16" s="18">
        <f>L6</f>
        <v>9</v>
      </c>
      <c r="H16" s="18">
        <f>L7</f>
        <v>9</v>
      </c>
      <c r="L16" s="13"/>
    </row>
    <row r="17" spans="6:12" x14ac:dyDescent="0.35">
      <c r="F17" s="7" t="s">
        <v>42</v>
      </c>
      <c r="G17" s="18">
        <f>M6</f>
        <v>3</v>
      </c>
      <c r="H17" s="18">
        <f>M7</f>
        <v>1.5</v>
      </c>
      <c r="L17" s="13"/>
    </row>
    <row r="18" spans="6:12" ht="29.25" customHeight="1" x14ac:dyDescent="0.35">
      <c r="F18" s="16" t="s">
        <v>138</v>
      </c>
      <c r="G18" s="18">
        <f>N6</f>
        <v>1.5</v>
      </c>
      <c r="H18" s="18">
        <f>N7</f>
        <v>1.5</v>
      </c>
      <c r="L18" s="13"/>
    </row>
    <row r="19" spans="6:12" x14ac:dyDescent="0.35">
      <c r="F19" s="7" t="s">
        <v>43</v>
      </c>
      <c r="G19" s="18">
        <f>O6</f>
        <v>0</v>
      </c>
      <c r="H19" s="18">
        <f>O7</f>
        <v>0</v>
      </c>
      <c r="L19" s="13"/>
    </row>
    <row r="20" spans="6:12" x14ac:dyDescent="0.35">
      <c r="F20" s="7" t="s">
        <v>147</v>
      </c>
      <c r="G20" s="18">
        <f>G13+G14+G15+G16+G17+G18+G19</f>
        <v>73.36363636363636</v>
      </c>
      <c r="H20" s="18">
        <f>H13+H14+H15+H16+H17+H18+H19</f>
        <v>82.772727272727266</v>
      </c>
      <c r="L20" s="1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election activeCell="G10" sqref="G10"/>
    </sheetView>
  </sheetViews>
  <sheetFormatPr defaultColWidth="8.7265625" defaultRowHeight="14.5" x14ac:dyDescent="0.35"/>
  <cols>
    <col min="1" max="1" width="10.54296875" style="23" bestFit="1" customWidth="1"/>
    <col min="2" max="2" width="22.1796875" style="23" customWidth="1"/>
    <col min="3" max="3" width="37" style="23" customWidth="1"/>
    <col min="4" max="5" width="11.453125" style="23" customWidth="1"/>
    <col min="6" max="6" width="14" style="23" customWidth="1"/>
    <col min="7" max="7" width="20" style="23" customWidth="1"/>
    <col min="8" max="8" width="16.453125" style="23" customWidth="1"/>
    <col min="9" max="16384" width="8.7265625" style="23"/>
  </cols>
  <sheetData>
    <row r="1" spans="1:9" ht="15" customHeight="1" x14ac:dyDescent="0.35">
      <c r="A1" s="22"/>
    </row>
    <row r="2" spans="1:9" ht="15" customHeight="1" x14ac:dyDescent="0.35">
      <c r="A2" s="24"/>
      <c r="B2" s="24"/>
      <c r="C2" s="24"/>
      <c r="D2" s="24"/>
      <c r="E2" s="24"/>
      <c r="F2" s="24"/>
      <c r="G2" s="24"/>
      <c r="H2" s="24"/>
    </row>
    <row r="3" spans="1:9" ht="15.75" customHeight="1" x14ac:dyDescent="0.35">
      <c r="A3" s="24"/>
      <c r="B3" s="253" t="s">
        <v>176</v>
      </c>
      <c r="C3" s="253"/>
      <c r="D3" s="253"/>
      <c r="E3" s="253"/>
      <c r="F3" s="253"/>
      <c r="G3" s="253"/>
      <c r="H3" s="253"/>
    </row>
    <row r="4" spans="1:9" x14ac:dyDescent="0.35">
      <c r="A4" s="24"/>
      <c r="B4" s="25" t="s">
        <v>177</v>
      </c>
      <c r="C4" s="25" t="s">
        <v>178</v>
      </c>
      <c r="D4" s="25" t="s">
        <v>179</v>
      </c>
      <c r="E4" s="25" t="s">
        <v>180</v>
      </c>
      <c r="F4" s="25" t="s">
        <v>181</v>
      </c>
      <c r="G4" s="25" t="s">
        <v>182</v>
      </c>
      <c r="H4" s="25" t="s">
        <v>183</v>
      </c>
    </row>
    <row r="5" spans="1:9" ht="15" customHeight="1" x14ac:dyDescent="0.35">
      <c r="A5" s="24"/>
      <c r="B5" s="26" t="s">
        <v>185</v>
      </c>
      <c r="C5" s="34" t="s">
        <v>167</v>
      </c>
      <c r="D5" s="35" t="s">
        <v>95</v>
      </c>
      <c r="E5" s="26">
        <v>0</v>
      </c>
      <c r="F5" s="27">
        <v>808</v>
      </c>
      <c r="G5" s="27">
        <f>H5/F5</f>
        <v>14851.485148514852</v>
      </c>
      <c r="H5" s="28">
        <v>12000000</v>
      </c>
    </row>
    <row r="6" spans="1:9" x14ac:dyDescent="0.35">
      <c r="A6" s="24"/>
      <c r="B6" s="26" t="s">
        <v>185</v>
      </c>
      <c r="C6" s="34" t="s">
        <v>167</v>
      </c>
      <c r="D6" s="35" t="s">
        <v>95</v>
      </c>
      <c r="E6" s="26">
        <v>616</v>
      </c>
      <c r="F6" s="27">
        <v>954</v>
      </c>
      <c r="G6" s="27">
        <f>H6/F6</f>
        <v>15199.16142557652</v>
      </c>
      <c r="H6" s="28">
        <v>14500000</v>
      </c>
    </row>
    <row r="7" spans="1:9" ht="15" customHeight="1" x14ac:dyDescent="0.35">
      <c r="A7" s="24"/>
      <c r="B7" s="26" t="s">
        <v>184</v>
      </c>
      <c r="C7" s="34" t="s">
        <v>167</v>
      </c>
      <c r="D7" s="35" t="s">
        <v>95</v>
      </c>
      <c r="E7" s="26">
        <v>793</v>
      </c>
      <c r="F7" s="27">
        <v>1213</v>
      </c>
      <c r="G7" s="27">
        <f>H7/F7</f>
        <v>15004.122011541633</v>
      </c>
      <c r="H7" s="28">
        <v>18200000</v>
      </c>
    </row>
    <row r="8" spans="1:9" ht="15" customHeight="1" x14ac:dyDescent="0.35">
      <c r="A8" s="24"/>
      <c r="B8" s="29" t="s">
        <v>186</v>
      </c>
      <c r="C8" s="26"/>
      <c r="D8" s="26"/>
      <c r="E8" s="26"/>
      <c r="F8" s="26"/>
      <c r="G8" s="30">
        <f>AVERAGE(G5:G7)</f>
        <v>15018.256195211003</v>
      </c>
      <c r="H8" s="26"/>
    </row>
    <row r="9" spans="1:9" ht="15" customHeight="1" x14ac:dyDescent="0.35">
      <c r="B9" s="29" t="s">
        <v>187</v>
      </c>
      <c r="C9" s="26"/>
      <c r="D9" s="26"/>
      <c r="E9" s="26"/>
      <c r="F9" s="31"/>
      <c r="G9" s="29">
        <v>15000</v>
      </c>
      <c r="H9" s="29"/>
      <c r="I9" s="32"/>
    </row>
    <row r="10" spans="1:9" ht="15" customHeight="1" x14ac:dyDescent="0.35"/>
    <row r="11" spans="1:9" x14ac:dyDescent="0.35">
      <c r="C11" s="33"/>
    </row>
    <row r="12" spans="1:9" ht="15" customHeight="1" x14ac:dyDescent="0.35"/>
  </sheetData>
  <mergeCells count="1">
    <mergeCell ref="B3:H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C13" sqref="C13"/>
    </sheetView>
  </sheetViews>
  <sheetFormatPr defaultRowHeight="14.5" x14ac:dyDescent="0.35"/>
  <cols>
    <col min="1" max="1" width="11.26953125" customWidth="1"/>
    <col min="2" max="2" width="12" customWidth="1"/>
    <col min="3" max="3" width="14.54296875" customWidth="1"/>
    <col min="4" max="4" width="4" customWidth="1"/>
    <col min="5" max="5" width="15.1796875" customWidth="1"/>
    <col min="6" max="7" width="9.1796875" customWidth="1"/>
    <col min="9" max="9" width="12.7265625" customWidth="1"/>
    <col min="10" max="10" width="15.1796875" customWidth="1"/>
    <col min="13" max="13" width="16.54296875" customWidth="1"/>
  </cols>
  <sheetData>
    <row r="2" spans="1:15" x14ac:dyDescent="0.35">
      <c r="A2" t="s">
        <v>127</v>
      </c>
      <c r="B2" s="12" t="s">
        <v>128</v>
      </c>
      <c r="C2" s="12">
        <v>9</v>
      </c>
    </row>
    <row r="3" spans="1:15" x14ac:dyDescent="0.35">
      <c r="B3" t="s">
        <v>129</v>
      </c>
      <c r="C3" t="s">
        <v>130</v>
      </c>
    </row>
    <row r="4" spans="1:15" x14ac:dyDescent="0.35">
      <c r="A4" t="s">
        <v>131</v>
      </c>
      <c r="B4" s="7">
        <v>10</v>
      </c>
      <c r="C4" s="7">
        <v>10</v>
      </c>
      <c r="D4" s="13"/>
      <c r="E4" s="13">
        <f>(100/B4)*C4</f>
        <v>100</v>
      </c>
    </row>
    <row r="5" spans="1:15" x14ac:dyDescent="0.35">
      <c r="A5" t="s">
        <v>132</v>
      </c>
      <c r="B5" t="s">
        <v>133</v>
      </c>
      <c r="C5" t="s">
        <v>134</v>
      </c>
      <c r="E5" s="13">
        <f>(100/B6)*C6</f>
        <v>100</v>
      </c>
      <c r="I5" s="7" t="s">
        <v>135</v>
      </c>
      <c r="J5" s="7" t="s">
        <v>136</v>
      </c>
      <c r="K5" s="7" t="s">
        <v>137</v>
      </c>
      <c r="L5" s="7" t="s">
        <v>39</v>
      </c>
      <c r="M5" s="7" t="s">
        <v>42</v>
      </c>
      <c r="N5" s="7" t="s">
        <v>138</v>
      </c>
      <c r="O5" s="7" t="s">
        <v>43</v>
      </c>
    </row>
    <row r="6" spans="1:15" x14ac:dyDescent="0.35">
      <c r="B6" s="7">
        <f>C2+1</f>
        <v>10</v>
      </c>
      <c r="C6" s="7">
        <v>10</v>
      </c>
      <c r="E6" s="13">
        <f>(100/B8)*C8</f>
        <v>100</v>
      </c>
      <c r="F6" s="14" t="s">
        <v>139</v>
      </c>
      <c r="I6" s="14">
        <f>C4</f>
        <v>10</v>
      </c>
      <c r="J6" s="14">
        <f>40/B6*C6</f>
        <v>40</v>
      </c>
      <c r="K6" s="14">
        <f>15/B8*C8</f>
        <v>15</v>
      </c>
      <c r="L6" s="14">
        <f>10/B10*C10</f>
        <v>8.8888888888888893</v>
      </c>
      <c r="M6" s="14">
        <f>10/B12*C12</f>
        <v>3.3333333333333335</v>
      </c>
      <c r="N6" s="14">
        <f>5/B14*C14</f>
        <v>0</v>
      </c>
      <c r="O6" s="14">
        <f>5/B16*C16</f>
        <v>0</v>
      </c>
    </row>
    <row r="7" spans="1:15" x14ac:dyDescent="0.35">
      <c r="A7" t="s">
        <v>140</v>
      </c>
      <c r="B7" t="s">
        <v>141</v>
      </c>
      <c r="C7" t="s">
        <v>142</v>
      </c>
      <c r="E7" s="13">
        <f>(100/B10)*C10</f>
        <v>88.888888888888886</v>
      </c>
      <c r="F7" s="7" t="s">
        <v>143</v>
      </c>
      <c r="G7" s="7"/>
      <c r="H7" s="7"/>
      <c r="I7" s="7">
        <f>I6+20</f>
        <v>30</v>
      </c>
      <c r="J7" s="7">
        <f>30/B6*C6</f>
        <v>30</v>
      </c>
      <c r="K7" s="7">
        <f>15/B8*C8</f>
        <v>15</v>
      </c>
      <c r="L7" s="7">
        <f>10/B10*C10</f>
        <v>8.8888888888888893</v>
      </c>
      <c r="M7" s="7">
        <f>5/B12*C12</f>
        <v>1.6666666666666667</v>
      </c>
      <c r="N7" s="7">
        <f>5/B14*C14</f>
        <v>0</v>
      </c>
      <c r="O7" s="7">
        <f>5/B16*C16</f>
        <v>0</v>
      </c>
    </row>
    <row r="8" spans="1:15" x14ac:dyDescent="0.35">
      <c r="B8" s="7">
        <f>C2</f>
        <v>9</v>
      </c>
      <c r="C8" s="7">
        <v>9</v>
      </c>
      <c r="D8" s="13"/>
      <c r="E8" s="13">
        <f>(100/B12)*C12</f>
        <v>33.333333333333329</v>
      </c>
    </row>
    <row r="9" spans="1:15" x14ac:dyDescent="0.35">
      <c r="A9" t="s">
        <v>144</v>
      </c>
      <c r="B9" t="s">
        <v>141</v>
      </c>
      <c r="C9" t="s">
        <v>142</v>
      </c>
      <c r="E9" s="13">
        <f>(100/B14)*C14</f>
        <v>0</v>
      </c>
    </row>
    <row r="10" spans="1:15" x14ac:dyDescent="0.35">
      <c r="B10" s="7">
        <f>C2</f>
        <v>9</v>
      </c>
      <c r="C10" s="7">
        <v>8</v>
      </c>
      <c r="D10" s="13"/>
      <c r="E10" s="13">
        <f>(100/B16)*C16</f>
        <v>0</v>
      </c>
    </row>
    <row r="11" spans="1:15" x14ac:dyDescent="0.35">
      <c r="A11" t="s">
        <v>42</v>
      </c>
      <c r="B11" t="s">
        <v>141</v>
      </c>
      <c r="C11" t="s">
        <v>142</v>
      </c>
    </row>
    <row r="12" spans="1:15" x14ac:dyDescent="0.35">
      <c r="B12" s="7">
        <f>C2</f>
        <v>9</v>
      </c>
      <c r="C12" s="7">
        <v>3</v>
      </c>
      <c r="D12" s="13"/>
      <c r="F12" s="7"/>
      <c r="G12" s="7" t="s">
        <v>139</v>
      </c>
      <c r="H12" s="7" t="s">
        <v>145</v>
      </c>
      <c r="L12" s="13" t="s">
        <v>146</v>
      </c>
    </row>
    <row r="13" spans="1:15" ht="31.5" customHeight="1" x14ac:dyDescent="0.35">
      <c r="A13" s="15" t="s">
        <v>138</v>
      </c>
      <c r="B13" t="s">
        <v>141</v>
      </c>
      <c r="C13" t="s">
        <v>142</v>
      </c>
      <c r="F13" s="7" t="s">
        <v>37</v>
      </c>
      <c r="G13" s="7">
        <f>I6</f>
        <v>10</v>
      </c>
      <c r="H13" s="7">
        <f>I7</f>
        <v>30</v>
      </c>
      <c r="L13" s="13" t="s">
        <v>146</v>
      </c>
    </row>
    <row r="14" spans="1:15" x14ac:dyDescent="0.35">
      <c r="B14" s="7">
        <f>C2</f>
        <v>9</v>
      </c>
      <c r="C14" s="7">
        <v>0</v>
      </c>
      <c r="D14" s="13"/>
      <c r="F14" s="7" t="s">
        <v>38</v>
      </c>
      <c r="G14" s="7">
        <f>J6</f>
        <v>40</v>
      </c>
      <c r="H14" s="7">
        <f>J7</f>
        <v>30</v>
      </c>
      <c r="L14" s="13"/>
    </row>
    <row r="15" spans="1:15" x14ac:dyDescent="0.35">
      <c r="A15" t="s">
        <v>43</v>
      </c>
      <c r="B15" t="s">
        <v>141</v>
      </c>
      <c r="C15" t="s">
        <v>142</v>
      </c>
      <c r="F15" s="7" t="s">
        <v>137</v>
      </c>
      <c r="G15" s="7">
        <f>K6</f>
        <v>15</v>
      </c>
      <c r="H15" s="7">
        <f>K7</f>
        <v>15</v>
      </c>
      <c r="L15" s="13"/>
    </row>
    <row r="16" spans="1:15" x14ac:dyDescent="0.35">
      <c r="B16" s="7">
        <f>C2</f>
        <v>9</v>
      </c>
      <c r="C16" s="7">
        <v>0</v>
      </c>
      <c r="D16" s="13"/>
      <c r="F16" s="7" t="s">
        <v>39</v>
      </c>
      <c r="G16" s="7">
        <f>L6</f>
        <v>8.8888888888888893</v>
      </c>
      <c r="H16" s="7">
        <f>L7</f>
        <v>8.8888888888888893</v>
      </c>
      <c r="L16" s="13"/>
    </row>
    <row r="17" spans="6:12" x14ac:dyDescent="0.35">
      <c r="F17" s="7" t="s">
        <v>42</v>
      </c>
      <c r="G17" s="7">
        <f>M6</f>
        <v>3.3333333333333335</v>
      </c>
      <c r="H17" s="7">
        <f>M7</f>
        <v>1.6666666666666667</v>
      </c>
      <c r="L17" s="13"/>
    </row>
    <row r="18" spans="6:12" ht="29.25" customHeight="1" x14ac:dyDescent="0.35">
      <c r="F18" s="16" t="s">
        <v>138</v>
      </c>
      <c r="G18" s="7">
        <f>N6</f>
        <v>0</v>
      </c>
      <c r="H18" s="7">
        <f>N7</f>
        <v>0</v>
      </c>
      <c r="L18" s="13"/>
    </row>
    <row r="19" spans="6:12" x14ac:dyDescent="0.35">
      <c r="F19" s="7" t="s">
        <v>43</v>
      </c>
      <c r="G19" s="7">
        <f>O6</f>
        <v>0</v>
      </c>
      <c r="H19" s="7">
        <f>O7</f>
        <v>0</v>
      </c>
      <c r="L19" s="13"/>
    </row>
    <row r="20" spans="6:12" x14ac:dyDescent="0.35">
      <c r="F20" s="7" t="s">
        <v>147</v>
      </c>
      <c r="G20" s="7">
        <f>G13+G14+G15+G16+G17+G18+G19</f>
        <v>77.222222222222214</v>
      </c>
      <c r="H20" s="7">
        <f>H13+H14+H15+H16+H17+H18+H19</f>
        <v>85.555555555555557</v>
      </c>
      <c r="L20" s="1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C17" sqref="C17"/>
    </sheetView>
  </sheetViews>
  <sheetFormatPr defaultRowHeight="14.5" x14ac:dyDescent="0.35"/>
  <cols>
    <col min="1" max="1" width="11.26953125" customWidth="1"/>
    <col min="2" max="2" width="12" customWidth="1"/>
    <col min="3" max="3" width="14.54296875" customWidth="1"/>
    <col min="4" max="4" width="4" customWidth="1"/>
    <col min="5" max="5" width="15.1796875" customWidth="1"/>
    <col min="6" max="7" width="9.1796875" customWidth="1"/>
    <col min="9" max="9" width="12.7265625" customWidth="1"/>
    <col min="10" max="10" width="15.1796875" customWidth="1"/>
    <col min="13" max="13" width="16.54296875" customWidth="1"/>
  </cols>
  <sheetData>
    <row r="2" spans="1:15" x14ac:dyDescent="0.35">
      <c r="A2" t="s">
        <v>127</v>
      </c>
      <c r="B2" s="12" t="s">
        <v>128</v>
      </c>
      <c r="C2" s="12">
        <v>8</v>
      </c>
    </row>
    <row r="3" spans="1:15" x14ac:dyDescent="0.35">
      <c r="B3" t="s">
        <v>129</v>
      </c>
      <c r="C3" t="s">
        <v>130</v>
      </c>
    </row>
    <row r="4" spans="1:15" x14ac:dyDescent="0.35">
      <c r="A4" t="s">
        <v>131</v>
      </c>
      <c r="B4" s="7">
        <v>10</v>
      </c>
      <c r="C4" s="7">
        <v>10</v>
      </c>
      <c r="D4" s="13"/>
      <c r="E4" s="13">
        <f>(100/B4)*C4</f>
        <v>100</v>
      </c>
    </row>
    <row r="5" spans="1:15" x14ac:dyDescent="0.35">
      <c r="A5" t="s">
        <v>132</v>
      </c>
      <c r="B5" t="s">
        <v>133</v>
      </c>
      <c r="C5" t="s">
        <v>134</v>
      </c>
      <c r="E5" s="13">
        <f>(100/B6)*C6</f>
        <v>100</v>
      </c>
      <c r="I5" s="7" t="s">
        <v>135</v>
      </c>
      <c r="J5" s="7" t="s">
        <v>136</v>
      </c>
      <c r="K5" s="7" t="s">
        <v>137</v>
      </c>
      <c r="L5" s="7" t="s">
        <v>39</v>
      </c>
      <c r="M5" s="7" t="s">
        <v>42</v>
      </c>
      <c r="N5" s="7" t="s">
        <v>138</v>
      </c>
      <c r="O5" s="7" t="s">
        <v>43</v>
      </c>
    </row>
    <row r="6" spans="1:15" x14ac:dyDescent="0.35">
      <c r="B6" s="7">
        <f>C2+1</f>
        <v>9</v>
      </c>
      <c r="C6" s="7">
        <v>9</v>
      </c>
      <c r="E6" s="13">
        <f>(100/B8)*C8</f>
        <v>100</v>
      </c>
      <c r="F6" s="14" t="s">
        <v>139</v>
      </c>
      <c r="I6" s="14">
        <f>C4</f>
        <v>10</v>
      </c>
      <c r="J6" s="14">
        <f>40/B6*C6</f>
        <v>40</v>
      </c>
      <c r="K6" s="14">
        <f>15/B8*C8</f>
        <v>15</v>
      </c>
      <c r="L6" s="14">
        <f>10/B10*C10</f>
        <v>10</v>
      </c>
      <c r="M6" s="14">
        <f>10/B12*C12</f>
        <v>10</v>
      </c>
      <c r="N6" s="14">
        <f>5/B14*C14</f>
        <v>5</v>
      </c>
      <c r="O6" s="14">
        <f>5/B16*C16</f>
        <v>5</v>
      </c>
    </row>
    <row r="7" spans="1:15" x14ac:dyDescent="0.35">
      <c r="A7" t="s">
        <v>140</v>
      </c>
      <c r="B7" t="s">
        <v>141</v>
      </c>
      <c r="C7" t="s">
        <v>142</v>
      </c>
      <c r="E7" s="13">
        <f>(100/B10)*C10</f>
        <v>100</v>
      </c>
      <c r="F7" s="7" t="s">
        <v>143</v>
      </c>
      <c r="G7" s="7"/>
      <c r="H7" s="7"/>
      <c r="I7" s="7">
        <f>I6+20</f>
        <v>30</v>
      </c>
      <c r="J7" s="7">
        <f>30/B6*C6</f>
        <v>30</v>
      </c>
      <c r="K7" s="7">
        <f>15/B8*C8</f>
        <v>15</v>
      </c>
      <c r="L7" s="7">
        <f>10/B10*C10</f>
        <v>10</v>
      </c>
      <c r="M7" s="7">
        <f>5/B12*C12</f>
        <v>5</v>
      </c>
      <c r="N7" s="7">
        <f>5/B14*C14</f>
        <v>5</v>
      </c>
      <c r="O7" s="7">
        <f>5/B16*C16</f>
        <v>5</v>
      </c>
    </row>
    <row r="8" spans="1:15" x14ac:dyDescent="0.35">
      <c r="B8" s="7">
        <f>C2</f>
        <v>8</v>
      </c>
      <c r="C8" s="7">
        <v>8</v>
      </c>
      <c r="D8" s="13"/>
      <c r="E8" s="13">
        <f>(100/B12)*C12</f>
        <v>100</v>
      </c>
    </row>
    <row r="9" spans="1:15" x14ac:dyDescent="0.35">
      <c r="A9" t="s">
        <v>144</v>
      </c>
      <c r="B9" t="s">
        <v>141</v>
      </c>
      <c r="C9" t="s">
        <v>142</v>
      </c>
      <c r="E9" s="13">
        <f>(100/B14)*C14</f>
        <v>100</v>
      </c>
    </row>
    <row r="10" spans="1:15" x14ac:dyDescent="0.35">
      <c r="B10" s="7">
        <f>C2</f>
        <v>8</v>
      </c>
      <c r="C10" s="7">
        <v>8</v>
      </c>
      <c r="D10" s="13"/>
      <c r="E10" s="13">
        <f>(100/B16)*C16</f>
        <v>100</v>
      </c>
    </row>
    <row r="11" spans="1:15" x14ac:dyDescent="0.35">
      <c r="A11" t="s">
        <v>42</v>
      </c>
      <c r="B11" t="s">
        <v>141</v>
      </c>
      <c r="C11" t="s">
        <v>142</v>
      </c>
    </row>
    <row r="12" spans="1:15" x14ac:dyDescent="0.35">
      <c r="B12" s="7">
        <f>C2</f>
        <v>8</v>
      </c>
      <c r="C12" s="7">
        <v>8</v>
      </c>
      <c r="D12" s="13"/>
      <c r="F12" s="7"/>
      <c r="G12" s="7" t="s">
        <v>139</v>
      </c>
      <c r="H12" s="7" t="s">
        <v>145</v>
      </c>
      <c r="L12" s="13" t="s">
        <v>146</v>
      </c>
    </row>
    <row r="13" spans="1:15" ht="31.5" customHeight="1" x14ac:dyDescent="0.35">
      <c r="A13" s="15" t="s">
        <v>138</v>
      </c>
      <c r="B13" t="s">
        <v>141</v>
      </c>
      <c r="C13" t="s">
        <v>142</v>
      </c>
      <c r="F13" s="7" t="s">
        <v>37</v>
      </c>
      <c r="G13" s="7">
        <f>I6</f>
        <v>10</v>
      </c>
      <c r="H13" s="7">
        <f>I7</f>
        <v>30</v>
      </c>
      <c r="L13" s="13" t="s">
        <v>146</v>
      </c>
    </row>
    <row r="14" spans="1:15" x14ac:dyDescent="0.35">
      <c r="B14" s="7">
        <f>C2</f>
        <v>8</v>
      </c>
      <c r="C14" s="7">
        <v>8</v>
      </c>
      <c r="D14" s="13"/>
      <c r="F14" s="7" t="s">
        <v>38</v>
      </c>
      <c r="G14" s="7">
        <f>J6</f>
        <v>40</v>
      </c>
      <c r="H14" s="7">
        <f>J7</f>
        <v>30</v>
      </c>
      <c r="L14" s="13"/>
    </row>
    <row r="15" spans="1:15" x14ac:dyDescent="0.35">
      <c r="A15" t="s">
        <v>43</v>
      </c>
      <c r="B15" t="s">
        <v>141</v>
      </c>
      <c r="C15" t="s">
        <v>142</v>
      </c>
      <c r="F15" s="7" t="s">
        <v>137</v>
      </c>
      <c r="G15" s="7">
        <f>K6</f>
        <v>15</v>
      </c>
      <c r="H15" s="7">
        <f>K7</f>
        <v>15</v>
      </c>
      <c r="L15" s="13"/>
    </row>
    <row r="16" spans="1:15" x14ac:dyDescent="0.35">
      <c r="B16" s="7">
        <f>C2</f>
        <v>8</v>
      </c>
      <c r="C16" s="7">
        <v>8</v>
      </c>
      <c r="D16" s="13"/>
      <c r="F16" s="7" t="s">
        <v>39</v>
      </c>
      <c r="G16" s="7">
        <f>L6</f>
        <v>10</v>
      </c>
      <c r="H16" s="7">
        <f>L7</f>
        <v>10</v>
      </c>
      <c r="L16" s="13"/>
    </row>
    <row r="17" spans="6:12" x14ac:dyDescent="0.35">
      <c r="F17" s="7" t="s">
        <v>42</v>
      </c>
      <c r="G17" s="7">
        <f>M6</f>
        <v>10</v>
      </c>
      <c r="H17" s="7">
        <f>M7</f>
        <v>5</v>
      </c>
      <c r="L17" s="13"/>
    </row>
    <row r="18" spans="6:12" ht="29.25" customHeight="1" x14ac:dyDescent="0.35">
      <c r="F18" s="16" t="s">
        <v>138</v>
      </c>
      <c r="G18" s="7">
        <f>N6</f>
        <v>5</v>
      </c>
      <c r="H18" s="7">
        <f>N7</f>
        <v>5</v>
      </c>
      <c r="L18" s="13"/>
    </row>
    <row r="19" spans="6:12" x14ac:dyDescent="0.35">
      <c r="F19" s="7" t="s">
        <v>43</v>
      </c>
      <c r="G19" s="7">
        <f>O6</f>
        <v>5</v>
      </c>
      <c r="H19" s="7">
        <f>O7</f>
        <v>5</v>
      </c>
      <c r="L19" s="13"/>
    </row>
    <row r="20" spans="6:12" x14ac:dyDescent="0.35">
      <c r="F20" s="7" t="s">
        <v>147</v>
      </c>
      <c r="G20" s="7">
        <f>G13+G14+G15+G16+G17+G18+G19</f>
        <v>95</v>
      </c>
      <c r="H20" s="7">
        <f>H13+H14+H15+H16+H17+H18+H19</f>
        <v>100</v>
      </c>
      <c r="L20" s="1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
  <sheetViews>
    <sheetView workbookViewId="0">
      <selection activeCell="P18" sqref="P18"/>
    </sheetView>
  </sheetViews>
  <sheetFormatPr defaultRowHeight="14.5" x14ac:dyDescent="0.35"/>
  <cols>
    <col min="1" max="1" width="10.26953125" bestFit="1" customWidth="1"/>
  </cols>
  <sheetData>
    <row r="2" spans="1:2" x14ac:dyDescent="0.35">
      <c r="A2" s="22">
        <v>44203</v>
      </c>
      <c r="B2" s="23" t="s">
        <v>175</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Sheet1</vt:lpstr>
      <vt:lpstr>If Gr C%( A Wing)</vt:lpstr>
      <vt:lpstr>Valuation</vt:lpstr>
      <vt:lpstr>If Gr (Wing B)</vt:lpstr>
      <vt:lpstr>If Gr (Wing C)</vt:lpstr>
      <vt:lpstr>Note</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Hp Elitebook 840 G6</cp:lastModifiedBy>
  <cp:lastPrinted>2025-07-09T06:03:02Z</cp:lastPrinted>
  <dcterms:created xsi:type="dcterms:W3CDTF">2013-11-23T05:32:33Z</dcterms:created>
  <dcterms:modified xsi:type="dcterms:W3CDTF">2025-07-09T06:03:40Z</dcterms:modified>
</cp:coreProperties>
</file>