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09-07-2025\"/>
    </mc:Choice>
  </mc:AlternateContent>
  <bookViews>
    <workbookView xWindow="0" yWindow="0" windowWidth="19200" windowHeight="6640" tabRatio="725"/>
  </bookViews>
  <sheets>
    <sheet name="Report" sheetId="1" r:id="rId1"/>
    <sheet name="Research" sheetId="4" r:id="rId2"/>
    <sheet name="valuation" sheetId="5" r:id="rId3"/>
    <sheet name="Remarks" sheetId="6" r:id="rId4"/>
    <sheet name="Area Calculation" sheetId="7" r:id="rId5"/>
  </sheets>
  <definedNames>
    <definedName name="_xlnm.Print_Area" localSheetId="0">Report!$A$1:$H$314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9" i="1" l="1"/>
  <c r="E158" i="1" l="1"/>
  <c r="D158" i="1"/>
  <c r="E155" i="1"/>
  <c r="D155" i="1"/>
  <c r="E154" i="1"/>
  <c r="D154" i="1"/>
  <c r="E152" i="1"/>
  <c r="D152" i="1"/>
  <c r="E151" i="1"/>
  <c r="D151" i="1"/>
  <c r="E149" i="1"/>
  <c r="D149" i="1"/>
  <c r="E148" i="1"/>
  <c r="D148" i="1"/>
  <c r="E147" i="1"/>
  <c r="D147" i="1"/>
  <c r="E146" i="1"/>
  <c r="F146" i="1" s="1"/>
  <c r="H146" i="1" s="1"/>
  <c r="I146" i="1" s="1"/>
  <c r="D146" i="1"/>
  <c r="E144" i="1"/>
  <c r="D144" i="1"/>
  <c r="E143" i="1"/>
  <c r="D143" i="1"/>
  <c r="E142" i="1"/>
  <c r="D142" i="1"/>
  <c r="E141" i="1"/>
  <c r="D141" i="1"/>
  <c r="E140" i="1"/>
  <c r="D140" i="1"/>
  <c r="D139" i="1"/>
  <c r="D134" i="1"/>
  <c r="F134" i="1" s="1"/>
  <c r="H134" i="1" s="1"/>
  <c r="D133" i="1"/>
  <c r="F133" i="1" s="1"/>
  <c r="H133" i="1" s="1"/>
  <c r="D132" i="1"/>
  <c r="D131" i="1"/>
  <c r="F131" i="1" s="1"/>
  <c r="H131" i="1" s="1"/>
  <c r="D130" i="1"/>
  <c r="F130" i="1" s="1"/>
  <c r="H130" i="1" s="1"/>
  <c r="D129" i="1"/>
  <c r="F129" i="1" s="1"/>
  <c r="H129" i="1" s="1"/>
  <c r="D128" i="1"/>
  <c r="F128" i="1" s="1"/>
  <c r="H128" i="1" s="1"/>
  <c r="D127" i="1"/>
  <c r="F127" i="1" s="1"/>
  <c r="E125" i="1"/>
  <c r="D125" i="1"/>
  <c r="F125" i="1" s="1"/>
  <c r="H125" i="1" s="1"/>
  <c r="E124" i="1"/>
  <c r="D124" i="1"/>
  <c r="E123" i="1"/>
  <c r="D123" i="1"/>
  <c r="E122" i="1"/>
  <c r="D122" i="1"/>
  <c r="E121" i="1"/>
  <c r="D121" i="1"/>
  <c r="E120" i="1"/>
  <c r="D120" i="1"/>
  <c r="E119" i="1"/>
  <c r="D119" i="1"/>
  <c r="E118" i="1"/>
  <c r="D118" i="1"/>
  <c r="E117" i="1"/>
  <c r="D117" i="1"/>
  <c r="E116" i="1"/>
  <c r="D116" i="1"/>
  <c r="A152" i="1"/>
  <c r="A154" i="1" s="1"/>
  <c r="A155" i="1" s="1"/>
  <c r="A147" i="1"/>
  <c r="A148" i="1" s="1"/>
  <c r="A149" i="1" s="1"/>
  <c r="F143" i="1"/>
  <c r="H143" i="1" s="1"/>
  <c r="J139" i="1"/>
  <c r="I139" i="1"/>
  <c r="F132" i="1"/>
  <c r="H132" i="1" s="1"/>
  <c r="J128" i="1"/>
  <c r="I127" i="1"/>
  <c r="I122" i="1"/>
  <c r="I120" i="1"/>
  <c r="A132" i="1"/>
  <c r="A133" i="1" s="1"/>
  <c r="A134" i="1" s="1"/>
  <c r="A128" i="1"/>
  <c r="A129" i="1" s="1"/>
  <c r="A130" i="1" s="1"/>
  <c r="I118" i="1"/>
  <c r="I116" i="1"/>
  <c r="A121" i="1"/>
  <c r="A122" i="1" s="1"/>
  <c r="A123" i="1" s="1"/>
  <c r="F148" i="1" l="1"/>
  <c r="H148" i="1" s="1"/>
  <c r="F154" i="1"/>
  <c r="H154" i="1" s="1"/>
  <c r="F122" i="1"/>
  <c r="H122" i="1" s="1"/>
  <c r="F124" i="1"/>
  <c r="H124" i="1" s="1"/>
  <c r="H127" i="1"/>
  <c r="G103" i="1" s="1"/>
  <c r="E103" i="1"/>
  <c r="C103" i="1"/>
  <c r="F151" i="1"/>
  <c r="H151" i="1" s="1"/>
  <c r="F158" i="1"/>
  <c r="H158" i="1" s="1"/>
  <c r="J148" i="1"/>
  <c r="I148" i="1"/>
  <c r="F147" i="1"/>
  <c r="H147" i="1" s="1"/>
  <c r="F149" i="1"/>
  <c r="H149" i="1" s="1"/>
  <c r="F144" i="1"/>
  <c r="H144" i="1" s="1"/>
  <c r="F155" i="1"/>
  <c r="H155" i="1" s="1"/>
  <c r="F152" i="1"/>
  <c r="H152" i="1" s="1"/>
  <c r="F123" i="1"/>
  <c r="H123" i="1" s="1"/>
  <c r="F121" i="1"/>
  <c r="H121" i="1" s="1"/>
  <c r="F120" i="1"/>
  <c r="H120" i="1" s="1"/>
  <c r="E43" i="1"/>
  <c r="J147" i="1" l="1"/>
  <c r="K147" i="1"/>
  <c r="J152" i="1"/>
  <c r="I152" i="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s="1"/>
  <c r="F11" i="5"/>
  <c r="G11" i="5" s="1"/>
  <c r="G10" i="5"/>
  <c r="F10" i="5"/>
  <c r="F9" i="5"/>
  <c r="G9" i="5" s="1"/>
  <c r="F8" i="5"/>
  <c r="G8" i="5" s="1"/>
  <c r="F7" i="5"/>
  <c r="G7" i="5" s="1"/>
  <c r="F6" i="5"/>
  <c r="G6" i="5" s="1"/>
  <c r="F5" i="5"/>
  <c r="G5" i="5" s="1"/>
  <c r="G12" i="5" s="1"/>
  <c r="D187" i="1"/>
  <c r="B162" i="1"/>
  <c r="B161" i="1"/>
  <c r="F142" i="1"/>
  <c r="H142" i="1" s="1"/>
  <c r="F141" i="1"/>
  <c r="H141" i="1" s="1"/>
  <c r="F140" i="1"/>
  <c r="A140" i="1"/>
  <c r="F139" i="1"/>
  <c r="F119" i="1"/>
  <c r="H119" i="1" s="1"/>
  <c r="F118" i="1"/>
  <c r="H118" i="1" s="1"/>
  <c r="F117" i="1"/>
  <c r="H117" i="1" s="1"/>
  <c r="A117" i="1"/>
  <c r="A118" i="1" s="1"/>
  <c r="A119" i="1" s="1"/>
  <c r="F116" i="1"/>
  <c r="F99" i="1"/>
  <c r="C73" i="1"/>
  <c r="B74" i="1" s="1"/>
  <c r="D67" i="1"/>
  <c r="D62" i="1"/>
  <c r="G56" i="1"/>
  <c r="C56" i="1"/>
  <c r="G51" i="1"/>
  <c r="G52" i="1" s="1"/>
  <c r="K54" i="1" s="1"/>
  <c r="C51" i="1"/>
  <c r="C52" i="1" s="1"/>
  <c r="E44" i="1"/>
  <c r="E45" i="1" s="1"/>
  <c r="S33" i="1"/>
  <c r="E31" i="1"/>
  <c r="E28" i="1"/>
  <c r="E26" i="1"/>
  <c r="C16" i="1"/>
  <c r="I15" i="1"/>
  <c r="Z13" i="1"/>
  <c r="E8" i="1"/>
  <c r="E3" i="1"/>
  <c r="B173" i="1" s="1"/>
  <c r="H74" i="1"/>
  <c r="C102" i="1" l="1"/>
  <c r="C104" i="1" s="1"/>
  <c r="A141" i="1"/>
  <c r="A142" i="1" s="1"/>
  <c r="A143" i="1" s="1"/>
  <c r="A144" i="1" s="1"/>
  <c r="I42" i="7"/>
  <c r="H42" i="7" s="1"/>
  <c r="H140" i="1"/>
  <c r="G108" i="1" s="1"/>
  <c r="E108" i="1"/>
  <c r="C108" i="1"/>
  <c r="L42" i="7"/>
  <c r="K42" i="7" s="1"/>
  <c r="E107" i="1"/>
  <c r="E109" i="1" s="1"/>
  <c r="C107" i="1"/>
  <c r="H139" i="1"/>
  <c r="G107" i="1" s="1"/>
  <c r="H116" i="1"/>
  <c r="E102" i="1"/>
  <c r="E104" i="1" s="1"/>
  <c r="J81" i="1"/>
  <c r="J82" i="1"/>
  <c r="D82" i="1"/>
  <c r="J76" i="1"/>
  <c r="D81" i="1"/>
  <c r="D86" i="1"/>
  <c r="D80" i="1"/>
  <c r="D85" i="1"/>
  <c r="D79" i="1"/>
  <c r="J78" i="1"/>
  <c r="C77" i="1" s="1"/>
  <c r="D84" i="1"/>
  <c r="D83" i="1"/>
  <c r="J77" i="1"/>
  <c r="J73" i="1"/>
  <c r="J75" i="1" s="1"/>
  <c r="E44" i="7"/>
  <c r="D42" i="7"/>
  <c r="D44" i="7" s="1"/>
  <c r="L54" i="1"/>
  <c r="J83" i="1"/>
  <c r="J84" i="1"/>
  <c r="I52" i="1"/>
  <c r="J79" i="1"/>
  <c r="J80" i="1" s="1"/>
  <c r="J85" i="1" s="1"/>
  <c r="J86" i="1" s="1"/>
  <c r="C78" i="1" s="1"/>
  <c r="G109" i="1" l="1"/>
  <c r="E110" i="1"/>
  <c r="C109" i="1"/>
  <c r="C110" i="1" s="1"/>
  <c r="G102" i="1"/>
  <c r="G104" i="1" s="1"/>
  <c r="G110" i="1" s="1"/>
  <c r="J116" i="1"/>
  <c r="E77" i="1"/>
  <c r="D78" i="1"/>
  <c r="G77" i="1"/>
  <c r="D71" i="1" s="1"/>
  <c r="D77" i="1"/>
  <c r="I74" i="1" l="1"/>
  <c r="I75" i="1" s="1"/>
  <c r="J74" i="1"/>
  <c r="D72" i="1"/>
  <c r="F72" i="1"/>
  <c r="I73" i="1" l="1"/>
  <c r="C7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7"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<sst xmlns="http://schemas.openxmlformats.org/spreadsheetml/2006/main" count="643" uniqueCount="410">
  <si>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</si>
  <si>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</si>
  <si>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</si>
  <si>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</si>
  <si>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</si>
  <si>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</si>
  <si>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</si>
  <si>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</si>
  <si>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</si>
  <si>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</si>
  <si>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</si>
  <si>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</si>
  <si>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</si>
  <si>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</si>
  <si>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</si>
  <si>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</si>
  <si>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</si>
  <si>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</si>
  <si>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</si>
  <si>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</si>
  <si>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</si>
  <si>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</si>
  <si>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</si>
  <si>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</si>
  <si>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</si>
  <si>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</si>
  <si>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</si>
  <si>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</si>
  <si>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</si>
  <si>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</si>
  <si>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</si>
  <si>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</si>
  <si>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</si>
  <si>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</si>
  <si>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</si>
  <si>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</si>
  <si>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</si>
  <si>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</si>
  <si>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</si>
  <si>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</si>
  <si>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</si>
  <si>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</si>
  <si>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</si>
  <si>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</si>
  <si>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</si>
  <si>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</si>
  <si>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</si>
  <si>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</si>
  <si>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</si>
  <si>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</si>
  <si>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</si>
  <si>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</si>
  <si>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</si>
  <si>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</si>
  <si>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</si>
  <si>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</si>
  <si>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</si>
  <si>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</si>
  <si>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</si>
  <si>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</si>
  <si>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</si>
  <si>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</si>
  <si>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</si>
  <si>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</si>
  <si>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</si>
  <si>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</si>
  <si>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</si>
  <si>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</si>
  <si>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</si>
  <si>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</si>
  <si>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</si>
  <si>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</si>
  <si>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</si>
  <si>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</si>
  <si>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</si>
  <si>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</si>
  <si>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</si>
  <si>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</si>
  <si>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</si>
  <si>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</si>
  <si>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</si>
  <si>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</si>
  <si>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</si>
  <si>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</si>
  <si>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</si>
  <si>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</si>
  <si>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</si>
  <si>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</si>
  <si>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</si>
  <si>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</si>
  <si>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</si>
  <si>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</si>
  <si>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</si>
  <si>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</si>
  <si>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</si>
  <si>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</si>
  <si>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</si>
  <si>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</si>
  <si>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</si>
  <si>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</si>
  <si>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</si>
  <si>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</si>
  <si>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</si>
  <si>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</si>
  <si>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</si>
  <si>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</si>
  <si>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</si>
  <si>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</si>
  <si>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</si>
  <si>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</si>
  <si>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</si>
  <si>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</si>
  <si>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</si>
  <si>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</si>
  <si>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</si>
  <si>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</si>
  <si>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</si>
  <si>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</si>
  <si>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</si>
  <si>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</si>
  <si>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</si>
  <si>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</si>
  <si>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</si>
  <si>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</si>
  <si>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</si>
  <si>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</si>
  <si>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</si>
  <si>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</si>
  <si>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</si>
  <si>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</si>
  <si>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</si>
  <si>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</si>
  <si>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</si>
  <si>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</si>
  <si>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</si>
  <si>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</si>
  <si>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</si>
  <si>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</si>
  <si>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</si>
  <si>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</si>
  <si>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</si>
  <si>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</si>
  <si>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</si>
  <si>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</si>
  <si>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</si>
  <si>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</si>
  <si>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</si>
  <si>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</si>
  <si>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</si>
  <si>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</si>
  <si>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</si>
  <si>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</si>
  <si>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</si>
  <si>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</si>
  <si>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</si>
  <si>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</si>
  <si>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</si>
  <si>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</si>
  <si>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</si>
  <si>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</si>
  <si>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</si>
  <si>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</si>
  <si>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</si>
  <si>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</si>
  <si>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</si>
  <si>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</si>
  <si>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</si>
  <si>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</si>
  <si>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</si>
  <si>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</si>
  <si>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</si>
  <si>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</si>
  <si>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</si>
  <si>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</si>
  <si>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</si>
  <si>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</si>
  <si>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</si>
  <si>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</si>
  <si>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</si>
  <si>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</si>
  <si>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</si>
  <si>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</si>
  <si>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</si>
  <si>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</si>
  <si>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</si>
  <si>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</si>
  <si>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</si>
  <si>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</si>
  <si>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</si>
  <si>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</si>
  <si>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</si>
  <si>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</si>
  <si>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</si>
  <si>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</si>
  <si>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</si>
  <si>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</si>
  <si>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</si>
  <si>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</si>
  <si>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</si>
  <si>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</si>
  <si>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</si>
  <si>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</si>
  <si>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</si>
  <si>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</si>
  <si>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</si>
  <si>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</si>
  <si>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</si>
  <si>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</si>
  <si>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</si>
  <si>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</si>
  <si>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</si>
  <si>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</si>
  <si>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</si>
  <si>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</si>
  <si>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</si>
  <si>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</si>
  <si>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</si>
  <si>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</si>
  <si>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</si>
  <si>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</si>
  <si>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</si>
  <si>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</si>
  <si>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</si>
  <si>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</si>
  <si>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</si>
  <si>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</si>
  <si>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</si>
  <si>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</si>
  <si>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</si>
  <si>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</si>
  <si>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</si>
  <si>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</si>
  <si>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</si>
  <si>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</si>
  <si>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</si>
  <si>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</si>
  <si>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</si>
  <si>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</si>
  <si>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</si>
  <si>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</si>
  <si>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</si>
  <si>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</si>
  <si>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</si>
  <si>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</si>
  <si>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</si>
  <si>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</si>
  <si>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</si>
  <si>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</si>
  <si>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</si>
  <si>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</si>
  <si>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</si>
  <si>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</si>
  <si>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</si>
  <si>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</si>
  <si>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</si>
  <si>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</si>
  <si>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</si>
  <si>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</si>
  <si>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</si>
  <si>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</si>
  <si>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</si>
  <si>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</si>
  <si>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</si>
  <si>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</si>
  <si>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</si>
  <si>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</si>
  <si>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</si>
  <si>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</si>
  <si>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</si>
  <si>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</si>
  <si>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</si>
  <si>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</si>
  <si>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</si>
  <si>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</si>
  <si>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</si>
  <si>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</si>
  <si>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</si>
  <si>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</si>
  <si>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</si>
  <si>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</si>
  <si>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</si>
  <si>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</si>
  <si>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</si>
  <si>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</si>
  <si>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</si>
  <si>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</si>
  <si>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</si>
  <si>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</si>
  <si>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</si>
  <si>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</si>
  <si>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</si>
  <si>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</si>
  <si>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</si>
  <si>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</si>
  <si>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</si>
  <si>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</si>
  <si>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</si>
  <si>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</si>
  <si>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</si>
  <si>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</si>
  <si>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</si>
  <si>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</si>
  <si>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</si>
  <si>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</si>
  <si>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</si>
  <si>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</si>
  <si>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</si>
  <si>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</si>
  <si>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</si>
  <si>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</si>
  <si>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</si>
  <si>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</si>
  <si>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</si>
  <si>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</si>
  <si>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</si>
  <si>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</si>
  <si>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</si>
  <si>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</si>
  <si>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</si>
  <si>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</si>
  <si>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</si>
  <si>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</si>
  <si>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</si>
  <si>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</si>
  <si>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</si>
  <si>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</si>
  <si>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</si>
  <si>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</si>
  <si>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</si>
  <si>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</si>
  <si>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</si>
  <si>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</si>
  <si>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</si>
  <si>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</si>
  <si>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</si>
  <si>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</si>
  <si>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</si>
  <si>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</si>
  <si>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</si>
  <si>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</si>
  <si>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</si>
  <si>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</si>
  <si>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</si>
  <si>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</si>
  <si>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</si>
  <si>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</si>
  <si>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</si>
  <si>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</si>
  <si>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</si>
  <si>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</si>
  <si>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</si>
  <si>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</si>
  <si>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</si>
  <si>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 xml:space="preserve">Site Elevation = 
Permissible Top Elevation = </t>
  </si>
  <si>
    <t>Navkar Shelters</t>
  </si>
  <si>
    <t>Maitri Navkar</t>
  </si>
  <si>
    <t>P51700052015</t>
  </si>
  <si>
    <t>8630, S. No.44, H. No.2</t>
  </si>
  <si>
    <t>19.212417,73.082722</t>
  </si>
  <si>
    <t>https://maps.app.goo.gl/DkBYWxhM5hogy1FY6</t>
  </si>
  <si>
    <t>Dombivali</t>
  </si>
  <si>
    <t>0.75 KM from Dombivli Railway Station</t>
  </si>
  <si>
    <t>Dombivli East</t>
  </si>
  <si>
    <t>Nav Saiprasad CHS Ltd.</t>
  </si>
  <si>
    <t>New Ayre Road</t>
  </si>
  <si>
    <t>Mhatre Nagar</t>
  </si>
  <si>
    <t>Ayodhya CHS</t>
  </si>
  <si>
    <t>Open Plot</t>
  </si>
  <si>
    <t>12 M Wide D. P Road</t>
  </si>
  <si>
    <t>Other Plot</t>
  </si>
  <si>
    <t>KDMC/TPD/BP/DOM/2022-23/03/82</t>
  </si>
  <si>
    <t>Gr/St + 1st to 20th Floor (Residential + Commercial)</t>
  </si>
  <si>
    <t xml:space="preserve">Gr/St + 1st to 20th Floor </t>
  </si>
  <si>
    <t>As per RERA - 31/12/2027</t>
  </si>
  <si>
    <r>
      <t xml:space="preserve">Proposed Amenities :                                                                                                                                                                                                                         </t>
    </r>
    <r>
      <rPr>
        <b/>
        <sz val="12"/>
        <rFont val="Times New Roman"/>
        <family val="1"/>
      </rPr>
      <t xml:space="preserve">                                               </t>
    </r>
  </si>
  <si>
    <t xml:space="preserve">on loacation of the blessing </t>
  </si>
  <si>
    <r>
      <t xml:space="preserve">Shop No.
</t>
    </r>
    <r>
      <rPr>
        <b/>
        <sz val="11"/>
        <rFont val="Times New Roman"/>
        <family val="1"/>
      </rPr>
      <t>(Approved Plan)</t>
    </r>
  </si>
  <si>
    <t>Ground Floor For Commercial, Driver Room &amp; Society Office</t>
  </si>
  <si>
    <t>Attached Loft area</t>
  </si>
  <si>
    <t>Shop</t>
  </si>
  <si>
    <t>Office</t>
  </si>
  <si>
    <t>1st &amp; 2nd Floor For Commercial</t>
  </si>
  <si>
    <t>Carpet + Encl. Balcony Area</t>
  </si>
  <si>
    <r>
      <t xml:space="preserve">Flat No.
</t>
    </r>
    <r>
      <rPr>
        <b/>
        <sz val="11"/>
        <rFont val="Times New Roman"/>
        <family val="1"/>
      </rPr>
      <t>(Approved Plan)</t>
    </r>
  </si>
  <si>
    <t>3rd &amp; 4th Floor For Residential</t>
  </si>
  <si>
    <t>3BHK</t>
  </si>
  <si>
    <t>1RK</t>
  </si>
  <si>
    <t>Balcony Area</t>
  </si>
  <si>
    <t>5th to 7th, 9th to 12th, 14th to 17th &amp; 19th Floor</t>
  </si>
  <si>
    <t>2BHK</t>
  </si>
  <si>
    <t>8th, 13th &amp; 18th Floor For Part Refuge Area</t>
  </si>
  <si>
    <t>-</t>
  </si>
  <si>
    <t>Refuge Area</t>
  </si>
  <si>
    <t>1BHK</t>
  </si>
  <si>
    <t>20th Floor For Part Terrace Area</t>
  </si>
  <si>
    <t xml:space="preserve"> Terrace Area</t>
  </si>
  <si>
    <t>Construction work is in process at the time of Visit.</t>
  </si>
  <si>
    <t xml:space="preserve">Gr/St + 1st to 21st Floor </t>
  </si>
  <si>
    <t>We considered Gross carpet area = Net carpet + Encl Balcony + Balcony Area.</t>
  </si>
  <si>
    <t>Grand Entrance Lobby, Rooftop Amenities with lifetime splendid view, Solar System, Parking Tower, Driver Room, Gym, Society Office etc.</t>
  </si>
  <si>
    <t>KDMC</t>
  </si>
  <si>
    <t>KDMC Flats</t>
  </si>
  <si>
    <t>As per approved 3rd &amp; 4th floor plan flats (i.e 2 to 5) are handover to KDMC.</t>
  </si>
  <si>
    <t>We have upadated Fire Noc on 07/11/2024</t>
  </si>
  <si>
    <t>Approved Plans, CC, Cost Sheet &amp; Fire Noc</t>
  </si>
  <si>
    <t>FIRE/HQ/KDMC/OW/2022/683</t>
  </si>
  <si>
    <t>Gr + 1st to 21st Floor (Total Height 69.85 Mtrs)</t>
  </si>
  <si>
    <t>Sale Flats = 65, KDMC Flats - 08, Shops - 10, Offices - 16</t>
  </si>
  <si>
    <t>Pooja Kawale</t>
  </si>
  <si>
    <t>Krishna Kambali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</si>
</sst>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6" fillId="0" borderId="0" applyNumberFormat="0" applyFill="0" applyBorder="0" applyAlignment="0" applyProtection="0"/>
  </cellStyleXfs>
  <cellXfs count="248">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5" fillId="2" borderId="0" xfId="1" applyFont="1" applyFill="1"/>
    <xf numFmtId="14" fontId="12" fillId="0" borderId="0" xfId="1" applyNumberFormat="1" applyFont="1"/>
    <xf numFmtId="0" fontId="0" fillId="0" borderId="1" xfId="0" applyBorder="1" applyAlignment="1">
      <alignment horizontal="left" vertical="top"/>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lignment horizontal="center"/>
    </xf>
    <xf numFmtId="9" fontId="10" fillId="0" borderId="16"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13" fillId="0" borderId="17" xfId="1" applyNumberFormat="1" applyFont="1" applyBorder="1" applyAlignment="1" applyProtection="1">
      <alignment horizontal="center" vertical="top" wrapText="1"/>
      <protection locked="0"/>
    </xf>
    <xf numFmtId="1" fontId="13"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10" fillId="0" borderId="33" xfId="0" applyNumberFormat="1" applyFont="1" applyBorder="1" applyAlignment="1" applyProtection="1">
      <alignment horizontal="center" vertical="top"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26"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2" fillId="0" borderId="1" xfId="1" applyFont="1" applyBorder="1" applyAlignment="1" applyProtection="1">
      <alignment horizontal="left" vertical="top"/>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1" fontId="30" fillId="0" borderId="3" xfId="1" applyNumberFormat="1" applyFont="1" applyBorder="1" applyAlignment="1" applyProtection="1">
      <alignment horizontal="center" vertical="top" wrapText="1"/>
      <protection locked="0"/>
    </xf>
    <xf numFmtId="1" fontId="30" fillId="0" borderId="16" xfId="1" applyNumberFormat="1" applyFont="1" applyBorder="1" applyAlignment="1" applyProtection="1">
      <alignment horizontal="center" vertical="top" wrapText="1"/>
      <protection locked="0"/>
    </xf>
    <xf numFmtId="167" fontId="7" fillId="0" borderId="1" xfId="9" applyNumberFormat="1" applyFont="1" applyFill="1" applyBorder="1" applyAlignment="1" applyProtection="1">
      <alignment horizontal="left" vertical="top"/>
      <protection locked="0"/>
    </xf>
    <xf numFmtId="0" fontId="8" fillId="0" borderId="16"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3" fillId="0" borderId="1" xfId="1" applyFont="1" applyBorder="1" applyAlignment="1" applyProtection="1">
      <alignment horizontal="center"/>
      <protection locked="0"/>
    </xf>
    <xf numFmtId="0" fontId="7" fillId="0" borderId="1"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10" fillId="0" borderId="33" xfId="0" applyFont="1" applyBorder="1" applyAlignment="1" applyProtection="1">
      <alignment horizontal="center" vertical="center"/>
      <protection locked="0"/>
    </xf>
    <xf numFmtId="0" fontId="6" fillId="0" borderId="1" xfId="1" applyFont="1" applyBorder="1" applyAlignment="1" applyProtection="1">
      <alignment vertical="top"/>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13" fillId="0" borderId="1" xfId="1" applyFont="1" applyBorder="1" applyAlignment="1" applyProtection="1">
      <alignment horizontal="center" vertical="top"/>
      <protection locked="0"/>
    </xf>
    <xf numFmtId="0" fontId="10" fillId="0" borderId="16" xfId="1" applyFont="1" applyBorder="1" applyAlignment="1" applyProtection="1">
      <alignment horizontal="left" vertical="top"/>
      <protection locked="0"/>
    </xf>
    <xf numFmtId="0" fontId="10" fillId="0" borderId="16" xfId="1" applyFont="1" applyBorder="1" applyAlignment="1" applyProtection="1">
      <alignment horizontal="center" vertical="top"/>
      <protection locked="0"/>
    </xf>
    <xf numFmtId="0" fontId="7" fillId="0" borderId="25" xfId="1" applyFont="1" applyBorder="1" applyAlignment="1">
      <alignment horizontal="center"/>
    </xf>
    <xf numFmtId="0" fontId="7" fillId="0" borderId="0" xfId="1" applyFont="1" applyAlignment="1">
      <alignment horizontal="center"/>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2" fillId="0" borderId="5" xfId="1" applyFont="1" applyBorder="1" applyAlignment="1" applyProtection="1">
      <alignment horizontal="center"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12" fillId="0" borderId="1" xfId="1" applyFont="1" applyBorder="1" applyAlignment="1" applyProtection="1">
      <alignment horizontal="center" vertical="top"/>
      <protection locked="0"/>
    </xf>
    <xf numFmtId="1" fontId="8"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vertical="top" wrapText="1"/>
      <protection locked="0"/>
    </xf>
    <xf numFmtId="1" fontId="13" fillId="0" borderId="1" xfId="0" applyNumberFormat="1" applyFont="1" applyBorder="1" applyAlignment="1" applyProtection="1">
      <alignment vertical="top" wrapText="1"/>
      <protection locked="0"/>
    </xf>
    <xf numFmtId="1" fontId="8" fillId="0" borderId="1" xfId="0" applyNumberFormat="1" applyFont="1" applyBorder="1" applyAlignment="1" applyProtection="1">
      <alignmen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18" Type="http://schemas.openxmlformats.org/officeDocument/2006/relationships/image" Target="../media/image16.png"/><Relationship Id="rId3" Type="http://schemas.openxmlformats.org/officeDocument/2006/relationships/image" Target="../media/image3.png"/><Relationship Id="rId21" Type="http://schemas.openxmlformats.org/officeDocument/2006/relationships/image" Target="../media/image19.png"/><Relationship Id="rId7" Type="http://schemas.openxmlformats.org/officeDocument/2006/relationships/image" Target="../media/image6.png"/><Relationship Id="rId12" Type="http://schemas.openxmlformats.org/officeDocument/2006/relationships/image" Target="../media/image11.png"/><Relationship Id="rId17" Type="http://schemas.openxmlformats.org/officeDocument/2006/relationships/image" Target="../media/image15.png"/><Relationship Id="rId2" Type="http://schemas.openxmlformats.org/officeDocument/2006/relationships/image" Target="../media/image2.png"/><Relationship Id="rId16" Type="http://schemas.openxmlformats.org/officeDocument/2006/relationships/image" Target="../media/image14.png"/><Relationship Id="rId20" Type="http://schemas.openxmlformats.org/officeDocument/2006/relationships/image" Target="../media/image18.png"/><Relationship Id="rId1" Type="http://schemas.openxmlformats.org/officeDocument/2006/relationships/image" Target="../media/image1.png"/><Relationship Id="rId6" Type="http://schemas.microsoft.com/office/2007/relationships/hdphoto" Target="../media/hdphoto1.wdp"/><Relationship Id="rId11" Type="http://schemas.openxmlformats.org/officeDocument/2006/relationships/image" Target="../media/image10.png"/><Relationship Id="rId5" Type="http://schemas.openxmlformats.org/officeDocument/2006/relationships/image" Target="../media/image5.png"/><Relationship Id="rId15" Type="http://schemas.openxmlformats.org/officeDocument/2006/relationships/image" Target="../media/image13.png"/><Relationship Id="rId10" Type="http://schemas.openxmlformats.org/officeDocument/2006/relationships/image" Target="../media/image9.png"/><Relationship Id="rId19" Type="http://schemas.openxmlformats.org/officeDocument/2006/relationships/image" Target="../media/image17.png"/><Relationship Id="rId4" Type="http://schemas.openxmlformats.org/officeDocument/2006/relationships/image" Target="../media/image4.png"/><Relationship Id="rId9" Type="http://schemas.openxmlformats.org/officeDocument/2006/relationships/image" Target="../media/image8.png"/><Relationship Id="rId14" Type="http://schemas.microsoft.com/office/2007/relationships/hdphoto" Target="../media/hdphoto2.wdp"/><Relationship Id="rId22" Type="http://schemas.openxmlformats.org/officeDocument/2006/relationships/image" Target="../media/image20.png"/></Relationships>
</file>

<file path=xl/drawings/_rels/drawing2.xml.rels><?xml version="1.0" encoding="UTF-8" standalone="yes"?>
<Relationships xmlns="http://schemas.openxmlformats.org/package/2006/relationships"><Relationship Id="rId3" Type="http://schemas.openxmlformats.org/officeDocument/2006/relationships/image" Target="../media/image25.png"/><Relationship Id="rId7" Type="http://schemas.openxmlformats.org/officeDocument/2006/relationships/image" Target="../media/image29.png"/><Relationship Id="rId2" Type="http://schemas.openxmlformats.org/officeDocument/2006/relationships/image" Target="../media/image24.png"/><Relationship Id="rId1" Type="http://schemas.openxmlformats.org/officeDocument/2006/relationships/image" Target="../media/image23.jpeg"/><Relationship Id="rId6" Type="http://schemas.openxmlformats.org/officeDocument/2006/relationships/image" Target="../media/image28.png"/><Relationship Id="rId5" Type="http://schemas.openxmlformats.org/officeDocument/2006/relationships/image" Target="../media/image27.png"/><Relationship Id="rId4" Type="http://schemas.openxmlformats.org/officeDocument/2006/relationships/image" Target="../media/image2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8</xdr:col>
      <xdr:colOff>409575</xdr:colOff>
      <xdr:row>15</xdr:row>
      <xdr:rowOff>85725</xdr:rowOff>
    </xdr:from>
    <xdr:to>
      <xdr:col>13</xdr:col>
      <xdr:colOff>705504</xdr:colOff>
      <xdr:row>20</xdr:row>
      <xdr:rowOff>190713</xdr:rowOff>
    </xdr:to>
    <xdr:pic>
      <xdr:nvPicPr>
        <xdr:cNvPr id="2" name="Picture 1"/>
        <xdr:cNvPicPr>
          <a:picLocks noChangeAspect="1"/>
        </xdr:cNvPicPr>
      </xdr:nvPicPr>
      <xdr:blipFill>
        <a:blip xmlns:r="http://schemas.openxmlformats.org/officeDocument/2006/relationships" r:embed="rId1"/>
        <a:stretch>
          <a:fillRect/>
        </a:stretch>
      </xdr:blipFill>
      <xdr:spPr>
        <a:xfrm>
          <a:off x="6724650" y="3676650"/>
          <a:ext cx="4686954" cy="1524213"/>
        </a:xfrm>
        <a:prstGeom prst="rect">
          <a:avLst/>
        </a:prstGeom>
      </xdr:spPr>
    </xdr:pic>
    <xdr:clientData/>
  </xdr:twoCellAnchor>
  <xdr:twoCellAnchor editAs="oneCell">
    <xdr:from>
      <xdr:col>8</xdr:col>
      <xdr:colOff>629771</xdr:colOff>
      <xdr:row>9</xdr:row>
      <xdr:rowOff>58271</xdr:rowOff>
    </xdr:from>
    <xdr:to>
      <xdr:col>15</xdr:col>
      <xdr:colOff>325771</xdr:colOff>
      <xdr:row>15</xdr:row>
      <xdr:rowOff>48912</xdr:rowOff>
    </xdr:to>
    <xdr:pic>
      <xdr:nvPicPr>
        <xdr:cNvPr id="3" name="Picture 2"/>
        <xdr:cNvPicPr>
          <a:picLocks noChangeAspect="1"/>
        </xdr:cNvPicPr>
      </xdr:nvPicPr>
      <xdr:blipFill>
        <a:blip xmlns:r="http://schemas.openxmlformats.org/officeDocument/2006/relationships" r:embed="rId2"/>
        <a:stretch>
          <a:fillRect/>
        </a:stretch>
      </xdr:blipFill>
      <xdr:spPr>
        <a:xfrm>
          <a:off x="6938683" y="2254624"/>
          <a:ext cx="5735970" cy="1200876"/>
        </a:xfrm>
        <a:prstGeom prst="rect">
          <a:avLst/>
        </a:prstGeom>
      </xdr:spPr>
    </xdr:pic>
    <xdr:clientData/>
  </xdr:twoCellAnchor>
  <xdr:twoCellAnchor>
    <xdr:from>
      <xdr:col>3</xdr:col>
      <xdr:colOff>532045</xdr:colOff>
      <xdr:row>293</xdr:row>
      <xdr:rowOff>189405</xdr:rowOff>
    </xdr:from>
    <xdr:to>
      <xdr:col>3</xdr:col>
      <xdr:colOff>702170</xdr:colOff>
      <xdr:row>295</xdr:row>
      <xdr:rowOff>163496</xdr:rowOff>
    </xdr:to>
    <xdr:sp macro="" textlink="">
      <xdr:nvSpPr>
        <xdr:cNvPr id="4" name="Rectangle 3"/>
        <xdr:cNvSpPr/>
      </xdr:nvSpPr>
      <xdr:spPr>
        <a:xfrm>
          <a:off x="2941870" y="71417355"/>
          <a:ext cx="170125" cy="374141"/>
        </a:xfrm>
        <a:prstGeom prst="rect">
          <a:avLst/>
        </a:prstGeom>
        <a:ln>
          <a:solidFill>
            <a:schemeClr val="tx1"/>
          </a:solidFill>
        </a:ln>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 </a:t>
          </a:r>
          <a:endParaRPr lang="en-IN"/>
        </a:p>
      </xdr:txBody>
    </xdr:sp>
    <xdr:clientData/>
  </xdr:twoCellAnchor>
  <xdr:twoCellAnchor editAs="oneCell">
    <xdr:from>
      <xdr:col>1</xdr:col>
      <xdr:colOff>66674</xdr:colOff>
      <xdr:row>272</xdr:row>
      <xdr:rowOff>98021</xdr:rowOff>
    </xdr:from>
    <xdr:to>
      <xdr:col>6</xdr:col>
      <xdr:colOff>426478</xdr:colOff>
      <xdr:row>291</xdr:row>
      <xdr:rowOff>123824</xdr:rowOff>
    </xdr:to>
    <xdr:pic>
      <xdr:nvPicPr>
        <xdr:cNvPr id="7" name="Picture 6"/>
        <xdr:cNvPicPr>
          <a:picLocks noChangeAspect="1"/>
        </xdr:cNvPicPr>
      </xdr:nvPicPr>
      <xdr:blipFill rotWithShape="1">
        <a:blip xmlns:r="http://schemas.openxmlformats.org/officeDocument/2006/relationships" r:embed="rId3"/>
        <a:srcRect l="14147" t="10197" r="10104" b="11750"/>
        <a:stretch/>
      </xdr:blipFill>
      <xdr:spPr>
        <a:xfrm>
          <a:off x="828674" y="67125446"/>
          <a:ext cx="4446029" cy="3826279"/>
        </a:xfrm>
        <a:prstGeom prst="rect">
          <a:avLst/>
        </a:prstGeom>
        <a:ln>
          <a:solidFill>
            <a:sysClr val="windowText" lastClr="000000"/>
          </a:solidFill>
        </a:ln>
      </xdr:spPr>
    </xdr:pic>
    <xdr:clientData/>
  </xdr:twoCellAnchor>
  <xdr:twoCellAnchor>
    <xdr:from>
      <xdr:col>0</xdr:col>
      <xdr:colOff>552451</xdr:colOff>
      <xdr:row>292</xdr:row>
      <xdr:rowOff>47624</xdr:rowOff>
    </xdr:from>
    <xdr:to>
      <xdr:col>7</xdr:col>
      <xdr:colOff>76200</xdr:colOff>
      <xdr:row>313</xdr:row>
      <xdr:rowOff>104774</xdr:rowOff>
    </xdr:to>
    <xdr:grpSp>
      <xdr:nvGrpSpPr>
        <xdr:cNvPr id="11" name="Group 10"/>
        <xdr:cNvGrpSpPr/>
      </xdr:nvGrpSpPr>
      <xdr:grpSpPr>
        <a:xfrm>
          <a:off x="552451" y="57686574"/>
          <a:ext cx="5378449" cy="4191000"/>
          <a:chOff x="552451" y="71075549"/>
          <a:chExt cx="5105399" cy="4257675"/>
        </a:xfrm>
      </xdr:grpSpPr>
      <xdr:grpSp>
        <xdr:nvGrpSpPr>
          <xdr:cNvPr id="9" name="Group 8"/>
          <xdr:cNvGrpSpPr/>
        </xdr:nvGrpSpPr>
        <xdr:grpSpPr>
          <a:xfrm>
            <a:off x="552451" y="71075549"/>
            <a:ext cx="5105399" cy="4257675"/>
            <a:chOff x="457201" y="70595200"/>
            <a:chExt cx="5428222" cy="4709450"/>
          </a:xfrm>
        </xdr:grpSpPr>
        <xdr:pic>
          <xdr:nvPicPr>
            <xdr:cNvPr id="5" name="Picture 4"/>
            <xdr:cNvPicPr>
              <a:picLocks noChangeAspect="1"/>
            </xdr:cNvPicPr>
          </xdr:nvPicPr>
          <xdr:blipFill>
            <a:blip xmlns:r="http://schemas.openxmlformats.org/officeDocument/2006/relationships" r:embed="rId4"/>
            <a:stretch>
              <a:fillRect/>
            </a:stretch>
          </xdr:blipFill>
          <xdr:spPr>
            <a:xfrm>
              <a:off x="457201" y="70595200"/>
              <a:ext cx="5428222" cy="4709450"/>
            </a:xfrm>
            <a:prstGeom prst="rect">
              <a:avLst/>
            </a:prstGeom>
            <a:ln>
              <a:solidFill>
                <a:schemeClr val="tx1"/>
              </a:solidFill>
            </a:ln>
          </xdr:spPr>
        </xdr:pic>
        <xdr:sp macro="" textlink="">
          <xdr:nvSpPr>
            <xdr:cNvPr id="8" name="Rectangle 7"/>
            <xdr:cNvSpPr/>
          </xdr:nvSpPr>
          <xdr:spPr>
            <a:xfrm rot="184502">
              <a:off x="2333625" y="72342376"/>
              <a:ext cx="523875" cy="1800225"/>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sp macro="" textlink="">
        <xdr:nvSpPr>
          <xdr:cNvPr id="10" name="Rectangle 9"/>
          <xdr:cNvSpPr/>
        </xdr:nvSpPr>
        <xdr:spPr>
          <a:xfrm rot="16438640">
            <a:off x="1318866" y="73207761"/>
            <a:ext cx="1684368" cy="362543"/>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FF00"/>
                </a:solidFill>
                <a:latin typeface="Times New Roman" panose="02020603050405020304" pitchFamily="18" charset="0"/>
                <a:cs typeface="Times New Roman" panose="02020603050405020304" pitchFamily="18" charset="0"/>
              </a:rPr>
              <a:t>Maitri Navkar</a:t>
            </a:r>
          </a:p>
        </xdr:txBody>
      </xdr:sp>
    </xdr:grpSp>
    <xdr:clientData/>
  </xdr:twoCellAnchor>
  <xdr:twoCellAnchor editAs="oneCell">
    <xdr:from>
      <xdr:col>0</xdr:col>
      <xdr:colOff>246043</xdr:colOff>
      <xdr:row>230</xdr:row>
      <xdr:rowOff>57150</xdr:rowOff>
    </xdr:from>
    <xdr:to>
      <xdr:col>3</xdr:col>
      <xdr:colOff>330194</xdr:colOff>
      <xdr:row>244</xdr:row>
      <xdr:rowOff>196626</xdr:rowOff>
    </xdr:to>
    <xdr:pic>
      <xdr:nvPicPr>
        <xdr:cNvPr id="12" name="Picture 11"/>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contrast="40000"/>
                  </a14:imgEffect>
                </a14:imgLayer>
              </a14:imgProps>
            </a:ext>
          </a:extLst>
        </a:blip>
        <a:stretch>
          <a:fillRect/>
        </a:stretch>
      </xdr:blipFill>
      <xdr:spPr>
        <a:xfrm>
          <a:off x="246043" y="58283475"/>
          <a:ext cx="2493976" cy="2939827"/>
        </a:xfrm>
        <a:prstGeom prst="rect">
          <a:avLst/>
        </a:prstGeom>
        <a:ln>
          <a:solidFill>
            <a:schemeClr val="tx1"/>
          </a:solidFill>
        </a:ln>
      </xdr:spPr>
    </xdr:pic>
    <xdr:clientData/>
  </xdr:twoCellAnchor>
  <xdr:twoCellAnchor editAs="oneCell">
    <xdr:from>
      <xdr:col>8</xdr:col>
      <xdr:colOff>371475</xdr:colOff>
      <xdr:row>43</xdr:row>
      <xdr:rowOff>0</xdr:rowOff>
    </xdr:from>
    <xdr:to>
      <xdr:col>14</xdr:col>
      <xdr:colOff>295994</xdr:colOff>
      <xdr:row>52</xdr:row>
      <xdr:rowOff>190500</xdr:rowOff>
    </xdr:to>
    <xdr:pic>
      <xdr:nvPicPr>
        <xdr:cNvPr id="18" name="Picture 17"/>
        <xdr:cNvPicPr>
          <a:picLocks noChangeAspect="1"/>
        </xdr:cNvPicPr>
      </xdr:nvPicPr>
      <xdr:blipFill>
        <a:blip xmlns:r="http://schemas.openxmlformats.org/officeDocument/2006/relationships" r:embed="rId7"/>
        <a:stretch>
          <a:fillRect/>
        </a:stretch>
      </xdr:blipFill>
      <xdr:spPr>
        <a:xfrm>
          <a:off x="6686550" y="9820275"/>
          <a:ext cx="5153744" cy="2229161"/>
        </a:xfrm>
        <a:prstGeom prst="rect">
          <a:avLst/>
        </a:prstGeom>
      </xdr:spPr>
    </xdr:pic>
    <xdr:clientData/>
  </xdr:twoCellAnchor>
  <xdr:twoCellAnchor editAs="oneCell">
    <xdr:from>
      <xdr:col>8</xdr:col>
      <xdr:colOff>1123950</xdr:colOff>
      <xdr:row>48</xdr:row>
      <xdr:rowOff>323850</xdr:rowOff>
    </xdr:from>
    <xdr:to>
      <xdr:col>18</xdr:col>
      <xdr:colOff>296281</xdr:colOff>
      <xdr:row>61</xdr:row>
      <xdr:rowOff>25456</xdr:rowOff>
    </xdr:to>
    <xdr:pic>
      <xdr:nvPicPr>
        <xdr:cNvPr id="19" name="Picture 18"/>
        <xdr:cNvPicPr>
          <a:picLocks noChangeAspect="1"/>
        </xdr:cNvPicPr>
      </xdr:nvPicPr>
      <xdr:blipFill>
        <a:blip xmlns:r="http://schemas.openxmlformats.org/officeDocument/2006/relationships" r:embed="rId8"/>
        <a:stretch>
          <a:fillRect/>
        </a:stretch>
      </xdr:blipFill>
      <xdr:spPr>
        <a:xfrm>
          <a:off x="7439025" y="11144250"/>
          <a:ext cx="7211431" cy="1743318"/>
        </a:xfrm>
        <a:prstGeom prst="rect">
          <a:avLst/>
        </a:prstGeom>
      </xdr:spPr>
    </xdr:pic>
    <xdr:clientData/>
  </xdr:twoCellAnchor>
  <xdr:twoCellAnchor editAs="oneCell">
    <xdr:from>
      <xdr:col>8</xdr:col>
      <xdr:colOff>352425</xdr:colOff>
      <xdr:row>50</xdr:row>
      <xdr:rowOff>180975</xdr:rowOff>
    </xdr:from>
    <xdr:to>
      <xdr:col>14</xdr:col>
      <xdr:colOff>543681</xdr:colOff>
      <xdr:row>59</xdr:row>
      <xdr:rowOff>55593</xdr:rowOff>
    </xdr:to>
    <xdr:pic>
      <xdr:nvPicPr>
        <xdr:cNvPr id="20" name="Picture 19"/>
        <xdr:cNvPicPr>
          <a:picLocks noChangeAspect="1"/>
        </xdr:cNvPicPr>
      </xdr:nvPicPr>
      <xdr:blipFill>
        <a:blip xmlns:r="http://schemas.openxmlformats.org/officeDocument/2006/relationships" r:embed="rId9"/>
        <a:stretch>
          <a:fillRect/>
        </a:stretch>
      </xdr:blipFill>
      <xdr:spPr>
        <a:xfrm>
          <a:off x="6667500" y="11630025"/>
          <a:ext cx="5420481" cy="885949"/>
        </a:xfrm>
        <a:prstGeom prst="rect">
          <a:avLst/>
        </a:prstGeom>
      </xdr:spPr>
    </xdr:pic>
    <xdr:clientData/>
  </xdr:twoCellAnchor>
  <xdr:twoCellAnchor editAs="oneCell">
    <xdr:from>
      <xdr:col>8</xdr:col>
      <xdr:colOff>232522</xdr:colOff>
      <xdr:row>63</xdr:row>
      <xdr:rowOff>133909</xdr:rowOff>
    </xdr:from>
    <xdr:to>
      <xdr:col>12</xdr:col>
      <xdr:colOff>109182</xdr:colOff>
      <xdr:row>71</xdr:row>
      <xdr:rowOff>13152</xdr:rowOff>
    </xdr:to>
    <xdr:pic>
      <xdr:nvPicPr>
        <xdr:cNvPr id="27" name="Picture 26"/>
        <xdr:cNvPicPr>
          <a:picLocks noChangeAspect="1"/>
        </xdr:cNvPicPr>
      </xdr:nvPicPr>
      <xdr:blipFill>
        <a:blip xmlns:r="http://schemas.openxmlformats.org/officeDocument/2006/relationships" r:embed="rId10"/>
        <a:stretch>
          <a:fillRect/>
        </a:stretch>
      </xdr:blipFill>
      <xdr:spPr>
        <a:xfrm>
          <a:off x="6541434" y="12852585"/>
          <a:ext cx="3473748" cy="1918713"/>
        </a:xfrm>
        <a:prstGeom prst="rect">
          <a:avLst/>
        </a:prstGeom>
      </xdr:spPr>
    </xdr:pic>
    <xdr:clientData/>
  </xdr:twoCellAnchor>
  <xdr:twoCellAnchor editAs="oneCell">
    <xdr:from>
      <xdr:col>8</xdr:col>
      <xdr:colOff>1100978</xdr:colOff>
      <xdr:row>113</xdr:row>
      <xdr:rowOff>80122</xdr:rowOff>
    </xdr:from>
    <xdr:to>
      <xdr:col>13</xdr:col>
      <xdr:colOff>244221</xdr:colOff>
      <xdr:row>128</xdr:row>
      <xdr:rowOff>63169</xdr:rowOff>
    </xdr:to>
    <xdr:pic>
      <xdr:nvPicPr>
        <xdr:cNvPr id="28" name="Picture 27"/>
        <xdr:cNvPicPr>
          <a:picLocks noChangeAspect="1"/>
        </xdr:cNvPicPr>
      </xdr:nvPicPr>
      <xdr:blipFill>
        <a:blip xmlns:r="http://schemas.openxmlformats.org/officeDocument/2006/relationships" r:embed="rId11"/>
        <a:stretch>
          <a:fillRect/>
        </a:stretch>
      </xdr:blipFill>
      <xdr:spPr>
        <a:xfrm>
          <a:off x="7409890" y="22357416"/>
          <a:ext cx="3535949" cy="3008635"/>
        </a:xfrm>
        <a:prstGeom prst="rect">
          <a:avLst/>
        </a:prstGeom>
      </xdr:spPr>
    </xdr:pic>
    <xdr:clientData/>
  </xdr:twoCellAnchor>
  <xdr:twoCellAnchor editAs="oneCell">
    <xdr:from>
      <xdr:col>9</xdr:col>
      <xdr:colOff>367070</xdr:colOff>
      <xdr:row>129</xdr:row>
      <xdr:rowOff>140111</xdr:rowOff>
    </xdr:from>
    <xdr:to>
      <xdr:col>18</xdr:col>
      <xdr:colOff>313195</xdr:colOff>
      <xdr:row>144</xdr:row>
      <xdr:rowOff>56211</xdr:rowOff>
    </xdr:to>
    <xdr:pic>
      <xdr:nvPicPr>
        <xdr:cNvPr id="29" name="Picture 28"/>
        <xdr:cNvPicPr>
          <a:picLocks noChangeAspect="1"/>
        </xdr:cNvPicPr>
      </xdr:nvPicPr>
      <xdr:blipFill>
        <a:blip xmlns:r="http://schemas.openxmlformats.org/officeDocument/2006/relationships" r:embed="rId12"/>
        <a:stretch>
          <a:fillRect/>
        </a:stretch>
      </xdr:blipFill>
      <xdr:spPr>
        <a:xfrm>
          <a:off x="7841394" y="26249817"/>
          <a:ext cx="6815330" cy="3300276"/>
        </a:xfrm>
        <a:prstGeom prst="rect">
          <a:avLst/>
        </a:prstGeom>
      </xdr:spPr>
    </xdr:pic>
    <xdr:clientData/>
  </xdr:twoCellAnchor>
  <xdr:twoCellAnchor>
    <xdr:from>
      <xdr:col>3</xdr:col>
      <xdr:colOff>447070</xdr:colOff>
      <xdr:row>230</xdr:row>
      <xdr:rowOff>61219</xdr:rowOff>
    </xdr:from>
    <xdr:to>
      <xdr:col>7</xdr:col>
      <xdr:colOff>688412</xdr:colOff>
      <xdr:row>265</xdr:row>
      <xdr:rowOff>123828</xdr:rowOff>
    </xdr:to>
    <xdr:grpSp>
      <xdr:nvGrpSpPr>
        <xdr:cNvPr id="37" name="Group 36"/>
        <xdr:cNvGrpSpPr/>
      </xdr:nvGrpSpPr>
      <xdr:grpSpPr>
        <a:xfrm>
          <a:off x="2974370" y="45495469"/>
          <a:ext cx="3568742" cy="6952359"/>
          <a:chOff x="2857628" y="53672315"/>
          <a:chExt cx="3413899" cy="6986551"/>
        </a:xfrm>
      </xdr:grpSpPr>
      <xdr:grpSp>
        <xdr:nvGrpSpPr>
          <xdr:cNvPr id="17" name="Group 16"/>
          <xdr:cNvGrpSpPr/>
        </xdr:nvGrpSpPr>
        <xdr:grpSpPr>
          <a:xfrm>
            <a:off x="2857628" y="53672315"/>
            <a:ext cx="3255794" cy="6986551"/>
            <a:chOff x="2856895" y="58287544"/>
            <a:chExt cx="3255062" cy="7063484"/>
          </a:xfrm>
        </xdr:grpSpPr>
        <xdr:pic>
          <xdr:nvPicPr>
            <xdr:cNvPr id="13" name="Picture 12"/>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rightnessContrast contrast="40000"/>
                      </a14:imgEffect>
                    </a14:imgLayer>
                  </a14:imgProps>
                </a:ext>
              </a:extLst>
            </a:blip>
            <a:stretch>
              <a:fillRect/>
            </a:stretch>
          </xdr:blipFill>
          <xdr:spPr>
            <a:xfrm rot="5400000">
              <a:off x="952684" y="60191755"/>
              <a:ext cx="7063484" cy="3255062"/>
            </a:xfrm>
            <a:prstGeom prst="rect">
              <a:avLst/>
            </a:prstGeom>
            <a:ln>
              <a:solidFill>
                <a:schemeClr val="tx1"/>
              </a:solidFill>
            </a:ln>
          </xdr:spPr>
        </xdr:pic>
        <xdr:grpSp>
          <xdr:nvGrpSpPr>
            <xdr:cNvPr id="14" name="Group 13"/>
            <xdr:cNvGrpSpPr/>
          </xdr:nvGrpSpPr>
          <xdr:grpSpPr>
            <a:xfrm>
              <a:off x="5534025" y="64360425"/>
              <a:ext cx="413185" cy="768274"/>
              <a:chOff x="5753099" y="9584861"/>
              <a:chExt cx="618999" cy="768274"/>
            </a:xfrm>
          </xdr:grpSpPr>
          <xdr:sp macro="" textlink="">
            <xdr:nvSpPr>
              <xdr:cNvPr id="15" name="TextBox 7"/>
              <xdr:cNvSpPr txBox="1"/>
            </xdr:nvSpPr>
            <xdr:spPr>
              <a:xfrm>
                <a:off x="5753099" y="9584861"/>
                <a:ext cx="618999" cy="537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2800" b="1">
                    <a:latin typeface="Times New Roman" panose="02020603050405020304" pitchFamily="18" charset="0"/>
                    <a:cs typeface="Times New Roman" panose="02020603050405020304" pitchFamily="18" charset="0"/>
                  </a:rPr>
                  <a:t>N</a:t>
                </a:r>
              </a:p>
            </xdr:txBody>
          </xdr:sp>
          <xdr:sp macro="" textlink="">
            <xdr:nvSpPr>
              <xdr:cNvPr id="16" name="Right Arrow 15"/>
              <xdr:cNvSpPr/>
            </xdr:nvSpPr>
            <xdr:spPr>
              <a:xfrm rot="16200000">
                <a:off x="5906692" y="9963177"/>
                <a:ext cx="330033" cy="449883"/>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sp macro="" textlink="">
        <xdr:nvSpPr>
          <xdr:cNvPr id="31" name="Rectangle 30"/>
          <xdr:cNvSpPr/>
        </xdr:nvSpPr>
        <xdr:spPr>
          <a:xfrm>
            <a:off x="4454769" y="57311193"/>
            <a:ext cx="696057" cy="366346"/>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3" name="Freeform 32"/>
          <xdr:cNvSpPr/>
        </xdr:nvSpPr>
        <xdr:spPr>
          <a:xfrm>
            <a:off x="4440115" y="55039846"/>
            <a:ext cx="644770" cy="2066192"/>
          </a:xfrm>
          <a:custGeom>
            <a:avLst/>
            <a:gdLst>
              <a:gd name="connsiteX0" fmla="*/ 0 w 644770"/>
              <a:gd name="connsiteY0" fmla="*/ 0 h 2066192"/>
              <a:gd name="connsiteX1" fmla="*/ 241789 w 644770"/>
              <a:gd name="connsiteY1" fmla="*/ 7327 h 2066192"/>
              <a:gd name="connsiteX2" fmla="*/ 644770 w 644770"/>
              <a:gd name="connsiteY2" fmla="*/ 2044212 h 2066192"/>
              <a:gd name="connsiteX3" fmla="*/ 7327 w 644770"/>
              <a:gd name="connsiteY3" fmla="*/ 2066192 h 2066192"/>
              <a:gd name="connsiteX4" fmla="*/ 0 w 644770"/>
              <a:gd name="connsiteY4" fmla="*/ 0 h 206619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770" h="2066192">
                <a:moveTo>
                  <a:pt x="0" y="0"/>
                </a:moveTo>
                <a:lnTo>
                  <a:pt x="241789" y="7327"/>
                </a:lnTo>
                <a:lnTo>
                  <a:pt x="644770" y="2044212"/>
                </a:lnTo>
                <a:lnTo>
                  <a:pt x="7327" y="2066192"/>
                </a:lnTo>
                <a:cubicBezTo>
                  <a:pt x="4885" y="1377461"/>
                  <a:pt x="2442" y="688731"/>
                  <a:pt x="0" y="0"/>
                </a:cubicBezTo>
                <a:close/>
              </a:path>
            </a:pathLst>
          </a:cu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4" name="Rectangle 33"/>
          <xdr:cNvSpPr/>
        </xdr:nvSpPr>
        <xdr:spPr>
          <a:xfrm>
            <a:off x="4242288" y="57098712"/>
            <a:ext cx="2029239" cy="254493"/>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C00000"/>
                </a:solidFill>
                <a:latin typeface="Times New Roman" panose="02020603050405020304" pitchFamily="18" charset="0"/>
                <a:cs typeface="Times New Roman" panose="02020603050405020304" pitchFamily="18" charset="0"/>
              </a:rPr>
              <a:t>Parking</a:t>
            </a:r>
            <a:r>
              <a:rPr lang="en-US" sz="1100" b="1" baseline="0">
                <a:solidFill>
                  <a:srgbClr val="C00000"/>
                </a:solidFill>
                <a:latin typeface="Times New Roman" panose="02020603050405020304" pitchFamily="18" charset="0"/>
                <a:cs typeface="Times New Roman" panose="02020603050405020304" pitchFamily="18" charset="0"/>
              </a:rPr>
              <a:t> Tower</a:t>
            </a:r>
            <a:endParaRPr lang="en-IN" sz="1100" b="1">
              <a:solidFill>
                <a:srgbClr val="C00000"/>
              </a:solidFill>
              <a:latin typeface="Times New Roman" panose="02020603050405020304" pitchFamily="18" charset="0"/>
              <a:cs typeface="Times New Roman" panose="02020603050405020304" pitchFamily="18" charset="0"/>
            </a:endParaRPr>
          </a:p>
        </xdr:txBody>
      </xdr:sp>
      <xdr:sp macro="" textlink="">
        <xdr:nvSpPr>
          <xdr:cNvPr id="35" name="Rectangle 34"/>
          <xdr:cNvSpPr/>
        </xdr:nvSpPr>
        <xdr:spPr>
          <a:xfrm rot="4716495">
            <a:off x="4066441" y="56065615"/>
            <a:ext cx="2007577" cy="254493"/>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0000FF"/>
                </a:solidFill>
                <a:latin typeface="Times New Roman" panose="02020603050405020304" pitchFamily="18" charset="0"/>
                <a:cs typeface="Times New Roman" panose="02020603050405020304" pitchFamily="18" charset="0"/>
              </a:rPr>
              <a:t>Proposed Building</a:t>
            </a:r>
            <a:endParaRPr lang="en-IN" sz="1100" b="1">
              <a:solidFill>
                <a:srgbClr val="0000FF"/>
              </a:solidFill>
              <a:latin typeface="Times New Roman" panose="02020603050405020304" pitchFamily="18" charset="0"/>
              <a:cs typeface="Times New Roman" panose="02020603050405020304" pitchFamily="18" charset="0"/>
            </a:endParaRPr>
          </a:p>
        </xdr:txBody>
      </xdr:sp>
    </xdr:grpSp>
    <xdr:clientData/>
  </xdr:twoCellAnchor>
  <xdr:twoCellAnchor editAs="oneCell">
    <xdr:from>
      <xdr:col>10</xdr:col>
      <xdr:colOff>224677</xdr:colOff>
      <xdr:row>145</xdr:row>
      <xdr:rowOff>44263</xdr:rowOff>
    </xdr:from>
    <xdr:to>
      <xdr:col>17</xdr:col>
      <xdr:colOff>591928</xdr:colOff>
      <xdr:row>153</xdr:row>
      <xdr:rowOff>1712</xdr:rowOff>
    </xdr:to>
    <xdr:pic>
      <xdr:nvPicPr>
        <xdr:cNvPr id="38" name="Picture 37"/>
        <xdr:cNvPicPr>
          <a:picLocks noChangeAspect="1"/>
        </xdr:cNvPicPr>
      </xdr:nvPicPr>
      <xdr:blipFill>
        <a:blip xmlns:r="http://schemas.openxmlformats.org/officeDocument/2006/relationships" r:embed="rId15"/>
        <a:stretch>
          <a:fillRect/>
        </a:stretch>
      </xdr:blipFill>
      <xdr:spPr>
        <a:xfrm>
          <a:off x="8461001" y="29739851"/>
          <a:ext cx="5869339" cy="1566240"/>
        </a:xfrm>
        <a:prstGeom prst="rect">
          <a:avLst/>
        </a:prstGeom>
      </xdr:spPr>
    </xdr:pic>
    <xdr:clientData/>
  </xdr:twoCellAnchor>
  <xdr:twoCellAnchor editAs="oneCell">
    <xdr:from>
      <xdr:col>10</xdr:col>
      <xdr:colOff>552985</xdr:colOff>
      <xdr:row>153</xdr:row>
      <xdr:rowOff>7307</xdr:rowOff>
    </xdr:from>
    <xdr:to>
      <xdr:col>18</xdr:col>
      <xdr:colOff>99549</xdr:colOff>
      <xdr:row>161</xdr:row>
      <xdr:rowOff>157713</xdr:rowOff>
    </xdr:to>
    <xdr:pic>
      <xdr:nvPicPr>
        <xdr:cNvPr id="39" name="Picture 38"/>
        <xdr:cNvPicPr>
          <a:picLocks noChangeAspect="1"/>
        </xdr:cNvPicPr>
      </xdr:nvPicPr>
      <xdr:blipFill>
        <a:blip xmlns:r="http://schemas.openxmlformats.org/officeDocument/2006/relationships" r:embed="rId16"/>
        <a:stretch>
          <a:fillRect/>
        </a:stretch>
      </xdr:blipFill>
      <xdr:spPr>
        <a:xfrm>
          <a:off x="8789309" y="31316542"/>
          <a:ext cx="5653769" cy="1764053"/>
        </a:xfrm>
        <a:prstGeom prst="rect">
          <a:avLst/>
        </a:prstGeom>
      </xdr:spPr>
    </xdr:pic>
    <xdr:clientData/>
  </xdr:twoCellAnchor>
  <xdr:twoCellAnchor editAs="oneCell">
    <xdr:from>
      <xdr:col>8</xdr:col>
      <xdr:colOff>805847</xdr:colOff>
      <xdr:row>151</xdr:row>
      <xdr:rowOff>162728</xdr:rowOff>
    </xdr:from>
    <xdr:to>
      <xdr:col>19</xdr:col>
      <xdr:colOff>70837</xdr:colOff>
      <xdr:row>159</xdr:row>
      <xdr:rowOff>139978</xdr:rowOff>
    </xdr:to>
    <xdr:pic>
      <xdr:nvPicPr>
        <xdr:cNvPr id="40" name="Picture 39"/>
        <xdr:cNvPicPr>
          <a:picLocks noChangeAspect="1"/>
        </xdr:cNvPicPr>
      </xdr:nvPicPr>
      <xdr:blipFill>
        <a:blip xmlns:r="http://schemas.openxmlformats.org/officeDocument/2006/relationships" r:embed="rId17"/>
        <a:stretch>
          <a:fillRect/>
        </a:stretch>
      </xdr:blipFill>
      <xdr:spPr>
        <a:xfrm>
          <a:off x="7114759" y="31068552"/>
          <a:ext cx="8027990" cy="1590897"/>
        </a:xfrm>
        <a:prstGeom prst="rect">
          <a:avLst/>
        </a:prstGeom>
      </xdr:spPr>
    </xdr:pic>
    <xdr:clientData/>
  </xdr:twoCellAnchor>
  <xdr:twoCellAnchor editAs="oneCell">
    <xdr:from>
      <xdr:col>8</xdr:col>
      <xdr:colOff>425823</xdr:colOff>
      <xdr:row>54</xdr:row>
      <xdr:rowOff>280146</xdr:rowOff>
    </xdr:from>
    <xdr:to>
      <xdr:col>14</xdr:col>
      <xdr:colOff>460736</xdr:colOff>
      <xdr:row>63</xdr:row>
      <xdr:rowOff>79685</xdr:rowOff>
    </xdr:to>
    <xdr:pic>
      <xdr:nvPicPr>
        <xdr:cNvPr id="6" name="Picture 5"/>
        <xdr:cNvPicPr>
          <a:picLocks noChangeAspect="1"/>
        </xdr:cNvPicPr>
      </xdr:nvPicPr>
      <xdr:blipFill>
        <a:blip xmlns:r="http://schemas.openxmlformats.org/officeDocument/2006/relationships" r:embed="rId18"/>
        <a:stretch>
          <a:fillRect/>
        </a:stretch>
      </xdr:blipFill>
      <xdr:spPr>
        <a:xfrm>
          <a:off x="6734735" y="12404911"/>
          <a:ext cx="5268060" cy="885949"/>
        </a:xfrm>
        <a:prstGeom prst="rect">
          <a:avLst/>
        </a:prstGeom>
      </xdr:spPr>
    </xdr:pic>
    <xdr:clientData/>
  </xdr:twoCellAnchor>
  <xdr:twoCellAnchor>
    <xdr:from>
      <xdr:col>0</xdr:col>
      <xdr:colOff>241300</xdr:colOff>
      <xdr:row>187</xdr:row>
      <xdr:rowOff>146050</xdr:rowOff>
    </xdr:from>
    <xdr:to>
      <xdr:col>7</xdr:col>
      <xdr:colOff>470726</xdr:colOff>
      <xdr:row>222</xdr:row>
      <xdr:rowOff>64837</xdr:rowOff>
    </xdr:to>
    <xdr:grpSp>
      <xdr:nvGrpSpPr>
        <xdr:cNvPr id="30" name="Group 29"/>
        <xdr:cNvGrpSpPr/>
      </xdr:nvGrpSpPr>
      <xdr:grpSpPr>
        <a:xfrm>
          <a:off x="241300" y="37109400"/>
          <a:ext cx="6084126" cy="6808537"/>
          <a:chOff x="241300" y="37109400"/>
          <a:chExt cx="6084126" cy="6808537"/>
        </a:xfrm>
      </xdr:grpSpPr>
      <xdr:pic>
        <xdr:nvPicPr>
          <xdr:cNvPr id="41" name="Picture 40"/>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2571205" y="41217937"/>
            <a:ext cx="3596666" cy="2700000"/>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3358519" y="37109400"/>
            <a:ext cx="2966907" cy="396000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394539" y="41217937"/>
            <a:ext cx="2022891" cy="2700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241300" y="37109400"/>
            <a:ext cx="2966906" cy="39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1423146</xdr:colOff>
      <xdr:row>4</xdr:row>
      <xdr:rowOff>112059</xdr:rowOff>
    </xdr:from>
    <xdr:to>
      <xdr:col>6</xdr:col>
      <xdr:colOff>1254806</xdr:colOff>
      <xdr:row>16</xdr:row>
      <xdr:rowOff>112378</xdr:rowOff>
    </xdr:to>
    <xdr:pic>
      <xdr:nvPicPr>
        <xdr:cNvPr id="3" name="Picture 2"/>
        <xdr:cNvPicPr>
          <a:picLocks noChangeAspect="1"/>
        </xdr:cNvPicPr>
      </xdr:nvPicPr>
      <xdr:blipFill>
        <a:blip xmlns:r="http://schemas.openxmlformats.org/officeDocument/2006/relationships" r:embed="rId2"/>
        <a:stretch>
          <a:fillRect/>
        </a:stretch>
      </xdr:blipFill>
      <xdr:spPr>
        <a:xfrm>
          <a:off x="2005852" y="885265"/>
          <a:ext cx="6230219" cy="2286319"/>
        </a:xfrm>
        <a:prstGeom prst="rect">
          <a:avLst/>
        </a:prstGeom>
      </xdr:spPr>
    </xdr:pic>
    <xdr:clientData/>
  </xdr:twoCellAnchor>
  <xdr:twoCellAnchor editAs="oneCell">
    <xdr:from>
      <xdr:col>1</xdr:col>
      <xdr:colOff>268942</xdr:colOff>
      <xdr:row>15</xdr:row>
      <xdr:rowOff>67236</xdr:rowOff>
    </xdr:from>
    <xdr:to>
      <xdr:col>5</xdr:col>
      <xdr:colOff>68532</xdr:colOff>
      <xdr:row>24</xdr:row>
      <xdr:rowOff>10317</xdr:rowOff>
    </xdr:to>
    <xdr:pic>
      <xdr:nvPicPr>
        <xdr:cNvPr id="4" name="Picture 3"/>
        <xdr:cNvPicPr>
          <a:picLocks noChangeAspect="1"/>
        </xdr:cNvPicPr>
      </xdr:nvPicPr>
      <xdr:blipFill>
        <a:blip xmlns:r="http://schemas.openxmlformats.org/officeDocument/2006/relationships" r:embed="rId3"/>
        <a:stretch>
          <a:fillRect/>
        </a:stretch>
      </xdr:blipFill>
      <xdr:spPr>
        <a:xfrm>
          <a:off x="851648" y="2935942"/>
          <a:ext cx="5268060" cy="1657581"/>
        </a:xfrm>
        <a:prstGeom prst="rect">
          <a:avLst/>
        </a:prstGeom>
      </xdr:spPr>
    </xdr:pic>
    <xdr:clientData/>
  </xdr:twoCellAnchor>
  <xdr:twoCellAnchor editAs="oneCell">
    <xdr:from>
      <xdr:col>7</xdr:col>
      <xdr:colOff>638736</xdr:colOff>
      <xdr:row>3</xdr:row>
      <xdr:rowOff>156882</xdr:rowOff>
    </xdr:from>
    <xdr:to>
      <xdr:col>18</xdr:col>
      <xdr:colOff>96142</xdr:colOff>
      <xdr:row>18</xdr:row>
      <xdr:rowOff>185860</xdr:rowOff>
    </xdr:to>
    <xdr:pic>
      <xdr:nvPicPr>
        <xdr:cNvPr id="5" name="Picture 4"/>
        <xdr:cNvPicPr>
          <a:picLocks noChangeAspect="1"/>
        </xdr:cNvPicPr>
      </xdr:nvPicPr>
      <xdr:blipFill>
        <a:blip xmlns:r="http://schemas.openxmlformats.org/officeDocument/2006/relationships" r:embed="rId4"/>
        <a:stretch>
          <a:fillRect/>
        </a:stretch>
      </xdr:blipFill>
      <xdr:spPr>
        <a:xfrm>
          <a:off x="8953501" y="739588"/>
          <a:ext cx="6382641" cy="2886478"/>
        </a:xfrm>
        <a:prstGeom prst="rect">
          <a:avLst/>
        </a:prstGeom>
      </xdr:spPr>
    </xdr:pic>
    <xdr:clientData/>
  </xdr:twoCellAnchor>
  <xdr:twoCellAnchor editAs="oneCell">
    <xdr:from>
      <xdr:col>7</xdr:col>
      <xdr:colOff>571501</xdr:colOff>
      <xdr:row>16</xdr:row>
      <xdr:rowOff>78440</xdr:rowOff>
    </xdr:from>
    <xdr:to>
      <xdr:col>15</xdr:col>
      <xdr:colOff>567181</xdr:colOff>
      <xdr:row>29</xdr:row>
      <xdr:rowOff>164523</xdr:rowOff>
    </xdr:to>
    <xdr:pic>
      <xdr:nvPicPr>
        <xdr:cNvPr id="6" name="Picture 5"/>
        <xdr:cNvPicPr>
          <a:picLocks noChangeAspect="1"/>
        </xdr:cNvPicPr>
      </xdr:nvPicPr>
      <xdr:blipFill>
        <a:blip xmlns:r="http://schemas.openxmlformats.org/officeDocument/2006/relationships" r:embed="rId5"/>
        <a:stretch>
          <a:fillRect/>
        </a:stretch>
      </xdr:blipFill>
      <xdr:spPr>
        <a:xfrm>
          <a:off x="8886266" y="3137646"/>
          <a:ext cx="5172797" cy="2562583"/>
        </a:xfrm>
        <a:prstGeom prst="rect">
          <a:avLst/>
        </a:prstGeom>
      </xdr:spPr>
    </xdr:pic>
    <xdr:clientData/>
  </xdr:twoCellAnchor>
  <xdr:twoCellAnchor editAs="oneCell">
    <xdr:from>
      <xdr:col>2</xdr:col>
      <xdr:colOff>201706</xdr:colOff>
      <xdr:row>24</xdr:row>
      <xdr:rowOff>0</xdr:rowOff>
    </xdr:from>
    <xdr:to>
      <xdr:col>6</xdr:col>
      <xdr:colOff>1179121</xdr:colOff>
      <xdr:row>27</xdr:row>
      <xdr:rowOff>38185</xdr:rowOff>
    </xdr:to>
    <xdr:pic>
      <xdr:nvPicPr>
        <xdr:cNvPr id="7" name="Picture 6"/>
        <xdr:cNvPicPr>
          <a:picLocks noChangeAspect="1"/>
        </xdr:cNvPicPr>
      </xdr:nvPicPr>
      <xdr:blipFill>
        <a:blip xmlns:r="http://schemas.openxmlformats.org/officeDocument/2006/relationships" r:embed="rId6"/>
        <a:stretch>
          <a:fillRect/>
        </a:stretch>
      </xdr:blipFill>
      <xdr:spPr>
        <a:xfrm>
          <a:off x="2263588" y="4583206"/>
          <a:ext cx="5896798" cy="609685"/>
        </a:xfrm>
        <a:prstGeom prst="rect">
          <a:avLst/>
        </a:prstGeom>
      </xdr:spPr>
    </xdr:pic>
    <xdr:clientData/>
  </xdr:twoCellAnchor>
  <xdr:twoCellAnchor editAs="oneCell">
    <xdr:from>
      <xdr:col>2</xdr:col>
      <xdr:colOff>1976438</xdr:colOff>
      <xdr:row>26</xdr:row>
      <xdr:rowOff>142875</xdr:rowOff>
    </xdr:from>
    <xdr:to>
      <xdr:col>9</xdr:col>
      <xdr:colOff>200884</xdr:colOff>
      <xdr:row>43</xdr:row>
      <xdr:rowOff>114748</xdr:rowOff>
    </xdr:to>
    <xdr:pic>
      <xdr:nvPicPr>
        <xdr:cNvPr id="8" name="Picture 7"/>
        <xdr:cNvPicPr>
          <a:picLocks noChangeAspect="1"/>
        </xdr:cNvPicPr>
      </xdr:nvPicPr>
      <xdr:blipFill>
        <a:blip xmlns:r="http://schemas.openxmlformats.org/officeDocument/2006/relationships" r:embed="rId7"/>
        <a:stretch>
          <a:fillRect/>
        </a:stretch>
      </xdr:blipFill>
      <xdr:spPr>
        <a:xfrm>
          <a:off x="4024313" y="5095875"/>
          <a:ext cx="6154009" cy="32103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DkBYWxhM5hogy1FY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72"/>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8" width="11" style="37" customWidth="1"/>
    <col min="9" max="9" width="17.453125" style="18" customWidth="1"/>
    <col min="10" max="10" width="11.453125" style="18" customWidth="1"/>
    <col min="11" max="11" width="11.2695312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216" t="s">
        <v>160</v>
      </c>
      <c r="B1" s="216"/>
      <c r="C1" s="216"/>
      <c r="D1" s="216"/>
      <c r="E1" s="216"/>
      <c r="F1" s="216"/>
      <c r="G1" s="216"/>
      <c r="H1" s="216"/>
    </row>
    <row r="2" spans="1:26" ht="16.5" customHeight="1" x14ac:dyDescent="0.35">
      <c r="A2" s="217" t="s">
        <v>0</v>
      </c>
      <c r="B2" s="217"/>
      <c r="C2" s="217"/>
      <c r="D2" s="217"/>
      <c r="E2" s="217"/>
      <c r="F2" s="217"/>
      <c r="G2" s="217"/>
      <c r="H2" s="217"/>
    </row>
    <row r="3" spans="1:26" x14ac:dyDescent="0.35">
      <c r="A3" s="160" t="s">
        <v>1</v>
      </c>
      <c r="B3" s="160"/>
      <c r="C3" s="160"/>
      <c r="D3" s="160"/>
      <c r="E3" s="160" t="str">
        <f ca="1">TEXT(TODAY(),"DD/MM/YYYY")</f>
        <v>09/07/2025</v>
      </c>
      <c r="F3" s="160"/>
      <c r="G3" s="160"/>
      <c r="H3" s="160"/>
      <c r="K3" s="51" t="s">
        <v>233</v>
      </c>
      <c r="L3" s="48" t="s">
        <v>231</v>
      </c>
      <c r="M3" s="48" t="s">
        <v>236</v>
      </c>
      <c r="N3" s="48" t="s">
        <v>234</v>
      </c>
      <c r="O3" s="48" t="s">
        <v>338</v>
      </c>
      <c r="P3" s="48" t="s">
        <v>237</v>
      </c>
    </row>
    <row r="4" spans="1:26" ht="15" customHeight="1" x14ac:dyDescent="0.35">
      <c r="A4" s="160" t="s">
        <v>230</v>
      </c>
      <c r="B4" s="160"/>
      <c r="C4" s="160"/>
      <c r="D4" s="160"/>
      <c r="E4" s="160" t="s">
        <v>231</v>
      </c>
      <c r="F4" s="160"/>
      <c r="G4" s="160"/>
      <c r="H4" s="160"/>
      <c r="K4" s="47" t="s">
        <v>232</v>
      </c>
      <c r="L4" s="48" t="s">
        <v>166</v>
      </c>
      <c r="M4" s="48" t="s">
        <v>241</v>
      </c>
      <c r="N4" s="48" t="s">
        <v>243</v>
      </c>
      <c r="O4" s="48" t="s">
        <v>339</v>
      </c>
      <c r="P4" s="48"/>
    </row>
    <row r="5" spans="1:26" ht="15" customHeight="1" x14ac:dyDescent="0.35">
      <c r="A5" s="160" t="s">
        <v>2</v>
      </c>
      <c r="B5" s="160"/>
      <c r="C5" s="160"/>
      <c r="D5" s="160"/>
      <c r="E5" s="160" t="s">
        <v>166</v>
      </c>
      <c r="F5" s="160"/>
      <c r="G5" s="160"/>
      <c r="H5" s="160"/>
      <c r="K5" s="47"/>
      <c r="L5" s="48" t="s">
        <v>238</v>
      </c>
      <c r="M5" s="48" t="s">
        <v>242</v>
      </c>
      <c r="N5" s="48" t="s">
        <v>244</v>
      </c>
      <c r="O5" s="48" t="s">
        <v>340</v>
      </c>
      <c r="P5" s="48"/>
    </row>
    <row r="6" spans="1:26" x14ac:dyDescent="0.35">
      <c r="A6" s="160" t="s">
        <v>3</v>
      </c>
      <c r="B6" s="160"/>
      <c r="C6" s="160"/>
      <c r="D6" s="160"/>
      <c r="E6" s="218">
        <v>45846</v>
      </c>
      <c r="F6" s="160"/>
      <c r="G6" s="160"/>
      <c r="H6" s="160"/>
      <c r="K6" s="47"/>
      <c r="L6" s="48" t="s">
        <v>239</v>
      </c>
      <c r="M6" s="48"/>
      <c r="N6" s="48"/>
      <c r="O6" s="48" t="s">
        <v>341</v>
      </c>
      <c r="P6" s="48"/>
    </row>
    <row r="7" spans="1:26" ht="16.5" customHeight="1" x14ac:dyDescent="0.35">
      <c r="A7" s="160" t="s">
        <v>4</v>
      </c>
      <c r="B7" s="160"/>
      <c r="C7" s="160"/>
      <c r="D7" s="160"/>
      <c r="E7" s="160" t="s">
        <v>354</v>
      </c>
      <c r="F7" s="160"/>
      <c r="G7" s="160"/>
      <c r="H7" s="160"/>
      <c r="K7" s="47"/>
      <c r="L7" s="48" t="s">
        <v>240</v>
      </c>
      <c r="M7" s="48"/>
      <c r="N7" s="48"/>
      <c r="O7" s="48" t="s">
        <v>341</v>
      </c>
      <c r="P7" s="48"/>
    </row>
    <row r="8" spans="1:26" ht="15" customHeight="1" x14ac:dyDescent="0.35">
      <c r="A8" s="160" t="s">
        <v>5</v>
      </c>
      <c r="B8" s="160"/>
      <c r="C8" s="160"/>
      <c r="D8" s="160"/>
      <c r="E8" s="160" t="str">
        <f>E7</f>
        <v>Navkar Shelters</v>
      </c>
      <c r="F8" s="160"/>
      <c r="G8" s="160"/>
      <c r="H8" s="160"/>
      <c r="K8" s="47"/>
      <c r="L8" s="48"/>
      <c r="M8" s="48"/>
      <c r="N8" s="48"/>
      <c r="O8" s="48" t="s">
        <v>342</v>
      </c>
      <c r="P8" s="48"/>
    </row>
    <row r="9" spans="1:26" x14ac:dyDescent="0.35">
      <c r="A9" s="160" t="s">
        <v>6</v>
      </c>
      <c r="B9" s="160"/>
      <c r="C9" s="160"/>
      <c r="D9" s="160"/>
      <c r="E9" s="196" t="s">
        <v>355</v>
      </c>
      <c r="F9" s="196"/>
      <c r="G9" s="196"/>
      <c r="H9" s="196"/>
      <c r="K9" s="47"/>
      <c r="L9" s="48"/>
      <c r="M9" s="48"/>
      <c r="N9" s="48"/>
      <c r="O9" s="48" t="s">
        <v>343</v>
      </c>
      <c r="P9" s="48"/>
    </row>
    <row r="10" spans="1:26" x14ac:dyDescent="0.35">
      <c r="A10" s="160" t="s">
        <v>163</v>
      </c>
      <c r="B10" s="160"/>
      <c r="C10" s="160"/>
      <c r="D10" s="160"/>
      <c r="E10" s="160">
        <v>8233339943</v>
      </c>
      <c r="F10" s="160"/>
      <c r="G10" s="160"/>
      <c r="H10" s="160"/>
      <c r="K10" s="47"/>
      <c r="L10" s="48"/>
      <c r="M10" s="48"/>
      <c r="N10" s="48"/>
      <c r="O10" s="48" t="s">
        <v>344</v>
      </c>
      <c r="P10" s="48"/>
    </row>
    <row r="11" spans="1:26" x14ac:dyDescent="0.35">
      <c r="A11" s="160" t="s">
        <v>164</v>
      </c>
      <c r="B11" s="160"/>
      <c r="C11" s="160"/>
      <c r="D11" s="160"/>
      <c r="E11" s="160">
        <v>8233339943</v>
      </c>
      <c r="F11" s="160"/>
      <c r="G11" s="160"/>
      <c r="H11" s="160"/>
      <c r="O11" s="48" t="s">
        <v>345</v>
      </c>
    </row>
    <row r="12" spans="1:26" x14ac:dyDescent="0.35">
      <c r="A12" s="160" t="s">
        <v>7</v>
      </c>
      <c r="B12" s="160"/>
      <c r="C12" s="160"/>
      <c r="D12" s="160"/>
      <c r="E12" s="160" t="s">
        <v>117</v>
      </c>
      <c r="F12" s="160"/>
      <c r="G12" s="160"/>
      <c r="H12" s="160"/>
    </row>
    <row r="13" spans="1:26" x14ac:dyDescent="0.35">
      <c r="A13" s="160" t="s">
        <v>167</v>
      </c>
      <c r="B13" s="160"/>
      <c r="C13" s="160"/>
      <c r="D13" s="160"/>
      <c r="E13" s="160" t="s">
        <v>28</v>
      </c>
      <c r="F13" s="160"/>
      <c r="G13" s="160"/>
      <c r="H13" s="160"/>
      <c r="S13" s="48" t="s">
        <v>177</v>
      </c>
      <c r="T13" s="48" t="s">
        <v>186</v>
      </c>
      <c r="U13" s="48" t="s">
        <v>168</v>
      </c>
      <c r="V13" s="48" t="s">
        <v>191</v>
      </c>
      <c r="W13" s="48" t="s">
        <v>209</v>
      </c>
      <c r="X13"/>
      <c r="Y13" t="s">
        <v>191</v>
      </c>
      <c r="Z13" t="e">
        <f ca="1">OFFSET($S$13,1,MATCH($G20,$S$13:$W$13,0)-1,15,1)</f>
        <v>#VALUE!</v>
      </c>
    </row>
    <row r="14" spans="1:26" x14ac:dyDescent="0.35">
      <c r="A14" s="129" t="s">
        <v>276</v>
      </c>
      <c r="B14" s="129"/>
      <c r="C14" s="129"/>
      <c r="D14" s="129"/>
      <c r="E14" s="215" t="s">
        <v>404</v>
      </c>
      <c r="F14" s="215"/>
      <c r="G14" s="215"/>
      <c r="H14" s="215"/>
      <c r="S14" s="48" t="s">
        <v>177</v>
      </c>
      <c r="T14" s="48" t="s">
        <v>184</v>
      </c>
      <c r="U14" s="48" t="s">
        <v>206</v>
      </c>
      <c r="V14" s="48" t="s">
        <v>192</v>
      </c>
      <c r="W14" s="48" t="s">
        <v>210</v>
      </c>
      <c r="X14"/>
      <c r="Y14"/>
      <c r="Z14"/>
    </row>
    <row r="15" spans="1:26" x14ac:dyDescent="0.35">
      <c r="A15" s="129" t="s">
        <v>8</v>
      </c>
      <c r="B15" s="129"/>
      <c r="C15" s="129"/>
      <c r="D15" s="129"/>
      <c r="E15" s="150" t="s">
        <v>356</v>
      </c>
      <c r="F15" s="160"/>
      <c r="G15" s="160"/>
      <c r="H15" s="160"/>
      <c r="I15" s="231" t="e">
        <f ca="1">OFFSET($D$5,1,MATCH($J13,$D$5:$H$5,0)-1,15,1)</f>
        <v>#N/A</v>
      </c>
      <c r="J15" s="232"/>
      <c r="K15" s="232"/>
      <c r="L15" s="232"/>
      <c r="M15" s="232"/>
      <c r="N15" s="232"/>
      <c r="O15" s="232"/>
      <c r="P15" s="232"/>
      <c r="S15" s="48" t="s">
        <v>178</v>
      </c>
      <c r="T15" s="48" t="s">
        <v>185</v>
      </c>
      <c r="U15" s="48" t="s">
        <v>207</v>
      </c>
      <c r="V15" s="48" t="s">
        <v>193</v>
      </c>
      <c r="W15" s="48" t="s">
        <v>223</v>
      </c>
      <c r="X15"/>
      <c r="Y15"/>
      <c r="Z15"/>
    </row>
    <row r="16" spans="1:26" ht="48.75" customHeight="1" x14ac:dyDescent="0.35">
      <c r="A16" s="194" t="s">
        <v>9</v>
      </c>
      <c r="B16" s="194"/>
      <c r="C16" s="194" t="str">
        <f>CONCATENATE((IF(OR(E9="",E9="NA"),"",E9)),", ",(IF(OR(A17="",A17="NA"),"",A17)),".",(IF(OR(C17="",C17="NA"),"",C17)),", near ",(IF(OR(C22="",C22="NA"),"",C22)),", ",(IF(OR(C19="",C19="NA"),"",C19)),", ",(IF(OR(C18="",C18="NA"),"",C18)),", ",(IF(OR(G19="",G19="NA"),"",G19)),", ",(IF(OR(C20="",C20="NA"),"",C20)),", ",(IF(OR(C21="",C21="NA"),"",C21)),", ",(IF(OR(G20="",G20="NA"),"",G20))," - ",(IF(OR(G21="",G21="NA"),"",G21)),".")</f>
        <v>Maitri Navkar, CTS No.8630, S. No.44, H. No.2, near Nav Saiprasad CHS Ltd., New Ayre Road, Mhatre Nagar, Dombivali, Dombivli East, Kalyan, Thane - 421201.</v>
      </c>
      <c r="D16" s="194"/>
      <c r="E16" s="194"/>
      <c r="F16" s="194"/>
      <c r="G16" s="194"/>
      <c r="H16" s="194"/>
      <c r="S16" s="48" t="s">
        <v>179</v>
      </c>
      <c r="T16" s="48" t="s">
        <v>187</v>
      </c>
      <c r="U16" s="48" t="s">
        <v>208</v>
      </c>
      <c r="V16" s="48" t="s">
        <v>194</v>
      </c>
      <c r="W16" s="48" t="s">
        <v>211</v>
      </c>
      <c r="X16"/>
      <c r="Y16"/>
      <c r="Z16"/>
    </row>
    <row r="17" spans="1:26" x14ac:dyDescent="0.35">
      <c r="A17" s="150" t="s">
        <v>172</v>
      </c>
      <c r="B17" s="150"/>
      <c r="C17" s="150" t="s">
        <v>357</v>
      </c>
      <c r="D17" s="150"/>
      <c r="E17" s="150"/>
      <c r="F17" s="150"/>
      <c r="G17" s="150"/>
      <c r="H17" s="150"/>
      <c r="S17" s="48" t="s">
        <v>180</v>
      </c>
      <c r="T17" s="48" t="s">
        <v>188</v>
      </c>
      <c r="U17" s="48" t="s">
        <v>168</v>
      </c>
      <c r="V17" s="48" t="s">
        <v>195</v>
      </c>
      <c r="W17" s="48" t="s">
        <v>212</v>
      </c>
      <c r="X17"/>
      <c r="Y17"/>
      <c r="Z17"/>
    </row>
    <row r="18" spans="1:26" ht="15.75" customHeight="1" x14ac:dyDescent="0.35">
      <c r="A18" s="150" t="s">
        <v>158</v>
      </c>
      <c r="B18" s="150"/>
      <c r="C18" s="150" t="s">
        <v>365</v>
      </c>
      <c r="D18" s="150"/>
      <c r="E18" s="150"/>
      <c r="F18" s="150"/>
      <c r="G18" s="150"/>
      <c r="H18" s="150"/>
      <c r="S18" s="48" t="s">
        <v>181</v>
      </c>
      <c r="T18" s="48" t="s">
        <v>186</v>
      </c>
      <c r="U18" s="48"/>
      <c r="V18" s="48" t="s">
        <v>196</v>
      </c>
      <c r="W18" s="48" t="s">
        <v>213</v>
      </c>
      <c r="X18"/>
      <c r="Y18"/>
      <c r="Z18"/>
    </row>
    <row r="19" spans="1:26" ht="15.75" customHeight="1" x14ac:dyDescent="0.35">
      <c r="A19" s="194" t="s">
        <v>10</v>
      </c>
      <c r="B19" s="194"/>
      <c r="C19" s="160" t="s">
        <v>364</v>
      </c>
      <c r="D19" s="160"/>
      <c r="E19" s="150" t="s">
        <v>70</v>
      </c>
      <c r="F19" s="150"/>
      <c r="G19" s="150" t="s">
        <v>360</v>
      </c>
      <c r="H19" s="150"/>
      <c r="S19" s="48" t="s">
        <v>182</v>
      </c>
      <c r="T19" s="48" t="s">
        <v>189</v>
      </c>
      <c r="U19" s="48"/>
      <c r="V19" s="48" t="s">
        <v>197</v>
      </c>
      <c r="W19" s="48" t="s">
        <v>214</v>
      </c>
      <c r="X19"/>
      <c r="Y19"/>
      <c r="Z19"/>
    </row>
    <row r="20" spans="1:26" x14ac:dyDescent="0.35">
      <c r="A20" s="129" t="s">
        <v>12</v>
      </c>
      <c r="B20" s="129"/>
      <c r="C20" s="150" t="s">
        <v>362</v>
      </c>
      <c r="D20" s="150"/>
      <c r="E20" s="150" t="s">
        <v>11</v>
      </c>
      <c r="F20" s="150"/>
      <c r="G20" s="235" t="s">
        <v>177</v>
      </c>
      <c r="H20" s="235"/>
      <c r="S20" s="48" t="s">
        <v>183</v>
      </c>
      <c r="T20" s="48" t="s">
        <v>190</v>
      </c>
      <c r="U20" s="48"/>
      <c r="V20" s="48" t="s">
        <v>198</v>
      </c>
      <c r="W20" s="48" t="s">
        <v>215</v>
      </c>
      <c r="X20"/>
      <c r="Y20"/>
      <c r="Z20"/>
    </row>
    <row r="21" spans="1:26" x14ac:dyDescent="0.35">
      <c r="A21" s="129" t="s">
        <v>71</v>
      </c>
      <c r="B21" s="129"/>
      <c r="C21" s="150" t="s">
        <v>179</v>
      </c>
      <c r="D21" s="150"/>
      <c r="E21" s="150" t="s">
        <v>13</v>
      </c>
      <c r="F21" s="150"/>
      <c r="G21" s="150">
        <v>421201</v>
      </c>
      <c r="H21" s="150"/>
      <c r="S21" s="48"/>
      <c r="T21" s="48"/>
      <c r="U21" s="48"/>
      <c r="V21" s="48" t="s">
        <v>199</v>
      </c>
      <c r="W21" s="48" t="s">
        <v>216</v>
      </c>
      <c r="X21"/>
      <c r="Y21"/>
      <c r="Z21"/>
    </row>
    <row r="22" spans="1:26" ht="32.25" customHeight="1" x14ac:dyDescent="0.35">
      <c r="A22" s="129" t="s">
        <v>118</v>
      </c>
      <c r="B22" s="129"/>
      <c r="C22" s="150" t="s">
        <v>363</v>
      </c>
      <c r="D22" s="150"/>
      <c r="E22" s="150" t="s">
        <v>14</v>
      </c>
      <c r="F22" s="150"/>
      <c r="G22" s="150" t="s">
        <v>361</v>
      </c>
      <c r="H22" s="150"/>
      <c r="S22" s="48"/>
      <c r="T22" s="48"/>
      <c r="U22" s="48"/>
      <c r="V22" s="48" t="s">
        <v>200</v>
      </c>
      <c r="W22" s="48" t="s">
        <v>217</v>
      </c>
      <c r="X22"/>
      <c r="Y22"/>
      <c r="Z22"/>
    </row>
    <row r="23" spans="1:26" ht="15" customHeight="1" x14ac:dyDescent="0.35">
      <c r="A23" s="194" t="s">
        <v>73</v>
      </c>
      <c r="B23" s="194"/>
      <c r="C23" s="194"/>
      <c r="D23" s="194"/>
      <c r="E23" s="160" t="s">
        <v>15</v>
      </c>
      <c r="F23" s="160"/>
      <c r="G23" s="160"/>
      <c r="H23" s="160"/>
      <c r="S23" s="48"/>
      <c r="T23" s="48"/>
      <c r="U23" s="48"/>
      <c r="V23" s="48" t="s">
        <v>201</v>
      </c>
      <c r="W23" s="48" t="s">
        <v>218</v>
      </c>
      <c r="X23"/>
      <c r="Y23"/>
      <c r="Z23"/>
    </row>
    <row r="24" spans="1:26" ht="18.75" customHeight="1" x14ac:dyDescent="0.35">
      <c r="A24" s="194"/>
      <c r="B24" s="194"/>
      <c r="C24" s="194"/>
      <c r="D24" s="194"/>
      <c r="E24" s="160"/>
      <c r="F24" s="160"/>
      <c r="G24" s="160"/>
      <c r="H24" s="160"/>
      <c r="S24" s="48"/>
      <c r="T24" s="48"/>
      <c r="U24" s="48"/>
      <c r="V24" s="48" t="s">
        <v>202</v>
      </c>
      <c r="W24" s="48" t="s">
        <v>219</v>
      </c>
      <c r="X24"/>
      <c r="Y24"/>
      <c r="Z24"/>
    </row>
    <row r="25" spans="1:26" ht="15" customHeight="1" x14ac:dyDescent="0.35">
      <c r="A25" s="194" t="s">
        <v>16</v>
      </c>
      <c r="B25" s="194"/>
      <c r="C25" s="194"/>
      <c r="D25" s="194"/>
      <c r="E25" s="150" t="s">
        <v>17</v>
      </c>
      <c r="F25" s="150"/>
      <c r="G25" s="150"/>
      <c r="H25" s="150"/>
      <c r="S25" s="48"/>
      <c r="T25" s="48"/>
      <c r="U25" s="48"/>
      <c r="V25" s="48" t="s">
        <v>203</v>
      </c>
      <c r="W25" s="48" t="s">
        <v>220</v>
      </c>
      <c r="X25"/>
      <c r="Y25"/>
      <c r="Z25"/>
    </row>
    <row r="26" spans="1:26" ht="15" customHeight="1" x14ac:dyDescent="0.35">
      <c r="A26" s="129" t="s">
        <v>18</v>
      </c>
      <c r="B26" s="129"/>
      <c r="C26" s="129"/>
      <c r="D26" s="129"/>
      <c r="E26" s="150" t="str">
        <f>IF(AND(G20="Mumbai"),"Upper Class","Middle Class")</f>
        <v>Middle Class</v>
      </c>
      <c r="F26" s="150"/>
      <c r="G26" s="150"/>
      <c r="H26" s="150"/>
      <c r="S26" s="48"/>
      <c r="T26" s="48"/>
      <c r="U26" s="48"/>
      <c r="V26" s="48" t="s">
        <v>204</v>
      </c>
      <c r="W26" s="48" t="s">
        <v>221</v>
      </c>
      <c r="X26"/>
      <c r="Y26"/>
      <c r="Z26"/>
    </row>
    <row r="27" spans="1:26" x14ac:dyDescent="0.35">
      <c r="A27" s="129" t="s">
        <v>19</v>
      </c>
      <c r="B27" s="129"/>
      <c r="C27" s="129"/>
      <c r="D27" s="129"/>
      <c r="E27" s="150" t="s">
        <v>20</v>
      </c>
      <c r="F27" s="150"/>
      <c r="G27" s="150"/>
      <c r="H27" s="150"/>
      <c r="S27" s="48"/>
      <c r="T27" s="48"/>
      <c r="U27" s="48"/>
      <c r="V27" s="48" t="s">
        <v>205</v>
      </c>
      <c r="W27" s="48" t="s">
        <v>222</v>
      </c>
      <c r="X27"/>
      <c r="Y27"/>
      <c r="Z27"/>
    </row>
    <row r="28" spans="1:26" ht="15.75" customHeight="1" x14ac:dyDescent="0.35">
      <c r="A28" s="129" t="s">
        <v>21</v>
      </c>
      <c r="B28" s="129"/>
      <c r="C28" s="129"/>
      <c r="D28" s="129"/>
      <c r="E28" s="150" t="str">
        <f>IF(AND(G20="Mumbai"),"Developed","Developing")</f>
        <v>Developing</v>
      </c>
      <c r="F28" s="150"/>
      <c r="G28" s="150"/>
      <c r="H28" s="150"/>
    </row>
    <row r="29" spans="1:26" x14ac:dyDescent="0.35">
      <c r="A29" s="129" t="s">
        <v>22</v>
      </c>
      <c r="B29" s="129"/>
      <c r="C29" s="129"/>
      <c r="D29" s="129"/>
      <c r="E29" s="150" t="s">
        <v>23</v>
      </c>
      <c r="F29" s="150"/>
      <c r="G29" s="150"/>
      <c r="H29" s="150"/>
    </row>
    <row r="30" spans="1:26" ht="15.75" customHeight="1" x14ac:dyDescent="0.35">
      <c r="A30" s="129" t="s">
        <v>78</v>
      </c>
      <c r="B30" s="129"/>
      <c r="C30" s="129"/>
      <c r="D30" s="129"/>
      <c r="E30" s="150" t="s">
        <v>79</v>
      </c>
      <c r="F30" s="150"/>
      <c r="G30" s="150"/>
      <c r="H30" s="150"/>
    </row>
    <row r="31" spans="1:26" ht="15" customHeight="1" x14ac:dyDescent="0.35">
      <c r="A31" s="129" t="s">
        <v>30</v>
      </c>
      <c r="B31" s="129"/>
      <c r="C31" s="129"/>
      <c r="D31" s="129"/>
      <c r="E31" s="150"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50"/>
      <c r="G31" s="150"/>
      <c r="H31" s="150"/>
    </row>
    <row r="32" spans="1:26" ht="15.75" customHeight="1" x14ac:dyDescent="0.35">
      <c r="A32" s="129" t="s">
        <v>90</v>
      </c>
      <c r="B32" s="129"/>
      <c r="C32" s="129"/>
      <c r="D32" s="129"/>
      <c r="E32" s="150" t="s">
        <v>31</v>
      </c>
      <c r="F32" s="150"/>
      <c r="G32" s="150"/>
      <c r="H32" s="150"/>
    </row>
    <row r="33" spans="1:19" s="19" customFormat="1" x14ac:dyDescent="0.35">
      <c r="A33" s="214" t="s">
        <v>91</v>
      </c>
      <c r="B33" s="214"/>
      <c r="C33" s="228" t="s">
        <v>169</v>
      </c>
      <c r="D33" s="228"/>
      <c r="E33" s="228"/>
      <c r="F33" s="228" t="s">
        <v>29</v>
      </c>
      <c r="G33" s="228"/>
      <c r="H33" s="228"/>
      <c r="S33" s="19" t="e">
        <f ca="1">OFFSET($S$13,1,MATCH($G20,$S$13:$W$13,0)-1,15,1)</f>
        <v>#VALUE!</v>
      </c>
    </row>
    <row r="34" spans="1:19" s="19" customFormat="1" x14ac:dyDescent="0.35">
      <c r="A34" s="206" t="s">
        <v>24</v>
      </c>
      <c r="B34" s="206" t="s">
        <v>28</v>
      </c>
      <c r="C34" s="242" t="s">
        <v>369</v>
      </c>
      <c r="D34" s="242"/>
      <c r="E34" s="242"/>
      <c r="F34" s="242" t="s">
        <v>366</v>
      </c>
      <c r="G34" s="242"/>
      <c r="H34" s="242"/>
    </row>
    <row r="35" spans="1:19" x14ac:dyDescent="0.35">
      <c r="A35" s="206" t="s">
        <v>25</v>
      </c>
      <c r="B35" s="206" t="s">
        <v>28</v>
      </c>
      <c r="C35" s="242" t="s">
        <v>368</v>
      </c>
      <c r="D35" s="242"/>
      <c r="E35" s="242"/>
      <c r="F35" s="242" t="s">
        <v>364</v>
      </c>
      <c r="G35" s="242"/>
      <c r="H35" s="242"/>
    </row>
    <row r="36" spans="1:19" s="19" customFormat="1" x14ac:dyDescent="0.35">
      <c r="A36" s="206" t="s">
        <v>27</v>
      </c>
      <c r="B36" s="206" t="s">
        <v>28</v>
      </c>
      <c r="C36" s="242" t="s">
        <v>369</v>
      </c>
      <c r="D36" s="242"/>
      <c r="E36" s="242"/>
      <c r="F36" s="242" t="s">
        <v>363</v>
      </c>
      <c r="G36" s="242"/>
      <c r="H36" s="242"/>
    </row>
    <row r="37" spans="1:19" x14ac:dyDescent="0.35">
      <c r="A37" s="206" t="s">
        <v>26</v>
      </c>
      <c r="B37" s="206" t="s">
        <v>28</v>
      </c>
      <c r="C37" s="242" t="s">
        <v>369</v>
      </c>
      <c r="D37" s="242"/>
      <c r="E37" s="242"/>
      <c r="F37" s="242" t="s">
        <v>367</v>
      </c>
      <c r="G37" s="242"/>
      <c r="H37" s="242"/>
    </row>
    <row r="38" spans="1:19" x14ac:dyDescent="0.35">
      <c r="A38" s="129" t="s">
        <v>277</v>
      </c>
      <c r="B38" s="129"/>
      <c r="C38" s="129"/>
      <c r="D38" s="129"/>
      <c r="E38" s="129"/>
      <c r="F38" s="129"/>
      <c r="G38" s="129"/>
      <c r="H38" s="129"/>
    </row>
    <row r="39" spans="1:19" ht="15.75" customHeight="1" x14ac:dyDescent="0.35">
      <c r="A39" s="129" t="s">
        <v>161</v>
      </c>
      <c r="B39" s="129"/>
      <c r="C39" s="183" t="s">
        <v>358</v>
      </c>
      <c r="D39" s="183"/>
      <c r="E39" s="183"/>
      <c r="F39" s="183"/>
      <c r="G39" s="183"/>
      <c r="H39" s="183"/>
    </row>
    <row r="40" spans="1:19" x14ac:dyDescent="0.35">
      <c r="A40" s="129" t="s">
        <v>157</v>
      </c>
      <c r="B40" s="129"/>
      <c r="C40" s="149" t="s">
        <v>359</v>
      </c>
      <c r="D40" s="150"/>
      <c r="E40" s="150"/>
      <c r="F40" s="150"/>
      <c r="G40" s="150"/>
      <c r="H40" s="150"/>
    </row>
    <row r="41" spans="1:19" x14ac:dyDescent="0.35">
      <c r="A41" s="183" t="s">
        <v>32</v>
      </c>
      <c r="B41" s="183"/>
      <c r="C41" s="183"/>
      <c r="D41" s="183"/>
      <c r="E41" s="183"/>
      <c r="F41" s="183"/>
      <c r="G41" s="183"/>
      <c r="H41" s="183"/>
    </row>
    <row r="42" spans="1:19" x14ac:dyDescent="0.35">
      <c r="A42" s="129" t="s">
        <v>33</v>
      </c>
      <c r="B42" s="129"/>
      <c r="C42" s="129"/>
      <c r="D42" s="129"/>
      <c r="E42" s="207">
        <v>2119.6799999999998</v>
      </c>
      <c r="F42" s="207"/>
      <c r="G42" s="207"/>
      <c r="H42" s="207"/>
    </row>
    <row r="43" spans="1:19" x14ac:dyDescent="0.35">
      <c r="A43" s="129" t="s">
        <v>34</v>
      </c>
      <c r="B43" s="129"/>
      <c r="C43" s="129"/>
      <c r="D43" s="129"/>
      <c r="E43" s="184">
        <f>2331.64/E42</f>
        <v>1.0999962258454106</v>
      </c>
      <c r="F43" s="184"/>
      <c r="G43" s="184"/>
      <c r="H43" s="184"/>
    </row>
    <row r="44" spans="1:19" x14ac:dyDescent="0.35">
      <c r="A44" s="129" t="s">
        <v>35</v>
      </c>
      <c r="B44" s="129"/>
      <c r="C44" s="129"/>
      <c r="D44" s="129"/>
      <c r="E44" s="184">
        <f>E46/E42-E43</f>
        <v>2.656556650060387</v>
      </c>
      <c r="F44" s="184"/>
      <c r="G44" s="184"/>
      <c r="H44" s="184"/>
    </row>
    <row r="45" spans="1:19" x14ac:dyDescent="0.35">
      <c r="A45" s="129" t="s">
        <v>36</v>
      </c>
      <c r="B45" s="129"/>
      <c r="C45" s="129"/>
      <c r="D45" s="129"/>
      <c r="E45" s="184">
        <f>E43+E44</f>
        <v>3.7565528759057978</v>
      </c>
      <c r="F45" s="184"/>
      <c r="G45" s="184"/>
      <c r="H45" s="184"/>
    </row>
    <row r="46" spans="1:19" x14ac:dyDescent="0.35">
      <c r="A46" s="129" t="s">
        <v>89</v>
      </c>
      <c r="B46" s="129"/>
      <c r="C46" s="129"/>
      <c r="D46" s="129"/>
      <c r="E46" s="185">
        <v>7962.69</v>
      </c>
      <c r="F46" s="185"/>
      <c r="G46" s="185"/>
      <c r="H46" s="185"/>
    </row>
    <row r="47" spans="1:19" x14ac:dyDescent="0.35">
      <c r="A47" s="160" t="s">
        <v>37</v>
      </c>
      <c r="B47" s="160"/>
      <c r="C47" s="160"/>
      <c r="D47" s="160"/>
      <c r="E47" s="160" t="s">
        <v>117</v>
      </c>
      <c r="F47" s="160"/>
      <c r="G47" s="160"/>
      <c r="H47" s="160"/>
    </row>
    <row r="48" spans="1:19" x14ac:dyDescent="0.35">
      <c r="A48" s="183" t="s">
        <v>38</v>
      </c>
      <c r="B48" s="183"/>
      <c r="C48" s="183"/>
      <c r="D48" s="183"/>
      <c r="E48" s="183"/>
      <c r="F48" s="183"/>
      <c r="G48" s="183"/>
      <c r="H48" s="183"/>
    </row>
    <row r="49" spans="1:24" ht="33.75" customHeight="1" x14ac:dyDescent="0.35">
      <c r="A49" s="161" t="s">
        <v>147</v>
      </c>
      <c r="B49" s="163"/>
      <c r="C49" s="191" t="s">
        <v>258</v>
      </c>
      <c r="D49" s="192"/>
      <c r="E49" s="192"/>
      <c r="F49" s="192"/>
      <c r="G49" s="192"/>
      <c r="H49" s="193"/>
      <c r="R49" t="s">
        <v>250</v>
      </c>
      <c r="S49" s="52" t="s">
        <v>168</v>
      </c>
      <c r="T49" s="52" t="s">
        <v>177</v>
      </c>
      <c r="U49" s="52" t="s">
        <v>191</v>
      </c>
      <c r="V49" s="52" t="s">
        <v>186</v>
      </c>
    </row>
    <row r="50" spans="1:24" ht="15.75" customHeight="1" x14ac:dyDescent="0.35">
      <c r="A50" s="161" t="s">
        <v>39</v>
      </c>
      <c r="B50" s="163"/>
      <c r="C50" s="161" t="s">
        <v>370</v>
      </c>
      <c r="D50" s="162"/>
      <c r="E50" s="163"/>
      <c r="F50" s="17" t="s">
        <v>40</v>
      </c>
      <c r="G50" s="173">
        <v>45504</v>
      </c>
      <c r="H50" s="174"/>
      <c r="R50"/>
      <c r="S50" s="52" t="s">
        <v>251</v>
      </c>
      <c r="T50" s="52" t="s">
        <v>256</v>
      </c>
      <c r="U50" s="52" t="s">
        <v>267</v>
      </c>
      <c r="V50" s="52" t="s">
        <v>272</v>
      </c>
    </row>
    <row r="51" spans="1:24" x14ac:dyDescent="0.35">
      <c r="A51" s="161" t="s">
        <v>41</v>
      </c>
      <c r="B51" s="163"/>
      <c r="C51" s="161" t="str">
        <f>C50</f>
        <v>KDMC/TPD/BP/DOM/2022-23/03/82</v>
      </c>
      <c r="D51" s="162"/>
      <c r="E51" s="163"/>
      <c r="F51" s="17" t="s">
        <v>40</v>
      </c>
      <c r="G51" s="173">
        <f>G50</f>
        <v>45504</v>
      </c>
      <c r="H51" s="174"/>
      <c r="R51"/>
      <c r="S51" s="52" t="s">
        <v>252</v>
      </c>
      <c r="T51" s="52" t="s">
        <v>257</v>
      </c>
      <c r="U51" s="52" t="s">
        <v>265</v>
      </c>
      <c r="V51" s="52" t="s">
        <v>273</v>
      </c>
    </row>
    <row r="52" spans="1:24" s="20" customFormat="1" ht="16.5" customHeight="1" x14ac:dyDescent="0.35">
      <c r="A52" s="179" t="s">
        <v>151</v>
      </c>
      <c r="B52" s="180"/>
      <c r="C52" s="161" t="str">
        <f>C51</f>
        <v>KDMC/TPD/BP/DOM/2022-23/03/82</v>
      </c>
      <c r="D52" s="162"/>
      <c r="E52" s="163"/>
      <c r="F52" s="17" t="s">
        <v>40</v>
      </c>
      <c r="G52" s="173">
        <f>G51</f>
        <v>45504</v>
      </c>
      <c r="H52" s="174"/>
      <c r="I52" s="19" t="str">
        <f ca="1">IF(G52&gt;EDATE(E3,-48),"NO REMARK","CC REMARK FOR CC")</f>
        <v>NO REMARK</v>
      </c>
      <c r="J52" s="79"/>
      <c r="R52"/>
      <c r="S52" s="52" t="s">
        <v>253</v>
      </c>
      <c r="T52" s="52" t="s">
        <v>258</v>
      </c>
      <c r="U52" s="52" t="s">
        <v>255</v>
      </c>
      <c r="V52" s="52" t="s">
        <v>274</v>
      </c>
    </row>
    <row r="53" spans="1:24" s="20" customFormat="1" x14ac:dyDescent="0.35">
      <c r="A53" s="181"/>
      <c r="B53" s="182"/>
      <c r="C53" s="161" t="s">
        <v>371</v>
      </c>
      <c r="D53" s="162"/>
      <c r="E53" s="162"/>
      <c r="F53" s="162"/>
      <c r="G53" s="162"/>
      <c r="H53" s="163"/>
      <c r="R53"/>
      <c r="S53" s="52" t="s">
        <v>254</v>
      </c>
      <c r="T53" s="52" t="s">
        <v>261</v>
      </c>
      <c r="U53" s="52" t="s">
        <v>268</v>
      </c>
      <c r="V53" s="72" t="s">
        <v>348</v>
      </c>
    </row>
    <row r="54" spans="1:24" s="20" customFormat="1" x14ac:dyDescent="0.35">
      <c r="A54" s="188" t="s">
        <v>278</v>
      </c>
      <c r="B54" s="190"/>
      <c r="C54" s="161" t="s">
        <v>405</v>
      </c>
      <c r="D54" s="162"/>
      <c r="E54" s="163"/>
      <c r="F54" s="17" t="s">
        <v>40</v>
      </c>
      <c r="G54" s="173">
        <v>44817</v>
      </c>
      <c r="H54" s="174"/>
      <c r="K54" s="80">
        <f>EDATE(G52,-48)</f>
        <v>44043</v>
      </c>
      <c r="L54" s="20" t="str">
        <f ca="1">IF(G52&gt;EDATE(E3,-48),"NO REMARK","CC REMARK FOR CC")</f>
        <v>NO REMARK</v>
      </c>
      <c r="R54"/>
      <c r="S54" s="52" t="s">
        <v>253</v>
      </c>
      <c r="T54" s="52" t="s">
        <v>258</v>
      </c>
      <c r="U54" s="52" t="s">
        <v>255</v>
      </c>
      <c r="V54" s="52" t="s">
        <v>274</v>
      </c>
    </row>
    <row r="55" spans="1:24" s="20" customFormat="1" x14ac:dyDescent="0.35">
      <c r="A55" s="233"/>
      <c r="B55" s="234"/>
      <c r="C55" s="157" t="s">
        <v>406</v>
      </c>
      <c r="D55" s="158"/>
      <c r="E55" s="158"/>
      <c r="F55" s="158"/>
      <c r="G55" s="158"/>
      <c r="H55" s="159"/>
      <c r="R55"/>
      <c r="S55" s="52" t="s">
        <v>255</v>
      </c>
      <c r="T55" s="52" t="s">
        <v>259</v>
      </c>
      <c r="U55" s="52" t="s">
        <v>269</v>
      </c>
      <c r="V55" s="73"/>
      <c r="W55" s="18"/>
      <c r="X55" s="18"/>
    </row>
    <row r="56" spans="1:24" s="20" customFormat="1" ht="34.5" hidden="1" customHeight="1" x14ac:dyDescent="0.35">
      <c r="A56" s="175" t="s">
        <v>279</v>
      </c>
      <c r="B56" s="176"/>
      <c r="C56" s="161" t="str">
        <f>C55</f>
        <v>Gr + 1st to 21st Floor (Total Height 69.85 Mtrs)</v>
      </c>
      <c r="D56" s="162"/>
      <c r="E56" s="163"/>
      <c r="F56" s="17" t="s">
        <v>40</v>
      </c>
      <c r="G56" s="173">
        <f>G55</f>
        <v>0</v>
      </c>
      <c r="H56" s="174"/>
      <c r="R56"/>
      <c r="S56" s="73"/>
      <c r="T56" s="52" t="s">
        <v>260</v>
      </c>
      <c r="U56" s="52" t="s">
        <v>270</v>
      </c>
      <c r="V56" s="73"/>
      <c r="W56" s="18"/>
      <c r="X56" s="18"/>
    </row>
    <row r="57" spans="1:24" s="20" customFormat="1" ht="41.25" hidden="1" customHeight="1" x14ac:dyDescent="0.35">
      <c r="A57" s="177"/>
      <c r="B57" s="178"/>
      <c r="C57" s="161"/>
      <c r="D57" s="162"/>
      <c r="E57" s="162"/>
      <c r="F57" s="162"/>
      <c r="G57" s="162"/>
      <c r="H57" s="163"/>
      <c r="R57"/>
      <c r="S57" s="73"/>
      <c r="T57" s="52" t="s">
        <v>262</v>
      </c>
      <c r="U57" s="52" t="s">
        <v>271</v>
      </c>
      <c r="V57" s="73"/>
      <c r="W57" s="18"/>
      <c r="X57" s="18"/>
    </row>
    <row r="58" spans="1:24" s="20" customFormat="1" ht="15.75" hidden="1" customHeight="1" x14ac:dyDescent="0.35">
      <c r="A58" s="175" t="s">
        <v>351</v>
      </c>
      <c r="B58" s="176"/>
      <c r="C58" s="161"/>
      <c r="D58" s="162"/>
      <c r="E58" s="163"/>
      <c r="F58" s="17" t="s">
        <v>40</v>
      </c>
      <c r="G58" s="173"/>
      <c r="H58" s="174"/>
      <c r="R58"/>
      <c r="S58" s="73"/>
      <c r="T58" s="52" t="s">
        <v>263</v>
      </c>
      <c r="U58" s="73" t="s">
        <v>293</v>
      </c>
      <c r="V58" s="73"/>
      <c r="W58" s="18"/>
      <c r="X58" s="18"/>
    </row>
    <row r="59" spans="1:24" s="20" customFormat="1" ht="33.75" hidden="1" customHeight="1" x14ac:dyDescent="0.35">
      <c r="A59" s="177"/>
      <c r="B59" s="178"/>
      <c r="C59" s="194" t="s">
        <v>353</v>
      </c>
      <c r="D59" s="194"/>
      <c r="E59" s="194"/>
      <c r="F59" s="17" t="s">
        <v>352</v>
      </c>
      <c r="G59" s="173"/>
      <c r="H59" s="174"/>
      <c r="R59"/>
      <c r="S59" s="73"/>
      <c r="T59" s="52" t="s">
        <v>264</v>
      </c>
      <c r="U59" s="73"/>
      <c r="V59" s="73"/>
      <c r="W59" s="18"/>
      <c r="X59" s="18"/>
    </row>
    <row r="60" spans="1:24" x14ac:dyDescent="0.35">
      <c r="A60" s="210" t="s">
        <v>42</v>
      </c>
      <c r="B60" s="211"/>
      <c r="C60" s="210" t="s">
        <v>103</v>
      </c>
      <c r="D60" s="212"/>
      <c r="E60" s="211"/>
      <c r="F60" s="40" t="s">
        <v>40</v>
      </c>
      <c r="G60" s="208" t="s">
        <v>28</v>
      </c>
      <c r="H60" s="209"/>
      <c r="R60"/>
      <c r="S60" s="73"/>
      <c r="T60" s="52" t="s">
        <v>266</v>
      </c>
      <c r="U60" s="73"/>
      <c r="V60" s="73"/>
    </row>
    <row r="61" spans="1:24" x14ac:dyDescent="0.35">
      <c r="A61" s="213" t="s">
        <v>44</v>
      </c>
      <c r="B61" s="213"/>
      <c r="C61" s="213"/>
      <c r="D61" s="213"/>
      <c r="E61" s="213"/>
      <c r="F61" s="213"/>
      <c r="G61" s="213"/>
      <c r="H61" s="213"/>
      <c r="S61" s="73"/>
      <c r="T61" s="52" t="s">
        <v>275</v>
      </c>
      <c r="U61" s="73"/>
      <c r="V61" s="73"/>
    </row>
    <row r="62" spans="1:24" x14ac:dyDescent="0.35">
      <c r="A62" s="194" t="s">
        <v>88</v>
      </c>
      <c r="B62" s="194"/>
      <c r="C62" s="194"/>
      <c r="D62" s="129">
        <f>E46</f>
        <v>7962.69</v>
      </c>
      <c r="E62" s="129"/>
      <c r="F62" s="129"/>
      <c r="G62" s="129"/>
      <c r="H62" s="129"/>
      <c r="M62" s="18" t="s">
        <v>375</v>
      </c>
      <c r="R62"/>
    </row>
    <row r="63" spans="1:24" x14ac:dyDescent="0.35">
      <c r="A63" s="150" t="s">
        <v>45</v>
      </c>
      <c r="B63" s="160"/>
      <c r="C63" s="160"/>
      <c r="D63" s="165" t="s">
        <v>407</v>
      </c>
      <c r="E63" s="165"/>
      <c r="F63" s="165"/>
      <c r="G63" s="165"/>
      <c r="H63" s="165"/>
      <c r="I63" s="21"/>
      <c r="R63"/>
    </row>
    <row r="64" spans="1:24" x14ac:dyDescent="0.35">
      <c r="A64" s="188" t="s">
        <v>46</v>
      </c>
      <c r="B64" s="189"/>
      <c r="C64" s="190"/>
      <c r="D64" s="186" t="s">
        <v>372</v>
      </c>
      <c r="E64" s="187"/>
      <c r="F64" s="187"/>
      <c r="G64" s="187"/>
      <c r="H64" s="187"/>
      <c r="R64"/>
    </row>
    <row r="65" spans="1:19" ht="15.75" customHeight="1" x14ac:dyDescent="0.35">
      <c r="A65" s="188" t="s">
        <v>86</v>
      </c>
      <c r="B65" s="189"/>
      <c r="C65" s="189"/>
      <c r="D65" s="150" t="s">
        <v>397</v>
      </c>
      <c r="E65" s="160"/>
      <c r="F65" s="160"/>
      <c r="G65" s="160"/>
      <c r="H65" s="160"/>
      <c r="R65"/>
    </row>
    <row r="66" spans="1:19" ht="15.75" customHeight="1" x14ac:dyDescent="0.35">
      <c r="A66" s="129" t="s">
        <v>43</v>
      </c>
      <c r="B66" s="129"/>
      <c r="C66" s="129"/>
      <c r="D66" s="150" t="s">
        <v>373</v>
      </c>
      <c r="E66" s="150"/>
      <c r="F66" s="150"/>
      <c r="G66" s="150"/>
      <c r="H66" s="150"/>
      <c r="J66" s="22"/>
      <c r="K66" s="21"/>
      <c r="N66" s="21"/>
      <c r="S66"/>
    </row>
    <row r="67" spans="1:19" ht="15.75" customHeight="1" x14ac:dyDescent="0.35">
      <c r="A67" s="129" t="s">
        <v>84</v>
      </c>
      <c r="B67" s="129"/>
      <c r="C67" s="129"/>
      <c r="D67" s="164" t="str">
        <f>(IF(G60="NA","60 Years After Completion",IF(G60&lt;&gt;"NA",""&amp;60-ROUNDDOWN((E3-G60)/360,0)&amp;" Years"," ")))</f>
        <v>60 Years After Completion</v>
      </c>
      <c r="E67" s="164"/>
      <c r="F67" s="164"/>
      <c r="G67" s="164"/>
      <c r="H67" s="164"/>
      <c r="N67" s="21"/>
      <c r="S67"/>
    </row>
    <row r="68" spans="1:19" ht="15.75" customHeight="1" x14ac:dyDescent="0.35">
      <c r="A68" s="129" t="s">
        <v>85</v>
      </c>
      <c r="B68" s="129"/>
      <c r="C68" s="129"/>
      <c r="D68" s="194" t="s">
        <v>23</v>
      </c>
      <c r="E68" s="194"/>
      <c r="F68" s="194"/>
      <c r="G68" s="194"/>
      <c r="H68" s="194"/>
      <c r="J68" s="23"/>
      <c r="K68" s="23"/>
      <c r="S68"/>
    </row>
    <row r="69" spans="1:19" ht="49.5" customHeight="1" x14ac:dyDescent="0.35">
      <c r="A69" s="160" t="s">
        <v>374</v>
      </c>
      <c r="B69" s="160"/>
      <c r="C69" s="160"/>
      <c r="D69" s="150" t="s">
        <v>399</v>
      </c>
      <c r="E69" s="150"/>
      <c r="F69" s="150"/>
      <c r="G69" s="150"/>
      <c r="H69" s="150"/>
      <c r="S69"/>
    </row>
    <row r="70" spans="1:19" x14ac:dyDescent="0.35">
      <c r="A70" s="194" t="s">
        <v>144</v>
      </c>
      <c r="B70" s="194"/>
      <c r="C70" s="194"/>
      <c r="D70" s="194" t="s">
        <v>28</v>
      </c>
      <c r="E70" s="194"/>
      <c r="F70" s="194"/>
      <c r="G70" s="194"/>
      <c r="H70" s="194"/>
      <c r="I70" s="24"/>
      <c r="J70" s="24"/>
      <c r="K70" s="24"/>
      <c r="L70" s="24"/>
      <c r="M70" s="24"/>
      <c r="N70" s="24"/>
    </row>
    <row r="71" spans="1:19" ht="15.75" customHeight="1" x14ac:dyDescent="0.35">
      <c r="A71" s="205" t="s">
        <v>83</v>
      </c>
      <c r="B71" s="205"/>
      <c r="C71" s="205"/>
      <c r="D71" s="186" t="str">
        <f ca="1">(IF(G77&gt;95%,"Nothing",IF(G77&gt;0%,"Cement, Aggregate, Steel, etc",IF(G77=0%,"Work not yet Started"))))</f>
        <v>Cement, Aggregate, Steel, etc</v>
      </c>
      <c r="E71" s="186"/>
      <c r="F71" s="186"/>
      <c r="G71" s="186"/>
      <c r="H71" s="186"/>
      <c r="J71" s="23"/>
      <c r="S71"/>
    </row>
    <row r="72" spans="1:19" ht="33.75" customHeight="1" thickBot="1" x14ac:dyDescent="0.4">
      <c r="A72" s="204" t="s">
        <v>116</v>
      </c>
      <c r="B72" s="204"/>
      <c r="C72" s="204"/>
      <c r="D72" s="186" t="str">
        <f ca="1">(IF(D71="Nothing","Yes",IF(D71="Cement, Aggregate, Steel, etc","Under Construction",IF(D71="Work not yet Started","Work not yet Started"))))</f>
        <v>Under Construction</v>
      </c>
      <c r="E72" s="186"/>
      <c r="F72" s="186" t="str">
        <f ca="1">(IF(D71="Nothing","Yes",IF(D71="Cement, Aggregate, Steel, etc","Under Construction",IF(D71="Work not yet Started","Work not yet Started"))))</f>
        <v>Under Construction</v>
      </c>
      <c r="G72" s="186"/>
      <c r="H72" s="186"/>
      <c r="S72"/>
    </row>
    <row r="73" spans="1:19" ht="15.75" customHeight="1" x14ac:dyDescent="0.35">
      <c r="A73" s="197" t="s">
        <v>136</v>
      </c>
      <c r="B73" s="198"/>
      <c r="C73" s="199" t="str">
        <f>D65</f>
        <v xml:space="preserve">Gr/St + 1st to 21st Floor </v>
      </c>
      <c r="D73" s="200"/>
      <c r="E73" s="200"/>
      <c r="F73" s="200"/>
      <c r="G73" s="200"/>
      <c r="H73" s="201"/>
      <c r="I73" s="41" t="str">
        <f ca="1">IF(D86=100%,"All work Completed. Possession granted to the Building.",IF(D85=100%,"All work Completed, Waiting for OC",I74&amp;""&amp;I75&amp;""&amp;J74&amp;""&amp;J73&amp;" "&amp;J75))</f>
        <v>Excavation, Plinth Completed, RCC upto 9 Slab, Brickwork upto 4 Floor Completed</v>
      </c>
      <c r="J73" s="42"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9 Slab, Brickwork upto 4 Floor</v>
      </c>
      <c r="S73"/>
    </row>
    <row r="74" spans="1:19" x14ac:dyDescent="0.35">
      <c r="A74" s="15" t="s">
        <v>138</v>
      </c>
      <c r="B74" s="45">
        <f>IF(AND(ISNUMBER(SEARCH("1B",C73))),1,IF(AND(ISNUMBER(SEARCH("2B",C73))),2,IF(AND(ISNUMBER(SEARCH("3B",C73))),3,IF(AND(ISNUMBER(SEARCH("4B",C73))),4,IF(ISNUMBER(SEARCH("5B",C73)),5,0)))))</f>
        <v>0</v>
      </c>
      <c r="C74" s="45" t="s">
        <v>69</v>
      </c>
      <c r="D74" s="45">
        <v>1</v>
      </c>
      <c r="E74" s="45" t="s">
        <v>68</v>
      </c>
      <c r="F74" s="45">
        <v>0</v>
      </c>
      <c r="G74" s="45" t="s">
        <v>77</v>
      </c>
      <c r="H74" s="16">
        <f ca="1">--TRIM(RIGHT(SUBSTITUTE(LEFT(C73,_xlfn.AGGREGATE(16,6,FIND({0,1,2,3,4,5,6,7,8,9},C73,ROW(INDIRECT("1:"&amp;LEN(C73)))),1))," ",REPT(" ",LEN(C73))),LEN(C73)))</f>
        <v>21</v>
      </c>
      <c r="I74" s="43" t="str">
        <f ca="1">IF(D77=100%,"Excavation","")&amp;IF(D78=100%,", Plinth","")&amp;IF(D79=100%,", RCC Slab","")&amp;IF(D80=100%,", Brickwork","")&amp;IF(D81=100%,", Internal Plaster","")&amp;IF(D82=100%,", External Plaster","")&amp;IF(D83=100%,", Flooring","")&amp;IF(D84=100%,", Painting","")&amp;IF(D85=100%,", Building common Amenities","")</f>
        <v>Excavation, Plinth</v>
      </c>
      <c r="J74" s="44"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1" customHeight="1" x14ac:dyDescent="0.35">
      <c r="A75" s="195" t="s">
        <v>87</v>
      </c>
      <c r="B75" s="196"/>
      <c r="C75" s="202" t="str">
        <f ca="1">I73</f>
        <v>Excavation, Plinth Completed, RCC upto 9 Slab, Brickwork upto 4 Floor Completed</v>
      </c>
      <c r="D75" s="202"/>
      <c r="E75" s="202"/>
      <c r="F75" s="202"/>
      <c r="G75" s="202"/>
      <c r="H75" s="203"/>
      <c r="I75" s="43" t="str">
        <f ca="1">IF(I74&lt;&gt;""," Completed","")</f>
        <v xml:space="preserve"> Completed</v>
      </c>
      <c r="J75" s="44" t="str">
        <f ca="1">IF(J73&lt;&gt;"","Completed","")</f>
        <v>Completed</v>
      </c>
      <c r="S75"/>
    </row>
    <row r="76" spans="1:19" ht="15.75" customHeight="1" x14ac:dyDescent="0.35">
      <c r="A76" s="118" t="s">
        <v>47</v>
      </c>
      <c r="B76" s="119"/>
      <c r="C76" s="85" t="s">
        <v>135</v>
      </c>
      <c r="D76" s="85" t="s">
        <v>80</v>
      </c>
      <c r="E76" s="119" t="s">
        <v>82</v>
      </c>
      <c r="F76" s="119"/>
      <c r="G76" s="119" t="s">
        <v>81</v>
      </c>
      <c r="H76" s="236"/>
      <c r="I76" s="13" t="s">
        <v>137</v>
      </c>
      <c r="J76" s="25">
        <f ca="1">H74*25%</f>
        <v>5.25</v>
      </c>
      <c r="S76"/>
    </row>
    <row r="77" spans="1:19" x14ac:dyDescent="0.35">
      <c r="A77" s="118" t="s">
        <v>124</v>
      </c>
      <c r="B77" s="119"/>
      <c r="C77" s="85">
        <f ca="1">J78</f>
        <v>21</v>
      </c>
      <c r="D77" s="86">
        <f ca="1">((100/H74)*C77)/100</f>
        <v>1</v>
      </c>
      <c r="E77" s="120">
        <f ca="1">(((C78/H74*10)+(40/(D74+F74+H74)*C79)+(7.5/(H74)*C80)+(7.5/(H74)*C81)+(10/H74*C82)+(10/H74*C83)+(5/H74*C84)+(5/H74*C85)+(5/H74*C86))/100)</f>
        <v>0.2779220779220779</v>
      </c>
      <c r="F77" s="121"/>
      <c r="G77" s="120">
        <f ca="1">((((C77/H74)*20)+((C78/H74)*25)+(30/(H74+F74+D74)*C79)+(5/H74*C80)+(5/H74*C81)+(5/H74*C82)+(5/H74*C83)+(0/H74*C84)+(0/H74*C85)+(5/H74*C86))/100)</f>
        <v>0.58225108225108224</v>
      </c>
      <c r="H77" s="126"/>
      <c r="I77" s="13" t="s">
        <v>98</v>
      </c>
      <c r="J77" s="26">
        <f ca="1">H74*50%</f>
        <v>10.5</v>
      </c>
    </row>
    <row r="78" spans="1:19" x14ac:dyDescent="0.35">
      <c r="A78" s="118" t="s">
        <v>48</v>
      </c>
      <c r="B78" s="119"/>
      <c r="C78" s="85">
        <f ca="1">J86</f>
        <v>21</v>
      </c>
      <c r="D78" s="86">
        <f ca="1">((100/H74)*C78)/100</f>
        <v>1</v>
      </c>
      <c r="E78" s="122"/>
      <c r="F78" s="123"/>
      <c r="G78" s="122"/>
      <c r="H78" s="127"/>
      <c r="I78" s="13" t="s">
        <v>99</v>
      </c>
      <c r="J78" s="26">
        <f ca="1">H74</f>
        <v>21</v>
      </c>
      <c r="S78"/>
    </row>
    <row r="79" spans="1:19" ht="15.75" customHeight="1" x14ac:dyDescent="0.35">
      <c r="A79" s="118" t="s">
        <v>125</v>
      </c>
      <c r="B79" s="119"/>
      <c r="C79" s="85">
        <v>9</v>
      </c>
      <c r="D79" s="86">
        <f ca="1">((100/(D74+F74+H74))*C79)/100</f>
        <v>0.40909090909090912</v>
      </c>
      <c r="E79" s="122"/>
      <c r="F79" s="123"/>
      <c r="G79" s="122"/>
      <c r="H79" s="127"/>
      <c r="I79" s="13" t="s">
        <v>100</v>
      </c>
      <c r="J79" s="27">
        <f ca="1">(IF(B74&gt;1,(H74/(B74+2)),H74/4))</f>
        <v>5.25</v>
      </c>
      <c r="S79"/>
    </row>
    <row r="80" spans="1:19" ht="15.75" customHeight="1" x14ac:dyDescent="0.35">
      <c r="A80" s="118" t="s">
        <v>132</v>
      </c>
      <c r="B80" s="119" t="s">
        <v>126</v>
      </c>
      <c r="C80" s="85">
        <v>4</v>
      </c>
      <c r="D80" s="86">
        <f ca="1">((100/H74)*C80)/100</f>
        <v>0.19047619047619047</v>
      </c>
      <c r="E80" s="122"/>
      <c r="F80" s="123"/>
      <c r="G80" s="122"/>
      <c r="H80" s="127"/>
      <c r="I80" s="13" t="s">
        <v>101</v>
      </c>
      <c r="J80" s="27">
        <f ca="1">(IF(B74&gt;1,(H74/(B74+2)+J79),H74/4+J79))</f>
        <v>10.5</v>
      </c>
    </row>
    <row r="81" spans="1:22" ht="15.75" customHeight="1" x14ac:dyDescent="0.35">
      <c r="A81" s="118" t="s">
        <v>133</v>
      </c>
      <c r="B81" s="119" t="s">
        <v>126</v>
      </c>
      <c r="C81" s="85">
        <v>0</v>
      </c>
      <c r="D81" s="86">
        <f ca="1">((100/H74)*C81)/100</f>
        <v>0</v>
      </c>
      <c r="E81" s="122"/>
      <c r="F81" s="123"/>
      <c r="G81" s="122"/>
      <c r="H81" s="127"/>
      <c r="I81" s="13" t="s">
        <v>142</v>
      </c>
      <c r="J81" s="27">
        <f>(IF(B74&gt;1,(H74/(B74+2)+J80),0))</f>
        <v>0</v>
      </c>
    </row>
    <row r="82" spans="1:22" ht="15" customHeight="1" x14ac:dyDescent="0.35">
      <c r="A82" s="118" t="s">
        <v>131</v>
      </c>
      <c r="B82" s="119" t="s">
        <v>128</v>
      </c>
      <c r="C82" s="85">
        <v>0</v>
      </c>
      <c r="D82" s="86">
        <f ca="1">((100/(H74))*C82)/100</f>
        <v>0</v>
      </c>
      <c r="E82" s="122"/>
      <c r="F82" s="123"/>
      <c r="G82" s="122"/>
      <c r="H82" s="127"/>
      <c r="I82" s="13" t="s">
        <v>139</v>
      </c>
      <c r="J82" s="27">
        <f>(IF(B74&gt;2,(H74/(B74+2)+J81),0))</f>
        <v>0</v>
      </c>
    </row>
    <row r="83" spans="1:22" ht="15.75" customHeight="1" x14ac:dyDescent="0.35">
      <c r="A83" s="118" t="s">
        <v>127</v>
      </c>
      <c r="B83" s="119" t="s">
        <v>127</v>
      </c>
      <c r="C83" s="85">
        <v>0</v>
      </c>
      <c r="D83" s="86">
        <f ca="1">((100/H74)*C83)/100</f>
        <v>0</v>
      </c>
      <c r="E83" s="122"/>
      <c r="F83" s="123"/>
      <c r="G83" s="122"/>
      <c r="H83" s="127"/>
      <c r="I83" s="13" t="s">
        <v>140</v>
      </c>
      <c r="J83" s="28">
        <f>(IF(B74&gt;3,(H74/(B74+2)+J82),0))</f>
        <v>0</v>
      </c>
    </row>
    <row r="84" spans="1:22" ht="15.75" customHeight="1" x14ac:dyDescent="0.35">
      <c r="A84" s="118" t="s">
        <v>134</v>
      </c>
      <c r="B84" s="119"/>
      <c r="C84" s="85">
        <v>0</v>
      </c>
      <c r="D84" s="86">
        <f ca="1">((100/H74)*C84)/100</f>
        <v>0</v>
      </c>
      <c r="E84" s="122"/>
      <c r="F84" s="123"/>
      <c r="G84" s="122"/>
      <c r="H84" s="127"/>
      <c r="I84" s="13" t="s">
        <v>141</v>
      </c>
      <c r="J84" s="27">
        <f>(IF(B74&gt;4,(H74/(B74+2)+J83),0))</f>
        <v>0</v>
      </c>
    </row>
    <row r="85" spans="1:22" ht="15.75" customHeight="1" x14ac:dyDescent="0.35">
      <c r="A85" s="118" t="s">
        <v>129</v>
      </c>
      <c r="B85" s="119" t="s">
        <v>129</v>
      </c>
      <c r="C85" s="85">
        <v>0</v>
      </c>
      <c r="D85" s="86">
        <f ca="1">((100/(H74))*C85)/100</f>
        <v>0</v>
      </c>
      <c r="E85" s="122"/>
      <c r="F85" s="123"/>
      <c r="G85" s="122"/>
      <c r="H85" s="127"/>
      <c r="I85" s="13" t="s">
        <v>143</v>
      </c>
      <c r="J85" s="27">
        <f ca="1">(IF(B74=1,(H74/(B74+3)+J80),IF(B74=0,(H74/4+J80),IF(B74&gt;1,0))))</f>
        <v>15.75</v>
      </c>
    </row>
    <row r="86" spans="1:22" ht="16" thickBot="1" x14ac:dyDescent="0.4">
      <c r="A86" s="226" t="s">
        <v>130</v>
      </c>
      <c r="B86" s="227"/>
      <c r="C86" s="87">
        <v>0</v>
      </c>
      <c r="D86" s="88">
        <f ca="1">((100/(H74))*C86)/100</f>
        <v>0</v>
      </c>
      <c r="E86" s="124"/>
      <c r="F86" s="125"/>
      <c r="G86" s="124"/>
      <c r="H86" s="128"/>
      <c r="I86" s="14" t="s">
        <v>102</v>
      </c>
      <c r="J86" s="29">
        <f ca="1">(IF(B74&gt;1.5,(H74/(B74+2)+J80+MAX(0,J81-J80)+MAX(0,J82-J81)+MAX(0,J83-J82)+MAX(0,J84-J83)+MAX(0,J85-J84)),IF(B74=1,(H74/(B74+3)+J85),IF(B74=0,H74/4+J85))))</f>
        <v>21</v>
      </c>
    </row>
    <row r="87" spans="1:22" x14ac:dyDescent="0.35">
      <c r="A87" s="229" t="s">
        <v>152</v>
      </c>
      <c r="B87" s="229"/>
      <c r="C87" s="229"/>
      <c r="D87" s="229"/>
      <c r="E87" s="229"/>
      <c r="F87" s="230" t="s">
        <v>156</v>
      </c>
      <c r="G87" s="230"/>
      <c r="H87" s="230"/>
      <c r="R87" t="s">
        <v>250</v>
      </c>
      <c r="S87" t="s">
        <v>168</v>
      </c>
      <c r="T87" t="s">
        <v>177</v>
      </c>
      <c r="U87" t="s">
        <v>191</v>
      </c>
      <c r="V87" t="s">
        <v>186</v>
      </c>
    </row>
    <row r="88" spans="1:22" x14ac:dyDescent="0.35">
      <c r="A88" s="165" t="s">
        <v>154</v>
      </c>
      <c r="B88" s="165"/>
      <c r="C88" s="165"/>
      <c r="D88" s="165"/>
      <c r="E88" s="165"/>
      <c r="F88" s="168">
        <v>7000</v>
      </c>
      <c r="G88" s="168"/>
      <c r="H88" s="168"/>
      <c r="R88"/>
      <c r="S88">
        <v>800000</v>
      </c>
      <c r="T88">
        <v>150000</v>
      </c>
      <c r="U88">
        <v>100000</v>
      </c>
      <c r="V88">
        <v>100000</v>
      </c>
    </row>
    <row r="89" spans="1:22" x14ac:dyDescent="0.35">
      <c r="A89" s="165" t="s">
        <v>153</v>
      </c>
      <c r="B89" s="165"/>
      <c r="C89" s="165"/>
      <c r="D89" s="165"/>
      <c r="E89" s="165"/>
      <c r="F89" s="168">
        <v>12000</v>
      </c>
      <c r="G89" s="168"/>
      <c r="H89" s="168"/>
      <c r="R89"/>
      <c r="S89">
        <v>900000</v>
      </c>
      <c r="T89">
        <v>200000</v>
      </c>
      <c r="U89">
        <v>150000</v>
      </c>
      <c r="V89">
        <v>150000</v>
      </c>
    </row>
    <row r="90" spans="1:22" x14ac:dyDescent="0.35">
      <c r="A90" s="165" t="s">
        <v>155</v>
      </c>
      <c r="B90" s="165"/>
      <c r="C90" s="165"/>
      <c r="D90" s="165"/>
      <c r="E90" s="165"/>
      <c r="F90" s="168">
        <v>10000</v>
      </c>
      <c r="G90" s="168"/>
      <c r="H90" s="168"/>
      <c r="R90"/>
      <c r="S90">
        <v>1000000</v>
      </c>
      <c r="T90">
        <v>250000</v>
      </c>
      <c r="U90">
        <v>200000</v>
      </c>
      <c r="V90">
        <v>200000</v>
      </c>
    </row>
    <row r="91" spans="1:22" s="30" customFormat="1" hidden="1" x14ac:dyDescent="0.35">
      <c r="A91" s="165" t="s">
        <v>171</v>
      </c>
      <c r="B91" s="165"/>
      <c r="C91" s="165"/>
      <c r="D91" s="165"/>
      <c r="E91" s="165"/>
      <c r="F91" s="168"/>
      <c r="G91" s="168"/>
      <c r="H91" s="168"/>
      <c r="R91"/>
      <c r="S91">
        <v>1100000</v>
      </c>
      <c r="T91">
        <v>300000</v>
      </c>
      <c r="U91">
        <v>250000</v>
      </c>
      <c r="V91" s="20">
        <v>250000</v>
      </c>
    </row>
    <row r="92" spans="1:22" s="30" customFormat="1" hidden="1" x14ac:dyDescent="0.35">
      <c r="A92" s="129" t="s">
        <v>92</v>
      </c>
      <c r="B92" s="129"/>
      <c r="C92" s="129"/>
      <c r="D92" s="129"/>
      <c r="E92" s="129"/>
      <c r="F92" s="168"/>
      <c r="G92" s="168"/>
      <c r="H92" s="168"/>
      <c r="R92"/>
      <c r="S92">
        <v>1200000</v>
      </c>
      <c r="T92">
        <v>350000</v>
      </c>
      <c r="U92">
        <v>300000</v>
      </c>
      <c r="V92">
        <v>300000</v>
      </c>
    </row>
    <row r="93" spans="1:22" s="30" customFormat="1" hidden="1" x14ac:dyDescent="0.35">
      <c r="A93" s="129" t="s">
        <v>93</v>
      </c>
      <c r="B93" s="129"/>
      <c r="C93" s="129"/>
      <c r="D93" s="129"/>
      <c r="E93" s="129"/>
      <c r="F93" s="168"/>
      <c r="G93" s="168"/>
      <c r="H93" s="168"/>
      <c r="R93"/>
      <c r="S93">
        <v>1300000</v>
      </c>
      <c r="T93">
        <v>400000</v>
      </c>
      <c r="U93">
        <v>350000</v>
      </c>
      <c r="V93" s="20">
        <v>400000</v>
      </c>
    </row>
    <row r="94" spans="1:22" s="30" customFormat="1" hidden="1" x14ac:dyDescent="0.35">
      <c r="A94" s="129" t="s">
        <v>94</v>
      </c>
      <c r="B94" s="129"/>
      <c r="C94" s="129"/>
      <c r="D94" s="129"/>
      <c r="E94" s="129"/>
      <c r="F94" s="168"/>
      <c r="G94" s="168"/>
      <c r="H94" s="168"/>
      <c r="R94"/>
      <c r="S94">
        <v>1400000</v>
      </c>
      <c r="T94">
        <v>500000</v>
      </c>
      <c r="U94">
        <v>400000</v>
      </c>
      <c r="V94"/>
    </row>
    <row r="95" spans="1:22" s="30" customFormat="1" hidden="1" x14ac:dyDescent="0.35">
      <c r="A95" s="129" t="s">
        <v>95</v>
      </c>
      <c r="B95" s="129"/>
      <c r="C95" s="129"/>
      <c r="D95" s="129"/>
      <c r="E95" s="129"/>
      <c r="F95" s="168"/>
      <c r="G95" s="168"/>
      <c r="H95" s="168"/>
      <c r="R95"/>
      <c r="S95">
        <v>1500000</v>
      </c>
      <c r="T95">
        <v>600000</v>
      </c>
      <c r="U95">
        <v>500000</v>
      </c>
      <c r="V95" s="20"/>
    </row>
    <row r="96" spans="1:22" s="30" customFormat="1" hidden="1" x14ac:dyDescent="0.35">
      <c r="A96" s="129" t="s">
        <v>96</v>
      </c>
      <c r="B96" s="129"/>
      <c r="C96" s="129"/>
      <c r="D96" s="129"/>
      <c r="E96" s="129"/>
      <c r="F96" s="168"/>
      <c r="G96" s="168"/>
      <c r="H96" s="168"/>
      <c r="R96"/>
      <c r="S96">
        <v>1600000</v>
      </c>
      <c r="T96">
        <v>700000</v>
      </c>
      <c r="U96">
        <v>600000</v>
      </c>
      <c r="V96"/>
    </row>
    <row r="97" spans="1:22" s="30" customFormat="1" hidden="1" x14ac:dyDescent="0.35">
      <c r="A97" s="129" t="s">
        <v>97</v>
      </c>
      <c r="B97" s="129"/>
      <c r="C97" s="129"/>
      <c r="D97" s="129"/>
      <c r="E97" s="129"/>
      <c r="F97" s="168"/>
      <c r="G97" s="168"/>
      <c r="H97" s="168"/>
      <c r="R97"/>
      <c r="S97">
        <v>1700000</v>
      </c>
      <c r="T97">
        <v>800000</v>
      </c>
      <c r="U97"/>
      <c r="V97" s="20"/>
    </row>
    <row r="98" spans="1:22" x14ac:dyDescent="0.35">
      <c r="A98" s="129" t="s">
        <v>49</v>
      </c>
      <c r="B98" s="129"/>
      <c r="C98" s="129"/>
      <c r="D98" s="129"/>
      <c r="E98" s="129"/>
      <c r="F98" s="168">
        <v>300000</v>
      </c>
      <c r="G98" s="168"/>
      <c r="H98" s="168"/>
      <c r="R98"/>
      <c r="S98">
        <v>1800000</v>
      </c>
      <c r="T98">
        <v>900000</v>
      </c>
      <c r="U98"/>
    </row>
    <row r="99" spans="1:22" s="31" customFormat="1" x14ac:dyDescent="0.35">
      <c r="A99" s="183" t="s">
        <v>50</v>
      </c>
      <c r="B99" s="183"/>
      <c r="C99" s="183"/>
      <c r="D99" s="183"/>
      <c r="E99" s="183"/>
      <c r="F99" s="221">
        <f>F88*0.8</f>
        <v>5600</v>
      </c>
      <c r="G99" s="221"/>
      <c r="H99" s="221"/>
      <c r="R99" s="18"/>
      <c r="S99" s="18"/>
      <c r="T99">
        <v>1000000</v>
      </c>
      <c r="U99"/>
      <c r="V99" s="18"/>
    </row>
    <row r="100" spans="1:22" s="32" customFormat="1" ht="15.75" customHeight="1" x14ac:dyDescent="0.35">
      <c r="A100" s="138" t="s">
        <v>72</v>
      </c>
      <c r="B100" s="138"/>
      <c r="C100" s="138"/>
      <c r="D100" s="138"/>
      <c r="E100" s="138"/>
      <c r="F100" s="138"/>
      <c r="G100" s="138"/>
      <c r="H100" s="138"/>
      <c r="R100"/>
      <c r="S100" s="18"/>
      <c r="T100"/>
      <c r="U100"/>
      <c r="V100" s="18"/>
    </row>
    <row r="101" spans="1:22" s="32" customFormat="1" ht="15.75" customHeight="1" x14ac:dyDescent="0.35">
      <c r="A101" s="143" t="s">
        <v>51</v>
      </c>
      <c r="B101" s="143"/>
      <c r="C101" s="140" t="s">
        <v>75</v>
      </c>
      <c r="D101" s="140"/>
      <c r="E101" s="142" t="s">
        <v>52</v>
      </c>
      <c r="F101" s="142"/>
      <c r="G101" s="143" t="s">
        <v>53</v>
      </c>
      <c r="H101" s="143"/>
      <c r="R101"/>
      <c r="S101" s="18"/>
      <c r="T101"/>
      <c r="U101" s="18"/>
      <c r="V101" s="18"/>
    </row>
    <row r="102" spans="1:22" s="32" customFormat="1" x14ac:dyDescent="0.35">
      <c r="A102" s="170" t="s">
        <v>379</v>
      </c>
      <c r="B102" s="170"/>
      <c r="C102" s="134">
        <f>COUNT(F116:F125)</f>
        <v>10</v>
      </c>
      <c r="D102" s="135"/>
      <c r="E102" s="136">
        <f>SUM(F116:F125)</f>
        <v>2935.0467899999999</v>
      </c>
      <c r="F102" s="137"/>
      <c r="G102" s="136">
        <f>SUM(H116:H125)</f>
        <v>4402.5701850000005</v>
      </c>
      <c r="H102" s="137"/>
      <c r="R102"/>
      <c r="S102" s="18"/>
      <c r="T102"/>
      <c r="U102" s="18"/>
      <c r="V102" s="18"/>
    </row>
    <row r="103" spans="1:22" s="32" customFormat="1" x14ac:dyDescent="0.35">
      <c r="A103" s="170" t="s">
        <v>380</v>
      </c>
      <c r="B103" s="170"/>
      <c r="C103" s="134">
        <f>COUNT(F127:F134)*2</f>
        <v>16</v>
      </c>
      <c r="D103" s="135"/>
      <c r="E103" s="136">
        <f>SUM(F127:F134)*2</f>
        <v>5143.9003199999997</v>
      </c>
      <c r="F103" s="137"/>
      <c r="G103" s="136">
        <f>SUM(H127:H134)*2</f>
        <v>7715.8504799999992</v>
      </c>
      <c r="H103" s="137"/>
      <c r="R103"/>
      <c r="S103" s="18"/>
      <c r="T103"/>
      <c r="U103" s="18"/>
      <c r="V103" s="18"/>
    </row>
    <row r="104" spans="1:22" s="32" customFormat="1" x14ac:dyDescent="0.35">
      <c r="A104" s="138" t="s">
        <v>146</v>
      </c>
      <c r="B104" s="138"/>
      <c r="C104" s="139">
        <f t="shared" ref="C104:G104" si="0">SUM(C102:D103)</f>
        <v>26</v>
      </c>
      <c r="D104" s="140"/>
      <c r="E104" s="141">
        <f t="shared" si="0"/>
        <v>8078.9471099999992</v>
      </c>
      <c r="F104" s="142"/>
      <c r="G104" s="143">
        <f t="shared" si="0"/>
        <v>12118.420665</v>
      </c>
      <c r="H104" s="143"/>
      <c r="R104"/>
      <c r="S104" s="18"/>
      <c r="T104"/>
      <c r="U104" s="18"/>
      <c r="V104" s="18"/>
    </row>
    <row r="105" spans="1:22" s="32" customFormat="1" x14ac:dyDescent="0.35">
      <c r="A105" s="138" t="s">
        <v>67</v>
      </c>
      <c r="B105" s="138"/>
      <c r="C105" s="138"/>
      <c r="D105" s="138"/>
      <c r="E105" s="138"/>
      <c r="F105" s="138"/>
      <c r="G105" s="138"/>
      <c r="H105" s="138"/>
      <c r="T105"/>
    </row>
    <row r="106" spans="1:22" s="32" customFormat="1" ht="15.75" customHeight="1" x14ac:dyDescent="0.35">
      <c r="A106" s="143" t="s">
        <v>51</v>
      </c>
      <c r="B106" s="143"/>
      <c r="C106" s="140" t="s">
        <v>75</v>
      </c>
      <c r="D106" s="140"/>
      <c r="E106" s="142" t="s">
        <v>52</v>
      </c>
      <c r="F106" s="142"/>
      <c r="G106" s="143" t="s">
        <v>53</v>
      </c>
      <c r="H106" s="143"/>
      <c r="T106"/>
    </row>
    <row r="107" spans="1:22" s="32" customFormat="1" x14ac:dyDescent="0.35">
      <c r="A107" s="170" t="s">
        <v>66</v>
      </c>
      <c r="B107" s="170"/>
      <c r="C107" s="134">
        <f>COUNT(F139,F144)*2+COUNT(F146:F149)*12+COUNT(F151:F152,F154:F155)*3+COUNT(F158)</f>
        <v>65</v>
      </c>
      <c r="D107" s="134"/>
      <c r="E107" s="136">
        <f>SUM(F139,F144)*2+SUM(F146:F149)*12+SUM(F151:F152,F154:F155)*3+SUM(F158)</f>
        <v>53107.207919999986</v>
      </c>
      <c r="F107" s="136"/>
      <c r="G107" s="136">
        <f>SUM(H139,H144)*2+SUM(H146:H149)*12+SUM(H151:H152,H154:H155)*3+SUM(H158)</f>
        <v>79660.811879999979</v>
      </c>
      <c r="H107" s="136"/>
      <c r="T107"/>
    </row>
    <row r="108" spans="1:22" s="32" customFormat="1" x14ac:dyDescent="0.35">
      <c r="A108" s="170" t="s">
        <v>401</v>
      </c>
      <c r="B108" s="170"/>
      <c r="C108" s="134">
        <f>COUNT(F140:F143)*2</f>
        <v>8</v>
      </c>
      <c r="D108" s="134"/>
      <c r="E108" s="136">
        <f>SUM(F140:F143)*2</f>
        <v>2556.6652800000002</v>
      </c>
      <c r="F108" s="136"/>
      <c r="G108" s="136">
        <f>SUM(H140:H143)*2</f>
        <v>3834.9979200000002</v>
      </c>
      <c r="H108" s="136"/>
      <c r="T108"/>
    </row>
    <row r="109" spans="1:22" s="32" customFormat="1" ht="16" thickBot="1" x14ac:dyDescent="0.4">
      <c r="A109" s="130" t="s">
        <v>146</v>
      </c>
      <c r="B109" s="130"/>
      <c r="C109" s="224">
        <f>SUM(C107:C108)</f>
        <v>73</v>
      </c>
      <c r="D109" s="225"/>
      <c r="E109" s="131">
        <f>SUM(E107:E108)</f>
        <v>55663.873199999987</v>
      </c>
      <c r="F109" s="132"/>
      <c r="G109" s="133">
        <f>SUM(G107:G108)</f>
        <v>83495.809799999974</v>
      </c>
      <c r="H109" s="133"/>
      <c r="T109"/>
    </row>
    <row r="110" spans="1:22" s="32" customFormat="1" ht="16" thickBot="1" x14ac:dyDescent="0.4">
      <c r="A110" s="171" t="s">
        <v>162</v>
      </c>
      <c r="B110" s="172"/>
      <c r="C110" s="222">
        <f>C104+C109</f>
        <v>99</v>
      </c>
      <c r="D110" s="222"/>
      <c r="E110" s="144">
        <f>E104+E109</f>
        <v>63742.820309999988</v>
      </c>
      <c r="F110" s="144"/>
      <c r="G110" s="155">
        <f>G104+G109</f>
        <v>95614.230464999971</v>
      </c>
      <c r="H110" s="156"/>
      <c r="T110"/>
    </row>
    <row r="111" spans="1:22" s="31" customFormat="1" x14ac:dyDescent="0.35">
      <c r="A111" s="169" t="s">
        <v>54</v>
      </c>
      <c r="B111" s="169"/>
      <c r="C111" s="169"/>
      <c r="D111" s="169"/>
      <c r="E111" s="169"/>
      <c r="F111" s="169"/>
      <c r="G111" s="169"/>
      <c r="H111" s="169"/>
      <c r="T111" s="32"/>
    </row>
    <row r="112" spans="1:22" x14ac:dyDescent="0.35">
      <c r="A112" s="228" t="s">
        <v>170</v>
      </c>
      <c r="B112" s="228"/>
      <c r="C112" s="228"/>
      <c r="D112" s="228"/>
      <c r="E112" s="228"/>
      <c r="F112" s="228"/>
      <c r="G112" s="228"/>
      <c r="H112" s="228"/>
      <c r="I112" s="92">
        <v>10.763999999999999</v>
      </c>
      <c r="T112" s="32"/>
    </row>
    <row r="113" spans="1:20" ht="47.25" customHeight="1" x14ac:dyDescent="0.35">
      <c r="A113" s="151" t="s">
        <v>376</v>
      </c>
      <c r="B113" s="151" t="s">
        <v>173</v>
      </c>
      <c r="C113" s="151" t="s">
        <v>55</v>
      </c>
      <c r="D113" s="151" t="s">
        <v>382</v>
      </c>
      <c r="E113" s="166" t="s">
        <v>378</v>
      </c>
      <c r="F113" s="151" t="s">
        <v>56</v>
      </c>
      <c r="G113" s="166" t="s">
        <v>57</v>
      </c>
      <c r="H113" s="89" t="s">
        <v>145</v>
      </c>
      <c r="T113" s="32"/>
    </row>
    <row r="114" spans="1:20" s="34" customFormat="1" x14ac:dyDescent="0.35">
      <c r="A114" s="152"/>
      <c r="B114" s="152"/>
      <c r="C114" s="152"/>
      <c r="D114" s="152"/>
      <c r="E114" s="167"/>
      <c r="F114" s="152"/>
      <c r="G114" s="167"/>
      <c r="H114" s="90">
        <v>0.5</v>
      </c>
      <c r="T114" s="32"/>
    </row>
    <row r="115" spans="1:20" s="34" customFormat="1" x14ac:dyDescent="0.35">
      <c r="A115" s="243" t="s">
        <v>377</v>
      </c>
      <c r="B115" s="243"/>
      <c r="C115" s="243"/>
      <c r="D115" s="243"/>
      <c r="E115" s="243"/>
      <c r="F115" s="243"/>
      <c r="G115" s="243"/>
      <c r="H115" s="243"/>
      <c r="J115" s="33"/>
      <c r="T115" s="32"/>
    </row>
    <row r="116" spans="1:20" s="34" customFormat="1" ht="15.75" customHeight="1" x14ac:dyDescent="0.35">
      <c r="A116" s="244">
        <v>1</v>
      </c>
      <c r="B116" s="244"/>
      <c r="C116" s="84" t="s">
        <v>379</v>
      </c>
      <c r="D116" s="92">
        <f>(11.87)*10.764</f>
        <v>127.76867999999999</v>
      </c>
      <c r="E116" s="92">
        <f>(3.35*0.45+2.1*0.75)*10.764</f>
        <v>33.180030000000002</v>
      </c>
      <c r="F116" s="84">
        <f t="shared" ref="F116:F125" si="1">D116+(IF(E116&lt;201,E116,IF(E116&lt;301,E116/2,E116/3)))</f>
        <v>160.94871000000001</v>
      </c>
      <c r="G116" s="56">
        <v>0</v>
      </c>
      <c r="H116" s="84">
        <f t="shared" ref="H116:H125" si="2">(F116+(IF(G116&lt;101,G116,IF(G116&lt;201,G116/2,IF(G116&lt;=301,G116/3,G116/4)))))*(($H$114)+1)</f>
        <v>241.42306500000001</v>
      </c>
      <c r="I116" s="33">
        <f>3.35*2.95+2.1*0.75</f>
        <v>11.4575</v>
      </c>
      <c r="J116" s="34">
        <f>6400000/H116</f>
        <v>26509.48035971625</v>
      </c>
      <c r="L116" s="148"/>
      <c r="M116" s="148"/>
      <c r="N116" s="33"/>
      <c r="T116" s="32"/>
    </row>
    <row r="117" spans="1:20" s="34" customFormat="1" ht="15.75" customHeight="1" x14ac:dyDescent="0.35">
      <c r="A117" s="244">
        <f>A116+1</f>
        <v>2</v>
      </c>
      <c r="B117" s="244"/>
      <c r="C117" s="84" t="s">
        <v>379</v>
      </c>
      <c r="D117" s="92">
        <f>(13.25)*10.764</f>
        <v>142.62299999999999</v>
      </c>
      <c r="E117" s="92">
        <f>(3.05*1.35+1.9*0.2)*10.764</f>
        <v>48.411089999999994</v>
      </c>
      <c r="F117" s="84">
        <f t="shared" si="1"/>
        <v>191.03408999999999</v>
      </c>
      <c r="G117" s="84">
        <v>0</v>
      </c>
      <c r="H117" s="84">
        <f t="shared" si="2"/>
        <v>286.55113499999999</v>
      </c>
      <c r="I117" s="33"/>
      <c r="L117" s="148"/>
      <c r="M117" s="148"/>
      <c r="N117" s="33"/>
      <c r="T117" s="31"/>
    </row>
    <row r="118" spans="1:20" s="34" customFormat="1" ht="15.75" customHeight="1" x14ac:dyDescent="0.35">
      <c r="A118" s="244">
        <f>A117+1</f>
        <v>3</v>
      </c>
      <c r="B118" s="244"/>
      <c r="C118" s="84" t="s">
        <v>379</v>
      </c>
      <c r="D118" s="92">
        <f>(14.25)*10.764</f>
        <v>153.387</v>
      </c>
      <c r="E118" s="92">
        <f>(3.05*1.5)*10.764</f>
        <v>49.245299999999986</v>
      </c>
      <c r="F118" s="84">
        <f t="shared" si="1"/>
        <v>202.63229999999999</v>
      </c>
      <c r="G118" s="84">
        <v>0</v>
      </c>
      <c r="H118" s="84">
        <f t="shared" si="2"/>
        <v>303.94844999999998</v>
      </c>
      <c r="I118" s="33">
        <f>3.05*4.55</f>
        <v>13.8775</v>
      </c>
      <c r="L118" s="148"/>
      <c r="M118" s="148"/>
      <c r="N118" s="33"/>
      <c r="T118" s="18"/>
    </row>
    <row r="119" spans="1:20" s="34" customFormat="1" ht="15.75" customHeight="1" x14ac:dyDescent="0.35">
      <c r="A119" s="244">
        <f>A118+1</f>
        <v>4</v>
      </c>
      <c r="B119" s="244"/>
      <c r="C119" s="84" t="s">
        <v>379</v>
      </c>
      <c r="D119" s="92">
        <f>(20.19)*10.764</f>
        <v>217.32516000000001</v>
      </c>
      <c r="E119" s="92">
        <f>(3.9*1.65)*10.764</f>
        <v>69.266339999999985</v>
      </c>
      <c r="F119" s="84">
        <f t="shared" si="1"/>
        <v>286.5915</v>
      </c>
      <c r="G119" s="84">
        <v>0</v>
      </c>
      <c r="H119" s="84">
        <f t="shared" si="2"/>
        <v>429.88724999999999</v>
      </c>
      <c r="I119" s="33"/>
      <c r="L119" s="148"/>
      <c r="M119" s="148"/>
      <c r="N119" s="33"/>
      <c r="T119" s="18"/>
    </row>
    <row r="120" spans="1:20" s="34" customFormat="1" x14ac:dyDescent="0.35">
      <c r="A120" s="244">
        <v>5</v>
      </c>
      <c r="B120" s="244"/>
      <c r="C120" s="84" t="s">
        <v>379</v>
      </c>
      <c r="D120" s="92">
        <f>(25.16)*10.764</f>
        <v>270.82223999999997</v>
      </c>
      <c r="E120" s="92">
        <f>(4.25*1.8+1.65*0.65)*10.764</f>
        <v>93.888989999999993</v>
      </c>
      <c r="F120" s="84">
        <f t="shared" si="1"/>
        <v>364.71122999999994</v>
      </c>
      <c r="G120" s="56">
        <v>0</v>
      </c>
      <c r="H120" s="84">
        <f t="shared" si="2"/>
        <v>547.06684499999994</v>
      </c>
      <c r="I120" s="33">
        <f>4.25*4.9+2.45*0.6+1.65*1.2</f>
        <v>24.275000000000002</v>
      </c>
      <c r="N120" s="33"/>
    </row>
    <row r="121" spans="1:20" x14ac:dyDescent="0.35">
      <c r="A121" s="244">
        <f>A120+1</f>
        <v>6</v>
      </c>
      <c r="B121" s="244"/>
      <c r="C121" s="84" t="s">
        <v>379</v>
      </c>
      <c r="D121" s="92">
        <f>(17.51)*10.764</f>
        <v>188.47764000000001</v>
      </c>
      <c r="E121" s="92">
        <f>(2.75*2.05)*10.764</f>
        <v>60.68204999999999</v>
      </c>
      <c r="F121" s="84">
        <f t="shared" si="1"/>
        <v>249.15969000000001</v>
      </c>
      <c r="G121" s="84">
        <v>0</v>
      </c>
      <c r="H121" s="84">
        <f t="shared" si="2"/>
        <v>373.73953500000005</v>
      </c>
      <c r="I121" s="33"/>
      <c r="T121" s="34"/>
    </row>
    <row r="122" spans="1:20" s="34" customFormat="1" x14ac:dyDescent="0.35">
      <c r="A122" s="244">
        <f>A121+1</f>
        <v>7</v>
      </c>
      <c r="B122" s="244"/>
      <c r="C122" s="84" t="s">
        <v>379</v>
      </c>
      <c r="D122" s="92">
        <f>(22.15)*10.764</f>
        <v>238.42259999999996</v>
      </c>
      <c r="E122" s="92">
        <f>(3.15*1.95)*10.764</f>
        <v>66.117869999999996</v>
      </c>
      <c r="F122" s="84">
        <f t="shared" si="1"/>
        <v>304.54046999999997</v>
      </c>
      <c r="G122" s="84">
        <v>0</v>
      </c>
      <c r="H122" s="84">
        <f t="shared" si="2"/>
        <v>456.81070499999998</v>
      </c>
      <c r="I122" s="33">
        <f>4.35*3.55+3.15*1.95</f>
        <v>21.584999999999997</v>
      </c>
    </row>
    <row r="123" spans="1:20" s="34" customFormat="1" x14ac:dyDescent="0.35">
      <c r="A123" s="244">
        <f>A122+1</f>
        <v>8</v>
      </c>
      <c r="B123" s="244"/>
      <c r="C123" s="84" t="s">
        <v>379</v>
      </c>
      <c r="D123" s="92">
        <f>(23.07)*10.764</f>
        <v>248.32548</v>
      </c>
      <c r="E123" s="92">
        <f>(4.1*1.8)*10.764</f>
        <v>79.43831999999999</v>
      </c>
      <c r="F123" s="84">
        <f t="shared" si="1"/>
        <v>327.7638</v>
      </c>
      <c r="G123" s="84">
        <v>0</v>
      </c>
      <c r="H123" s="84">
        <f t="shared" si="2"/>
        <v>491.64570000000003</v>
      </c>
      <c r="J123" s="33"/>
    </row>
    <row r="124" spans="1:20" s="34" customFormat="1" ht="15.75" customHeight="1" x14ac:dyDescent="0.35">
      <c r="A124" s="244">
        <v>9</v>
      </c>
      <c r="B124" s="244"/>
      <c r="C124" s="84" t="s">
        <v>379</v>
      </c>
      <c r="D124" s="92">
        <f>(29.12)*10.764</f>
        <v>313.44767999999999</v>
      </c>
      <c r="E124" s="92">
        <f>(3.25*1.6+4.25*0.7)*10.764</f>
        <v>87.995699999999999</v>
      </c>
      <c r="F124" s="84">
        <f t="shared" si="1"/>
        <v>401.44337999999999</v>
      </c>
      <c r="G124" s="84">
        <v>0</v>
      </c>
      <c r="H124" s="84">
        <f t="shared" si="2"/>
        <v>602.16507000000001</v>
      </c>
      <c r="I124" s="33"/>
      <c r="L124" s="148"/>
      <c r="M124" s="148"/>
      <c r="N124" s="33"/>
    </row>
    <row r="125" spans="1:20" s="34" customFormat="1" ht="15.75" customHeight="1" x14ac:dyDescent="0.35">
      <c r="A125" s="98">
        <v>10</v>
      </c>
      <c r="B125" s="99"/>
      <c r="C125" s="84" t="s">
        <v>379</v>
      </c>
      <c r="D125" s="92">
        <f>(31.45)*10.764</f>
        <v>338.52779999999996</v>
      </c>
      <c r="E125" s="92">
        <f>(4.35*2.3)*10.764</f>
        <v>107.69381999999999</v>
      </c>
      <c r="F125" s="84">
        <f t="shared" si="1"/>
        <v>446.22161999999992</v>
      </c>
      <c r="G125" s="56">
        <v>0</v>
      </c>
      <c r="H125" s="84">
        <f t="shared" si="2"/>
        <v>669.33242999999993</v>
      </c>
      <c r="I125" s="33"/>
      <c r="L125" s="148"/>
      <c r="M125" s="148"/>
      <c r="N125" s="33"/>
    </row>
    <row r="126" spans="1:20" s="34" customFormat="1" ht="15.75" customHeight="1" x14ac:dyDescent="0.35">
      <c r="A126" s="100" t="s">
        <v>381</v>
      </c>
      <c r="B126" s="101"/>
      <c r="C126" s="101"/>
      <c r="D126" s="101"/>
      <c r="E126" s="101"/>
      <c r="F126" s="101"/>
      <c r="G126" s="101"/>
      <c r="H126" s="102"/>
      <c r="I126" s="33"/>
      <c r="L126" s="148"/>
      <c r="M126" s="148"/>
      <c r="N126" s="33"/>
    </row>
    <row r="127" spans="1:20" s="34" customFormat="1" ht="15.75" customHeight="1" x14ac:dyDescent="0.35">
      <c r="A127" s="98">
        <v>1</v>
      </c>
      <c r="B127" s="99"/>
      <c r="C127" s="84" t="s">
        <v>380</v>
      </c>
      <c r="D127" s="92">
        <f>(24.13)*10.764</f>
        <v>259.73532</v>
      </c>
      <c r="E127" s="84">
        <v>0</v>
      </c>
      <c r="F127" s="84">
        <f t="shared" ref="F127:F134" si="3">D127+(IF(E127&lt;201,E127,IF(E127&lt;301,E127/2,E127/3)))</f>
        <v>259.73532</v>
      </c>
      <c r="G127" s="56">
        <v>0</v>
      </c>
      <c r="H127" s="84">
        <f t="shared" ref="H127:H134" si="4">(F127+(IF(G127&lt;101,G127,IF(G127&lt;201,G127/2,IF(G127&lt;=301,G127/3,G127/4)))))*(($H$114)+1)</f>
        <v>389.60298</v>
      </c>
      <c r="I127" s="33">
        <f>4.2*5.25+1.2*1.45</f>
        <v>23.79</v>
      </c>
      <c r="L127" s="148"/>
      <c r="M127" s="148"/>
      <c r="N127" s="33"/>
      <c r="T127" s="18"/>
    </row>
    <row r="128" spans="1:20" s="34" customFormat="1" x14ac:dyDescent="0.35">
      <c r="A128" s="98">
        <f>A127+1</f>
        <v>2</v>
      </c>
      <c r="B128" s="99"/>
      <c r="C128" s="84" t="s">
        <v>380</v>
      </c>
      <c r="D128" s="92">
        <f>(27.42+(9.25))*10.764</f>
        <v>394.71587999999997</v>
      </c>
      <c r="E128" s="84">
        <v>0</v>
      </c>
      <c r="F128" s="84">
        <f t="shared" si="3"/>
        <v>394.71587999999997</v>
      </c>
      <c r="G128" s="84">
        <v>0</v>
      </c>
      <c r="H128" s="84">
        <f t="shared" si="4"/>
        <v>592.07381999999996</v>
      </c>
      <c r="I128" s="33"/>
      <c r="J128" s="34">
        <f>6.85*1.35</f>
        <v>9.2475000000000005</v>
      </c>
      <c r="L128" s="148"/>
      <c r="M128" s="148"/>
    </row>
    <row r="129" spans="1:14" s="34" customFormat="1" x14ac:dyDescent="0.35">
      <c r="A129" s="98">
        <f>A128+1</f>
        <v>3</v>
      </c>
      <c r="B129" s="99"/>
      <c r="C129" s="84" t="s">
        <v>380</v>
      </c>
      <c r="D129" s="92">
        <f>(11.26+(2.55))*10.764</f>
        <v>148.65083999999999</v>
      </c>
      <c r="E129" s="84">
        <v>0</v>
      </c>
      <c r="F129" s="84">
        <f t="shared" si="3"/>
        <v>148.65083999999999</v>
      </c>
      <c r="G129" s="84">
        <v>0</v>
      </c>
      <c r="H129" s="84">
        <f t="shared" si="4"/>
        <v>222.97625999999997</v>
      </c>
      <c r="I129" s="33"/>
      <c r="N129" s="33"/>
    </row>
    <row r="130" spans="1:14" s="34" customFormat="1" x14ac:dyDescent="0.35">
      <c r="A130" s="98">
        <f>A129+1</f>
        <v>4</v>
      </c>
      <c r="B130" s="99"/>
      <c r="C130" s="84" t="s">
        <v>380</v>
      </c>
      <c r="D130" s="92">
        <f>(20.67+(3.61))*10.764</f>
        <v>261.34992</v>
      </c>
      <c r="E130" s="84">
        <v>0</v>
      </c>
      <c r="F130" s="84">
        <f t="shared" si="3"/>
        <v>261.34992</v>
      </c>
      <c r="G130" s="84">
        <v>0</v>
      </c>
      <c r="H130" s="84">
        <f t="shared" si="4"/>
        <v>392.02488</v>
      </c>
      <c r="I130" s="33"/>
      <c r="N130" s="33"/>
    </row>
    <row r="131" spans="1:14" s="34" customFormat="1" x14ac:dyDescent="0.35">
      <c r="A131" s="98">
        <v>5</v>
      </c>
      <c r="B131" s="99"/>
      <c r="C131" s="84" t="s">
        <v>380</v>
      </c>
      <c r="D131" s="92">
        <f>(15.13+(2.34))*10.764</f>
        <v>188.04707999999997</v>
      </c>
      <c r="E131" s="84">
        <v>0</v>
      </c>
      <c r="F131" s="84">
        <f t="shared" si="3"/>
        <v>188.04707999999997</v>
      </c>
      <c r="G131" s="56">
        <v>0</v>
      </c>
      <c r="H131" s="84">
        <f t="shared" si="4"/>
        <v>282.07061999999996</v>
      </c>
      <c r="I131" s="33"/>
      <c r="N131" s="33"/>
    </row>
    <row r="132" spans="1:14" s="34" customFormat="1" x14ac:dyDescent="0.35">
      <c r="A132" s="98">
        <f>A131+1</f>
        <v>6</v>
      </c>
      <c r="B132" s="99"/>
      <c r="C132" s="84" t="s">
        <v>380</v>
      </c>
      <c r="D132" s="92">
        <f>(16.05+(2.55))*10.764</f>
        <v>200.21039999999999</v>
      </c>
      <c r="E132" s="84">
        <v>0</v>
      </c>
      <c r="F132" s="84">
        <f t="shared" si="3"/>
        <v>200.21039999999999</v>
      </c>
      <c r="G132" s="84">
        <v>0</v>
      </c>
      <c r="H132" s="84">
        <f t="shared" si="4"/>
        <v>300.31560000000002</v>
      </c>
      <c r="I132" s="33"/>
      <c r="N132" s="33"/>
    </row>
    <row r="133" spans="1:14" s="34" customFormat="1" x14ac:dyDescent="0.35">
      <c r="A133" s="98">
        <f>A132+1</f>
        <v>7</v>
      </c>
      <c r="B133" s="99"/>
      <c r="C133" s="84" t="s">
        <v>380</v>
      </c>
      <c r="D133" s="92">
        <f>(24.92+(4.93))*10.764</f>
        <v>321.30540000000002</v>
      </c>
      <c r="E133" s="84">
        <v>0</v>
      </c>
      <c r="F133" s="84">
        <f t="shared" si="3"/>
        <v>321.30540000000002</v>
      </c>
      <c r="G133" s="84">
        <v>0</v>
      </c>
      <c r="H133" s="84">
        <f t="shared" si="4"/>
        <v>481.95810000000006</v>
      </c>
      <c r="I133" s="33"/>
      <c r="N133" s="33"/>
    </row>
    <row r="134" spans="1:14" s="34" customFormat="1" ht="15.75" customHeight="1" x14ac:dyDescent="0.35">
      <c r="A134" s="98">
        <f>A133+1</f>
        <v>8</v>
      </c>
      <c r="B134" s="99"/>
      <c r="C134" s="84" t="s">
        <v>380</v>
      </c>
      <c r="D134" s="92">
        <f>(62.4+(11.73))*10.764</f>
        <v>797.93531999999993</v>
      </c>
      <c r="E134" s="84">
        <v>0</v>
      </c>
      <c r="F134" s="84">
        <f t="shared" si="3"/>
        <v>797.93531999999993</v>
      </c>
      <c r="G134" s="84">
        <v>0</v>
      </c>
      <c r="H134" s="84">
        <f t="shared" si="4"/>
        <v>1196.9029799999998</v>
      </c>
      <c r="I134" s="33"/>
    </row>
    <row r="135" spans="1:14" s="34" customFormat="1" x14ac:dyDescent="0.35">
      <c r="A135" s="98"/>
      <c r="B135" s="103"/>
      <c r="C135" s="103"/>
      <c r="D135" s="103"/>
      <c r="E135" s="103"/>
      <c r="F135" s="103"/>
      <c r="G135" s="103"/>
      <c r="H135" s="99"/>
      <c r="I135" s="33"/>
    </row>
    <row r="136" spans="1:14" s="34" customFormat="1" ht="44.25" customHeight="1" x14ac:dyDescent="0.35">
      <c r="A136" s="104" t="s">
        <v>383</v>
      </c>
      <c r="B136" s="151" t="s">
        <v>174</v>
      </c>
      <c r="C136" s="151" t="s">
        <v>55</v>
      </c>
      <c r="D136" s="151" t="s">
        <v>229</v>
      </c>
      <c r="E136" s="151" t="s">
        <v>387</v>
      </c>
      <c r="F136" s="106" t="s">
        <v>56</v>
      </c>
      <c r="G136" s="153" t="s">
        <v>57</v>
      </c>
      <c r="H136" s="61" t="s">
        <v>145</v>
      </c>
      <c r="I136" s="33"/>
    </row>
    <row r="137" spans="1:14" s="34" customFormat="1" ht="15.75" customHeight="1" x14ac:dyDescent="0.35">
      <c r="A137" s="105"/>
      <c r="B137" s="152"/>
      <c r="C137" s="152"/>
      <c r="D137" s="152"/>
      <c r="E137" s="152"/>
      <c r="F137" s="107"/>
      <c r="G137" s="154"/>
      <c r="H137" s="93">
        <v>0.5</v>
      </c>
      <c r="I137" s="33"/>
    </row>
    <row r="138" spans="1:14" s="34" customFormat="1" ht="15.75" customHeight="1" x14ac:dyDescent="0.35">
      <c r="A138" s="100" t="s">
        <v>384</v>
      </c>
      <c r="B138" s="101"/>
      <c r="C138" s="101"/>
      <c r="D138" s="101"/>
      <c r="E138" s="101"/>
      <c r="F138" s="101"/>
      <c r="G138" s="101"/>
      <c r="H138" s="102"/>
      <c r="I138" s="33"/>
    </row>
    <row r="139" spans="1:14" s="34" customFormat="1" ht="15.75" customHeight="1" x14ac:dyDescent="0.35">
      <c r="A139" s="98">
        <v>1</v>
      </c>
      <c r="B139" s="99"/>
      <c r="C139" s="39" t="s">
        <v>385</v>
      </c>
      <c r="D139" s="92">
        <f>(79.74)*10.764</f>
        <v>858.32135999999991</v>
      </c>
      <c r="E139" s="92">
        <f>(17.18)*10.764</f>
        <v>184.92551999999998</v>
      </c>
      <c r="F139" s="39">
        <f t="shared" ref="F139:F144" si="5">D139+E139</f>
        <v>1043.2468799999999</v>
      </c>
      <c r="G139" s="49">
        <v>0</v>
      </c>
      <c r="H139" s="49">
        <f t="shared" ref="H139:H144" si="6">F139*(($H$137)+1)+(IF(G139&lt;101,G139,IF(G139&lt;201,G139/2,IF(G139&lt;=301,G139/3,G139/4))))</f>
        <v>1564.87032</v>
      </c>
      <c r="I139" s="33">
        <f>4.2*5.3+3*2.4+3.4*2.75+3.4*3.35+1.3*1.2+3*3.55+2.45*1.2+1.2*2.3+1.2*2.35+1.2*1.2</f>
        <v>72.37</v>
      </c>
      <c r="J139" s="34">
        <f>3*1.9+3.35*1.25+2.75*1.25+2.45*1.25</f>
        <v>16.387499999999999</v>
      </c>
    </row>
    <row r="140" spans="1:14" s="34" customFormat="1" ht="15.75" customHeight="1" x14ac:dyDescent="0.35">
      <c r="A140" s="84">
        <f>A139+1</f>
        <v>2</v>
      </c>
      <c r="B140" s="84" t="s">
        <v>400</v>
      </c>
      <c r="C140" s="91" t="s">
        <v>386</v>
      </c>
      <c r="D140" s="92">
        <f>(24.93)*10.764</f>
        <v>268.34652</v>
      </c>
      <c r="E140" s="92">
        <f>(4.93)*10.764</f>
        <v>53.066519999999997</v>
      </c>
      <c r="F140" s="49">
        <f t="shared" si="5"/>
        <v>321.41304000000002</v>
      </c>
      <c r="G140" s="49">
        <v>0</v>
      </c>
      <c r="H140" s="49">
        <f t="shared" si="6"/>
        <v>482.11956000000004</v>
      </c>
      <c r="I140" s="33"/>
    </row>
    <row r="141" spans="1:14" s="34" customFormat="1" x14ac:dyDescent="0.35">
      <c r="A141" s="84">
        <f t="shared" ref="A141:A143" si="7">A140+1</f>
        <v>3</v>
      </c>
      <c r="B141" s="84" t="s">
        <v>400</v>
      </c>
      <c r="C141" s="91" t="s">
        <v>386</v>
      </c>
      <c r="D141" s="92">
        <f>(24.93)*10.764</f>
        <v>268.34652</v>
      </c>
      <c r="E141" s="92">
        <f>(4.59)*10.764</f>
        <v>49.406759999999998</v>
      </c>
      <c r="F141" s="49">
        <f t="shared" si="5"/>
        <v>317.75328000000002</v>
      </c>
      <c r="G141" s="49">
        <v>0</v>
      </c>
      <c r="H141" s="49">
        <f t="shared" si="6"/>
        <v>476.62992000000003</v>
      </c>
      <c r="I141" s="33"/>
    </row>
    <row r="142" spans="1:14" s="34" customFormat="1" ht="15.75" customHeight="1" x14ac:dyDescent="0.35">
      <c r="A142" s="84">
        <f t="shared" si="7"/>
        <v>4</v>
      </c>
      <c r="B142" s="84" t="s">
        <v>400</v>
      </c>
      <c r="C142" s="91" t="s">
        <v>386</v>
      </c>
      <c r="D142" s="92">
        <f>(24.93)*10.764</f>
        <v>268.34652</v>
      </c>
      <c r="E142" s="92">
        <f>(4.59)*10.764</f>
        <v>49.406759999999998</v>
      </c>
      <c r="F142" s="49">
        <f t="shared" si="5"/>
        <v>317.75328000000002</v>
      </c>
      <c r="G142" s="49">
        <v>0</v>
      </c>
      <c r="H142" s="49">
        <f t="shared" si="6"/>
        <v>476.62992000000003</v>
      </c>
      <c r="I142" s="33"/>
    </row>
    <row r="143" spans="1:14" s="34" customFormat="1" ht="15.75" customHeight="1" x14ac:dyDescent="0.35">
      <c r="A143" s="84">
        <f t="shared" si="7"/>
        <v>5</v>
      </c>
      <c r="B143" s="84" t="s">
        <v>400</v>
      </c>
      <c r="C143" s="91" t="s">
        <v>386</v>
      </c>
      <c r="D143" s="92">
        <f>(24.93)*10.764</f>
        <v>268.34652</v>
      </c>
      <c r="E143" s="92">
        <f>(4.93)*10.764</f>
        <v>53.066519999999997</v>
      </c>
      <c r="F143" s="84">
        <f t="shared" si="5"/>
        <v>321.41304000000002</v>
      </c>
      <c r="G143" s="84">
        <v>0</v>
      </c>
      <c r="H143" s="84">
        <f t="shared" si="6"/>
        <v>482.11956000000004</v>
      </c>
      <c r="I143" s="33"/>
    </row>
    <row r="144" spans="1:14" s="34" customFormat="1" ht="15.75" customHeight="1" x14ac:dyDescent="0.35">
      <c r="A144" s="98">
        <f>A143+1</f>
        <v>6</v>
      </c>
      <c r="B144" s="99"/>
      <c r="C144" s="91" t="s">
        <v>385</v>
      </c>
      <c r="D144" s="92">
        <f>(69.71)*10.764</f>
        <v>750.35843999999986</v>
      </c>
      <c r="E144" s="92">
        <f>(16.73)*10.764</f>
        <v>180.08171999999999</v>
      </c>
      <c r="F144" s="84">
        <f t="shared" si="5"/>
        <v>930.44015999999988</v>
      </c>
      <c r="G144" s="84">
        <v>0</v>
      </c>
      <c r="H144" s="84">
        <f t="shared" si="6"/>
        <v>1395.6602399999997</v>
      </c>
      <c r="I144" s="33"/>
    </row>
    <row r="145" spans="1:20" s="34" customFormat="1" ht="15.75" customHeight="1" x14ac:dyDescent="0.35">
      <c r="A145" s="100" t="s">
        <v>388</v>
      </c>
      <c r="B145" s="101"/>
      <c r="C145" s="101"/>
      <c r="D145" s="101"/>
      <c r="E145" s="101"/>
      <c r="F145" s="101"/>
      <c r="G145" s="101"/>
      <c r="H145" s="102"/>
      <c r="I145" s="33"/>
    </row>
    <row r="146" spans="1:20" s="34" customFormat="1" ht="15.75" customHeight="1" x14ac:dyDescent="0.35">
      <c r="A146" s="98">
        <v>1</v>
      </c>
      <c r="B146" s="99"/>
      <c r="C146" s="84" t="s">
        <v>385</v>
      </c>
      <c r="D146" s="92">
        <f>(79.74)*10.764</f>
        <v>858.32135999999991</v>
      </c>
      <c r="E146" s="92">
        <f>(17.22)*10.764</f>
        <v>185.35607999999996</v>
      </c>
      <c r="F146" s="84">
        <f>D146+E146</f>
        <v>1043.6774399999999</v>
      </c>
      <c r="G146" s="84">
        <v>0</v>
      </c>
      <c r="H146" s="84">
        <f>F146*(($H$137)+1)+(IF(G146&lt;101,G146,IF(G146&lt;201,G146/2,IF(G146&lt;=301,G146/3,G146/4))))</f>
        <v>1565.5161599999999</v>
      </c>
      <c r="I146" s="33">
        <f>13900000/H146</f>
        <v>8878.8607586139515</v>
      </c>
    </row>
    <row r="147" spans="1:20" s="32" customFormat="1" x14ac:dyDescent="0.35">
      <c r="A147" s="98">
        <f>A146+1</f>
        <v>2</v>
      </c>
      <c r="B147" s="99"/>
      <c r="C147" s="91" t="s">
        <v>389</v>
      </c>
      <c r="D147" s="92">
        <f>(50.23)*10.764</f>
        <v>540.67571999999996</v>
      </c>
      <c r="E147" s="92">
        <f>(9.52)*10.764</f>
        <v>102.47327999999999</v>
      </c>
      <c r="F147" s="84">
        <f>D147+E147</f>
        <v>643.14899999999989</v>
      </c>
      <c r="G147" s="84">
        <v>0</v>
      </c>
      <c r="H147" s="84">
        <f>F147*(($H$137)+1)+(IF(G147&lt;101,G147,IF(G147&lt;201,G147/2,IF(G147&lt;=301,G147/3,G147/4))))</f>
        <v>964.72349999999983</v>
      </c>
      <c r="J147" s="32">
        <f>7220000/H147</f>
        <v>7484.0096670185821</v>
      </c>
      <c r="K147" s="32">
        <f>7200000/H147</f>
        <v>7463.2783383010792</v>
      </c>
      <c r="T147" s="34"/>
    </row>
    <row r="148" spans="1:20" s="32" customFormat="1" x14ac:dyDescent="0.35">
      <c r="A148" s="98">
        <f>A147+1</f>
        <v>3</v>
      </c>
      <c r="B148" s="99"/>
      <c r="C148" s="91" t="s">
        <v>389</v>
      </c>
      <c r="D148" s="92">
        <f>(50.45)*10.764</f>
        <v>543.04380000000003</v>
      </c>
      <c r="E148" s="92">
        <f>(9.52)*10.764</f>
        <v>102.47327999999999</v>
      </c>
      <c r="F148" s="84">
        <f>D148+E148</f>
        <v>645.51708000000008</v>
      </c>
      <c r="G148" s="84">
        <v>0</v>
      </c>
      <c r="H148" s="84">
        <f>F148*(($H$137)+1)+(IF(G148&lt;101,G148,IF(G148&lt;201,G148/2,IF(G148&lt;=301,G148/3,G148/4))))</f>
        <v>968.27562000000012</v>
      </c>
      <c r="I148" s="32">
        <f>9000000/H148</f>
        <v>9294.8741185903236</v>
      </c>
      <c r="J148" s="32">
        <f>7220000/H148</f>
        <v>7456.5545706913481</v>
      </c>
      <c r="T148" s="34"/>
    </row>
    <row r="149" spans="1:20" s="32" customFormat="1" x14ac:dyDescent="0.35">
      <c r="A149" s="98">
        <f>A148+1</f>
        <v>4</v>
      </c>
      <c r="B149" s="99"/>
      <c r="C149" s="84" t="s">
        <v>385</v>
      </c>
      <c r="D149" s="92">
        <f>(69.71)*10.764</f>
        <v>750.35843999999986</v>
      </c>
      <c r="E149" s="92">
        <f>(16.73)*10.764</f>
        <v>180.08171999999999</v>
      </c>
      <c r="F149" s="84">
        <f>D149+E149</f>
        <v>930.44015999999988</v>
      </c>
      <c r="G149" s="84">
        <v>0</v>
      </c>
      <c r="H149" s="84">
        <f>F149*(($H$137)+1)+(IF(G149&lt;101,G149,IF(G149&lt;201,G149/2,IF(G149&lt;=301,G149/3,G149/4))))</f>
        <v>1395.6602399999997</v>
      </c>
      <c r="T149" s="34"/>
    </row>
    <row r="150" spans="1:20" s="32" customFormat="1" x14ac:dyDescent="0.35">
      <c r="A150" s="100" t="s">
        <v>390</v>
      </c>
      <c r="B150" s="101"/>
      <c r="C150" s="101"/>
      <c r="D150" s="101"/>
      <c r="E150" s="101"/>
      <c r="F150" s="101"/>
      <c r="G150" s="101"/>
      <c r="H150" s="102"/>
      <c r="T150" s="34"/>
    </row>
    <row r="151" spans="1:20" s="32" customFormat="1" ht="15.75" customHeight="1" x14ac:dyDescent="0.35">
      <c r="A151" s="98">
        <v>1</v>
      </c>
      <c r="B151" s="99"/>
      <c r="C151" s="84" t="s">
        <v>385</v>
      </c>
      <c r="D151" s="92">
        <f>(79.74)*10.764</f>
        <v>858.32135999999991</v>
      </c>
      <c r="E151" s="92">
        <f>(17.22)*10.764</f>
        <v>185.35607999999996</v>
      </c>
      <c r="F151" s="84">
        <f>D151+E151</f>
        <v>1043.6774399999999</v>
      </c>
      <c r="G151" s="84">
        <v>0</v>
      </c>
      <c r="H151" s="84">
        <f>F151*(($H$137)+1)+(IF(G151&lt;101,G151,IF(G151&lt;201,G151/2,IF(G151&lt;=301,G151/3,G151/4))))</f>
        <v>1565.5161599999999</v>
      </c>
      <c r="T151" s="34"/>
    </row>
    <row r="152" spans="1:20" s="32" customFormat="1" x14ac:dyDescent="0.35">
      <c r="A152" s="98">
        <f>A151+1</f>
        <v>2</v>
      </c>
      <c r="B152" s="99"/>
      <c r="C152" s="91" t="s">
        <v>393</v>
      </c>
      <c r="D152" s="92">
        <f>(41.35)*10.764</f>
        <v>445.09139999999996</v>
      </c>
      <c r="E152" s="92">
        <f>(7.48)*10.764</f>
        <v>80.514719999999997</v>
      </c>
      <c r="F152" s="84">
        <f>D152+E152</f>
        <v>525.60611999999992</v>
      </c>
      <c r="G152" s="84">
        <v>0</v>
      </c>
      <c r="H152" s="84">
        <f>F152*(($H$137)+1)+(IF(G152&lt;101,G152,IF(G152&lt;201,G152/2,IF(G152&lt;=301,G152/3,G152/4))))</f>
        <v>788.40917999999988</v>
      </c>
      <c r="I152" s="32">
        <f>7300000/H152</f>
        <v>9259.1514472218623</v>
      </c>
      <c r="J152" s="32">
        <f>5800000/H152</f>
        <v>7356.5860813543559</v>
      </c>
      <c r="T152" s="34"/>
    </row>
    <row r="153" spans="1:20" s="32" customFormat="1" x14ac:dyDescent="0.35">
      <c r="A153" s="98" t="s">
        <v>391</v>
      </c>
      <c r="B153" s="99"/>
      <c r="C153" s="115" t="s">
        <v>392</v>
      </c>
      <c r="D153" s="116"/>
      <c r="E153" s="116"/>
      <c r="F153" s="116"/>
      <c r="G153" s="117"/>
      <c r="H153" s="84" t="s">
        <v>391</v>
      </c>
      <c r="T153" s="83"/>
    </row>
    <row r="154" spans="1:20" s="32" customFormat="1" x14ac:dyDescent="0.35">
      <c r="A154" s="98">
        <f>A152+1</f>
        <v>3</v>
      </c>
      <c r="B154" s="99"/>
      <c r="C154" s="91" t="s">
        <v>393</v>
      </c>
      <c r="D154" s="92">
        <f>(41.35)*10.764</f>
        <v>445.09139999999996</v>
      </c>
      <c r="E154" s="92">
        <f>(7.48)*10.764</f>
        <v>80.514719999999997</v>
      </c>
      <c r="F154" s="84">
        <f>D154+E154</f>
        <v>525.60611999999992</v>
      </c>
      <c r="G154" s="84">
        <v>0</v>
      </c>
      <c r="H154" s="84">
        <f>F154*(($H$137)+1)+(IF(G154&lt;101,G154,IF(G154&lt;201,G154/2,IF(G154&lt;=301,G154/3,G154/4))))</f>
        <v>788.40917999999988</v>
      </c>
    </row>
    <row r="155" spans="1:20" s="32" customFormat="1" x14ac:dyDescent="0.35">
      <c r="A155" s="98">
        <f>A154+1</f>
        <v>4</v>
      </c>
      <c r="B155" s="99"/>
      <c r="C155" s="84" t="s">
        <v>385</v>
      </c>
      <c r="D155" s="92">
        <f>(69.71)*10.764</f>
        <v>750.35843999999986</v>
      </c>
      <c r="E155" s="92">
        <f>(16.73)*10.764</f>
        <v>180.08171999999999</v>
      </c>
      <c r="F155" s="84">
        <f>D155+E155</f>
        <v>930.44015999999988</v>
      </c>
      <c r="G155" s="84">
        <v>0</v>
      </c>
      <c r="H155" s="84">
        <f>F155*(($H$137)+1)+(IF(G155&lt;101,G155,IF(G155&lt;201,G155/2,IF(G155&lt;=301,G155/3,G155/4))))</f>
        <v>1395.6602399999997</v>
      </c>
    </row>
    <row r="156" spans="1:20" s="32" customFormat="1" x14ac:dyDescent="0.35">
      <c r="A156" s="100" t="s">
        <v>394</v>
      </c>
      <c r="B156" s="101"/>
      <c r="C156" s="101"/>
      <c r="D156" s="101"/>
      <c r="E156" s="101"/>
      <c r="F156" s="101"/>
      <c r="G156" s="101"/>
      <c r="H156" s="102"/>
    </row>
    <row r="157" spans="1:20" s="32" customFormat="1" x14ac:dyDescent="0.35">
      <c r="A157" s="98"/>
      <c r="B157" s="99"/>
      <c r="C157" s="145" t="s">
        <v>395</v>
      </c>
      <c r="D157" s="146"/>
      <c r="E157" s="146"/>
      <c r="F157" s="146"/>
      <c r="G157" s="147"/>
      <c r="H157" s="84" t="s">
        <v>391</v>
      </c>
    </row>
    <row r="158" spans="1:20" s="32" customFormat="1" x14ac:dyDescent="0.35">
      <c r="A158" s="98">
        <v>1</v>
      </c>
      <c r="B158" s="99"/>
      <c r="C158" s="84" t="s">
        <v>385</v>
      </c>
      <c r="D158" s="92">
        <f>(69.71)*10.764</f>
        <v>750.35843999999986</v>
      </c>
      <c r="E158" s="92">
        <f>(16.73)*10.764</f>
        <v>180.08171999999999</v>
      </c>
      <c r="F158" s="84">
        <f>D158+E158</f>
        <v>930.44015999999988</v>
      </c>
      <c r="G158" s="84">
        <v>0</v>
      </c>
      <c r="H158" s="84">
        <f>F158*(($H$137)+1)+(IF(G158&lt;101,G158,IF(G158&lt;201,G158/2,IF(G158&lt;=301,G158/3,G158/4))))</f>
        <v>1395.6602399999997</v>
      </c>
    </row>
    <row r="159" spans="1:20" x14ac:dyDescent="0.35">
      <c r="A159" s="108" t="s">
        <v>65</v>
      </c>
      <c r="B159" s="108"/>
      <c r="C159" s="108"/>
      <c r="D159" s="108"/>
      <c r="E159" s="108"/>
      <c r="F159" s="108"/>
      <c r="G159" s="108"/>
      <c r="H159" s="108"/>
    </row>
    <row r="160" spans="1:20" x14ac:dyDescent="0.35">
      <c r="A160" s="94" t="s">
        <v>149</v>
      </c>
      <c r="B160" s="245" t="s">
        <v>396</v>
      </c>
      <c r="C160" s="245"/>
      <c r="D160" s="245"/>
      <c r="E160" s="245"/>
      <c r="F160" s="245"/>
      <c r="G160" s="245"/>
      <c r="H160" s="245"/>
    </row>
    <row r="161" spans="1:15" x14ac:dyDescent="0.35">
      <c r="A161" s="94" t="s">
        <v>149</v>
      </c>
      <c r="B161" s="246" t="str">
        <f>(IF(H136="Saleable area Loading :","We have considered Saleable area of Flats as per our Calculation.","We considered Saleable area of Flat as per Builder area Sheet."))</f>
        <v>We have considered Saleable area of Flats as per our Calculation.</v>
      </c>
      <c r="C161" s="246"/>
      <c r="D161" s="246"/>
      <c r="E161" s="246"/>
      <c r="F161" s="246"/>
      <c r="G161" s="246"/>
      <c r="H161" s="246"/>
    </row>
    <row r="162" spans="1:15" x14ac:dyDescent="0.35">
      <c r="A162" s="94" t="s">
        <v>149</v>
      </c>
      <c r="B162" s="245" t="str">
        <f>(IF(H113="Saleable area Loading :","We have considered Saleable area of Commercial as per our Calculation.","We considered Saleable area of Commercial as per Builder area Sheet."))</f>
        <v>We have considered Saleable area of Commercial as per our Calculation.</v>
      </c>
      <c r="C162" s="245"/>
      <c r="D162" s="245"/>
      <c r="E162" s="245"/>
      <c r="F162" s="245"/>
      <c r="G162" s="245"/>
      <c r="H162" s="245"/>
    </row>
    <row r="163" spans="1:15" x14ac:dyDescent="0.35">
      <c r="A163" s="94" t="s">
        <v>149</v>
      </c>
      <c r="B163" s="247" t="s">
        <v>119</v>
      </c>
      <c r="C163" s="247"/>
      <c r="D163" s="247"/>
      <c r="E163" s="247"/>
      <c r="F163" s="247"/>
      <c r="G163" s="247"/>
      <c r="H163" s="247"/>
    </row>
    <row r="164" spans="1:15" x14ac:dyDescent="0.35">
      <c r="A164" s="94" t="s">
        <v>149</v>
      </c>
      <c r="B164" s="245" t="s">
        <v>398</v>
      </c>
      <c r="C164" s="245"/>
      <c r="D164" s="245"/>
      <c r="E164" s="245"/>
      <c r="F164" s="245"/>
      <c r="G164" s="245"/>
      <c r="H164" s="245"/>
    </row>
    <row r="165" spans="1:15" x14ac:dyDescent="0.35">
      <c r="A165" s="94" t="s">
        <v>149</v>
      </c>
      <c r="B165" s="247" t="s">
        <v>148</v>
      </c>
      <c r="C165" s="247"/>
      <c r="D165" s="247"/>
      <c r="E165" s="247"/>
      <c r="F165" s="247"/>
      <c r="G165" s="247"/>
      <c r="H165" s="247"/>
    </row>
    <row r="166" spans="1:15" x14ac:dyDescent="0.35">
      <c r="A166" s="94" t="s">
        <v>149</v>
      </c>
      <c r="B166" s="247" t="s">
        <v>120</v>
      </c>
      <c r="C166" s="247"/>
      <c r="D166" s="247"/>
      <c r="E166" s="247"/>
      <c r="F166" s="247"/>
      <c r="G166" s="247"/>
      <c r="H166" s="247"/>
    </row>
    <row r="167" spans="1:15" ht="30.75" customHeight="1" x14ac:dyDescent="0.35">
      <c r="A167" s="94" t="s">
        <v>149</v>
      </c>
      <c r="B167" s="246" t="s">
        <v>150</v>
      </c>
      <c r="C167" s="246"/>
      <c r="D167" s="246"/>
      <c r="E167" s="246"/>
      <c r="F167" s="246"/>
      <c r="G167" s="246"/>
      <c r="H167" s="246"/>
    </row>
    <row r="168" spans="1:15" x14ac:dyDescent="0.35">
      <c r="A168" s="94" t="s">
        <v>149</v>
      </c>
      <c r="B168" s="247" t="s">
        <v>121</v>
      </c>
      <c r="C168" s="247"/>
      <c r="D168" s="247"/>
      <c r="E168" s="247"/>
      <c r="F168" s="247"/>
      <c r="G168" s="247"/>
      <c r="H168" s="247"/>
    </row>
    <row r="169" spans="1:15" x14ac:dyDescent="0.35">
      <c r="A169" s="82" t="s">
        <v>149</v>
      </c>
      <c r="B169" s="112" t="s">
        <v>402</v>
      </c>
      <c r="C169" s="113"/>
      <c r="D169" s="113"/>
      <c r="E169" s="113"/>
      <c r="F169" s="113"/>
      <c r="G169" s="113"/>
      <c r="H169" s="114"/>
    </row>
    <row r="170" spans="1:15" ht="34.5" hidden="1" customHeight="1" x14ac:dyDescent="0.35">
      <c r="A170" s="46" t="s">
        <v>149</v>
      </c>
      <c r="B170" s="95" t="s">
        <v>175</v>
      </c>
      <c r="C170" s="96"/>
      <c r="D170" s="96"/>
      <c r="E170" s="96"/>
      <c r="F170" s="96"/>
      <c r="G170" s="96"/>
      <c r="H170" s="97"/>
    </row>
    <row r="171" spans="1:15" x14ac:dyDescent="0.35">
      <c r="A171" s="50" t="s">
        <v>149</v>
      </c>
      <c r="B171" s="109" t="s">
        <v>403</v>
      </c>
      <c r="C171" s="110"/>
      <c r="D171" s="110"/>
      <c r="E171" s="110"/>
      <c r="F171" s="110"/>
      <c r="G171" s="110"/>
      <c r="H171" s="111"/>
      <c r="I171" s="95" t="s">
        <v>347</v>
      </c>
      <c r="J171" s="96"/>
      <c r="K171" s="96"/>
      <c r="L171" s="96"/>
      <c r="M171" s="96"/>
      <c r="N171" s="96"/>
      <c r="O171" s="97"/>
    </row>
    <row r="172" spans="1:15" hidden="1" x14ac:dyDescent="0.35">
      <c r="A172" s="77" t="s">
        <v>149</v>
      </c>
      <c r="B172" s="95" t="s">
        <v>349</v>
      </c>
      <c r="C172" s="96"/>
      <c r="D172" s="96"/>
      <c r="E172" s="96"/>
      <c r="F172" s="96"/>
      <c r="G172" s="96"/>
      <c r="H172" s="97"/>
    </row>
    <row r="173" spans="1:15" hidden="1" x14ac:dyDescent="0.35">
      <c r="A173" s="77" t="s">
        <v>149</v>
      </c>
      <c r="B173" s="95" t="str">
        <f ca="1">IF(G52&gt;EDATE(E3,-48),"NO REMARK FOR CC","REMARK FOR CC")</f>
        <v>NO REMARK FOR CC</v>
      </c>
      <c r="C173" s="96"/>
      <c r="D173" s="96"/>
      <c r="E173" s="96"/>
      <c r="F173" s="96"/>
      <c r="G173" s="96"/>
      <c r="H173" s="97"/>
    </row>
    <row r="174" spans="1:15" hidden="1" x14ac:dyDescent="0.35">
      <c r="A174" s="78" t="s">
        <v>149</v>
      </c>
      <c r="B174" s="95" t="s">
        <v>350</v>
      </c>
      <c r="C174" s="96"/>
      <c r="D174" s="96"/>
      <c r="E174" s="96"/>
      <c r="F174" s="96"/>
      <c r="G174" s="96"/>
      <c r="H174" s="97"/>
    </row>
    <row r="175" spans="1:15" x14ac:dyDescent="0.35">
      <c r="A175" s="213" t="s">
        <v>58</v>
      </c>
      <c r="B175" s="213"/>
      <c r="C175" s="213"/>
      <c r="D175" s="213"/>
      <c r="E175" s="213"/>
      <c r="F175" s="213"/>
      <c r="G175" s="213"/>
      <c r="H175" s="213"/>
    </row>
    <row r="176" spans="1:15" x14ac:dyDescent="0.35">
      <c r="A176" s="129" t="s">
        <v>59</v>
      </c>
      <c r="B176" s="129"/>
      <c r="C176" s="129"/>
      <c r="D176" s="129"/>
      <c r="E176" s="129"/>
      <c r="F176" s="129"/>
      <c r="G176" s="129"/>
      <c r="H176" s="129"/>
    </row>
    <row r="177" spans="1:8" x14ac:dyDescent="0.35">
      <c r="A177" s="223" t="s">
        <v>60</v>
      </c>
      <c r="B177" s="223"/>
      <c r="C177" s="223"/>
      <c r="D177" s="223"/>
      <c r="E177" s="223"/>
      <c r="F177" s="223"/>
      <c r="G177" s="223"/>
      <c r="H177" s="223"/>
    </row>
    <row r="178" spans="1:8" x14ac:dyDescent="0.35">
      <c r="A178" s="129" t="s">
        <v>61</v>
      </c>
      <c r="B178" s="129"/>
      <c r="C178" s="129"/>
      <c r="D178" s="129"/>
      <c r="E178" s="129"/>
      <c r="F178" s="129"/>
      <c r="G178" s="129"/>
      <c r="H178" s="129"/>
    </row>
    <row r="179" spans="1:8" x14ac:dyDescent="0.35">
      <c r="A179" s="129" t="s">
        <v>62</v>
      </c>
      <c r="B179" s="129"/>
      <c r="C179" s="129"/>
      <c r="D179" s="129"/>
      <c r="E179" s="129"/>
      <c r="F179" s="129"/>
      <c r="G179" s="129"/>
      <c r="H179" s="129"/>
    </row>
    <row r="180" spans="1:8" x14ac:dyDescent="0.35">
      <c r="A180" s="129" t="s">
        <v>122</v>
      </c>
      <c r="B180" s="129"/>
      <c r="C180" s="129"/>
      <c r="D180" s="129"/>
      <c r="E180" s="129"/>
      <c r="F180" s="129"/>
      <c r="G180" s="129"/>
      <c r="H180" s="129"/>
    </row>
    <row r="181" spans="1:8" x14ac:dyDescent="0.35">
      <c r="A181" s="194" t="s">
        <v>123</v>
      </c>
      <c r="B181" s="194"/>
      <c r="C181" s="194"/>
      <c r="D181" s="194"/>
      <c r="E181" s="194"/>
      <c r="F181" s="194"/>
      <c r="G181" s="194"/>
      <c r="H181" s="194"/>
    </row>
    <row r="182" spans="1:8" x14ac:dyDescent="0.35">
      <c r="A182" s="220" t="s">
        <v>74</v>
      </c>
      <c r="B182" s="220"/>
      <c r="C182" s="220" t="s">
        <v>409</v>
      </c>
      <c r="D182" s="220"/>
      <c r="E182" s="220" t="s">
        <v>104</v>
      </c>
      <c r="F182" s="220"/>
      <c r="G182" s="220" t="s">
        <v>408</v>
      </c>
      <c r="H182" s="220"/>
    </row>
    <row r="183" spans="1:8" x14ac:dyDescent="0.35">
      <c r="A183" s="219" t="s">
        <v>76</v>
      </c>
      <c r="B183" s="219"/>
      <c r="C183" s="219"/>
      <c r="D183" s="219"/>
      <c r="E183" s="219"/>
      <c r="F183" s="219"/>
      <c r="G183" s="219"/>
      <c r="H183" s="219"/>
    </row>
    <row r="184" spans="1:8" x14ac:dyDescent="0.35">
      <c r="A184" s="219"/>
      <c r="B184" s="219"/>
      <c r="C184" s="219"/>
      <c r="D184" s="219"/>
      <c r="E184" s="219"/>
      <c r="F184" s="219"/>
      <c r="G184" s="219"/>
      <c r="H184" s="219"/>
    </row>
    <row r="185" spans="1:8" x14ac:dyDescent="0.35">
      <c r="A185" s="219"/>
      <c r="B185" s="219"/>
      <c r="C185" s="219"/>
      <c r="D185" s="219"/>
      <c r="E185" s="219"/>
      <c r="F185" s="219"/>
      <c r="G185" s="219"/>
      <c r="H185" s="219"/>
    </row>
    <row r="186" spans="1:8" x14ac:dyDescent="0.35">
      <c r="A186" s="219"/>
      <c r="B186" s="219"/>
      <c r="C186" s="219"/>
      <c r="D186" s="219"/>
      <c r="E186" s="219"/>
      <c r="F186" s="219"/>
      <c r="G186" s="219"/>
      <c r="H186" s="219"/>
    </row>
    <row r="187" spans="1:8" x14ac:dyDescent="0.35">
      <c r="A187" s="35" t="s">
        <v>63</v>
      </c>
      <c r="B187" s="36"/>
      <c r="C187" s="36"/>
      <c r="D187" s="35" t="str">
        <f>E9</f>
        <v>Maitri Navkar</v>
      </c>
      <c r="F187" s="36"/>
      <c r="G187" s="36"/>
      <c r="H187" s="36"/>
    </row>
    <row r="188" spans="1:8" x14ac:dyDescent="0.35">
      <c r="A188" s="36"/>
      <c r="B188" s="36"/>
      <c r="C188" s="36"/>
      <c r="D188" s="36"/>
      <c r="E188" s="36"/>
      <c r="F188" s="36"/>
      <c r="G188" s="36"/>
      <c r="H188" s="36"/>
    </row>
    <row r="189" spans="1:8" x14ac:dyDescent="0.35">
      <c r="A189" s="36"/>
      <c r="B189" s="36"/>
      <c r="C189" s="36"/>
      <c r="D189" s="36"/>
      <c r="E189" s="36"/>
      <c r="F189" s="36"/>
      <c r="G189" s="36"/>
      <c r="H189" s="36"/>
    </row>
    <row r="229" spans="1:1" ht="16" customHeight="1" x14ac:dyDescent="0.35"/>
    <row r="230" spans="1:1" x14ac:dyDescent="0.35">
      <c r="A230" s="38" t="s">
        <v>159</v>
      </c>
    </row>
    <row r="272" spans="1:1" x14ac:dyDescent="0.35">
      <c r="A272" s="38" t="s">
        <v>64</v>
      </c>
    </row>
  </sheetData>
  <mergeCells count="331">
    <mergeCell ref="F93:H93"/>
    <mergeCell ref="A95:E95"/>
    <mergeCell ref="G102:H102"/>
    <mergeCell ref="F94:H94"/>
    <mergeCell ref="C101:D101"/>
    <mergeCell ref="G101:H101"/>
    <mergeCell ref="A96:E96"/>
    <mergeCell ref="A93:E93"/>
    <mergeCell ref="I15:P15"/>
    <mergeCell ref="F97:H97"/>
    <mergeCell ref="F95:H95"/>
    <mergeCell ref="A54:B55"/>
    <mergeCell ref="C59:E59"/>
    <mergeCell ref="G54:H54"/>
    <mergeCell ref="G59:H59"/>
    <mergeCell ref="E43:H43"/>
    <mergeCell ref="A56:B57"/>
    <mergeCell ref="C56:E56"/>
    <mergeCell ref="E20:F20"/>
    <mergeCell ref="G20:H20"/>
    <mergeCell ref="A21:B21"/>
    <mergeCell ref="C21:D21"/>
    <mergeCell ref="E21:F21"/>
    <mergeCell ref="G21:H21"/>
    <mergeCell ref="A22:B22"/>
    <mergeCell ref="C22:D22"/>
    <mergeCell ref="A78:B78"/>
    <mergeCell ref="E76:F76"/>
    <mergeCell ref="A83:B83"/>
    <mergeCell ref="A82:B82"/>
    <mergeCell ref="A77:B77"/>
    <mergeCell ref="G76:H76"/>
    <mergeCell ref="A85:B85"/>
    <mergeCell ref="A86:B86"/>
    <mergeCell ref="A81:B81"/>
    <mergeCell ref="A80:B80"/>
    <mergeCell ref="A125:B125"/>
    <mergeCell ref="A126:H126"/>
    <mergeCell ref="A127:B127"/>
    <mergeCell ref="A154:B154"/>
    <mergeCell ref="A112:H112"/>
    <mergeCell ref="A117:B117"/>
    <mergeCell ref="A129:B129"/>
    <mergeCell ref="A119:B119"/>
    <mergeCell ref="A118:B118"/>
    <mergeCell ref="A87:E87"/>
    <mergeCell ref="F91:H91"/>
    <mergeCell ref="A91:E91"/>
    <mergeCell ref="G113:G114"/>
    <mergeCell ref="F87:H87"/>
    <mergeCell ref="F92:H92"/>
    <mergeCell ref="A101:B101"/>
    <mergeCell ref="A103:B103"/>
    <mergeCell ref="C106:D106"/>
    <mergeCell ref="F88:H88"/>
    <mergeCell ref="F96:H96"/>
    <mergeCell ref="A180:H180"/>
    <mergeCell ref="A177:H177"/>
    <mergeCell ref="A146:B146"/>
    <mergeCell ref="A106:B106"/>
    <mergeCell ref="D136:D137"/>
    <mergeCell ref="E136:E137"/>
    <mergeCell ref="A130:B130"/>
    <mergeCell ref="A128:B128"/>
    <mergeCell ref="A116:B116"/>
    <mergeCell ref="B174:H174"/>
    <mergeCell ref="C113:C114"/>
    <mergeCell ref="B136:B137"/>
    <mergeCell ref="B162:H162"/>
    <mergeCell ref="C109:D109"/>
    <mergeCell ref="A138:H138"/>
    <mergeCell ref="B164:H164"/>
    <mergeCell ref="A176:H176"/>
    <mergeCell ref="B173:H173"/>
    <mergeCell ref="B172:H172"/>
    <mergeCell ref="A120:B120"/>
    <mergeCell ref="A121:B121"/>
    <mergeCell ref="A122:B122"/>
    <mergeCell ref="A123:B123"/>
    <mergeCell ref="A124:B124"/>
    <mergeCell ref="A183:H186"/>
    <mergeCell ref="A182:B182"/>
    <mergeCell ref="E182:F182"/>
    <mergeCell ref="C182:D182"/>
    <mergeCell ref="G182:H182"/>
    <mergeCell ref="A100:H100"/>
    <mergeCell ref="A98:E98"/>
    <mergeCell ref="F98:H98"/>
    <mergeCell ref="A99:E99"/>
    <mergeCell ref="F99:H99"/>
    <mergeCell ref="A145:H145"/>
    <mergeCell ref="A107:B107"/>
    <mergeCell ref="A155:B155"/>
    <mergeCell ref="A102:B102"/>
    <mergeCell ref="A178:H178"/>
    <mergeCell ref="A105:H105"/>
    <mergeCell ref="A181:H181"/>
    <mergeCell ref="A179:H179"/>
    <mergeCell ref="A175:H175"/>
    <mergeCell ref="G106:H106"/>
    <mergeCell ref="B165:H165"/>
    <mergeCell ref="A158:B158"/>
    <mergeCell ref="A149:B149"/>
    <mergeCell ref="C110:D11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2:F22"/>
    <mergeCell ref="G22:H22"/>
    <mergeCell ref="E27:H27"/>
    <mergeCell ref="A29:D29"/>
    <mergeCell ref="E29:H29"/>
    <mergeCell ref="A26:D26"/>
    <mergeCell ref="E26:H26"/>
    <mergeCell ref="A25:D25"/>
    <mergeCell ref="E25:H25"/>
    <mergeCell ref="A30:D30"/>
    <mergeCell ref="E30:H30"/>
    <mergeCell ref="A27:D27"/>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6:B36"/>
    <mergeCell ref="C36:E36"/>
    <mergeCell ref="C37:E37"/>
    <mergeCell ref="A42:D42"/>
    <mergeCell ref="E42:H42"/>
    <mergeCell ref="A41:H41"/>
    <mergeCell ref="A66:C66"/>
    <mergeCell ref="A67:C67"/>
    <mergeCell ref="D66:H66"/>
    <mergeCell ref="D70:H70"/>
    <mergeCell ref="D63:H63"/>
    <mergeCell ref="G60:H60"/>
    <mergeCell ref="A60:B60"/>
    <mergeCell ref="C60:E60"/>
    <mergeCell ref="D62:H62"/>
    <mergeCell ref="A65:C65"/>
    <mergeCell ref="D65:H65"/>
    <mergeCell ref="G52:H52"/>
    <mergeCell ref="A61:H61"/>
    <mergeCell ref="D64:H64"/>
    <mergeCell ref="A64:C64"/>
    <mergeCell ref="A45:D45"/>
    <mergeCell ref="A49:B49"/>
    <mergeCell ref="C49:H49"/>
    <mergeCell ref="A62:C62"/>
    <mergeCell ref="A75:B75"/>
    <mergeCell ref="A73:B73"/>
    <mergeCell ref="C73:H73"/>
    <mergeCell ref="A68:C68"/>
    <mergeCell ref="D68:H68"/>
    <mergeCell ref="C75:H75"/>
    <mergeCell ref="A69:C69"/>
    <mergeCell ref="D69:H69"/>
    <mergeCell ref="A72:C72"/>
    <mergeCell ref="D72:H72"/>
    <mergeCell ref="A71:C71"/>
    <mergeCell ref="A50:B50"/>
    <mergeCell ref="C52:E52"/>
    <mergeCell ref="A70:C70"/>
    <mergeCell ref="D71:H71"/>
    <mergeCell ref="F37:H37"/>
    <mergeCell ref="C51:E51"/>
    <mergeCell ref="C50:E50"/>
    <mergeCell ref="G50:H50"/>
    <mergeCell ref="A51:B51"/>
    <mergeCell ref="G56:H56"/>
    <mergeCell ref="A58:B59"/>
    <mergeCell ref="C58:E58"/>
    <mergeCell ref="G58:H58"/>
    <mergeCell ref="G51:H51"/>
    <mergeCell ref="A52:B53"/>
    <mergeCell ref="A39:B39"/>
    <mergeCell ref="C39:H39"/>
    <mergeCell ref="C53:H53"/>
    <mergeCell ref="A44:D44"/>
    <mergeCell ref="E44:H44"/>
    <mergeCell ref="E45:H45"/>
    <mergeCell ref="E46:H46"/>
    <mergeCell ref="E47:H47"/>
    <mergeCell ref="C57:H57"/>
    <mergeCell ref="A48:H48"/>
    <mergeCell ref="A43:D43"/>
    <mergeCell ref="A38:H38"/>
    <mergeCell ref="A37:B37"/>
    <mergeCell ref="A76:B76"/>
    <mergeCell ref="A46:D46"/>
    <mergeCell ref="A47:D47"/>
    <mergeCell ref="D67:H67"/>
    <mergeCell ref="C107:D107"/>
    <mergeCell ref="E107:F107"/>
    <mergeCell ref="G107:H107"/>
    <mergeCell ref="A88:E88"/>
    <mergeCell ref="A115:H115"/>
    <mergeCell ref="E113:E114"/>
    <mergeCell ref="F89:H89"/>
    <mergeCell ref="A89:E89"/>
    <mergeCell ref="D113:D114"/>
    <mergeCell ref="E106:F106"/>
    <mergeCell ref="A111:H111"/>
    <mergeCell ref="A108:B108"/>
    <mergeCell ref="C108:D108"/>
    <mergeCell ref="E108:F108"/>
    <mergeCell ref="G108:H108"/>
    <mergeCell ref="A110:B110"/>
    <mergeCell ref="A90:E90"/>
    <mergeCell ref="F90:H90"/>
    <mergeCell ref="A94:E94"/>
    <mergeCell ref="E101:F101"/>
    <mergeCell ref="L128:M128"/>
    <mergeCell ref="A147:B147"/>
    <mergeCell ref="A148:B148"/>
    <mergeCell ref="A40:B40"/>
    <mergeCell ref="C40:H40"/>
    <mergeCell ref="F113:F114"/>
    <mergeCell ref="C102:D102"/>
    <mergeCell ref="E102:F102"/>
    <mergeCell ref="B113:B114"/>
    <mergeCell ref="A113:A114"/>
    <mergeCell ref="C136:C137"/>
    <mergeCell ref="G136:G137"/>
    <mergeCell ref="L127:M127"/>
    <mergeCell ref="L124:M124"/>
    <mergeCell ref="G110:H110"/>
    <mergeCell ref="L125:M125"/>
    <mergeCell ref="L126:M126"/>
    <mergeCell ref="C55:H55"/>
    <mergeCell ref="L119:M119"/>
    <mergeCell ref="L118:M118"/>
    <mergeCell ref="L117:M117"/>
    <mergeCell ref="L116:M116"/>
    <mergeCell ref="A63:C63"/>
    <mergeCell ref="C54:E54"/>
    <mergeCell ref="A79:B79"/>
    <mergeCell ref="E77:F86"/>
    <mergeCell ref="G77:H86"/>
    <mergeCell ref="B171:H171"/>
    <mergeCell ref="A92:E92"/>
    <mergeCell ref="A109:B109"/>
    <mergeCell ref="E109:F109"/>
    <mergeCell ref="A97:E97"/>
    <mergeCell ref="G109:H109"/>
    <mergeCell ref="C103:D103"/>
    <mergeCell ref="E103:F103"/>
    <mergeCell ref="G103:H103"/>
    <mergeCell ref="A104:B104"/>
    <mergeCell ref="C104:D104"/>
    <mergeCell ref="E104:F104"/>
    <mergeCell ref="G104:H104"/>
    <mergeCell ref="E110:F110"/>
    <mergeCell ref="B168:H168"/>
    <mergeCell ref="B166:H166"/>
    <mergeCell ref="A153:B153"/>
    <mergeCell ref="A156:H156"/>
    <mergeCell ref="C157:G157"/>
    <mergeCell ref="B169:H169"/>
    <mergeCell ref="A84:B84"/>
    <mergeCell ref="I171:O171"/>
    <mergeCell ref="A131:B131"/>
    <mergeCell ref="A132:B132"/>
    <mergeCell ref="A133:B133"/>
    <mergeCell ref="A134:B134"/>
    <mergeCell ref="A144:B144"/>
    <mergeCell ref="A151:B151"/>
    <mergeCell ref="A150:H150"/>
    <mergeCell ref="A152:B152"/>
    <mergeCell ref="A135:H135"/>
    <mergeCell ref="A136:A137"/>
    <mergeCell ref="F136:F137"/>
    <mergeCell ref="A159:H159"/>
    <mergeCell ref="B170:H170"/>
    <mergeCell ref="A157:B157"/>
    <mergeCell ref="B167:H167"/>
    <mergeCell ref="B160:H160"/>
    <mergeCell ref="B161:H161"/>
    <mergeCell ref="B163:H163"/>
    <mergeCell ref="A139:B139"/>
    <mergeCell ref="C153:G153"/>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3:E114">
      <formula1>"Attached Loft area,Attached Otla area,Attached Mezzanine area"</formula1>
    </dataValidation>
    <dataValidation type="list" allowBlank="1" showInputMessage="1" showErrorMessage="1" sqref="G182:H182">
      <formula1>"Kunal Kadam,Pranita Mhatre,Shruti Fule,Pooja Kawale,Gaurav Panchal,Shruti Tathare,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8:H98">
      <formula1>OFFSET($S$87,1,MATCH($G20,$S$87:$W$87,0)-1,15,1)</formula1>
    </dataValidation>
    <dataValidation type="list" allowBlank="1" showInputMessage="1" showErrorMessage="1" sqref="B113:B114">
      <formula1>"Shop No. (Sale Plan),Sale / Rehab,Sale / Mhada"</formula1>
    </dataValidation>
    <dataValidation type="list" allowBlank="1" showInputMessage="1" showErrorMessage="1" sqref="B136:B137">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6:E137">
      <formula1>"Fungible area,Balcony Area,Chajja Area,Cornice Area,AP Area,WS Area"</formula1>
    </dataValidation>
    <dataValidation type="list" allowBlank="1" showInputMessage="1" showErrorMessage="1" sqref="H114 H137">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13 H136">
      <formula1>"Saleable area Loading :,Builder Saleable Area"</formula1>
    </dataValidation>
    <dataValidation type="list" allowBlank="1" showInputMessage="1" showErrorMessage="1" sqref="D136:D137">
      <formula1>"Carpet area,RERA Carpet area"</formula1>
    </dataValidation>
    <dataValidation type="list" showInputMessage="1" showErrorMessage="1" sqref="D113:D114">
      <formula1>"Carpet area, Carpet + Encl. Balcony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2" max="7" man="1"/>
    <brk id="186" max="7" man="1"/>
    <brk id="229" max="7" man="1"/>
    <brk id="271"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31" zoomScale="130" zoomScaleNormal="130" workbookViewId="0">
      <selection activeCell="B57" sqref="B57"/>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7"/>
      <c r="C4" s="47" t="s">
        <v>11</v>
      </c>
      <c r="D4" s="48" t="s">
        <v>176</v>
      </c>
      <c r="E4" s="48" t="s">
        <v>186</v>
      </c>
      <c r="F4" s="48" t="s">
        <v>168</v>
      </c>
      <c r="G4" s="48" t="s">
        <v>191</v>
      </c>
      <c r="H4" s="48" t="s">
        <v>209</v>
      </c>
      <c r="J4" t="s">
        <v>191</v>
      </c>
      <c r="K4" t="s">
        <v>207</v>
      </c>
    </row>
    <row r="5" spans="2:11" x14ac:dyDescent="0.35">
      <c r="B5" s="47"/>
      <c r="C5" s="47"/>
      <c r="D5" s="48" t="s">
        <v>177</v>
      </c>
      <c r="E5" s="48" t="s">
        <v>184</v>
      </c>
      <c r="F5" s="48" t="s">
        <v>206</v>
      </c>
      <c r="G5" s="48" t="s">
        <v>192</v>
      </c>
      <c r="H5" s="48" t="s">
        <v>210</v>
      </c>
    </row>
    <row r="6" spans="2:11" x14ac:dyDescent="0.35">
      <c r="B6" s="47"/>
      <c r="C6" s="47"/>
      <c r="D6" s="48" t="s">
        <v>178</v>
      </c>
      <c r="E6" s="48" t="s">
        <v>185</v>
      </c>
      <c r="F6" s="48" t="s">
        <v>207</v>
      </c>
      <c r="G6" s="48" t="s">
        <v>193</v>
      </c>
      <c r="H6" s="48" t="s">
        <v>223</v>
      </c>
    </row>
    <row r="7" spans="2:11" x14ac:dyDescent="0.35">
      <c r="B7" s="47"/>
      <c r="C7" s="47"/>
      <c r="D7" s="48" t="s">
        <v>179</v>
      </c>
      <c r="E7" s="48" t="s">
        <v>187</v>
      </c>
      <c r="F7" s="48" t="s">
        <v>208</v>
      </c>
      <c r="G7" s="48" t="s">
        <v>194</v>
      </c>
      <c r="H7" s="48" t="s">
        <v>211</v>
      </c>
    </row>
    <row r="8" spans="2:11" x14ac:dyDescent="0.35">
      <c r="B8" s="47"/>
      <c r="C8" s="47"/>
      <c r="D8" s="48" t="s">
        <v>180</v>
      </c>
      <c r="E8" s="48" t="s">
        <v>188</v>
      </c>
      <c r="F8" s="48"/>
      <c r="G8" s="48" t="s">
        <v>195</v>
      </c>
      <c r="H8" s="48" t="s">
        <v>212</v>
      </c>
    </row>
    <row r="9" spans="2:11" x14ac:dyDescent="0.35">
      <c r="B9" s="47"/>
      <c r="C9" s="47"/>
      <c r="D9" s="48" t="s">
        <v>181</v>
      </c>
      <c r="E9" s="48" t="s">
        <v>186</v>
      </c>
      <c r="F9" s="48"/>
      <c r="G9" s="48" t="s">
        <v>196</v>
      </c>
      <c r="H9" s="48" t="s">
        <v>213</v>
      </c>
    </row>
    <row r="10" spans="2:11" x14ac:dyDescent="0.35">
      <c r="B10" s="47"/>
      <c r="C10" s="47"/>
      <c r="D10" s="48" t="s">
        <v>182</v>
      </c>
      <c r="E10" s="48" t="s">
        <v>189</v>
      </c>
      <c r="F10" s="48"/>
      <c r="G10" s="48" t="s">
        <v>197</v>
      </c>
      <c r="H10" s="48" t="s">
        <v>214</v>
      </c>
    </row>
    <row r="11" spans="2:11" x14ac:dyDescent="0.35">
      <c r="B11" s="47"/>
      <c r="C11" s="47"/>
      <c r="D11" s="48" t="s">
        <v>183</v>
      </c>
      <c r="E11" s="48" t="s">
        <v>190</v>
      </c>
      <c r="F11" s="48"/>
      <c r="G11" s="48" t="s">
        <v>198</v>
      </c>
      <c r="H11" s="48" t="s">
        <v>215</v>
      </c>
    </row>
    <row r="12" spans="2:11" x14ac:dyDescent="0.35">
      <c r="B12" s="47"/>
      <c r="C12" s="47"/>
      <c r="D12" s="48"/>
      <c r="E12" s="48"/>
      <c r="F12" s="48"/>
      <c r="G12" s="48" t="s">
        <v>199</v>
      </c>
      <c r="H12" s="48" t="s">
        <v>216</v>
      </c>
    </row>
    <row r="13" spans="2:11" x14ac:dyDescent="0.35">
      <c r="B13" s="47"/>
      <c r="C13" s="47"/>
      <c r="D13" s="48"/>
      <c r="E13" s="48"/>
      <c r="F13" s="48"/>
      <c r="G13" s="48" t="s">
        <v>200</v>
      </c>
      <c r="H13" s="48" t="s">
        <v>217</v>
      </c>
    </row>
    <row r="14" spans="2:11" x14ac:dyDescent="0.35">
      <c r="B14" s="47"/>
      <c r="C14" s="47"/>
      <c r="D14" s="48"/>
      <c r="E14" s="48"/>
      <c r="F14" s="48"/>
      <c r="G14" s="48" t="s">
        <v>201</v>
      </c>
      <c r="H14" s="48" t="s">
        <v>218</v>
      </c>
    </row>
    <row r="15" spans="2:11" x14ac:dyDescent="0.35">
      <c r="B15" s="47"/>
      <c r="C15" s="47"/>
      <c r="D15" s="48"/>
      <c r="E15" s="48"/>
      <c r="F15" s="48"/>
      <c r="G15" s="48" t="s">
        <v>202</v>
      </c>
      <c r="H15" s="48" t="s">
        <v>219</v>
      </c>
    </row>
    <row r="16" spans="2:11" x14ac:dyDescent="0.35">
      <c r="B16" s="47"/>
      <c r="C16" s="47"/>
      <c r="D16" s="48"/>
      <c r="E16" s="48"/>
      <c r="F16" s="48"/>
      <c r="G16" s="48" t="s">
        <v>203</v>
      </c>
      <c r="H16" s="48" t="s">
        <v>220</v>
      </c>
    </row>
    <row r="17" spans="2:8" x14ac:dyDescent="0.35">
      <c r="B17" s="47"/>
      <c r="C17" s="47"/>
      <c r="D17" s="48"/>
      <c r="E17" s="48"/>
      <c r="F17" s="48"/>
      <c r="G17" s="48" t="s">
        <v>204</v>
      </c>
      <c r="H17" s="48" t="s">
        <v>221</v>
      </c>
    </row>
    <row r="18" spans="2:8" x14ac:dyDescent="0.35">
      <c r="B18" s="47"/>
      <c r="C18" s="47"/>
      <c r="D18" s="48"/>
      <c r="E18" s="48"/>
      <c r="F18" s="48"/>
      <c r="G18" s="48" t="s">
        <v>205</v>
      </c>
      <c r="H18" s="48" t="s">
        <v>222</v>
      </c>
    </row>
    <row r="24" spans="2:8" x14ac:dyDescent="0.35">
      <c r="C24" t="s">
        <v>165</v>
      </c>
    </row>
    <row r="25" spans="2:8" x14ac:dyDescent="0.35">
      <c r="C25" t="s">
        <v>224</v>
      </c>
    </row>
    <row r="26" spans="2:8" x14ac:dyDescent="0.35">
      <c r="C26" t="s">
        <v>225</v>
      </c>
    </row>
    <row r="27" spans="2:8" x14ac:dyDescent="0.35">
      <c r="C27" t="s">
        <v>226</v>
      </c>
    </row>
    <row r="28" spans="2:8" x14ac:dyDescent="0.35">
      <c r="C28" t="s">
        <v>227</v>
      </c>
    </row>
    <row r="29" spans="2:8" x14ac:dyDescent="0.35">
      <c r="C29" t="s">
        <v>228</v>
      </c>
    </row>
    <row r="30" spans="2:8" x14ac:dyDescent="0.35">
      <c r="C30" t="s">
        <v>165</v>
      </c>
    </row>
    <row r="33" spans="3:11" x14ac:dyDescent="0.35">
      <c r="J33">
        <v>1</v>
      </c>
      <c r="K33">
        <v>2</v>
      </c>
    </row>
    <row r="34" spans="3:11" x14ac:dyDescent="0.35">
      <c r="C34" s="51" t="s">
        <v>233</v>
      </c>
      <c r="D34" s="48" t="s">
        <v>231</v>
      </c>
      <c r="E34" s="48" t="s">
        <v>236</v>
      </c>
      <c r="F34" s="48" t="s">
        <v>234</v>
      </c>
      <c r="G34" s="48" t="s">
        <v>235</v>
      </c>
      <c r="H34" s="48" t="s">
        <v>237</v>
      </c>
      <c r="J34" t="s">
        <v>191</v>
      </c>
      <c r="K34" t="s">
        <v>207</v>
      </c>
    </row>
    <row r="35" spans="3:11" x14ac:dyDescent="0.35">
      <c r="C35" s="47" t="s">
        <v>232</v>
      </c>
      <c r="D35" s="48" t="s">
        <v>166</v>
      </c>
      <c r="E35" s="48" t="s">
        <v>241</v>
      </c>
      <c r="F35" s="48" t="s">
        <v>243</v>
      </c>
      <c r="G35" s="48" t="s">
        <v>245</v>
      </c>
      <c r="H35" s="48"/>
    </row>
    <row r="36" spans="3:11" x14ac:dyDescent="0.35">
      <c r="C36" s="47"/>
      <c r="D36" s="48" t="s">
        <v>238</v>
      </c>
      <c r="E36" s="48" t="s">
        <v>242</v>
      </c>
      <c r="F36" s="48" t="s">
        <v>244</v>
      </c>
      <c r="G36" s="48" t="s">
        <v>246</v>
      </c>
      <c r="H36" s="48"/>
    </row>
    <row r="37" spans="3:11" x14ac:dyDescent="0.35">
      <c r="C37" s="47"/>
      <c r="D37" s="48" t="s">
        <v>239</v>
      </c>
      <c r="E37" s="48"/>
      <c r="F37" s="48"/>
      <c r="G37" s="48" t="s">
        <v>247</v>
      </c>
      <c r="H37" s="48"/>
    </row>
    <row r="38" spans="3:11" x14ac:dyDescent="0.35">
      <c r="C38" s="47"/>
      <c r="D38" s="48" t="s">
        <v>240</v>
      </c>
      <c r="E38" s="48"/>
      <c r="F38" s="48"/>
      <c r="G38" s="48" t="s">
        <v>247</v>
      </c>
      <c r="H38" s="48"/>
    </row>
    <row r="39" spans="3:11" x14ac:dyDescent="0.35">
      <c r="C39" s="47"/>
      <c r="D39" s="48"/>
      <c r="E39" s="48"/>
      <c r="F39" s="48"/>
      <c r="G39" s="48" t="s">
        <v>248</v>
      </c>
      <c r="H39" s="48"/>
    </row>
    <row r="40" spans="3:11" x14ac:dyDescent="0.35">
      <c r="C40" s="47"/>
      <c r="D40" s="48"/>
      <c r="E40" s="48"/>
      <c r="F40" s="48"/>
      <c r="G40" s="48" t="s">
        <v>249</v>
      </c>
      <c r="H40" s="48"/>
    </row>
    <row r="41" spans="3:11" x14ac:dyDescent="0.35">
      <c r="C41" s="47"/>
      <c r="D41" s="48"/>
      <c r="E41" s="48"/>
      <c r="F41" s="48"/>
      <c r="G41" s="48"/>
      <c r="H41" s="48"/>
    </row>
    <row r="43" spans="3:11" x14ac:dyDescent="0.35">
      <c r="C43" t="s">
        <v>250</v>
      </c>
    </row>
    <row r="44" spans="3:11" x14ac:dyDescent="0.35">
      <c r="C44" t="s">
        <v>168</v>
      </c>
      <c r="D44" t="s">
        <v>251</v>
      </c>
    </row>
    <row r="45" spans="3:11" x14ac:dyDescent="0.35">
      <c r="D45" t="s">
        <v>252</v>
      </c>
    </row>
    <row r="46" spans="3:11" x14ac:dyDescent="0.35">
      <c r="D46" t="s">
        <v>253</v>
      </c>
    </row>
    <row r="47" spans="3:11" x14ac:dyDescent="0.35">
      <c r="D47" t="s">
        <v>254</v>
      </c>
    </row>
    <row r="48" spans="3:11" x14ac:dyDescent="0.35">
      <c r="D48" t="s">
        <v>255</v>
      </c>
    </row>
    <row r="49" spans="3:4" x14ac:dyDescent="0.35">
      <c r="C49" t="s">
        <v>176</v>
      </c>
      <c r="D49" t="s">
        <v>256</v>
      </c>
    </row>
    <row r="50" spans="3:4" x14ac:dyDescent="0.35">
      <c r="D50" t="s">
        <v>257</v>
      </c>
    </row>
    <row r="51" spans="3:4" x14ac:dyDescent="0.35">
      <c r="D51" t="s">
        <v>258</v>
      </c>
    </row>
    <row r="52" spans="3:4" x14ac:dyDescent="0.35">
      <c r="D52" t="s">
        <v>261</v>
      </c>
    </row>
    <row r="53" spans="3:4" x14ac:dyDescent="0.35">
      <c r="D53" t="s">
        <v>259</v>
      </c>
    </row>
    <row r="54" spans="3:4" x14ac:dyDescent="0.35">
      <c r="D54" t="s">
        <v>260</v>
      </c>
    </row>
    <row r="55" spans="3:4" x14ac:dyDescent="0.35">
      <c r="D55" t="s">
        <v>262</v>
      </c>
    </row>
    <row r="56" spans="3:4" x14ac:dyDescent="0.35">
      <c r="D56" t="s">
        <v>263</v>
      </c>
    </row>
    <row r="57" spans="3:4" x14ac:dyDescent="0.35">
      <c r="D57" t="s">
        <v>264</v>
      </c>
    </row>
    <row r="58" spans="3:4" x14ac:dyDescent="0.35">
      <c r="D58" t="s">
        <v>266</v>
      </c>
    </row>
    <row r="59" spans="3:4" x14ac:dyDescent="0.35">
      <c r="D59" t="s">
        <v>275</v>
      </c>
    </row>
    <row r="60" spans="3:4" x14ac:dyDescent="0.35">
      <c r="C60" t="s">
        <v>191</v>
      </c>
      <c r="D60" t="s">
        <v>267</v>
      </c>
    </row>
    <row r="61" spans="3:4" x14ac:dyDescent="0.35">
      <c r="D61" t="s">
        <v>265</v>
      </c>
    </row>
    <row r="62" spans="3:4" x14ac:dyDescent="0.35">
      <c r="D62" t="s">
        <v>255</v>
      </c>
    </row>
    <row r="63" spans="3:4" x14ac:dyDescent="0.35">
      <c r="D63" t="s">
        <v>268</v>
      </c>
    </row>
    <row r="64" spans="3:4" x14ac:dyDescent="0.35">
      <c r="D64" t="s">
        <v>269</v>
      </c>
    </row>
    <row r="65" spans="3:4" x14ac:dyDescent="0.35">
      <c r="D65" t="s">
        <v>270</v>
      </c>
    </row>
    <row r="66" spans="3:4" x14ac:dyDescent="0.35">
      <c r="D66" t="s">
        <v>271</v>
      </c>
    </row>
    <row r="67" spans="3:4" x14ac:dyDescent="0.35">
      <c r="C67" t="s">
        <v>186</v>
      </c>
      <c r="D67" t="s">
        <v>272</v>
      </c>
    </row>
    <row r="68" spans="3:4" x14ac:dyDescent="0.35">
      <c r="D68" t="s">
        <v>273</v>
      </c>
    </row>
    <row r="69" spans="3:4" x14ac:dyDescent="0.35">
      <c r="D69" t="s">
        <v>274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4" zoomScale="85" zoomScaleNormal="85" workbookViewId="0">
      <selection activeCell="H36" sqref="H36"/>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37" t="s">
        <v>105</v>
      </c>
      <c r="C3" s="237"/>
      <c r="D3" s="237"/>
      <c r="E3" s="237"/>
      <c r="F3" s="237"/>
      <c r="G3" s="237"/>
      <c r="H3" s="237"/>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44"/>
  <sheetViews>
    <sheetView topLeftCell="A22" workbookViewId="0">
      <selection activeCell="C26" sqref="C26"/>
    </sheetView>
  </sheetViews>
  <sheetFormatPr defaultRowHeight="14.5" x14ac:dyDescent="0.35"/>
  <cols>
    <col min="2" max="2" width="3" bestFit="1" customWidth="1"/>
    <col min="3" max="3" width="155.26953125" customWidth="1"/>
  </cols>
  <sheetData>
    <row r="2" spans="2:3" ht="15" customHeight="1" x14ac:dyDescent="0.35">
      <c r="B2" s="52">
        <v>1</v>
      </c>
      <c r="C2" s="55" t="s">
        <v>280</v>
      </c>
    </row>
    <row r="3" spans="2:3" x14ac:dyDescent="0.35">
      <c r="B3" s="52">
        <v>2</v>
      </c>
      <c r="C3" s="53" t="s">
        <v>281</v>
      </c>
    </row>
    <row r="4" spans="2:3" x14ac:dyDescent="0.35">
      <c r="B4" s="52">
        <v>3</v>
      </c>
      <c r="C4" s="54" t="s">
        <v>282</v>
      </c>
    </row>
    <row r="5" spans="2:3" x14ac:dyDescent="0.35">
      <c r="B5" s="52">
        <v>4</v>
      </c>
      <c r="C5" s="53" t="s">
        <v>283</v>
      </c>
    </row>
    <row r="6" spans="2:3" x14ac:dyDescent="0.35">
      <c r="B6" s="52">
        <v>5</v>
      </c>
      <c r="C6" s="54" t="s">
        <v>284</v>
      </c>
    </row>
    <row r="7" spans="2:3" ht="29" x14ac:dyDescent="0.35">
      <c r="B7" s="52">
        <v>6</v>
      </c>
      <c r="C7" s="53" t="s">
        <v>285</v>
      </c>
    </row>
    <row r="8" spans="2:3" ht="72.5" x14ac:dyDescent="0.35">
      <c r="B8" s="52">
        <v>7</v>
      </c>
      <c r="C8" s="53" t="s">
        <v>286</v>
      </c>
    </row>
    <row r="9" spans="2:3" x14ac:dyDescent="0.35">
      <c r="B9" s="52">
        <v>8</v>
      </c>
      <c r="C9" s="54" t="s">
        <v>287</v>
      </c>
    </row>
    <row r="10" spans="2:3" x14ac:dyDescent="0.35">
      <c r="B10" s="52">
        <v>9</v>
      </c>
      <c r="C10" s="54" t="s">
        <v>288</v>
      </c>
    </row>
    <row r="11" spans="2:3" x14ac:dyDescent="0.35">
      <c r="B11" s="52">
        <v>10</v>
      </c>
      <c r="C11" s="54" t="s">
        <v>289</v>
      </c>
    </row>
    <row r="12" spans="2:3" x14ac:dyDescent="0.35">
      <c r="B12" s="52">
        <v>11</v>
      </c>
      <c r="C12" s="54" t="s">
        <v>290</v>
      </c>
    </row>
    <row r="13" spans="2:3" x14ac:dyDescent="0.35">
      <c r="B13" s="52">
        <v>12</v>
      </c>
      <c r="C13" s="54" t="s">
        <v>291</v>
      </c>
    </row>
    <row r="14" spans="2:3" x14ac:dyDescent="0.35">
      <c r="B14" s="52">
        <v>13</v>
      </c>
      <c r="C14" s="54" t="s">
        <v>292</v>
      </c>
    </row>
    <row r="15" spans="2:3" x14ac:dyDescent="0.35">
      <c r="B15" s="52">
        <v>14</v>
      </c>
      <c r="C15" s="54" t="s">
        <v>282</v>
      </c>
    </row>
    <row r="16" spans="2:3" x14ac:dyDescent="0.35">
      <c r="B16" s="52">
        <v>15</v>
      </c>
      <c r="C16" s="54" t="s">
        <v>294</v>
      </c>
    </row>
    <row r="17" spans="2:3" x14ac:dyDescent="0.35">
      <c r="B17" s="75">
        <v>16</v>
      </c>
      <c r="C17" s="59" t="s">
        <v>295</v>
      </c>
    </row>
    <row r="18" spans="2:3" x14ac:dyDescent="0.35">
      <c r="B18" s="58">
        <v>17</v>
      </c>
      <c r="C18" s="59" t="s">
        <v>296</v>
      </c>
    </row>
    <row r="19" spans="2:3" x14ac:dyDescent="0.35">
      <c r="B19" s="57">
        <v>18</v>
      </c>
      <c r="C19" s="52" t="s">
        <v>297</v>
      </c>
    </row>
    <row r="20" spans="2:3" x14ac:dyDescent="0.35">
      <c r="B20" s="58">
        <v>19</v>
      </c>
      <c r="C20" s="52" t="s">
        <v>333</v>
      </c>
    </row>
    <row r="21" spans="2:3" x14ac:dyDescent="0.35">
      <c r="B21" s="60">
        <v>20</v>
      </c>
      <c r="C21" s="52" t="s">
        <v>298</v>
      </c>
    </row>
    <row r="22" spans="2:3" x14ac:dyDescent="0.35">
      <c r="B22" s="58">
        <v>21</v>
      </c>
      <c r="C22" s="52" t="s">
        <v>297</v>
      </c>
    </row>
    <row r="23" spans="2:3" s="69" customFormat="1" ht="29.25" customHeight="1" x14ac:dyDescent="0.35">
      <c r="B23" s="68">
        <v>22</v>
      </c>
      <c r="C23" s="55" t="s">
        <v>325</v>
      </c>
    </row>
    <row r="24" spans="2:3" s="69" customFormat="1" ht="30.75" customHeight="1" x14ac:dyDescent="0.35">
      <c r="B24" s="70">
        <v>23</v>
      </c>
      <c r="C24" s="55" t="s">
        <v>326</v>
      </c>
    </row>
    <row r="25" spans="2:3" x14ac:dyDescent="0.35">
      <c r="B25" s="60">
        <v>24</v>
      </c>
      <c r="C25" s="52" t="s">
        <v>329</v>
      </c>
    </row>
    <row r="26" spans="2:3" x14ac:dyDescent="0.35">
      <c r="B26" s="58">
        <v>25</v>
      </c>
      <c r="C26" s="52" t="s">
        <v>327</v>
      </c>
    </row>
    <row r="27" spans="2:3" x14ac:dyDescent="0.35">
      <c r="B27" s="70">
        <v>26</v>
      </c>
      <c r="C27" s="60" t="s">
        <v>328</v>
      </c>
    </row>
    <row r="28" spans="2:3" x14ac:dyDescent="0.35">
      <c r="B28" s="71">
        <v>27</v>
      </c>
      <c r="C28" s="52" t="s">
        <v>330</v>
      </c>
    </row>
    <row r="29" spans="2:3" ht="43.5" x14ac:dyDescent="0.35">
      <c r="B29" s="74">
        <v>28</v>
      </c>
      <c r="C29" s="53" t="s">
        <v>331</v>
      </c>
    </row>
    <row r="30" spans="2:3" x14ac:dyDescent="0.35">
      <c r="B30" s="70">
        <v>29</v>
      </c>
      <c r="C30" s="52" t="s">
        <v>332</v>
      </c>
    </row>
    <row r="31" spans="2:3" ht="29" x14ac:dyDescent="0.35">
      <c r="B31" s="76">
        <v>30</v>
      </c>
      <c r="C31" s="53" t="s">
        <v>334</v>
      </c>
    </row>
    <row r="32" spans="2:3" x14ac:dyDescent="0.35">
      <c r="B32" s="70">
        <v>31</v>
      </c>
      <c r="C32" s="52" t="s">
        <v>335</v>
      </c>
    </row>
    <row r="33" spans="2:3" x14ac:dyDescent="0.35">
      <c r="B33" s="70">
        <v>32</v>
      </c>
      <c r="C33" s="52" t="s">
        <v>336</v>
      </c>
    </row>
    <row r="34" spans="2:3" ht="36.75" customHeight="1" x14ac:dyDescent="0.35">
      <c r="B34" s="76">
        <v>33</v>
      </c>
      <c r="C34" s="59" t="s">
        <v>337</v>
      </c>
    </row>
    <row r="35" spans="2:3" x14ac:dyDescent="0.35">
      <c r="B35" s="81">
        <v>34</v>
      </c>
      <c r="C35" s="52" t="s">
        <v>346</v>
      </c>
    </row>
    <row r="36" spans="2:3" ht="58" x14ac:dyDescent="0.35">
      <c r="B36" s="68">
        <v>35</v>
      </c>
      <c r="C36" s="53" t="s">
        <v>350</v>
      </c>
    </row>
    <row r="37" spans="2:3" x14ac:dyDescent="0.35">
      <c r="B37" s="52"/>
      <c r="C37" s="52"/>
    </row>
    <row r="38" spans="2:3" x14ac:dyDescent="0.35">
      <c r="B38" s="52"/>
      <c r="C38" s="52"/>
    </row>
    <row r="39" spans="2:3" x14ac:dyDescent="0.35">
      <c r="B39" s="52"/>
      <c r="C39" s="52"/>
    </row>
    <row r="40" spans="2:3" x14ac:dyDescent="0.35">
      <c r="B40" s="52"/>
      <c r="C40" s="52"/>
    </row>
    <row r="41" spans="2:3" x14ac:dyDescent="0.35">
      <c r="B41" s="52"/>
      <c r="C41" s="52"/>
    </row>
    <row r="42" spans="2:3" x14ac:dyDescent="0.35">
      <c r="B42" s="52"/>
      <c r="C42" s="52"/>
    </row>
    <row r="43" spans="2:3" x14ac:dyDescent="0.35">
      <c r="B43" s="52"/>
      <c r="C43" s="52"/>
    </row>
    <row r="44" spans="2:3" x14ac:dyDescent="0.35">
      <c r="B44" s="52"/>
      <c r="C44" s="52"/>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47"/>
    <col min="2" max="2" width="12.26953125" style="47" customWidth="1"/>
    <col min="3" max="16384" width="9.1796875" style="47"/>
  </cols>
  <sheetData>
    <row r="2" spans="1:12" x14ac:dyDescent="0.35">
      <c r="B2" s="62" t="s">
        <v>299</v>
      </c>
      <c r="C2" s="238"/>
      <c r="D2" s="238"/>
    </row>
    <row r="3" spans="1:12" x14ac:dyDescent="0.35">
      <c r="D3" s="63"/>
      <c r="E3" s="63"/>
      <c r="F3" s="63"/>
      <c r="G3" s="63"/>
      <c r="H3" s="63"/>
      <c r="I3" s="63"/>
    </row>
    <row r="4" spans="1:12" x14ac:dyDescent="0.35">
      <c r="A4" s="62" t="s">
        <v>66</v>
      </c>
      <c r="B4" s="64" t="s">
        <v>300</v>
      </c>
      <c r="C4" s="239" t="s">
        <v>301</v>
      </c>
      <c r="D4" s="239"/>
      <c r="E4" s="239"/>
      <c r="F4" s="64"/>
      <c r="G4" s="240" t="s">
        <v>302</v>
      </c>
      <c r="H4" s="240"/>
      <c r="I4" s="240"/>
      <c r="J4" s="241" t="s">
        <v>303</v>
      </c>
      <c r="K4" s="241"/>
      <c r="L4" s="241"/>
    </row>
    <row r="5" spans="1:12" x14ac:dyDescent="0.35">
      <c r="A5" s="62"/>
      <c r="B5" s="64"/>
      <c r="C5" s="64" t="s">
        <v>304</v>
      </c>
      <c r="D5" s="64" t="s">
        <v>305</v>
      </c>
      <c r="E5" s="64" t="s">
        <v>306</v>
      </c>
      <c r="F5" s="64"/>
      <c r="G5" s="64" t="s">
        <v>304</v>
      </c>
      <c r="H5" s="64" t="s">
        <v>305</v>
      </c>
      <c r="I5" s="64" t="s">
        <v>306</v>
      </c>
      <c r="J5" s="64" t="s">
        <v>304</v>
      </c>
      <c r="K5" s="64" t="s">
        <v>305</v>
      </c>
      <c r="L5" s="64" t="s">
        <v>306</v>
      </c>
    </row>
    <row r="6" spans="1:12" x14ac:dyDescent="0.35">
      <c r="B6" s="48" t="s">
        <v>307</v>
      </c>
      <c r="C6" s="48"/>
      <c r="D6" s="48"/>
      <c r="E6" s="48">
        <f>C6*D6</f>
        <v>0</v>
      </c>
      <c r="F6" s="48" t="s">
        <v>324</v>
      </c>
      <c r="G6" s="48"/>
      <c r="H6" s="48"/>
      <c r="I6" s="48">
        <f>G6*H6</f>
        <v>0</v>
      </c>
      <c r="J6" s="48"/>
      <c r="K6" s="48"/>
      <c r="L6" s="48">
        <f>J6*K6</f>
        <v>0</v>
      </c>
    </row>
    <row r="7" spans="1:12" x14ac:dyDescent="0.35">
      <c r="B7" s="48"/>
      <c r="C7" s="48"/>
      <c r="D7" s="48"/>
      <c r="E7" s="48">
        <f t="shared" ref="E7:E41" si="0">C7*D7</f>
        <v>0</v>
      </c>
      <c r="F7" s="48" t="s">
        <v>324</v>
      </c>
      <c r="G7" s="48"/>
      <c r="H7" s="48"/>
      <c r="I7" s="48">
        <f t="shared" ref="I7:I35" si="1">G7*H7</f>
        <v>0</v>
      </c>
      <c r="J7" s="48"/>
      <c r="K7" s="48"/>
      <c r="L7" s="48">
        <f t="shared" ref="L7:L35" si="2">J7*K7</f>
        <v>0</v>
      </c>
    </row>
    <row r="8" spans="1:12" x14ac:dyDescent="0.35">
      <c r="B8" s="48"/>
      <c r="C8" s="48"/>
      <c r="D8" s="48"/>
      <c r="E8" s="48">
        <f t="shared" si="0"/>
        <v>0</v>
      </c>
      <c r="F8" s="48"/>
      <c r="G8" s="48"/>
      <c r="H8" s="48"/>
      <c r="I8" s="48">
        <f t="shared" si="1"/>
        <v>0</v>
      </c>
      <c r="J8" s="48"/>
      <c r="K8" s="48"/>
      <c r="L8" s="48">
        <f t="shared" si="2"/>
        <v>0</v>
      </c>
    </row>
    <row r="9" spans="1:12" x14ac:dyDescent="0.35">
      <c r="B9" s="48"/>
      <c r="C9" s="48"/>
      <c r="D9" s="48"/>
      <c r="E9" s="48">
        <f t="shared" si="0"/>
        <v>0</v>
      </c>
      <c r="F9" s="48" t="s">
        <v>308</v>
      </c>
      <c r="G9" s="48"/>
      <c r="H9" s="48"/>
      <c r="I9" s="48">
        <f t="shared" si="1"/>
        <v>0</v>
      </c>
      <c r="J9" s="48"/>
      <c r="K9" s="48"/>
      <c r="L9" s="48">
        <f t="shared" si="2"/>
        <v>0</v>
      </c>
    </row>
    <row r="10" spans="1:12" x14ac:dyDescent="0.35">
      <c r="B10" s="48" t="s">
        <v>309</v>
      </c>
      <c r="C10" s="48"/>
      <c r="D10" s="48"/>
      <c r="E10" s="48">
        <f t="shared" si="0"/>
        <v>0</v>
      </c>
      <c r="F10" s="48" t="s">
        <v>308</v>
      </c>
      <c r="G10" s="48"/>
      <c r="H10" s="48"/>
      <c r="I10" s="48">
        <f t="shared" si="1"/>
        <v>0</v>
      </c>
      <c r="J10" s="48"/>
      <c r="K10" s="48"/>
      <c r="L10" s="48">
        <f t="shared" si="2"/>
        <v>0</v>
      </c>
    </row>
    <row r="11" spans="1:12" x14ac:dyDescent="0.35">
      <c r="B11" s="48"/>
      <c r="C11" s="48"/>
      <c r="D11" s="48"/>
      <c r="E11" s="48">
        <f t="shared" si="0"/>
        <v>0</v>
      </c>
      <c r="F11" s="48" t="s">
        <v>310</v>
      </c>
      <c r="G11" s="48"/>
      <c r="H11" s="48"/>
      <c r="I11" s="48">
        <f t="shared" si="1"/>
        <v>0</v>
      </c>
      <c r="J11" s="48"/>
      <c r="K11" s="48"/>
      <c r="L11" s="48">
        <f t="shared" si="2"/>
        <v>0</v>
      </c>
    </row>
    <row r="12" spans="1:12" x14ac:dyDescent="0.35">
      <c r="B12" s="48"/>
      <c r="C12" s="48"/>
      <c r="D12" s="48"/>
      <c r="E12" s="48">
        <f t="shared" si="0"/>
        <v>0</v>
      </c>
      <c r="F12" s="48"/>
      <c r="G12" s="48"/>
      <c r="H12" s="48"/>
      <c r="I12" s="48">
        <f t="shared" si="1"/>
        <v>0</v>
      </c>
      <c r="J12" s="48"/>
      <c r="K12" s="48"/>
      <c r="L12" s="48">
        <f t="shared" si="2"/>
        <v>0</v>
      </c>
    </row>
    <row r="13" spans="1:12" x14ac:dyDescent="0.35">
      <c r="B13" s="48"/>
      <c r="C13" s="48"/>
      <c r="D13" s="48"/>
      <c r="E13" s="48">
        <f t="shared" si="0"/>
        <v>0</v>
      </c>
      <c r="F13" s="48"/>
      <c r="G13" s="48"/>
      <c r="H13" s="48"/>
      <c r="I13" s="48">
        <f t="shared" si="1"/>
        <v>0</v>
      </c>
      <c r="J13" s="48"/>
      <c r="K13" s="48"/>
      <c r="L13" s="48">
        <f t="shared" si="2"/>
        <v>0</v>
      </c>
    </row>
    <row r="14" spans="1:12" x14ac:dyDescent="0.35">
      <c r="B14" s="48" t="s">
        <v>311</v>
      </c>
      <c r="C14" s="48"/>
      <c r="D14" s="48"/>
      <c r="E14" s="48">
        <f t="shared" si="0"/>
        <v>0</v>
      </c>
      <c r="F14" s="48" t="s">
        <v>308</v>
      </c>
      <c r="G14" s="48"/>
      <c r="H14" s="48"/>
      <c r="I14" s="48">
        <f t="shared" si="1"/>
        <v>0</v>
      </c>
      <c r="J14" s="48"/>
      <c r="K14" s="48"/>
      <c r="L14" s="48">
        <f t="shared" si="2"/>
        <v>0</v>
      </c>
    </row>
    <row r="15" spans="1:12" x14ac:dyDescent="0.35">
      <c r="B15" s="48"/>
      <c r="C15" s="48"/>
      <c r="D15" s="48"/>
      <c r="E15" s="48">
        <f t="shared" si="0"/>
        <v>0</v>
      </c>
      <c r="F15" s="48" t="s">
        <v>310</v>
      </c>
      <c r="G15" s="48"/>
      <c r="H15" s="48"/>
      <c r="I15" s="48">
        <f t="shared" si="1"/>
        <v>0</v>
      </c>
      <c r="J15" s="48"/>
      <c r="K15" s="48"/>
      <c r="L15" s="48">
        <f t="shared" si="2"/>
        <v>0</v>
      </c>
    </row>
    <row r="16" spans="1:12" x14ac:dyDescent="0.35">
      <c r="B16" s="48"/>
      <c r="C16" s="48"/>
      <c r="D16" s="48"/>
      <c r="E16" s="48">
        <f t="shared" si="0"/>
        <v>0</v>
      </c>
      <c r="F16" s="48"/>
      <c r="G16" s="48"/>
      <c r="H16" s="48"/>
      <c r="I16" s="48">
        <f t="shared" si="1"/>
        <v>0</v>
      </c>
      <c r="J16" s="48"/>
      <c r="K16" s="48"/>
      <c r="L16" s="48">
        <f t="shared" si="2"/>
        <v>0</v>
      </c>
    </row>
    <row r="17" spans="2:12" x14ac:dyDescent="0.35">
      <c r="B17" s="48"/>
      <c r="C17" s="48"/>
      <c r="D17" s="48"/>
      <c r="E17" s="48">
        <f t="shared" si="0"/>
        <v>0</v>
      </c>
      <c r="F17" s="48"/>
      <c r="G17" s="48"/>
      <c r="H17" s="48"/>
      <c r="I17" s="48">
        <f t="shared" si="1"/>
        <v>0</v>
      </c>
      <c r="J17" s="48"/>
      <c r="K17" s="48"/>
      <c r="L17" s="48">
        <f t="shared" si="2"/>
        <v>0</v>
      </c>
    </row>
    <row r="18" spans="2:12" x14ac:dyDescent="0.35">
      <c r="B18" s="48" t="s">
        <v>312</v>
      </c>
      <c r="C18" s="48"/>
      <c r="D18" s="48"/>
      <c r="E18" s="48">
        <f t="shared" si="0"/>
        <v>0</v>
      </c>
      <c r="F18" s="48" t="s">
        <v>308</v>
      </c>
      <c r="G18" s="48"/>
      <c r="H18" s="48"/>
      <c r="I18" s="48">
        <f t="shared" si="1"/>
        <v>0</v>
      </c>
      <c r="J18" s="48"/>
      <c r="K18" s="48"/>
      <c r="L18" s="48">
        <f t="shared" si="2"/>
        <v>0</v>
      </c>
    </row>
    <row r="19" spans="2:12" x14ac:dyDescent="0.35">
      <c r="B19" s="48"/>
      <c r="C19" s="48"/>
      <c r="D19" s="48"/>
      <c r="E19" s="48">
        <f t="shared" si="0"/>
        <v>0</v>
      </c>
      <c r="F19" s="48" t="s">
        <v>310</v>
      </c>
      <c r="G19" s="48"/>
      <c r="H19" s="48"/>
      <c r="I19" s="48">
        <f t="shared" si="1"/>
        <v>0</v>
      </c>
      <c r="J19" s="48"/>
      <c r="K19" s="48"/>
      <c r="L19" s="48">
        <f t="shared" si="2"/>
        <v>0</v>
      </c>
    </row>
    <row r="20" spans="2:12" x14ac:dyDescent="0.35">
      <c r="B20" s="48"/>
      <c r="C20" s="48"/>
      <c r="D20" s="48"/>
      <c r="E20" s="48">
        <f t="shared" si="0"/>
        <v>0</v>
      </c>
      <c r="F20" s="48"/>
      <c r="G20" s="48"/>
      <c r="H20" s="48"/>
      <c r="I20" s="48">
        <f t="shared" si="1"/>
        <v>0</v>
      </c>
      <c r="J20" s="48"/>
      <c r="K20" s="48"/>
      <c r="L20" s="48">
        <f t="shared" si="2"/>
        <v>0</v>
      </c>
    </row>
    <row r="21" spans="2:12" x14ac:dyDescent="0.35">
      <c r="B21" s="48" t="s">
        <v>313</v>
      </c>
      <c r="C21" s="48"/>
      <c r="D21" s="48"/>
      <c r="E21" s="48">
        <f t="shared" si="0"/>
        <v>0</v>
      </c>
      <c r="F21" s="48" t="s">
        <v>308</v>
      </c>
      <c r="G21" s="48"/>
      <c r="H21" s="48"/>
      <c r="I21" s="48">
        <f t="shared" si="1"/>
        <v>0</v>
      </c>
      <c r="J21" s="48"/>
      <c r="K21" s="48"/>
      <c r="L21" s="48">
        <f t="shared" si="2"/>
        <v>0</v>
      </c>
    </row>
    <row r="22" spans="2:12" x14ac:dyDescent="0.35">
      <c r="B22" s="48"/>
      <c r="C22" s="48"/>
      <c r="D22" s="48"/>
      <c r="E22" s="48">
        <f t="shared" si="0"/>
        <v>0</v>
      </c>
      <c r="F22" s="48" t="s">
        <v>310</v>
      </c>
      <c r="G22" s="48"/>
      <c r="H22" s="48"/>
      <c r="I22" s="48">
        <f t="shared" si="1"/>
        <v>0</v>
      </c>
      <c r="J22" s="48"/>
      <c r="K22" s="48"/>
      <c r="L22" s="48">
        <f t="shared" si="2"/>
        <v>0</v>
      </c>
    </row>
    <row r="23" spans="2:12" x14ac:dyDescent="0.35">
      <c r="B23" s="48"/>
      <c r="C23" s="48"/>
      <c r="D23" s="48"/>
      <c r="E23" s="48">
        <f t="shared" si="0"/>
        <v>0</v>
      </c>
      <c r="F23" s="48"/>
      <c r="G23" s="48"/>
      <c r="H23" s="48"/>
      <c r="I23" s="48">
        <f t="shared" si="1"/>
        <v>0</v>
      </c>
      <c r="J23" s="48"/>
      <c r="K23" s="48"/>
      <c r="L23" s="48">
        <f t="shared" si="2"/>
        <v>0</v>
      </c>
    </row>
    <row r="24" spans="2:12" x14ac:dyDescent="0.35">
      <c r="B24" s="48" t="s">
        <v>314</v>
      </c>
      <c r="C24" s="48"/>
      <c r="D24" s="48"/>
      <c r="E24" s="48">
        <f t="shared" si="0"/>
        <v>0</v>
      </c>
      <c r="F24" s="48" t="s">
        <v>315</v>
      </c>
      <c r="G24" s="48"/>
      <c r="H24" s="48"/>
      <c r="I24" s="48">
        <f t="shared" si="1"/>
        <v>0</v>
      </c>
      <c r="J24" s="48"/>
      <c r="K24" s="48"/>
      <c r="L24" s="48">
        <f t="shared" si="2"/>
        <v>0</v>
      </c>
    </row>
    <row r="25" spans="2:12" x14ac:dyDescent="0.35">
      <c r="B25" s="48"/>
      <c r="C25" s="48"/>
      <c r="D25" s="48"/>
      <c r="E25" s="48">
        <f>C25*D25</f>
        <v>0</v>
      </c>
      <c r="F25" s="48" t="s">
        <v>315</v>
      </c>
      <c r="G25" s="48"/>
      <c r="H25" s="48"/>
      <c r="I25" s="48">
        <f>G25*H25</f>
        <v>0</v>
      </c>
      <c r="J25" s="48"/>
      <c r="K25" s="48"/>
      <c r="L25" s="48">
        <f>J25*K25</f>
        <v>0</v>
      </c>
    </row>
    <row r="26" spans="2:12" x14ac:dyDescent="0.35">
      <c r="B26" s="48"/>
      <c r="C26" s="48"/>
      <c r="D26" s="48"/>
      <c r="E26" s="48">
        <f>C26*D26</f>
        <v>0</v>
      </c>
      <c r="F26" s="48" t="s">
        <v>315</v>
      </c>
      <c r="G26" s="48"/>
      <c r="H26" s="48"/>
      <c r="I26" s="48">
        <f>G26*H26</f>
        <v>0</v>
      </c>
      <c r="J26" s="48"/>
      <c r="K26" s="48"/>
      <c r="L26" s="48">
        <f>J26*K26</f>
        <v>0</v>
      </c>
    </row>
    <row r="27" spans="2:12" x14ac:dyDescent="0.35">
      <c r="B27" s="48"/>
      <c r="C27" s="48"/>
      <c r="D27" s="48"/>
      <c r="E27" s="48">
        <f>C27*D27</f>
        <v>0</v>
      </c>
      <c r="F27" s="48" t="s">
        <v>315</v>
      </c>
      <c r="G27" s="48"/>
      <c r="H27" s="48"/>
      <c r="I27" s="48">
        <f>G27*H27</f>
        <v>0</v>
      </c>
      <c r="J27" s="48"/>
      <c r="K27" s="48"/>
      <c r="L27" s="48">
        <f>J27*K27</f>
        <v>0</v>
      </c>
    </row>
    <row r="28" spans="2:12" x14ac:dyDescent="0.35">
      <c r="B28" s="48" t="s">
        <v>316</v>
      </c>
      <c r="C28" s="48"/>
      <c r="D28" s="48"/>
      <c r="E28" s="48">
        <f t="shared" si="0"/>
        <v>0</v>
      </c>
      <c r="F28" s="48" t="s">
        <v>315</v>
      </c>
      <c r="G28" s="48"/>
      <c r="H28" s="48"/>
      <c r="I28" s="48">
        <f t="shared" si="1"/>
        <v>0</v>
      </c>
      <c r="J28" s="48"/>
      <c r="K28" s="48"/>
      <c r="L28" s="48">
        <f t="shared" si="2"/>
        <v>0</v>
      </c>
    </row>
    <row r="29" spans="2:12" x14ac:dyDescent="0.35">
      <c r="B29" s="48" t="s">
        <v>317</v>
      </c>
      <c r="C29" s="48"/>
      <c r="D29" s="48"/>
      <c r="E29" s="48">
        <f t="shared" si="0"/>
        <v>0</v>
      </c>
      <c r="F29" s="48" t="s">
        <v>315</v>
      </c>
      <c r="G29" s="48"/>
      <c r="H29" s="48"/>
      <c r="I29" s="48">
        <f t="shared" si="1"/>
        <v>0</v>
      </c>
      <c r="J29" s="48"/>
      <c r="K29" s="48"/>
      <c r="L29" s="48">
        <f t="shared" si="2"/>
        <v>0</v>
      </c>
    </row>
    <row r="30" spans="2:12" x14ac:dyDescent="0.35">
      <c r="B30" s="48" t="s">
        <v>321</v>
      </c>
      <c r="C30" s="48"/>
      <c r="D30" s="48"/>
      <c r="E30" s="48">
        <f t="shared" si="0"/>
        <v>0</v>
      </c>
      <c r="F30" s="48"/>
      <c r="G30" s="48"/>
      <c r="H30" s="48"/>
      <c r="I30" s="48">
        <f t="shared" si="1"/>
        <v>0</v>
      </c>
      <c r="J30" s="48"/>
      <c r="K30" s="48"/>
      <c r="L30" s="48">
        <f t="shared" si="2"/>
        <v>0</v>
      </c>
    </row>
    <row r="31" spans="2:12" x14ac:dyDescent="0.35">
      <c r="B31" s="48"/>
      <c r="C31" s="48"/>
      <c r="D31" s="48"/>
      <c r="E31" s="48">
        <f>C31*D31</f>
        <v>0</v>
      </c>
      <c r="F31" s="48"/>
      <c r="G31" s="48"/>
      <c r="H31" s="48"/>
      <c r="I31" s="48">
        <f>G31*H31</f>
        <v>0</v>
      </c>
      <c r="J31" s="48"/>
      <c r="K31" s="48"/>
      <c r="L31" s="48">
        <f>J31*K31</f>
        <v>0</v>
      </c>
    </row>
    <row r="32" spans="2:12" x14ac:dyDescent="0.35">
      <c r="B32" s="48"/>
      <c r="C32" s="48"/>
      <c r="D32" s="48"/>
      <c r="E32" s="48">
        <f>C32*D32</f>
        <v>0</v>
      </c>
      <c r="F32" s="48"/>
      <c r="G32" s="48"/>
      <c r="H32" s="48"/>
      <c r="I32" s="48">
        <f>G32*H32</f>
        <v>0</v>
      </c>
      <c r="J32" s="48"/>
      <c r="K32" s="48"/>
      <c r="L32" s="48">
        <f>J32*K32</f>
        <v>0</v>
      </c>
    </row>
    <row r="33" spans="2:12" x14ac:dyDescent="0.35">
      <c r="B33" s="48" t="s">
        <v>318</v>
      </c>
      <c r="C33" s="48"/>
      <c r="D33" s="48"/>
      <c r="E33" s="48">
        <f t="shared" si="0"/>
        <v>0</v>
      </c>
      <c r="F33" s="48"/>
      <c r="G33" s="48"/>
      <c r="H33" s="48"/>
      <c r="I33" s="48">
        <f t="shared" si="1"/>
        <v>0</v>
      </c>
      <c r="J33" s="48"/>
      <c r="K33" s="48"/>
      <c r="L33" s="48">
        <f t="shared" si="2"/>
        <v>0</v>
      </c>
    </row>
    <row r="34" spans="2:12" x14ac:dyDescent="0.35">
      <c r="B34" s="48" t="s">
        <v>322</v>
      </c>
      <c r="C34" s="48"/>
      <c r="D34" s="48"/>
      <c r="E34" s="48">
        <f t="shared" si="0"/>
        <v>0</v>
      </c>
      <c r="F34" s="48"/>
      <c r="G34" s="48"/>
      <c r="H34" s="48"/>
      <c r="I34" s="48">
        <f t="shared" si="1"/>
        <v>0</v>
      </c>
      <c r="J34" s="48"/>
      <c r="K34" s="48"/>
      <c r="L34" s="48">
        <f t="shared" si="2"/>
        <v>0</v>
      </c>
    </row>
    <row r="35" spans="2:12" x14ac:dyDescent="0.35">
      <c r="B35" s="48" t="s">
        <v>319</v>
      </c>
      <c r="C35" s="48"/>
      <c r="D35" s="48"/>
      <c r="E35" s="48">
        <f t="shared" si="0"/>
        <v>0</v>
      </c>
      <c r="F35" s="48"/>
      <c r="G35" s="48"/>
      <c r="H35" s="48"/>
      <c r="I35" s="48">
        <f t="shared" si="1"/>
        <v>0</v>
      </c>
      <c r="J35" s="48"/>
      <c r="K35" s="48"/>
      <c r="L35" s="48">
        <f t="shared" si="2"/>
        <v>0</v>
      </c>
    </row>
    <row r="36" spans="2:12" x14ac:dyDescent="0.35">
      <c r="B36" s="48" t="s">
        <v>320</v>
      </c>
      <c r="C36" s="48"/>
      <c r="D36" s="48"/>
      <c r="E36" s="48">
        <f t="shared" si="0"/>
        <v>0</v>
      </c>
      <c r="F36" s="48"/>
      <c r="G36" s="48"/>
      <c r="H36" s="48"/>
      <c r="I36" s="48">
        <f t="shared" ref="I36:I41" si="3">G36*H36</f>
        <v>0</v>
      </c>
      <c r="J36" s="48"/>
      <c r="K36" s="48"/>
      <c r="L36" s="48">
        <f t="shared" ref="L36:L41" si="4">J36*K36</f>
        <v>0</v>
      </c>
    </row>
    <row r="37" spans="2:12" x14ac:dyDescent="0.35">
      <c r="B37" s="48"/>
      <c r="C37" s="48"/>
      <c r="D37" s="48"/>
      <c r="E37" s="48">
        <f>C37*D37</f>
        <v>0</v>
      </c>
      <c r="F37" s="48"/>
      <c r="G37" s="48"/>
      <c r="H37" s="48"/>
      <c r="I37" s="48">
        <f t="shared" si="3"/>
        <v>0</v>
      </c>
      <c r="J37" s="48"/>
      <c r="K37" s="48"/>
      <c r="L37" s="48">
        <f t="shared" si="4"/>
        <v>0</v>
      </c>
    </row>
    <row r="38" spans="2:12" x14ac:dyDescent="0.35">
      <c r="B38" s="48" t="s">
        <v>323</v>
      </c>
      <c r="C38" s="48"/>
      <c r="D38" s="48"/>
      <c r="E38" s="48">
        <f>C38*D38</f>
        <v>0</v>
      </c>
      <c r="F38" s="48"/>
      <c r="G38" s="48"/>
      <c r="H38" s="48"/>
      <c r="I38" s="48">
        <f t="shared" si="3"/>
        <v>0</v>
      </c>
      <c r="J38" s="48"/>
      <c r="K38" s="48"/>
      <c r="L38" s="48">
        <f t="shared" si="4"/>
        <v>0</v>
      </c>
    </row>
    <row r="39" spans="2:12" x14ac:dyDescent="0.35">
      <c r="B39" s="48"/>
      <c r="C39" s="48"/>
      <c r="D39" s="48"/>
      <c r="E39" s="48">
        <f t="shared" si="0"/>
        <v>0</v>
      </c>
      <c r="F39" s="48"/>
      <c r="G39" s="48"/>
      <c r="H39" s="48"/>
      <c r="I39" s="48">
        <f t="shared" si="3"/>
        <v>0</v>
      </c>
      <c r="J39" s="48"/>
      <c r="K39" s="48"/>
      <c r="L39" s="48">
        <f t="shared" si="4"/>
        <v>0</v>
      </c>
    </row>
    <row r="40" spans="2:12" x14ac:dyDescent="0.35">
      <c r="B40" s="48"/>
      <c r="C40" s="48"/>
      <c r="D40" s="48"/>
      <c r="E40" s="48">
        <f t="shared" si="0"/>
        <v>0</v>
      </c>
      <c r="F40" s="48"/>
      <c r="G40" s="48"/>
      <c r="H40" s="48"/>
      <c r="I40" s="48">
        <f t="shared" si="3"/>
        <v>0</v>
      </c>
      <c r="J40" s="48"/>
      <c r="K40" s="48"/>
      <c r="L40" s="48">
        <f t="shared" si="4"/>
        <v>0</v>
      </c>
    </row>
    <row r="41" spans="2:12" x14ac:dyDescent="0.35">
      <c r="B41" s="48"/>
      <c r="C41" s="48"/>
      <c r="D41" s="48"/>
      <c r="E41" s="48">
        <f t="shared" si="0"/>
        <v>0</v>
      </c>
      <c r="F41" s="48"/>
      <c r="G41" s="48"/>
      <c r="H41" s="48"/>
      <c r="I41" s="48">
        <f t="shared" si="3"/>
        <v>0</v>
      </c>
      <c r="J41" s="48"/>
      <c r="K41" s="48"/>
      <c r="L41" s="48">
        <f t="shared" si="4"/>
        <v>0</v>
      </c>
    </row>
    <row r="42" spans="2:12" x14ac:dyDescent="0.35">
      <c r="B42" s="48" t="s">
        <v>146</v>
      </c>
      <c r="C42" s="48"/>
      <c r="D42" s="48">
        <f>E42*10.764</f>
        <v>0</v>
      </c>
      <c r="E42" s="67">
        <f>SUM(E6:E41)</f>
        <v>0</v>
      </c>
      <c r="F42" s="48"/>
      <c r="G42" s="48"/>
      <c r="H42" s="48">
        <f>I42*10.764</f>
        <v>0</v>
      </c>
      <c r="I42" s="66">
        <f>SUM(I6:I41)</f>
        <v>0</v>
      </c>
      <c r="J42" s="48"/>
      <c r="K42" s="48">
        <f>L42*10.764</f>
        <v>0</v>
      </c>
      <c r="L42" s="65">
        <f>SUM(L6:L41)</f>
        <v>0</v>
      </c>
    </row>
    <row r="44" spans="2:12" x14ac:dyDescent="0.35">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Research</vt:lpstr>
      <vt:lpstr>valuation</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2025-01-14T11:20:28Z</cp:lastPrinted>
  <dcterms:created xsi:type="dcterms:W3CDTF">2019-07-16T09:29:46Z</dcterms:created>
  <dcterms:modified xsi:type="dcterms:W3CDTF">2025-07-09T05:06:22Z</dcterms:modified>
</cp:coreProperties>
</file>