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9-07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Report!$A$1:$H$425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266" i="1" l="1"/>
  <c r="E265" i="1"/>
  <c r="D269" i="1"/>
  <c r="F269" i="1" s="1"/>
  <c r="D268" i="1"/>
  <c r="F268" i="1" s="1"/>
  <c r="D267" i="1"/>
  <c r="F267" i="1" s="1"/>
  <c r="D266" i="1"/>
  <c r="J265" i="1"/>
  <c r="I265" i="1"/>
  <c r="G265" i="1"/>
  <c r="G266" i="1" s="1"/>
  <c r="G267" i="1" s="1"/>
  <c r="G268" i="1" s="1"/>
  <c r="G269" i="1" s="1"/>
  <c r="D265" i="1"/>
  <c r="D281" i="1"/>
  <c r="F281" i="1" s="1"/>
  <c r="D280" i="1"/>
  <c r="F280" i="1" s="1"/>
  <c r="D279" i="1"/>
  <c r="F279" i="1" s="1"/>
  <c r="D278" i="1"/>
  <c r="F278" i="1" s="1"/>
  <c r="D275" i="1"/>
  <c r="F275" i="1" s="1"/>
  <c r="D274" i="1"/>
  <c r="F274" i="1" s="1"/>
  <c r="D273" i="1"/>
  <c r="F273" i="1" s="1"/>
  <c r="D272" i="1"/>
  <c r="F272" i="1" s="1"/>
  <c r="D271" i="1"/>
  <c r="F271" i="1" s="1"/>
  <c r="G277" i="1"/>
  <c r="G278" i="1" s="1"/>
  <c r="G279" i="1" s="1"/>
  <c r="G280" i="1" s="1"/>
  <c r="G281" i="1" s="1"/>
  <c r="K181" i="1"/>
  <c r="K180" i="1"/>
  <c r="K179" i="1"/>
  <c r="D181" i="1"/>
  <c r="D180" i="1"/>
  <c r="D179" i="1"/>
  <c r="J181" i="1"/>
  <c r="J180" i="1"/>
  <c r="J179" i="1"/>
  <c r="I181" i="1"/>
  <c r="I180" i="1"/>
  <c r="I179" i="1"/>
  <c r="A180" i="1"/>
  <c r="A181" i="1" s="1"/>
  <c r="G179" i="1"/>
  <c r="G180" i="1" s="1"/>
  <c r="G181" i="1" s="1"/>
  <c r="G271" i="1"/>
  <c r="G272" i="1" s="1"/>
  <c r="G273" i="1" s="1"/>
  <c r="G274" i="1" s="1"/>
  <c r="G112" i="1"/>
  <c r="G113" i="1"/>
  <c r="G114" i="1"/>
  <c r="G115" i="1"/>
  <c r="G119" i="1"/>
  <c r="G120" i="1"/>
  <c r="G121" i="1"/>
  <c r="C66" i="1"/>
  <c r="B383" i="1"/>
  <c r="B346" i="1"/>
  <c r="D260" i="1"/>
  <c r="D258" i="1"/>
  <c r="E261" i="1"/>
  <c r="D261" i="1"/>
  <c r="E260" i="1"/>
  <c r="E259" i="1"/>
  <c r="D259" i="1"/>
  <c r="E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G252" i="1"/>
  <c r="G253" i="1" s="1"/>
  <c r="G254" i="1" s="1"/>
  <c r="G255" i="1" s="1"/>
  <c r="D250" i="1"/>
  <c r="D249" i="1"/>
  <c r="D248" i="1"/>
  <c r="F248" i="1" s="1"/>
  <c r="D247" i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E249" i="1"/>
  <c r="E247" i="1"/>
  <c r="J244" i="1"/>
  <c r="I244" i="1"/>
  <c r="J241" i="1"/>
  <c r="I241" i="1"/>
  <c r="F250" i="1"/>
  <c r="N242" i="1"/>
  <c r="N243" i="1" s="1"/>
  <c r="N244" i="1" s="1"/>
  <c r="G241" i="1"/>
  <c r="G242" i="1" s="1"/>
  <c r="G243" i="1" s="1"/>
  <c r="G244" i="1" s="1"/>
  <c r="O240" i="1"/>
  <c r="O241" i="1"/>
  <c r="P240" i="1"/>
  <c r="F255" i="1" l="1"/>
  <c r="F259" i="1"/>
  <c r="F265" i="1"/>
  <c r="F266" i="1"/>
  <c r="F261" i="1"/>
  <c r="G275" i="1"/>
  <c r="F257" i="1"/>
  <c r="F256" i="1"/>
  <c r="F247" i="1"/>
  <c r="F249" i="1"/>
  <c r="F253" i="1"/>
  <c r="F260" i="1"/>
  <c r="F258" i="1"/>
  <c r="F254" i="1"/>
  <c r="F252" i="1"/>
  <c r="G256" i="1"/>
  <c r="G258" i="1" s="1"/>
  <c r="G259" i="1" s="1"/>
  <c r="G257" i="1"/>
  <c r="N258" i="1"/>
  <c r="N259" i="1" s="1"/>
  <c r="O242" i="1"/>
  <c r="G246" i="1"/>
  <c r="G245" i="1"/>
  <c r="G247" i="1" s="1"/>
  <c r="G248" i="1" s="1"/>
  <c r="N246" i="1"/>
  <c r="N245" i="1"/>
  <c r="N247" i="1" s="1"/>
  <c r="N248" i="1" s="1"/>
  <c r="D219" i="1"/>
  <c r="F219" i="1" s="1"/>
  <c r="D239" i="1"/>
  <c r="D238" i="1"/>
  <c r="D237" i="1"/>
  <c r="D236" i="1"/>
  <c r="D235" i="1"/>
  <c r="D234" i="1"/>
  <c r="D233" i="1"/>
  <c r="D232" i="1"/>
  <c r="D231" i="1"/>
  <c r="D230" i="1"/>
  <c r="D214" i="1"/>
  <c r="D216" i="1"/>
  <c r="E215" i="1"/>
  <c r="E214" i="1"/>
  <c r="E213" i="1"/>
  <c r="E212" i="1"/>
  <c r="D209" i="1"/>
  <c r="D210" i="1"/>
  <c r="D208" i="1"/>
  <c r="D212" i="1"/>
  <c r="D211" i="1"/>
  <c r="K203" i="1"/>
  <c r="J203" i="1"/>
  <c r="P241" i="1"/>
  <c r="F214" i="1" l="1"/>
  <c r="N260" i="1"/>
  <c r="N261" i="1"/>
  <c r="G260" i="1"/>
  <c r="G261" i="1"/>
  <c r="P242" i="1"/>
  <c r="P243" i="1" s="1"/>
  <c r="P244" i="1" s="1"/>
  <c r="L241" i="1"/>
  <c r="G250" i="1"/>
  <c r="G249" i="1"/>
  <c r="N249" i="1"/>
  <c r="O243" i="1"/>
  <c r="P258" i="1" l="1"/>
  <c r="P259" i="1" s="1"/>
  <c r="L242" i="1"/>
  <c r="O244" i="1"/>
  <c r="L243" i="1"/>
  <c r="P246" i="1"/>
  <c r="P245" i="1"/>
  <c r="P247" i="1" s="1"/>
  <c r="P248" i="1" s="1"/>
  <c r="E225" i="1"/>
  <c r="E227" i="1"/>
  <c r="D228" i="1"/>
  <c r="F228" i="1" s="1"/>
  <c r="D226" i="1"/>
  <c r="F226" i="1" s="1"/>
  <c r="D223" i="1"/>
  <c r="F223" i="1" s="1"/>
  <c r="D222" i="1"/>
  <c r="F222" i="1" s="1"/>
  <c r="D224" i="1"/>
  <c r="F224" i="1" s="1"/>
  <c r="D221" i="1"/>
  <c r="F221" i="1" s="1"/>
  <c r="D220" i="1"/>
  <c r="F220" i="1" s="1"/>
  <c r="D227" i="1"/>
  <c r="F227" i="1" s="1"/>
  <c r="D225" i="1"/>
  <c r="N220" i="1"/>
  <c r="N221" i="1" s="1"/>
  <c r="N222" i="1" s="1"/>
  <c r="G219" i="1"/>
  <c r="G220" i="1" s="1"/>
  <c r="G221" i="1" s="1"/>
  <c r="G222" i="1" s="1"/>
  <c r="O218" i="1"/>
  <c r="F212" i="1"/>
  <c r="E216" i="1"/>
  <c r="F216" i="1" s="1"/>
  <c r="E208" i="1"/>
  <c r="F208" i="1" s="1"/>
  <c r="E217" i="1"/>
  <c r="D217" i="1"/>
  <c r="D215" i="1"/>
  <c r="F215" i="1" s="1"/>
  <c r="D213" i="1"/>
  <c r="E211" i="1"/>
  <c r="E210" i="1"/>
  <c r="F210" i="1" s="1"/>
  <c r="N209" i="1"/>
  <c r="N210" i="1" s="1"/>
  <c r="N211" i="1" s="1"/>
  <c r="E209" i="1"/>
  <c r="F209" i="1" s="1"/>
  <c r="G208" i="1"/>
  <c r="G209" i="1" s="1"/>
  <c r="G210" i="1" s="1"/>
  <c r="G211" i="1" s="1"/>
  <c r="O207" i="1"/>
  <c r="P218" i="1"/>
  <c r="P207" i="1"/>
  <c r="O208" i="1"/>
  <c r="O219" i="1"/>
  <c r="F213" i="1" l="1"/>
  <c r="E122" i="1"/>
  <c r="C122" i="1"/>
  <c r="F217" i="1"/>
  <c r="F225" i="1"/>
  <c r="P260" i="1"/>
  <c r="P261" i="1"/>
  <c r="P249" i="1"/>
  <c r="O246" i="1"/>
  <c r="L246" i="1" s="1"/>
  <c r="O245" i="1"/>
  <c r="L244" i="1"/>
  <c r="F211" i="1"/>
  <c r="O220" i="1"/>
  <c r="G224" i="1"/>
  <c r="G223" i="1"/>
  <c r="G225" i="1" s="1"/>
  <c r="G226" i="1" s="1"/>
  <c r="N224" i="1"/>
  <c r="N223" i="1"/>
  <c r="N225" i="1" s="1"/>
  <c r="N226" i="1" s="1"/>
  <c r="O209" i="1"/>
  <c r="G213" i="1"/>
  <c r="G212" i="1"/>
  <c r="G214" i="1" s="1"/>
  <c r="G215" i="1" s="1"/>
  <c r="N213" i="1"/>
  <c r="N212" i="1"/>
  <c r="N214" i="1" s="1"/>
  <c r="N215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30" i="1"/>
  <c r="F230" i="1" s="1"/>
  <c r="N231" i="1"/>
  <c r="N232" i="1" s="1"/>
  <c r="N233" i="1" s="1"/>
  <c r="N235" i="1" s="1"/>
  <c r="G230" i="1"/>
  <c r="G231" i="1" s="1"/>
  <c r="G232" i="1" s="1"/>
  <c r="G233" i="1" s="1"/>
  <c r="G235" i="1" s="1"/>
  <c r="O229" i="1"/>
  <c r="D169" i="1"/>
  <c r="D167" i="1"/>
  <c r="D166" i="1"/>
  <c r="D165" i="1"/>
  <c r="D164" i="1"/>
  <c r="D175" i="1"/>
  <c r="D174" i="1"/>
  <c r="D173" i="1"/>
  <c r="D172" i="1"/>
  <c r="D171" i="1"/>
  <c r="D170" i="1"/>
  <c r="D168" i="1"/>
  <c r="D163" i="1"/>
  <c r="D162" i="1"/>
  <c r="D161" i="1"/>
  <c r="D160" i="1"/>
  <c r="D159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G159" i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F95" i="1"/>
  <c r="C81" i="1"/>
  <c r="C68" i="1"/>
  <c r="J92" i="1"/>
  <c r="J91" i="1"/>
  <c r="J78" i="1"/>
  <c r="J77" i="1"/>
  <c r="H67" i="1"/>
  <c r="P219" i="1"/>
  <c r="P208" i="1"/>
  <c r="P229" i="1"/>
  <c r="H82" i="1"/>
  <c r="O230" i="1"/>
  <c r="G122" i="1" l="1"/>
  <c r="G123" i="1" s="1"/>
  <c r="O258" i="1"/>
  <c r="O247" i="1"/>
  <c r="L245" i="1"/>
  <c r="E115" i="1"/>
  <c r="C115" i="1"/>
  <c r="P220" i="1"/>
  <c r="P221" i="1" s="1"/>
  <c r="P222" i="1" s="1"/>
  <c r="L219" i="1"/>
  <c r="N228" i="1"/>
  <c r="N227" i="1"/>
  <c r="G228" i="1"/>
  <c r="G227" i="1"/>
  <c r="O221" i="1"/>
  <c r="P209" i="1"/>
  <c r="P210" i="1" s="1"/>
  <c r="P211" i="1" s="1"/>
  <c r="L208" i="1"/>
  <c r="N217" i="1"/>
  <c r="N216" i="1"/>
  <c r="G217" i="1"/>
  <c r="G216" i="1"/>
  <c r="O210" i="1"/>
  <c r="N234" i="1"/>
  <c r="N236" i="1" s="1"/>
  <c r="N237" i="1" s="1"/>
  <c r="N239" i="1" s="1"/>
  <c r="G234" i="1"/>
  <c r="G236" i="1" s="1"/>
  <c r="G237" i="1" s="1"/>
  <c r="G239" i="1" s="1"/>
  <c r="O231" i="1"/>
  <c r="J87" i="1"/>
  <c r="J88" i="1" s="1"/>
  <c r="J93" i="1" s="1"/>
  <c r="D87" i="1"/>
  <c r="J85" i="1"/>
  <c r="D94" i="1"/>
  <c r="D93" i="1"/>
  <c r="D92" i="1"/>
  <c r="D91" i="1"/>
  <c r="D90" i="1"/>
  <c r="D89" i="1"/>
  <c r="D88" i="1"/>
  <c r="J86" i="1"/>
  <c r="C85" i="1" s="1"/>
  <c r="D85" i="1" s="1"/>
  <c r="J84" i="1"/>
  <c r="J73" i="1"/>
  <c r="J74" i="1" s="1"/>
  <c r="J79" i="1" s="1"/>
  <c r="C73" i="1"/>
  <c r="D73" i="1" s="1"/>
  <c r="J71" i="1"/>
  <c r="D80" i="1"/>
  <c r="D79" i="1"/>
  <c r="D78" i="1"/>
  <c r="D77" i="1"/>
  <c r="D76" i="1"/>
  <c r="D75" i="1"/>
  <c r="D74" i="1"/>
  <c r="J72" i="1"/>
  <c r="C71" i="1" s="1"/>
  <c r="D71" i="1" s="1"/>
  <c r="J70" i="1"/>
  <c r="P230" i="1"/>
  <c r="N238" i="1" l="1"/>
  <c r="L258" i="1"/>
  <c r="O259" i="1"/>
  <c r="O248" i="1"/>
  <c r="L247" i="1"/>
  <c r="L209" i="1"/>
  <c r="L220" i="1"/>
  <c r="O222" i="1"/>
  <c r="L221" i="1"/>
  <c r="P224" i="1"/>
  <c r="P223" i="1"/>
  <c r="P225" i="1" s="1"/>
  <c r="P226" i="1" s="1"/>
  <c r="O211" i="1"/>
  <c r="L210" i="1"/>
  <c r="P213" i="1"/>
  <c r="P212" i="1"/>
  <c r="P214" i="1" s="1"/>
  <c r="P215" i="1" s="1"/>
  <c r="G238" i="1"/>
  <c r="P231" i="1"/>
  <c r="P232" i="1" s="1"/>
  <c r="P233" i="1" s="1"/>
  <c r="L230" i="1"/>
  <c r="O232" i="1"/>
  <c r="J89" i="1"/>
  <c r="J90" i="1" s="1"/>
  <c r="J75" i="1"/>
  <c r="J76" i="1" s="1"/>
  <c r="O261" i="1" l="1"/>
  <c r="L261" i="1" s="1"/>
  <c r="L259" i="1"/>
  <c r="O260" i="1"/>
  <c r="L260" i="1" s="1"/>
  <c r="O249" i="1"/>
  <c r="L249" i="1" s="1"/>
  <c r="L248" i="1"/>
  <c r="P228" i="1"/>
  <c r="P227" i="1"/>
  <c r="O224" i="1"/>
  <c r="L224" i="1" s="1"/>
  <c r="O223" i="1"/>
  <c r="L222" i="1"/>
  <c r="P217" i="1"/>
  <c r="P216" i="1"/>
  <c r="O213" i="1"/>
  <c r="L213" i="1" s="1"/>
  <c r="O212" i="1"/>
  <c r="L211" i="1"/>
  <c r="P234" i="1"/>
  <c r="P236" i="1" s="1"/>
  <c r="P237" i="1" s="1"/>
  <c r="P235" i="1"/>
  <c r="L231" i="1"/>
  <c r="L232" i="1"/>
  <c r="O233" i="1"/>
  <c r="O235" i="1" s="1"/>
  <c r="J94" i="1"/>
  <c r="C86" i="1" s="1"/>
  <c r="J80" i="1"/>
  <c r="C72" i="1" s="1"/>
  <c r="O225" i="1" l="1"/>
  <c r="L223" i="1"/>
  <c r="O214" i="1"/>
  <c r="L212" i="1"/>
  <c r="P239" i="1"/>
  <c r="P238" i="1"/>
  <c r="L235" i="1"/>
  <c r="L233" i="1"/>
  <c r="O234" i="1"/>
  <c r="E85" i="1"/>
  <c r="I81" i="1" s="1"/>
  <c r="C83" i="1" s="1"/>
  <c r="D86" i="1"/>
  <c r="G85" i="1"/>
  <c r="D65" i="1" s="1"/>
  <c r="E71" i="1"/>
  <c r="D72" i="1"/>
  <c r="G71" i="1"/>
  <c r="G69" i="1" s="1"/>
  <c r="I66" i="1" l="1"/>
  <c r="C69" i="1"/>
  <c r="O226" i="1"/>
  <c r="L225" i="1"/>
  <c r="O215" i="1"/>
  <c r="L214" i="1"/>
  <c r="L234" i="1"/>
  <c r="O236" i="1"/>
  <c r="G53" i="1"/>
  <c r="G47" i="1"/>
  <c r="C53" i="1"/>
  <c r="O228" i="1" l="1"/>
  <c r="L228" i="1" s="1"/>
  <c r="O227" i="1"/>
  <c r="L227" i="1" s="1"/>
  <c r="L226" i="1"/>
  <c r="O217" i="1"/>
  <c r="L217" i="1" s="1"/>
  <c r="O216" i="1"/>
  <c r="L216" i="1" s="1"/>
  <c r="L215" i="1"/>
  <c r="L236" i="1"/>
  <c r="O237" i="1"/>
  <c r="I189" i="1"/>
  <c r="O239" i="1" l="1"/>
  <c r="L239" i="1" s="1"/>
  <c r="O238" i="1"/>
  <c r="L237" i="1"/>
  <c r="G116" i="1"/>
  <c r="J187" i="1"/>
  <c r="I187" i="1"/>
  <c r="L238" i="1" l="1"/>
  <c r="D204" i="1"/>
  <c r="D203" i="1"/>
  <c r="D202" i="1"/>
  <c r="D201" i="1"/>
  <c r="D198" i="1"/>
  <c r="I198" i="1" s="1"/>
  <c r="D197" i="1"/>
  <c r="I197" i="1" s="1"/>
  <c r="D196" i="1"/>
  <c r="I196" i="1" s="1"/>
  <c r="D195" i="1"/>
  <c r="N202" i="1"/>
  <c r="N203" i="1" s="1"/>
  <c r="N204" i="1" s="1"/>
  <c r="G201" i="1"/>
  <c r="G202" i="1" s="1"/>
  <c r="G203" i="1" s="1"/>
  <c r="G204" i="1" s="1"/>
  <c r="O200" i="1"/>
  <c r="N196" i="1"/>
  <c r="N197" i="1" s="1"/>
  <c r="N198" i="1" s="1"/>
  <c r="G195" i="1"/>
  <c r="G196" i="1" s="1"/>
  <c r="G197" i="1" s="1"/>
  <c r="G198" i="1" s="1"/>
  <c r="O194" i="1"/>
  <c r="D155" i="1"/>
  <c r="D154" i="1"/>
  <c r="D153" i="1"/>
  <c r="D152" i="1"/>
  <c r="D151" i="1"/>
  <c r="D150" i="1"/>
  <c r="A150" i="1"/>
  <c r="A151" i="1" s="1"/>
  <c r="A152" i="1" s="1"/>
  <c r="A153" i="1" s="1"/>
  <c r="A154" i="1" s="1"/>
  <c r="A155" i="1" s="1"/>
  <c r="G149" i="1"/>
  <c r="G150" i="1" s="1"/>
  <c r="G151" i="1" s="1"/>
  <c r="G152" i="1" s="1"/>
  <c r="G153" i="1" s="1"/>
  <c r="G154" i="1" s="1"/>
  <c r="G155" i="1" s="1"/>
  <c r="D149" i="1"/>
  <c r="D146" i="1"/>
  <c r="D145" i="1"/>
  <c r="D144" i="1"/>
  <c r="D143" i="1"/>
  <c r="D142" i="1"/>
  <c r="D141" i="1"/>
  <c r="D140" i="1"/>
  <c r="A141" i="1"/>
  <c r="A142" i="1" s="1"/>
  <c r="A143" i="1" s="1"/>
  <c r="A144" i="1" s="1"/>
  <c r="A145" i="1" s="1"/>
  <c r="A146" i="1" s="1"/>
  <c r="D190" i="1"/>
  <c r="D189" i="1"/>
  <c r="D192" i="1"/>
  <c r="D191" i="1"/>
  <c r="D188" i="1"/>
  <c r="D187" i="1"/>
  <c r="N188" i="1"/>
  <c r="N189" i="1" s="1"/>
  <c r="N190" i="1" s="1"/>
  <c r="N191" i="1" s="1"/>
  <c r="N192" i="1" s="1"/>
  <c r="G187" i="1"/>
  <c r="G188" i="1" s="1"/>
  <c r="G189" i="1" s="1"/>
  <c r="G190" i="1" s="1"/>
  <c r="G191" i="1" s="1"/>
  <c r="G192" i="1" s="1"/>
  <c r="O186" i="1"/>
  <c r="G140" i="1"/>
  <c r="G141" i="1" s="1"/>
  <c r="G142" i="1" s="1"/>
  <c r="G143" i="1" s="1"/>
  <c r="G144" i="1" s="1"/>
  <c r="G145" i="1" s="1"/>
  <c r="G146" i="1" s="1"/>
  <c r="D137" i="1"/>
  <c r="D136" i="1"/>
  <c r="D135" i="1"/>
  <c r="D134" i="1"/>
  <c r="D133" i="1"/>
  <c r="D132" i="1"/>
  <c r="D131" i="1"/>
  <c r="D130" i="1"/>
  <c r="A131" i="1"/>
  <c r="A132" i="1" s="1"/>
  <c r="A133" i="1" s="1"/>
  <c r="A134" i="1" s="1"/>
  <c r="A135" i="1" s="1"/>
  <c r="A136" i="1" s="1"/>
  <c r="A137" i="1" s="1"/>
  <c r="G130" i="1"/>
  <c r="G131" i="1" s="1"/>
  <c r="G132" i="1" s="1"/>
  <c r="G133" i="1" s="1"/>
  <c r="G134" i="1" s="1"/>
  <c r="G135" i="1" s="1"/>
  <c r="G136" i="1" s="1"/>
  <c r="G137" i="1" s="1"/>
  <c r="P194" i="1"/>
  <c r="O195" i="1"/>
  <c r="P200" i="1"/>
  <c r="O187" i="1"/>
  <c r="O201" i="1"/>
  <c r="P186" i="1"/>
  <c r="E114" i="1" l="1"/>
  <c r="C114" i="1"/>
  <c r="E113" i="1"/>
  <c r="C113" i="1"/>
  <c r="C112" i="1"/>
  <c r="E112" i="1"/>
  <c r="I201" i="1"/>
  <c r="E121" i="1"/>
  <c r="C121" i="1"/>
  <c r="E119" i="1"/>
  <c r="C119" i="1"/>
  <c r="I195" i="1"/>
  <c r="E120" i="1"/>
  <c r="C120" i="1"/>
  <c r="O202" i="1"/>
  <c r="O196" i="1"/>
  <c r="O188" i="1"/>
  <c r="P195" i="1"/>
  <c r="P201" i="1"/>
  <c r="P187" i="1"/>
  <c r="E116" i="1" l="1"/>
  <c r="C116" i="1"/>
  <c r="C123" i="1"/>
  <c r="E123" i="1"/>
  <c r="P202" i="1"/>
  <c r="P203" i="1" s="1"/>
  <c r="P204" i="1" s="1"/>
  <c r="L201" i="1"/>
  <c r="A201" i="1" s="1"/>
  <c r="O203" i="1"/>
  <c r="P196" i="1"/>
  <c r="P197" i="1" s="1"/>
  <c r="P198" i="1" s="1"/>
  <c r="L195" i="1"/>
  <c r="A195" i="1" s="1"/>
  <c r="O197" i="1"/>
  <c r="P188" i="1"/>
  <c r="P189" i="1" s="1"/>
  <c r="P190" i="1" s="1"/>
  <c r="P191" i="1" s="1"/>
  <c r="P192" i="1" s="1"/>
  <c r="L187" i="1"/>
  <c r="A187" i="1" s="1"/>
  <c r="O189" i="1"/>
  <c r="L202" i="1" l="1"/>
  <c r="A202" i="1" s="1"/>
  <c r="O204" i="1"/>
  <c r="L204" i="1" s="1"/>
  <c r="A204" i="1" s="1"/>
  <c r="L203" i="1"/>
  <c r="A203" i="1" s="1"/>
  <c r="L196" i="1"/>
  <c r="A196" i="1" s="1"/>
  <c r="O198" i="1"/>
  <c r="L198" i="1" s="1"/>
  <c r="A198" i="1" s="1"/>
  <c r="L197" i="1"/>
  <c r="A197" i="1" s="1"/>
  <c r="L188" i="1"/>
  <c r="A188" i="1" s="1"/>
  <c r="L189" i="1"/>
  <c r="A189" i="1" s="1"/>
  <c r="O190" i="1"/>
  <c r="L190" i="1" l="1"/>
  <c r="A190" i="1" s="1"/>
  <c r="O191" i="1"/>
  <c r="O192" i="1" l="1"/>
  <c r="L192" i="1" s="1"/>
  <c r="A192" i="1" s="1"/>
  <c r="L191" i="1"/>
  <c r="A191" i="1" s="1"/>
  <c r="E40" i="1" l="1"/>
  <c r="E41" i="1" s="1"/>
  <c r="E3" i="1" l="1"/>
  <c r="E24" i="1" l="1"/>
  <c r="E22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303" i="1" l="1"/>
  <c r="F109" i="1"/>
  <c r="C47" i="1"/>
  <c r="D57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<sst xmlns="http://schemas.openxmlformats.org/spreadsheetml/2006/main" count="567" uniqueCount="279">
  <si>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</si>
  <si>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</si>
  <si>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</si>
  <si>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</si>
  <si>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</si>
  <si>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</si>
  <si>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</si>
  <si>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</si>
  <si>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</si>
  <si>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</si>
  <si>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</si>
  <si>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</si>
  <si>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</si>
  <si>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</si>
  <si>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</si>
  <si>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</si>
  <si>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</si>
  <si>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</si>
  <si>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</si>
  <si>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</si>
  <si>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</si>
  <si>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</si>
  <si>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</si>
  <si>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</si>
  <si>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</si>
  <si>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</si>
  <si>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</si>
  <si>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</si>
  <si>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</si>
  <si>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</si>
  <si>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</si>
  <si>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</si>
  <si>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</si>
  <si>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</si>
  <si>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</si>
  <si>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</si>
  <si>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</si>
  <si>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</si>
  <si>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</si>
  <si>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</si>
  <si>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</si>
  <si>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</si>
  <si>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</si>
  <si>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</si>
  <si>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</si>
  <si>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</si>
  <si>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</si>
  <si>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</si>
  <si>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</si>
  <si>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</si>
  <si>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</si>
  <si>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</si>
  <si>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</si>
  <si>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</si>
  <si>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</si>
  <si>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</si>
  <si>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</si>
  <si>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</si>
  <si>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</si>
  <si>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</si>
  <si>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</si>
  <si>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</si>
  <si>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</si>
  <si>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</si>
  <si>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</si>
  <si>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</si>
  <si>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</si>
  <si>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</si>
  <si>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</si>
  <si>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</si>
  <si>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</si>
  <si>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</si>
  <si>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</si>
  <si>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</si>
  <si>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</si>
  <si>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</si>
  <si>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</si>
  <si>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</si>
  <si>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</si>
  <si>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</si>
  <si>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</si>
  <si>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</si>
  <si>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</si>
  <si>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</si>
  <si>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</si>
  <si>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</si>
  <si>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</si>
  <si>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</si>
  <si>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</si>
  <si>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</si>
  <si>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</si>
  <si>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</si>
  <si>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</si>
  <si>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</si>
  <si>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</si>
  <si>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</si>
  <si>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</si>
  <si>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</si>
  <si>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</si>
  <si>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</si>
  <si>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</si>
  <si>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</si>
  <si>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</si>
  <si>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</si>
  <si>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</si>
  <si>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</si>
  <si>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</si>
  <si>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</si>
  <si>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</si>
  <si>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</si>
  <si>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</si>
  <si>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</si>
  <si>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</si>
  <si>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</si>
  <si>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</si>
  <si>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</si>
  <si>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</si>
  <si>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</si>
  <si>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</si>
  <si>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</si>
  <si>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</si>
  <si>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</si>
  <si>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</si>
  <si>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</si>
  <si>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</si>
  <si>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</si>
  <si>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</si>
  <si>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</si>
  <si>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</si>
  <si>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</si>
  <si>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</si>
  <si>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</si>
  <si>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</si>
  <si>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</si>
  <si>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</si>
  <si>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</si>
  <si>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</si>
  <si>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</si>
  <si>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</si>
  <si>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</si>
  <si>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</si>
  <si>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</si>
  <si>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</si>
  <si>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</si>
  <si>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</si>
  <si>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</si>
  <si>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</si>
  <si>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</si>
  <si>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</si>
  <si>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</si>
  <si>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</si>
  <si>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</si>
  <si>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</si>
  <si>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</si>
  <si>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</si>
  <si>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</si>
  <si>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</si>
  <si>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</si>
  <si>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</si>
  <si>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 xml:space="preserve"> to </t>
  </si>
  <si>
    <t>Contact Details ( Name &amp; Contact No.)</t>
  </si>
  <si>
    <t>Nearby Landmark</t>
  </si>
  <si>
    <t>Axis Sanpada</t>
  </si>
  <si>
    <t>M/s.Panvelkar Realty Private Limited</t>
  </si>
  <si>
    <t>Survey No</t>
  </si>
  <si>
    <t>Ambernath</t>
  </si>
  <si>
    <t>Thane</t>
  </si>
  <si>
    <t>Joveli</t>
  </si>
  <si>
    <t>Dhruvika enclave</t>
  </si>
  <si>
    <t>Internal Road</t>
  </si>
  <si>
    <t>Open Land</t>
  </si>
  <si>
    <t>4.7 KM from Badlapur Railway Station</t>
  </si>
  <si>
    <t>10/05/2019.</t>
  </si>
  <si>
    <t>KBNP/NRV/4273/2019-2020
Approved upto : Building no.1 to 3 = G + 7th Floor</t>
  </si>
  <si>
    <t>KBNP/BP/2011-12/2930-404</t>
  </si>
  <si>
    <t>We considered Carpet area as per Approved Plan.</t>
  </si>
  <si>
    <t>We have considered rate by verifying it from market inquire.</t>
  </si>
  <si>
    <t>Car parking is subjected to authentic documentation.</t>
  </si>
  <si>
    <t>KBNP/NRV/BP/4253/19-20</t>
  </si>
  <si>
    <t>Building No.1</t>
  </si>
  <si>
    <t>Shop</t>
  </si>
  <si>
    <t>Building No.2</t>
  </si>
  <si>
    <t>1st to 7th Floor</t>
  </si>
  <si>
    <t>1BHK</t>
  </si>
  <si>
    <t>2BHK</t>
  </si>
  <si>
    <t>Building No.3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</si>
  <si>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</si>
  <si>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</si>
  <si>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</si>
  <si>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</si>
  <si>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</si>
  <si>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</si>
  <si>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</si>
  <si>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Builder Saleable area</t>
  </si>
  <si>
    <t>We considered  Saleable area  as per Builder area sheet.</t>
  </si>
  <si>
    <t>175000/-</t>
  </si>
  <si>
    <t>1,00,000/-</t>
  </si>
  <si>
    <t>Other Charges Charges</t>
  </si>
  <si>
    <t>Approved Plans, CC, OC, Builder Saleable Area, Cost Sheet</t>
  </si>
  <si>
    <t>Ext. Plaster &amp; Plumbing</t>
  </si>
  <si>
    <t>Dhruvika Enclave</t>
  </si>
  <si>
    <t>Badlapur East</t>
  </si>
  <si>
    <t>69, Hissa No.31 &amp; Plot No.1</t>
  </si>
  <si>
    <t>Construction details:</t>
  </si>
  <si>
    <t>Basement</t>
  </si>
  <si>
    <t>Slab/Floor</t>
  </si>
  <si>
    <t>Piling Work in process</t>
  </si>
  <si>
    <t>Brickwork</t>
  </si>
  <si>
    <t>Internal Plaster</t>
  </si>
  <si>
    <t>Basement 1</t>
  </si>
  <si>
    <t>Basement 2</t>
  </si>
  <si>
    <t>Basement 3</t>
  </si>
  <si>
    <t>Painting &amp; Wooden</t>
  </si>
  <si>
    <t>Basement 4</t>
  </si>
  <si>
    <t>Building No.A1</t>
  </si>
  <si>
    <t>Building No.1A</t>
  </si>
  <si>
    <t xml:space="preserve"> 3rd, 5th &amp; 7th Floor</t>
  </si>
  <si>
    <t xml:space="preserve"> 2nd, 4th &amp; 6th Floor</t>
  </si>
  <si>
    <t>We considered Gross carpet area = Net carpet + Enclose balcony + Chajja.</t>
  </si>
  <si>
    <t>Phase I - Building No.1, 2, 3
Phase II - Building No. A1</t>
  </si>
  <si>
    <t>80000/-</t>
  </si>
  <si>
    <t>Advance Maintenance Charges</t>
  </si>
  <si>
    <t>Phase - I</t>
  </si>
  <si>
    <t>Phase - II</t>
  </si>
  <si>
    <t>Layout Approval No     
Phase I</t>
  </si>
  <si>
    <t>Approved Floor plan No.  
Phase I</t>
  </si>
  <si>
    <t xml:space="preserve">Layout Approval No  
Phase II   </t>
  </si>
  <si>
    <t>Approved Floor plan No.  
Phase II</t>
  </si>
  <si>
    <t>Commencement Certificate No.
Phase I</t>
  </si>
  <si>
    <t>Commencement Certificate No.
Phase II</t>
  </si>
  <si>
    <t>Ground Floor For Commercial, Parking &amp; Amenities</t>
  </si>
  <si>
    <t>O. Certificate No.: 
Phase I</t>
  </si>
  <si>
    <t>04 Buildings</t>
  </si>
  <si>
    <t>1RK</t>
  </si>
  <si>
    <t xml:space="preserve"> 8th Floor (Part Refuge Area)</t>
  </si>
  <si>
    <t xml:space="preserve"> 9th Floor</t>
  </si>
  <si>
    <t>KBNP/NRV/BP/3809/2021-2022/Unique No. 11</t>
  </si>
  <si>
    <t>Layout Plan:</t>
  </si>
  <si>
    <t>Panvelkar Nisarg Phase I &amp; II</t>
  </si>
  <si>
    <t xml:space="preserve">Phase I - P51700004393
Phase II - P51700021321
</t>
  </si>
  <si>
    <t>Valid Up to:  Phase I = Building no.1 to 3 = Gr + 1st to 7th Floor</t>
  </si>
  <si>
    <t>Valid Up to:  Phase  II = Building no.A1 = Gr + 1st to 9th Floor</t>
  </si>
  <si>
    <t>Phase  I = Flats - 98, Shops - 22
Phase  II = Flats - 90, Shops - 17</t>
  </si>
  <si>
    <t>Phase  I = Building no.1 to 3 = G + 1st to 7th Floor</t>
  </si>
  <si>
    <t>Phase  II = Building no.A1  = G + 1st to 9th Floor</t>
  </si>
  <si>
    <t xml:space="preserve">Phase I </t>
  </si>
  <si>
    <t xml:space="preserve"> Phase II </t>
  </si>
  <si>
    <t>Commercial Area Details : Shop</t>
  </si>
  <si>
    <t xml:space="preserve">Residential Area Details : </t>
  </si>
  <si>
    <t>Building 1</t>
  </si>
  <si>
    <t>Building 2</t>
  </si>
  <si>
    <t>Building 3</t>
  </si>
  <si>
    <t>Building A1</t>
  </si>
  <si>
    <t>Phase I - Building No. 1, 2 &amp; 3</t>
  </si>
  <si>
    <t>Phase II - Building No. A1</t>
  </si>
  <si>
    <t>KBNP/NRV/BP/3809-11</t>
  </si>
  <si>
    <t>Phase I (Building no.1 to 3) = G + 1st to 7th Floor
Phase II (Building no.A1)  = G + 1st to 9th Floor</t>
  </si>
  <si>
    <t>Phase II = We have updated latest Approved Floor Plan &amp; CC (on 28/10/2022).</t>
  </si>
  <si>
    <t>1st Floor for Residential</t>
  </si>
  <si>
    <t>Phase II</t>
  </si>
  <si>
    <t>Building No. A2</t>
  </si>
  <si>
    <t>Building No.A2</t>
  </si>
  <si>
    <t xml:space="preserve">Ground Floor For Commercial &amp; Parking </t>
  </si>
  <si>
    <t>8th Floor (Part Refuge Area)</t>
  </si>
  <si>
    <t>Refuge Area</t>
  </si>
  <si>
    <t>1st  Floor For Residential</t>
  </si>
  <si>
    <t xml:space="preserve">2nd to 7th &amp; 9th to 11th Floor </t>
  </si>
  <si>
    <t>Building No. A2 Is Drafted</t>
  </si>
  <si>
    <t xml:space="preserve"> 3900 from 3600</t>
  </si>
  <si>
    <t>Rushikesh</t>
  </si>
  <si>
    <t>Location Link</t>
  </si>
  <si>
    <t>https://maps.app.goo.gl/w5DYqac8X5G5MPtk8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</si>
  <si>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</si>
  <si>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Phase II - 31/12/2025</t>
  </si>
  <si>
    <t>Mr. Sudhir Bhosale</t>
  </si>
  <si>
    <t>Pooja</t>
  </si>
  <si>
    <t>Phase I (Building 1, 2 &amp; 3) = All work completed. OC received.
Phase II (Building A1) = Construction work is in process at the time of visit (Labour found).</t>
  </si>
  <si>
    <t>shop rate 8000 by bhargav vergal and index 2 for Type A1 Shop No. 1 on 13/08/2025</t>
  </si>
  <si>
    <t>Recommended Rates of the Property have been revised on 13/08/2025.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</si>
</sst>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0"/>
    <numFmt numFmtId="169" formatCode="0.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7" xfId="1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7" fillId="0" borderId="8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6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21" fillId="0" borderId="0" xfId="0" applyFont="1"/>
    <xf numFmtId="0" fontId="16" fillId="0" borderId="0" xfId="0" applyFont="1" applyFill="1" applyBorder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6" fillId="0" borderId="8" xfId="0" applyNumberFormat="1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1" fillId="0" borderId="8" xfId="0" applyNumberFormat="1" applyFont="1" applyBorder="1"/>
    <xf numFmtId="2" fontId="21" fillId="0" borderId="0" xfId="0" applyNumberFormat="1" applyFont="1"/>
    <xf numFmtId="0" fontId="21" fillId="0" borderId="0" xfId="0" applyFont="1" applyBorder="1"/>
    <xf numFmtId="165" fontId="21" fillId="0" borderId="0" xfId="0" applyNumberFormat="1" applyFont="1"/>
    <xf numFmtId="2" fontId="16" fillId="0" borderId="0" xfId="0" applyNumberFormat="1" applyFont="1" applyBorder="1" applyProtection="1">
      <protection hidden="1"/>
    </xf>
    <xf numFmtId="1" fontId="21" fillId="0" borderId="8" xfId="0" applyNumberFormat="1" applyFont="1" applyBorder="1" applyAlignment="1">
      <alignment horizontal="right"/>
    </xf>
    <xf numFmtId="2" fontId="21" fillId="0" borderId="0" xfId="0" applyNumberFormat="1" applyFont="1" applyBorder="1"/>
    <xf numFmtId="0" fontId="16" fillId="0" borderId="9" xfId="0" applyFont="1" applyFill="1" applyBorder="1" applyProtection="1">
      <protection hidden="1"/>
    </xf>
    <xf numFmtId="1" fontId="21" fillId="0" borderId="10" xfId="0" applyNumberFormat="1" applyFont="1" applyBorder="1"/>
    <xf numFmtId="0" fontId="10" fillId="0" borderId="0" xfId="0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1" applyFont="1" applyFill="1" applyBorder="1" applyAlignment="1" applyProtection="1">
      <alignment horizontal="center" vertical="top" wrapText="1"/>
      <protection locked="0"/>
    </xf>
    <xf numFmtId="0" fontId="7" fillId="3" borderId="0" xfId="1" applyFont="1" applyFill="1"/>
    <xf numFmtId="14" fontId="7" fillId="3" borderId="0" xfId="1" applyNumberFormat="1" applyFont="1" applyFill="1"/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13" fillId="0" borderId="4" xfId="0" applyNumberFormat="1" applyFont="1" applyFill="1" applyBorder="1" applyAlignment="1" applyProtection="1">
      <alignment vertical="top" wrapText="1"/>
      <protection locked="0"/>
    </xf>
    <xf numFmtId="1" fontId="13" fillId="0" borderId="13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4" xfId="0" applyNumberFormat="1" applyFont="1" applyFill="1" applyBorder="1" applyAlignment="1" applyProtection="1">
      <alignment vertical="top" wrapText="1"/>
      <protection locked="0"/>
    </xf>
    <xf numFmtId="1" fontId="8" fillId="0" borderId="13" xfId="0" applyNumberFormat="1" applyFont="1" applyFill="1" applyBorder="1" applyAlignment="1" applyProtection="1">
      <alignment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4" xfId="1" applyFont="1" applyFill="1" applyBorder="1" applyAlignment="1" applyProtection="1">
      <alignment horizontal="left" vertical="top" wrapText="1"/>
      <protection locked="0"/>
    </xf>
    <xf numFmtId="0" fontId="12" fillId="2" borderId="13" xfId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center" vertical="top"/>
      <protection locked="0"/>
    </xf>
    <xf numFmtId="0" fontId="8" fillId="0" borderId="13" xfId="1" applyFont="1" applyFill="1" applyBorder="1" applyAlignment="1" applyProtection="1">
      <alignment horizontal="center" vertical="top"/>
      <protection locked="0"/>
    </xf>
    <xf numFmtId="0" fontId="8" fillId="0" borderId="5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/>
      <protection locked="0"/>
    </xf>
    <xf numFmtId="0" fontId="6" fillId="0" borderId="1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22" fillId="0" borderId="1" xfId="8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661142</xdr:colOff>
      <xdr:row>402</xdr:row>
      <xdr:rowOff>128494</xdr:rowOff>
    </xdr:from>
    <xdr:to>
      <xdr:col>7</xdr:col>
      <xdr:colOff>169206</xdr:colOff>
      <xdr:row>420</xdr:row>
      <xdr:rowOff>97789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1142" y="47686259"/>
          <a:ext cx="559285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661142</xdr:colOff>
      <xdr:row>384</xdr:row>
      <xdr:rowOff>0</xdr:rowOff>
    </xdr:from>
    <xdr:to>
      <xdr:col>7</xdr:col>
      <xdr:colOff>169206</xdr:colOff>
      <xdr:row>401</xdr:row>
      <xdr:rowOff>171000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1142" y="43927059"/>
          <a:ext cx="559285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100854</xdr:colOff>
      <xdr:row>348</xdr:row>
      <xdr:rowOff>22414</xdr:rowOff>
    </xdr:from>
    <xdr:to>
      <xdr:col>6</xdr:col>
      <xdr:colOff>751479</xdr:colOff>
      <xdr:row>374</xdr:row>
      <xdr:rowOff>178061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913" y="67952473"/>
          <a:ext cx="5032125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795617</xdr:colOff>
      <xdr:row>363</xdr:row>
      <xdr:rowOff>145677</xdr:rowOff>
    </xdr:from>
    <xdr:to>
      <xdr:col>3</xdr:col>
      <xdr:colOff>168088</xdr:colOff>
      <xdr:row>367</xdr:row>
      <xdr:rowOff>123264</xdr:rowOff>
    </xdr:to>
    <xdr:sp macro="" textlink="">
      <xdr:nvSpPr>
        <xdr:cNvPr id="4" name="Rectangle 3"/>
        <xdr:cNvSpPr/>
      </xdr:nvSpPr>
      <xdr:spPr>
        <a:xfrm>
          <a:off x="2532529" y="71101324"/>
          <a:ext cx="291353" cy="784411"/>
        </a:xfrm>
        <a:prstGeom prst="rect">
          <a:avLst/>
        </a:prstGeom>
        <a:noFill/>
        <a:ln w="28575">
          <a:solidFill>
            <a:srgbClr val="C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784412</xdr:colOff>
      <xdr:row>363</xdr:row>
      <xdr:rowOff>134471</xdr:rowOff>
    </xdr:from>
    <xdr:to>
      <xdr:col>3</xdr:col>
      <xdr:colOff>134471</xdr:colOff>
      <xdr:row>367</xdr:row>
      <xdr:rowOff>179294</xdr:rowOff>
    </xdr:to>
    <xdr:sp macro="" textlink="">
      <xdr:nvSpPr>
        <xdr:cNvPr id="5" name="Rectangle 4"/>
        <xdr:cNvSpPr/>
      </xdr:nvSpPr>
      <xdr:spPr>
        <a:xfrm>
          <a:off x="2521324" y="71090118"/>
          <a:ext cx="268941" cy="851647"/>
        </a:xfrm>
        <a:prstGeom prst="rect">
          <a:avLst/>
        </a:prstGeom>
        <a:noFill/>
        <a:ln w="28575">
          <a:solidFill>
            <a:srgbClr val="C00000">
              <a:alpha val="92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2</xdr:col>
      <xdr:colOff>806823</xdr:colOff>
      <xdr:row>363</xdr:row>
      <xdr:rowOff>179294</xdr:rowOff>
    </xdr:from>
    <xdr:to>
      <xdr:col>3</xdr:col>
      <xdr:colOff>78441</xdr:colOff>
      <xdr:row>364</xdr:row>
      <xdr:rowOff>89647</xdr:rowOff>
    </xdr:to>
    <xdr:cxnSp macro="">
      <xdr:nvCxnSpPr>
        <xdr:cNvPr id="8" name="Straight Connector 7"/>
        <xdr:cNvCxnSpPr/>
      </xdr:nvCxnSpPr>
      <xdr:spPr>
        <a:xfrm flipV="1">
          <a:off x="2543735" y="71134941"/>
          <a:ext cx="190500" cy="112059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813547</xdr:colOff>
      <xdr:row>364</xdr:row>
      <xdr:rowOff>145676</xdr:rowOff>
    </xdr:from>
    <xdr:to>
      <xdr:col>3</xdr:col>
      <xdr:colOff>134471</xdr:colOff>
      <xdr:row>365</xdr:row>
      <xdr:rowOff>51550</xdr:rowOff>
    </xdr:to>
    <xdr:cxnSp macro="">
      <xdr:nvCxnSpPr>
        <xdr:cNvPr id="42" name="Straight Connector 41"/>
        <xdr:cNvCxnSpPr/>
      </xdr:nvCxnSpPr>
      <xdr:spPr>
        <a:xfrm flipV="1">
          <a:off x="2550459" y="71303029"/>
          <a:ext cx="239806" cy="10758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809065</xdr:colOff>
      <xdr:row>365</xdr:row>
      <xdr:rowOff>85165</xdr:rowOff>
    </xdr:from>
    <xdr:to>
      <xdr:col>3</xdr:col>
      <xdr:colOff>152400</xdr:colOff>
      <xdr:row>366</xdr:row>
      <xdr:rowOff>2242</xdr:rowOff>
    </xdr:to>
    <xdr:cxnSp macro="">
      <xdr:nvCxnSpPr>
        <xdr:cNvPr id="43" name="Straight Connector 42"/>
        <xdr:cNvCxnSpPr/>
      </xdr:nvCxnSpPr>
      <xdr:spPr>
        <a:xfrm flipV="1">
          <a:off x="2545977" y="71444224"/>
          <a:ext cx="262217" cy="118783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793377</xdr:colOff>
      <xdr:row>366</xdr:row>
      <xdr:rowOff>69477</xdr:rowOff>
    </xdr:from>
    <xdr:to>
      <xdr:col>3</xdr:col>
      <xdr:colOff>136712</xdr:colOff>
      <xdr:row>366</xdr:row>
      <xdr:rowOff>188260</xdr:rowOff>
    </xdr:to>
    <xdr:cxnSp macro="">
      <xdr:nvCxnSpPr>
        <xdr:cNvPr id="44" name="Straight Connector 43"/>
        <xdr:cNvCxnSpPr/>
      </xdr:nvCxnSpPr>
      <xdr:spPr>
        <a:xfrm flipV="1">
          <a:off x="2530289" y="71630242"/>
          <a:ext cx="262217" cy="118783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811306</xdr:colOff>
      <xdr:row>367</xdr:row>
      <xdr:rowOff>31377</xdr:rowOff>
    </xdr:from>
    <xdr:to>
      <xdr:col>3</xdr:col>
      <xdr:colOff>154641</xdr:colOff>
      <xdr:row>367</xdr:row>
      <xdr:rowOff>150160</xdr:rowOff>
    </xdr:to>
    <xdr:cxnSp macro="">
      <xdr:nvCxnSpPr>
        <xdr:cNvPr id="45" name="Straight Connector 44"/>
        <xdr:cNvCxnSpPr/>
      </xdr:nvCxnSpPr>
      <xdr:spPr>
        <a:xfrm flipV="1">
          <a:off x="2548218" y="71793848"/>
          <a:ext cx="262217" cy="118783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1232647</xdr:colOff>
      <xdr:row>362</xdr:row>
      <xdr:rowOff>56030</xdr:rowOff>
    </xdr:from>
    <xdr:to>
      <xdr:col>16</xdr:col>
      <xdr:colOff>649941</xdr:colOff>
      <xdr:row>366</xdr:row>
      <xdr:rowOff>112059</xdr:rowOff>
    </xdr:to>
    <xdr:sp macro="" textlink="">
      <xdr:nvSpPr>
        <xdr:cNvPr id="48" name="Rectangle 47"/>
        <xdr:cNvSpPr/>
      </xdr:nvSpPr>
      <xdr:spPr>
        <a:xfrm>
          <a:off x="8213912" y="70809971"/>
          <a:ext cx="2342029" cy="8628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762000</xdr:colOff>
      <xdr:row>351</xdr:row>
      <xdr:rowOff>123265</xdr:rowOff>
    </xdr:from>
    <xdr:to>
      <xdr:col>6</xdr:col>
      <xdr:colOff>212912</xdr:colOff>
      <xdr:row>355</xdr:row>
      <xdr:rowOff>12327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36059" y="68658441"/>
          <a:ext cx="3832412" cy="695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en-IN" sz="2400" b="1" i="0" u="none" strike="noStrike" baseline="0">
            <a:ln>
              <a:noFill/>
            </a:ln>
            <a:solidFill>
              <a:srgbClr val="7030A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r>
            <a:rPr lang="en-IN" sz="2400" b="1" i="0" u="none" strike="noStrike" baseline="0">
              <a:ln>
                <a:noFill/>
              </a:ln>
              <a:solidFill>
                <a:srgbClr val="7030A0"/>
              </a:solidFill>
              <a:latin typeface="Calibri"/>
              <a:cs typeface="Calibri"/>
            </a:rPr>
            <a:t>Panvelkar Nisarg Phase­ II</a:t>
          </a:r>
        </a:p>
      </xdr:txBody>
    </xdr:sp>
    <xdr:clientData/>
  </xdr:twoCellAnchor>
  <xdr:twoCellAnchor>
    <xdr:from>
      <xdr:col>3</xdr:col>
      <xdr:colOff>22412</xdr:colOff>
      <xdr:row>352</xdr:row>
      <xdr:rowOff>123265</xdr:rowOff>
    </xdr:from>
    <xdr:to>
      <xdr:col>3</xdr:col>
      <xdr:colOff>582706</xdr:colOff>
      <xdr:row>363</xdr:row>
      <xdr:rowOff>145677</xdr:rowOff>
    </xdr:to>
    <xdr:cxnSp macro="">
      <xdr:nvCxnSpPr>
        <xdr:cNvPr id="50" name="Straight Arrow Connector 49"/>
        <xdr:cNvCxnSpPr>
          <a:endCxn id="4" idx="0"/>
        </xdr:cNvCxnSpPr>
      </xdr:nvCxnSpPr>
      <xdr:spPr>
        <a:xfrm flipH="1">
          <a:off x="2678206" y="68860147"/>
          <a:ext cx="560294" cy="2241177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659279</xdr:colOff>
      <xdr:row>304</xdr:row>
      <xdr:rowOff>106455</xdr:rowOff>
    </xdr:from>
    <xdr:to>
      <xdr:col>27</xdr:col>
      <xdr:colOff>330888</xdr:colOff>
      <xdr:row>342</xdr:row>
      <xdr:rowOff>53863</xdr:rowOff>
    </xdr:to>
    <xdr:grpSp>
      <xdr:nvGrpSpPr>
        <xdr:cNvPr id="3" name="Group 2"/>
        <xdr:cNvGrpSpPr/>
      </xdr:nvGrpSpPr>
      <xdr:grpSpPr>
        <a:xfrm>
          <a:off x="7980829" y="57243755"/>
          <a:ext cx="6421659" cy="7434058"/>
          <a:chOff x="222250" y="58309809"/>
          <a:chExt cx="6081373" cy="7612231"/>
        </a:xfrm>
      </xdr:grpSpPr>
      <xdr:grpSp>
        <xdr:nvGrpSpPr>
          <xdr:cNvPr id="2" name="Group 1"/>
          <xdr:cNvGrpSpPr/>
        </xdr:nvGrpSpPr>
        <xdr:grpSpPr>
          <a:xfrm>
            <a:off x="222250" y="58309809"/>
            <a:ext cx="6081373" cy="7612231"/>
            <a:chOff x="222250" y="58309809"/>
            <a:chExt cx="6081373" cy="7612231"/>
          </a:xfrm>
        </xdr:grpSpPr>
        <xdr:pic>
          <xdr:nvPicPr>
            <xdr:cNvPr id="47" name="Picture 46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3245" y="58309809"/>
              <a:ext cx="1943197" cy="276163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14124" y="64078337"/>
              <a:ext cx="1279590" cy="184370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25332" y="64078337"/>
              <a:ext cx="2300530" cy="184370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97065" y="58309809"/>
              <a:ext cx="1920412" cy="276163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48100" y="61194820"/>
              <a:ext cx="1955523" cy="27679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97065" y="61194820"/>
              <a:ext cx="1920412" cy="27679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48100" y="58309809"/>
              <a:ext cx="1955523" cy="276163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/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250" y="61194820"/>
              <a:ext cx="1943197" cy="27679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60" name="TextBox 59"/>
          <xdr:cNvSpPr txBox="1"/>
        </xdr:nvSpPr>
        <xdr:spPr>
          <a:xfrm>
            <a:off x="223245" y="58309809"/>
            <a:ext cx="61933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A1</a:t>
            </a: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4627500" y="58405059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1</a:t>
            </a:r>
          </a:p>
        </xdr:txBody>
      </xdr:sp>
    </xdr:grpSp>
    <xdr:clientData/>
  </xdr:twoCellAnchor>
  <xdr:twoCellAnchor>
    <xdr:from>
      <xdr:col>0</xdr:col>
      <xdr:colOff>361950</xdr:colOff>
      <xdr:row>303</xdr:row>
      <xdr:rowOff>114300</xdr:rowOff>
    </xdr:from>
    <xdr:to>
      <xdr:col>7</xdr:col>
      <xdr:colOff>997242</xdr:colOff>
      <xdr:row>339</xdr:row>
      <xdr:rowOff>87172</xdr:rowOff>
    </xdr:to>
    <xdr:grpSp>
      <xdr:nvGrpSpPr>
        <xdr:cNvPr id="6" name="Group 5"/>
        <xdr:cNvGrpSpPr/>
      </xdr:nvGrpSpPr>
      <xdr:grpSpPr>
        <a:xfrm>
          <a:off x="361950" y="57054750"/>
          <a:ext cx="6572542" cy="7065822"/>
          <a:chOff x="361950" y="57054750"/>
          <a:chExt cx="6572542" cy="7065822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872" y="57054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62068572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367" y="62068572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5420" y="57054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1" y="59903661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4782" y="62068572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8367" y="59903661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3646" y="570547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4783" y="59903661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97629" y="62068572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91199" y="59903661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5DYqac8X5G5MPtk8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383"/>
  <sheetViews>
    <sheetView tabSelected="1" view="pageBreakPreview" topLeftCell="A285" zoomScaleNormal="100" zoomScaleSheetLayoutView="100" zoomScalePageLayoutView="85" workbookViewId="0">
      <selection activeCell="B290" sqref="B290:H290"/>
    </sheetView>
  </sheetViews>
  <sheetFormatPr defaultColWidth="9.1796875" defaultRowHeight="15.5" x14ac:dyDescent="0.35"/>
  <cols>
    <col min="1" max="1" width="12.26953125" style="15" customWidth="1"/>
    <col min="2" max="2" width="12" style="15" customWidth="1"/>
    <col min="3" max="3" width="12.7265625" style="15" customWidth="1"/>
    <col min="4" max="4" width="12.81640625" style="15" customWidth="1"/>
    <col min="5" max="7" width="11.7265625" style="15" customWidth="1"/>
    <col min="8" max="8" width="19.81640625" style="15" customWidth="1"/>
    <col min="9" max="9" width="20.453125" style="7" customWidth="1"/>
    <col min="10" max="10" width="9.81640625" style="7" bestFit="1" customWidth="1"/>
    <col min="11" max="11" width="11.26953125" style="7" bestFit="1" customWidth="1"/>
    <col min="12" max="16" width="0" style="7" hidden="1" customWidth="1"/>
    <col min="17" max="18" width="9.1796875" style="7"/>
    <col min="19" max="19" width="11.1796875" style="7" hidden="1" customWidth="1"/>
    <col min="20" max="21" width="9.1796875" style="7" hidden="1" customWidth="1"/>
    <col min="22" max="22" width="10.7265625" style="7" hidden="1" customWidth="1"/>
    <col min="23" max="23" width="13.453125" style="7" hidden="1" customWidth="1"/>
    <col min="24" max="254" width="9.1796875" style="7"/>
    <col min="255" max="255" width="8.7265625" style="7" customWidth="1"/>
    <col min="256" max="256" width="9.81640625" style="7" customWidth="1"/>
    <col min="257" max="257" width="14.453125" style="7" customWidth="1"/>
    <col min="258" max="258" width="7.26953125" style="7" customWidth="1"/>
    <col min="259" max="259" width="5.54296875" style="7" customWidth="1"/>
    <col min="260" max="260" width="9" style="7" customWidth="1"/>
    <col min="261" max="262" width="9.81640625" style="7" customWidth="1"/>
    <col min="263" max="263" width="11.1796875" style="7" customWidth="1"/>
    <col min="264" max="264" width="2.81640625" style="7" customWidth="1"/>
    <col min="265" max="265" width="3.54296875" style="7" customWidth="1"/>
    <col min="266" max="510" width="9.1796875" style="7"/>
    <col min="511" max="511" width="8.7265625" style="7" customWidth="1"/>
    <col min="512" max="512" width="9.81640625" style="7" customWidth="1"/>
    <col min="513" max="513" width="14.453125" style="7" customWidth="1"/>
    <col min="514" max="514" width="7.26953125" style="7" customWidth="1"/>
    <col min="515" max="515" width="5.54296875" style="7" customWidth="1"/>
    <col min="516" max="516" width="9" style="7" customWidth="1"/>
    <col min="517" max="518" width="9.81640625" style="7" customWidth="1"/>
    <col min="519" max="519" width="11.1796875" style="7" customWidth="1"/>
    <col min="520" max="520" width="2.81640625" style="7" customWidth="1"/>
    <col min="521" max="521" width="3.54296875" style="7" customWidth="1"/>
    <col min="522" max="766" width="9.1796875" style="7"/>
    <col min="767" max="767" width="8.7265625" style="7" customWidth="1"/>
    <col min="768" max="768" width="9.81640625" style="7" customWidth="1"/>
    <col min="769" max="769" width="14.453125" style="7" customWidth="1"/>
    <col min="770" max="770" width="7.26953125" style="7" customWidth="1"/>
    <col min="771" max="771" width="5.54296875" style="7" customWidth="1"/>
    <col min="772" max="772" width="9" style="7" customWidth="1"/>
    <col min="773" max="774" width="9.81640625" style="7" customWidth="1"/>
    <col min="775" max="775" width="11.1796875" style="7" customWidth="1"/>
    <col min="776" max="776" width="2.81640625" style="7" customWidth="1"/>
    <col min="777" max="777" width="3.54296875" style="7" customWidth="1"/>
    <col min="778" max="1022" width="9.1796875" style="7"/>
    <col min="1023" max="1023" width="8.7265625" style="7" customWidth="1"/>
    <col min="1024" max="1024" width="9.81640625" style="7" customWidth="1"/>
    <col min="1025" max="1025" width="14.453125" style="7" customWidth="1"/>
    <col min="1026" max="1026" width="7.26953125" style="7" customWidth="1"/>
    <col min="1027" max="1027" width="5.54296875" style="7" customWidth="1"/>
    <col min="1028" max="1028" width="9" style="7" customWidth="1"/>
    <col min="1029" max="1030" width="9.81640625" style="7" customWidth="1"/>
    <col min="1031" max="1031" width="11.1796875" style="7" customWidth="1"/>
    <col min="1032" max="1032" width="2.81640625" style="7" customWidth="1"/>
    <col min="1033" max="1033" width="3.54296875" style="7" customWidth="1"/>
    <col min="1034" max="1278" width="9.1796875" style="7"/>
    <col min="1279" max="1279" width="8.7265625" style="7" customWidth="1"/>
    <col min="1280" max="1280" width="9.81640625" style="7" customWidth="1"/>
    <col min="1281" max="1281" width="14.453125" style="7" customWidth="1"/>
    <col min="1282" max="1282" width="7.26953125" style="7" customWidth="1"/>
    <col min="1283" max="1283" width="5.54296875" style="7" customWidth="1"/>
    <col min="1284" max="1284" width="9" style="7" customWidth="1"/>
    <col min="1285" max="1286" width="9.81640625" style="7" customWidth="1"/>
    <col min="1287" max="1287" width="11.1796875" style="7" customWidth="1"/>
    <col min="1288" max="1288" width="2.81640625" style="7" customWidth="1"/>
    <col min="1289" max="1289" width="3.54296875" style="7" customWidth="1"/>
    <col min="1290" max="1534" width="9.1796875" style="7"/>
    <col min="1535" max="1535" width="8.7265625" style="7" customWidth="1"/>
    <col min="1536" max="1536" width="9.81640625" style="7" customWidth="1"/>
    <col min="1537" max="1537" width="14.453125" style="7" customWidth="1"/>
    <col min="1538" max="1538" width="7.26953125" style="7" customWidth="1"/>
    <col min="1539" max="1539" width="5.54296875" style="7" customWidth="1"/>
    <col min="1540" max="1540" width="9" style="7" customWidth="1"/>
    <col min="1541" max="1542" width="9.81640625" style="7" customWidth="1"/>
    <col min="1543" max="1543" width="11.1796875" style="7" customWidth="1"/>
    <col min="1544" max="1544" width="2.81640625" style="7" customWidth="1"/>
    <col min="1545" max="1545" width="3.54296875" style="7" customWidth="1"/>
    <col min="1546" max="1790" width="9.1796875" style="7"/>
    <col min="1791" max="1791" width="8.7265625" style="7" customWidth="1"/>
    <col min="1792" max="1792" width="9.81640625" style="7" customWidth="1"/>
    <col min="1793" max="1793" width="14.453125" style="7" customWidth="1"/>
    <col min="1794" max="1794" width="7.26953125" style="7" customWidth="1"/>
    <col min="1795" max="1795" width="5.54296875" style="7" customWidth="1"/>
    <col min="1796" max="1796" width="9" style="7" customWidth="1"/>
    <col min="1797" max="1798" width="9.81640625" style="7" customWidth="1"/>
    <col min="1799" max="1799" width="11.1796875" style="7" customWidth="1"/>
    <col min="1800" max="1800" width="2.81640625" style="7" customWidth="1"/>
    <col min="1801" max="1801" width="3.54296875" style="7" customWidth="1"/>
    <col min="1802" max="2046" width="9.1796875" style="7"/>
    <col min="2047" max="2047" width="8.7265625" style="7" customWidth="1"/>
    <col min="2048" max="2048" width="9.81640625" style="7" customWidth="1"/>
    <col min="2049" max="2049" width="14.453125" style="7" customWidth="1"/>
    <col min="2050" max="2050" width="7.26953125" style="7" customWidth="1"/>
    <col min="2051" max="2051" width="5.54296875" style="7" customWidth="1"/>
    <col min="2052" max="2052" width="9" style="7" customWidth="1"/>
    <col min="2053" max="2054" width="9.81640625" style="7" customWidth="1"/>
    <col min="2055" max="2055" width="11.1796875" style="7" customWidth="1"/>
    <col min="2056" max="2056" width="2.81640625" style="7" customWidth="1"/>
    <col min="2057" max="2057" width="3.54296875" style="7" customWidth="1"/>
    <col min="2058" max="2302" width="9.1796875" style="7"/>
    <col min="2303" max="2303" width="8.7265625" style="7" customWidth="1"/>
    <col min="2304" max="2304" width="9.81640625" style="7" customWidth="1"/>
    <col min="2305" max="2305" width="14.453125" style="7" customWidth="1"/>
    <col min="2306" max="2306" width="7.26953125" style="7" customWidth="1"/>
    <col min="2307" max="2307" width="5.54296875" style="7" customWidth="1"/>
    <col min="2308" max="2308" width="9" style="7" customWidth="1"/>
    <col min="2309" max="2310" width="9.81640625" style="7" customWidth="1"/>
    <col min="2311" max="2311" width="11.1796875" style="7" customWidth="1"/>
    <col min="2312" max="2312" width="2.81640625" style="7" customWidth="1"/>
    <col min="2313" max="2313" width="3.54296875" style="7" customWidth="1"/>
    <col min="2314" max="2558" width="9.1796875" style="7"/>
    <col min="2559" max="2559" width="8.7265625" style="7" customWidth="1"/>
    <col min="2560" max="2560" width="9.81640625" style="7" customWidth="1"/>
    <col min="2561" max="2561" width="14.453125" style="7" customWidth="1"/>
    <col min="2562" max="2562" width="7.26953125" style="7" customWidth="1"/>
    <col min="2563" max="2563" width="5.54296875" style="7" customWidth="1"/>
    <col min="2564" max="2564" width="9" style="7" customWidth="1"/>
    <col min="2565" max="2566" width="9.81640625" style="7" customWidth="1"/>
    <col min="2567" max="2567" width="11.1796875" style="7" customWidth="1"/>
    <col min="2568" max="2568" width="2.81640625" style="7" customWidth="1"/>
    <col min="2569" max="2569" width="3.54296875" style="7" customWidth="1"/>
    <col min="2570" max="2814" width="9.1796875" style="7"/>
    <col min="2815" max="2815" width="8.7265625" style="7" customWidth="1"/>
    <col min="2816" max="2816" width="9.81640625" style="7" customWidth="1"/>
    <col min="2817" max="2817" width="14.453125" style="7" customWidth="1"/>
    <col min="2818" max="2818" width="7.26953125" style="7" customWidth="1"/>
    <col min="2819" max="2819" width="5.54296875" style="7" customWidth="1"/>
    <col min="2820" max="2820" width="9" style="7" customWidth="1"/>
    <col min="2821" max="2822" width="9.81640625" style="7" customWidth="1"/>
    <col min="2823" max="2823" width="11.1796875" style="7" customWidth="1"/>
    <col min="2824" max="2824" width="2.81640625" style="7" customWidth="1"/>
    <col min="2825" max="2825" width="3.54296875" style="7" customWidth="1"/>
    <col min="2826" max="3070" width="9.1796875" style="7"/>
    <col min="3071" max="3071" width="8.7265625" style="7" customWidth="1"/>
    <col min="3072" max="3072" width="9.81640625" style="7" customWidth="1"/>
    <col min="3073" max="3073" width="14.453125" style="7" customWidth="1"/>
    <col min="3074" max="3074" width="7.26953125" style="7" customWidth="1"/>
    <col min="3075" max="3075" width="5.54296875" style="7" customWidth="1"/>
    <col min="3076" max="3076" width="9" style="7" customWidth="1"/>
    <col min="3077" max="3078" width="9.81640625" style="7" customWidth="1"/>
    <col min="3079" max="3079" width="11.1796875" style="7" customWidth="1"/>
    <col min="3080" max="3080" width="2.81640625" style="7" customWidth="1"/>
    <col min="3081" max="3081" width="3.54296875" style="7" customWidth="1"/>
    <col min="3082" max="3326" width="9.1796875" style="7"/>
    <col min="3327" max="3327" width="8.7265625" style="7" customWidth="1"/>
    <col min="3328" max="3328" width="9.81640625" style="7" customWidth="1"/>
    <col min="3329" max="3329" width="14.453125" style="7" customWidth="1"/>
    <col min="3330" max="3330" width="7.26953125" style="7" customWidth="1"/>
    <col min="3331" max="3331" width="5.54296875" style="7" customWidth="1"/>
    <col min="3332" max="3332" width="9" style="7" customWidth="1"/>
    <col min="3333" max="3334" width="9.81640625" style="7" customWidth="1"/>
    <col min="3335" max="3335" width="11.1796875" style="7" customWidth="1"/>
    <col min="3336" max="3336" width="2.81640625" style="7" customWidth="1"/>
    <col min="3337" max="3337" width="3.54296875" style="7" customWidth="1"/>
    <col min="3338" max="3582" width="9.1796875" style="7"/>
    <col min="3583" max="3583" width="8.7265625" style="7" customWidth="1"/>
    <col min="3584" max="3584" width="9.81640625" style="7" customWidth="1"/>
    <col min="3585" max="3585" width="14.453125" style="7" customWidth="1"/>
    <col min="3586" max="3586" width="7.26953125" style="7" customWidth="1"/>
    <col min="3587" max="3587" width="5.54296875" style="7" customWidth="1"/>
    <col min="3588" max="3588" width="9" style="7" customWidth="1"/>
    <col min="3589" max="3590" width="9.81640625" style="7" customWidth="1"/>
    <col min="3591" max="3591" width="11.1796875" style="7" customWidth="1"/>
    <col min="3592" max="3592" width="2.81640625" style="7" customWidth="1"/>
    <col min="3593" max="3593" width="3.54296875" style="7" customWidth="1"/>
    <col min="3594" max="3838" width="9.1796875" style="7"/>
    <col min="3839" max="3839" width="8.7265625" style="7" customWidth="1"/>
    <col min="3840" max="3840" width="9.81640625" style="7" customWidth="1"/>
    <col min="3841" max="3841" width="14.453125" style="7" customWidth="1"/>
    <col min="3842" max="3842" width="7.26953125" style="7" customWidth="1"/>
    <col min="3843" max="3843" width="5.54296875" style="7" customWidth="1"/>
    <col min="3844" max="3844" width="9" style="7" customWidth="1"/>
    <col min="3845" max="3846" width="9.81640625" style="7" customWidth="1"/>
    <col min="3847" max="3847" width="11.1796875" style="7" customWidth="1"/>
    <col min="3848" max="3848" width="2.81640625" style="7" customWidth="1"/>
    <col min="3849" max="3849" width="3.54296875" style="7" customWidth="1"/>
    <col min="3850" max="4094" width="9.1796875" style="7"/>
    <col min="4095" max="4095" width="8.7265625" style="7" customWidth="1"/>
    <col min="4096" max="4096" width="9.81640625" style="7" customWidth="1"/>
    <col min="4097" max="4097" width="14.453125" style="7" customWidth="1"/>
    <col min="4098" max="4098" width="7.26953125" style="7" customWidth="1"/>
    <col min="4099" max="4099" width="5.54296875" style="7" customWidth="1"/>
    <col min="4100" max="4100" width="9" style="7" customWidth="1"/>
    <col min="4101" max="4102" width="9.81640625" style="7" customWidth="1"/>
    <col min="4103" max="4103" width="11.1796875" style="7" customWidth="1"/>
    <col min="4104" max="4104" width="2.81640625" style="7" customWidth="1"/>
    <col min="4105" max="4105" width="3.54296875" style="7" customWidth="1"/>
    <col min="4106" max="4350" width="9.1796875" style="7"/>
    <col min="4351" max="4351" width="8.7265625" style="7" customWidth="1"/>
    <col min="4352" max="4352" width="9.81640625" style="7" customWidth="1"/>
    <col min="4353" max="4353" width="14.453125" style="7" customWidth="1"/>
    <col min="4354" max="4354" width="7.26953125" style="7" customWidth="1"/>
    <col min="4355" max="4355" width="5.54296875" style="7" customWidth="1"/>
    <col min="4356" max="4356" width="9" style="7" customWidth="1"/>
    <col min="4357" max="4358" width="9.81640625" style="7" customWidth="1"/>
    <col min="4359" max="4359" width="11.1796875" style="7" customWidth="1"/>
    <col min="4360" max="4360" width="2.81640625" style="7" customWidth="1"/>
    <col min="4361" max="4361" width="3.54296875" style="7" customWidth="1"/>
    <col min="4362" max="4606" width="9.1796875" style="7"/>
    <col min="4607" max="4607" width="8.7265625" style="7" customWidth="1"/>
    <col min="4608" max="4608" width="9.81640625" style="7" customWidth="1"/>
    <col min="4609" max="4609" width="14.453125" style="7" customWidth="1"/>
    <col min="4610" max="4610" width="7.26953125" style="7" customWidth="1"/>
    <col min="4611" max="4611" width="5.54296875" style="7" customWidth="1"/>
    <col min="4612" max="4612" width="9" style="7" customWidth="1"/>
    <col min="4613" max="4614" width="9.81640625" style="7" customWidth="1"/>
    <col min="4615" max="4615" width="11.1796875" style="7" customWidth="1"/>
    <col min="4616" max="4616" width="2.81640625" style="7" customWidth="1"/>
    <col min="4617" max="4617" width="3.54296875" style="7" customWidth="1"/>
    <col min="4618" max="4862" width="9.1796875" style="7"/>
    <col min="4863" max="4863" width="8.7265625" style="7" customWidth="1"/>
    <col min="4864" max="4864" width="9.81640625" style="7" customWidth="1"/>
    <col min="4865" max="4865" width="14.453125" style="7" customWidth="1"/>
    <col min="4866" max="4866" width="7.26953125" style="7" customWidth="1"/>
    <col min="4867" max="4867" width="5.54296875" style="7" customWidth="1"/>
    <col min="4868" max="4868" width="9" style="7" customWidth="1"/>
    <col min="4869" max="4870" width="9.81640625" style="7" customWidth="1"/>
    <col min="4871" max="4871" width="11.1796875" style="7" customWidth="1"/>
    <col min="4872" max="4872" width="2.81640625" style="7" customWidth="1"/>
    <col min="4873" max="4873" width="3.54296875" style="7" customWidth="1"/>
    <col min="4874" max="5118" width="9.1796875" style="7"/>
    <col min="5119" max="5119" width="8.7265625" style="7" customWidth="1"/>
    <col min="5120" max="5120" width="9.81640625" style="7" customWidth="1"/>
    <col min="5121" max="5121" width="14.453125" style="7" customWidth="1"/>
    <col min="5122" max="5122" width="7.26953125" style="7" customWidth="1"/>
    <col min="5123" max="5123" width="5.54296875" style="7" customWidth="1"/>
    <col min="5124" max="5124" width="9" style="7" customWidth="1"/>
    <col min="5125" max="5126" width="9.81640625" style="7" customWidth="1"/>
    <col min="5127" max="5127" width="11.1796875" style="7" customWidth="1"/>
    <col min="5128" max="5128" width="2.81640625" style="7" customWidth="1"/>
    <col min="5129" max="5129" width="3.54296875" style="7" customWidth="1"/>
    <col min="5130" max="5374" width="9.1796875" style="7"/>
    <col min="5375" max="5375" width="8.7265625" style="7" customWidth="1"/>
    <col min="5376" max="5376" width="9.81640625" style="7" customWidth="1"/>
    <col min="5377" max="5377" width="14.453125" style="7" customWidth="1"/>
    <col min="5378" max="5378" width="7.26953125" style="7" customWidth="1"/>
    <col min="5379" max="5379" width="5.54296875" style="7" customWidth="1"/>
    <col min="5380" max="5380" width="9" style="7" customWidth="1"/>
    <col min="5381" max="5382" width="9.81640625" style="7" customWidth="1"/>
    <col min="5383" max="5383" width="11.1796875" style="7" customWidth="1"/>
    <col min="5384" max="5384" width="2.81640625" style="7" customWidth="1"/>
    <col min="5385" max="5385" width="3.54296875" style="7" customWidth="1"/>
    <col min="5386" max="5630" width="9.1796875" style="7"/>
    <col min="5631" max="5631" width="8.7265625" style="7" customWidth="1"/>
    <col min="5632" max="5632" width="9.81640625" style="7" customWidth="1"/>
    <col min="5633" max="5633" width="14.453125" style="7" customWidth="1"/>
    <col min="5634" max="5634" width="7.26953125" style="7" customWidth="1"/>
    <col min="5635" max="5635" width="5.54296875" style="7" customWidth="1"/>
    <col min="5636" max="5636" width="9" style="7" customWidth="1"/>
    <col min="5637" max="5638" width="9.81640625" style="7" customWidth="1"/>
    <col min="5639" max="5639" width="11.1796875" style="7" customWidth="1"/>
    <col min="5640" max="5640" width="2.81640625" style="7" customWidth="1"/>
    <col min="5641" max="5641" width="3.54296875" style="7" customWidth="1"/>
    <col min="5642" max="5886" width="9.1796875" style="7"/>
    <col min="5887" max="5887" width="8.7265625" style="7" customWidth="1"/>
    <col min="5888" max="5888" width="9.81640625" style="7" customWidth="1"/>
    <col min="5889" max="5889" width="14.453125" style="7" customWidth="1"/>
    <col min="5890" max="5890" width="7.26953125" style="7" customWidth="1"/>
    <col min="5891" max="5891" width="5.54296875" style="7" customWidth="1"/>
    <col min="5892" max="5892" width="9" style="7" customWidth="1"/>
    <col min="5893" max="5894" width="9.81640625" style="7" customWidth="1"/>
    <col min="5895" max="5895" width="11.1796875" style="7" customWidth="1"/>
    <col min="5896" max="5896" width="2.81640625" style="7" customWidth="1"/>
    <col min="5897" max="5897" width="3.54296875" style="7" customWidth="1"/>
    <col min="5898" max="6142" width="9.1796875" style="7"/>
    <col min="6143" max="6143" width="8.7265625" style="7" customWidth="1"/>
    <col min="6144" max="6144" width="9.81640625" style="7" customWidth="1"/>
    <col min="6145" max="6145" width="14.453125" style="7" customWidth="1"/>
    <col min="6146" max="6146" width="7.26953125" style="7" customWidth="1"/>
    <col min="6147" max="6147" width="5.54296875" style="7" customWidth="1"/>
    <col min="6148" max="6148" width="9" style="7" customWidth="1"/>
    <col min="6149" max="6150" width="9.81640625" style="7" customWidth="1"/>
    <col min="6151" max="6151" width="11.1796875" style="7" customWidth="1"/>
    <col min="6152" max="6152" width="2.81640625" style="7" customWidth="1"/>
    <col min="6153" max="6153" width="3.54296875" style="7" customWidth="1"/>
    <col min="6154" max="6398" width="9.1796875" style="7"/>
    <col min="6399" max="6399" width="8.7265625" style="7" customWidth="1"/>
    <col min="6400" max="6400" width="9.81640625" style="7" customWidth="1"/>
    <col min="6401" max="6401" width="14.453125" style="7" customWidth="1"/>
    <col min="6402" max="6402" width="7.26953125" style="7" customWidth="1"/>
    <col min="6403" max="6403" width="5.54296875" style="7" customWidth="1"/>
    <col min="6404" max="6404" width="9" style="7" customWidth="1"/>
    <col min="6405" max="6406" width="9.81640625" style="7" customWidth="1"/>
    <col min="6407" max="6407" width="11.1796875" style="7" customWidth="1"/>
    <col min="6408" max="6408" width="2.81640625" style="7" customWidth="1"/>
    <col min="6409" max="6409" width="3.54296875" style="7" customWidth="1"/>
    <col min="6410" max="6654" width="9.1796875" style="7"/>
    <col min="6655" max="6655" width="8.7265625" style="7" customWidth="1"/>
    <col min="6656" max="6656" width="9.81640625" style="7" customWidth="1"/>
    <col min="6657" max="6657" width="14.453125" style="7" customWidth="1"/>
    <col min="6658" max="6658" width="7.26953125" style="7" customWidth="1"/>
    <col min="6659" max="6659" width="5.54296875" style="7" customWidth="1"/>
    <col min="6660" max="6660" width="9" style="7" customWidth="1"/>
    <col min="6661" max="6662" width="9.81640625" style="7" customWidth="1"/>
    <col min="6663" max="6663" width="11.1796875" style="7" customWidth="1"/>
    <col min="6664" max="6664" width="2.81640625" style="7" customWidth="1"/>
    <col min="6665" max="6665" width="3.54296875" style="7" customWidth="1"/>
    <col min="6666" max="6910" width="9.1796875" style="7"/>
    <col min="6911" max="6911" width="8.7265625" style="7" customWidth="1"/>
    <col min="6912" max="6912" width="9.81640625" style="7" customWidth="1"/>
    <col min="6913" max="6913" width="14.453125" style="7" customWidth="1"/>
    <col min="6914" max="6914" width="7.26953125" style="7" customWidth="1"/>
    <col min="6915" max="6915" width="5.54296875" style="7" customWidth="1"/>
    <col min="6916" max="6916" width="9" style="7" customWidth="1"/>
    <col min="6917" max="6918" width="9.81640625" style="7" customWidth="1"/>
    <col min="6919" max="6919" width="11.1796875" style="7" customWidth="1"/>
    <col min="6920" max="6920" width="2.81640625" style="7" customWidth="1"/>
    <col min="6921" max="6921" width="3.54296875" style="7" customWidth="1"/>
    <col min="6922" max="7166" width="9.1796875" style="7"/>
    <col min="7167" max="7167" width="8.7265625" style="7" customWidth="1"/>
    <col min="7168" max="7168" width="9.81640625" style="7" customWidth="1"/>
    <col min="7169" max="7169" width="14.453125" style="7" customWidth="1"/>
    <col min="7170" max="7170" width="7.26953125" style="7" customWidth="1"/>
    <col min="7171" max="7171" width="5.54296875" style="7" customWidth="1"/>
    <col min="7172" max="7172" width="9" style="7" customWidth="1"/>
    <col min="7173" max="7174" width="9.81640625" style="7" customWidth="1"/>
    <col min="7175" max="7175" width="11.1796875" style="7" customWidth="1"/>
    <col min="7176" max="7176" width="2.81640625" style="7" customWidth="1"/>
    <col min="7177" max="7177" width="3.54296875" style="7" customWidth="1"/>
    <col min="7178" max="7422" width="9.1796875" style="7"/>
    <col min="7423" max="7423" width="8.7265625" style="7" customWidth="1"/>
    <col min="7424" max="7424" width="9.81640625" style="7" customWidth="1"/>
    <col min="7425" max="7425" width="14.453125" style="7" customWidth="1"/>
    <col min="7426" max="7426" width="7.26953125" style="7" customWidth="1"/>
    <col min="7427" max="7427" width="5.54296875" style="7" customWidth="1"/>
    <col min="7428" max="7428" width="9" style="7" customWidth="1"/>
    <col min="7429" max="7430" width="9.81640625" style="7" customWidth="1"/>
    <col min="7431" max="7431" width="11.1796875" style="7" customWidth="1"/>
    <col min="7432" max="7432" width="2.81640625" style="7" customWidth="1"/>
    <col min="7433" max="7433" width="3.54296875" style="7" customWidth="1"/>
    <col min="7434" max="7678" width="9.1796875" style="7"/>
    <col min="7679" max="7679" width="8.7265625" style="7" customWidth="1"/>
    <col min="7680" max="7680" width="9.81640625" style="7" customWidth="1"/>
    <col min="7681" max="7681" width="14.453125" style="7" customWidth="1"/>
    <col min="7682" max="7682" width="7.26953125" style="7" customWidth="1"/>
    <col min="7683" max="7683" width="5.54296875" style="7" customWidth="1"/>
    <col min="7684" max="7684" width="9" style="7" customWidth="1"/>
    <col min="7685" max="7686" width="9.81640625" style="7" customWidth="1"/>
    <col min="7687" max="7687" width="11.1796875" style="7" customWidth="1"/>
    <col min="7688" max="7688" width="2.81640625" style="7" customWidth="1"/>
    <col min="7689" max="7689" width="3.54296875" style="7" customWidth="1"/>
    <col min="7690" max="7934" width="9.1796875" style="7"/>
    <col min="7935" max="7935" width="8.7265625" style="7" customWidth="1"/>
    <col min="7936" max="7936" width="9.81640625" style="7" customWidth="1"/>
    <col min="7937" max="7937" width="14.453125" style="7" customWidth="1"/>
    <col min="7938" max="7938" width="7.26953125" style="7" customWidth="1"/>
    <col min="7939" max="7939" width="5.54296875" style="7" customWidth="1"/>
    <col min="7940" max="7940" width="9" style="7" customWidth="1"/>
    <col min="7941" max="7942" width="9.81640625" style="7" customWidth="1"/>
    <col min="7943" max="7943" width="11.1796875" style="7" customWidth="1"/>
    <col min="7944" max="7944" width="2.81640625" style="7" customWidth="1"/>
    <col min="7945" max="7945" width="3.54296875" style="7" customWidth="1"/>
    <col min="7946" max="8190" width="9.1796875" style="7"/>
    <col min="8191" max="8191" width="8.7265625" style="7" customWidth="1"/>
    <col min="8192" max="8192" width="9.81640625" style="7" customWidth="1"/>
    <col min="8193" max="8193" width="14.453125" style="7" customWidth="1"/>
    <col min="8194" max="8194" width="7.26953125" style="7" customWidth="1"/>
    <col min="8195" max="8195" width="5.54296875" style="7" customWidth="1"/>
    <col min="8196" max="8196" width="9" style="7" customWidth="1"/>
    <col min="8197" max="8198" width="9.81640625" style="7" customWidth="1"/>
    <col min="8199" max="8199" width="11.1796875" style="7" customWidth="1"/>
    <col min="8200" max="8200" width="2.81640625" style="7" customWidth="1"/>
    <col min="8201" max="8201" width="3.54296875" style="7" customWidth="1"/>
    <col min="8202" max="8446" width="9.1796875" style="7"/>
    <col min="8447" max="8447" width="8.7265625" style="7" customWidth="1"/>
    <col min="8448" max="8448" width="9.81640625" style="7" customWidth="1"/>
    <col min="8449" max="8449" width="14.453125" style="7" customWidth="1"/>
    <col min="8450" max="8450" width="7.26953125" style="7" customWidth="1"/>
    <col min="8451" max="8451" width="5.54296875" style="7" customWidth="1"/>
    <col min="8452" max="8452" width="9" style="7" customWidth="1"/>
    <col min="8453" max="8454" width="9.81640625" style="7" customWidth="1"/>
    <col min="8455" max="8455" width="11.1796875" style="7" customWidth="1"/>
    <col min="8456" max="8456" width="2.81640625" style="7" customWidth="1"/>
    <col min="8457" max="8457" width="3.54296875" style="7" customWidth="1"/>
    <col min="8458" max="8702" width="9.1796875" style="7"/>
    <col min="8703" max="8703" width="8.7265625" style="7" customWidth="1"/>
    <col min="8704" max="8704" width="9.81640625" style="7" customWidth="1"/>
    <col min="8705" max="8705" width="14.453125" style="7" customWidth="1"/>
    <col min="8706" max="8706" width="7.26953125" style="7" customWidth="1"/>
    <col min="8707" max="8707" width="5.54296875" style="7" customWidth="1"/>
    <col min="8708" max="8708" width="9" style="7" customWidth="1"/>
    <col min="8709" max="8710" width="9.81640625" style="7" customWidth="1"/>
    <col min="8711" max="8711" width="11.1796875" style="7" customWidth="1"/>
    <col min="8712" max="8712" width="2.81640625" style="7" customWidth="1"/>
    <col min="8713" max="8713" width="3.54296875" style="7" customWidth="1"/>
    <col min="8714" max="8958" width="9.1796875" style="7"/>
    <col min="8959" max="8959" width="8.7265625" style="7" customWidth="1"/>
    <col min="8960" max="8960" width="9.81640625" style="7" customWidth="1"/>
    <col min="8961" max="8961" width="14.453125" style="7" customWidth="1"/>
    <col min="8962" max="8962" width="7.26953125" style="7" customWidth="1"/>
    <col min="8963" max="8963" width="5.54296875" style="7" customWidth="1"/>
    <col min="8964" max="8964" width="9" style="7" customWidth="1"/>
    <col min="8965" max="8966" width="9.81640625" style="7" customWidth="1"/>
    <col min="8967" max="8967" width="11.1796875" style="7" customWidth="1"/>
    <col min="8968" max="8968" width="2.81640625" style="7" customWidth="1"/>
    <col min="8969" max="8969" width="3.54296875" style="7" customWidth="1"/>
    <col min="8970" max="9214" width="9.1796875" style="7"/>
    <col min="9215" max="9215" width="8.7265625" style="7" customWidth="1"/>
    <col min="9216" max="9216" width="9.81640625" style="7" customWidth="1"/>
    <col min="9217" max="9217" width="14.453125" style="7" customWidth="1"/>
    <col min="9218" max="9218" width="7.26953125" style="7" customWidth="1"/>
    <col min="9219" max="9219" width="5.54296875" style="7" customWidth="1"/>
    <col min="9220" max="9220" width="9" style="7" customWidth="1"/>
    <col min="9221" max="9222" width="9.81640625" style="7" customWidth="1"/>
    <col min="9223" max="9223" width="11.1796875" style="7" customWidth="1"/>
    <col min="9224" max="9224" width="2.81640625" style="7" customWidth="1"/>
    <col min="9225" max="9225" width="3.54296875" style="7" customWidth="1"/>
    <col min="9226" max="9470" width="9.1796875" style="7"/>
    <col min="9471" max="9471" width="8.7265625" style="7" customWidth="1"/>
    <col min="9472" max="9472" width="9.81640625" style="7" customWidth="1"/>
    <col min="9473" max="9473" width="14.453125" style="7" customWidth="1"/>
    <col min="9474" max="9474" width="7.26953125" style="7" customWidth="1"/>
    <col min="9475" max="9475" width="5.54296875" style="7" customWidth="1"/>
    <col min="9476" max="9476" width="9" style="7" customWidth="1"/>
    <col min="9477" max="9478" width="9.81640625" style="7" customWidth="1"/>
    <col min="9479" max="9479" width="11.1796875" style="7" customWidth="1"/>
    <col min="9480" max="9480" width="2.81640625" style="7" customWidth="1"/>
    <col min="9481" max="9481" width="3.54296875" style="7" customWidth="1"/>
    <col min="9482" max="9726" width="9.1796875" style="7"/>
    <col min="9727" max="9727" width="8.7265625" style="7" customWidth="1"/>
    <col min="9728" max="9728" width="9.81640625" style="7" customWidth="1"/>
    <col min="9729" max="9729" width="14.453125" style="7" customWidth="1"/>
    <col min="9730" max="9730" width="7.26953125" style="7" customWidth="1"/>
    <col min="9731" max="9731" width="5.54296875" style="7" customWidth="1"/>
    <col min="9732" max="9732" width="9" style="7" customWidth="1"/>
    <col min="9733" max="9734" width="9.81640625" style="7" customWidth="1"/>
    <col min="9735" max="9735" width="11.1796875" style="7" customWidth="1"/>
    <col min="9736" max="9736" width="2.81640625" style="7" customWidth="1"/>
    <col min="9737" max="9737" width="3.54296875" style="7" customWidth="1"/>
    <col min="9738" max="9982" width="9.1796875" style="7"/>
    <col min="9983" max="9983" width="8.7265625" style="7" customWidth="1"/>
    <col min="9984" max="9984" width="9.81640625" style="7" customWidth="1"/>
    <col min="9985" max="9985" width="14.453125" style="7" customWidth="1"/>
    <col min="9986" max="9986" width="7.26953125" style="7" customWidth="1"/>
    <col min="9987" max="9987" width="5.54296875" style="7" customWidth="1"/>
    <col min="9988" max="9988" width="9" style="7" customWidth="1"/>
    <col min="9989" max="9990" width="9.81640625" style="7" customWidth="1"/>
    <col min="9991" max="9991" width="11.1796875" style="7" customWidth="1"/>
    <col min="9992" max="9992" width="2.81640625" style="7" customWidth="1"/>
    <col min="9993" max="9993" width="3.54296875" style="7" customWidth="1"/>
    <col min="9994" max="10238" width="9.1796875" style="7"/>
    <col min="10239" max="10239" width="8.7265625" style="7" customWidth="1"/>
    <col min="10240" max="10240" width="9.81640625" style="7" customWidth="1"/>
    <col min="10241" max="10241" width="14.453125" style="7" customWidth="1"/>
    <col min="10242" max="10242" width="7.26953125" style="7" customWidth="1"/>
    <col min="10243" max="10243" width="5.54296875" style="7" customWidth="1"/>
    <col min="10244" max="10244" width="9" style="7" customWidth="1"/>
    <col min="10245" max="10246" width="9.81640625" style="7" customWidth="1"/>
    <col min="10247" max="10247" width="11.1796875" style="7" customWidth="1"/>
    <col min="10248" max="10248" width="2.81640625" style="7" customWidth="1"/>
    <col min="10249" max="10249" width="3.54296875" style="7" customWidth="1"/>
    <col min="10250" max="10494" width="9.1796875" style="7"/>
    <col min="10495" max="10495" width="8.7265625" style="7" customWidth="1"/>
    <col min="10496" max="10496" width="9.81640625" style="7" customWidth="1"/>
    <col min="10497" max="10497" width="14.453125" style="7" customWidth="1"/>
    <col min="10498" max="10498" width="7.26953125" style="7" customWidth="1"/>
    <col min="10499" max="10499" width="5.54296875" style="7" customWidth="1"/>
    <col min="10500" max="10500" width="9" style="7" customWidth="1"/>
    <col min="10501" max="10502" width="9.81640625" style="7" customWidth="1"/>
    <col min="10503" max="10503" width="11.1796875" style="7" customWidth="1"/>
    <col min="10504" max="10504" width="2.81640625" style="7" customWidth="1"/>
    <col min="10505" max="10505" width="3.54296875" style="7" customWidth="1"/>
    <col min="10506" max="10750" width="9.1796875" style="7"/>
    <col min="10751" max="10751" width="8.7265625" style="7" customWidth="1"/>
    <col min="10752" max="10752" width="9.81640625" style="7" customWidth="1"/>
    <col min="10753" max="10753" width="14.453125" style="7" customWidth="1"/>
    <col min="10754" max="10754" width="7.26953125" style="7" customWidth="1"/>
    <col min="10755" max="10755" width="5.54296875" style="7" customWidth="1"/>
    <col min="10756" max="10756" width="9" style="7" customWidth="1"/>
    <col min="10757" max="10758" width="9.81640625" style="7" customWidth="1"/>
    <col min="10759" max="10759" width="11.1796875" style="7" customWidth="1"/>
    <col min="10760" max="10760" width="2.81640625" style="7" customWidth="1"/>
    <col min="10761" max="10761" width="3.54296875" style="7" customWidth="1"/>
    <col min="10762" max="11006" width="9.1796875" style="7"/>
    <col min="11007" max="11007" width="8.7265625" style="7" customWidth="1"/>
    <col min="11008" max="11008" width="9.81640625" style="7" customWidth="1"/>
    <col min="11009" max="11009" width="14.453125" style="7" customWidth="1"/>
    <col min="11010" max="11010" width="7.26953125" style="7" customWidth="1"/>
    <col min="11011" max="11011" width="5.54296875" style="7" customWidth="1"/>
    <col min="11012" max="11012" width="9" style="7" customWidth="1"/>
    <col min="11013" max="11014" width="9.81640625" style="7" customWidth="1"/>
    <col min="11015" max="11015" width="11.1796875" style="7" customWidth="1"/>
    <col min="11016" max="11016" width="2.81640625" style="7" customWidth="1"/>
    <col min="11017" max="11017" width="3.54296875" style="7" customWidth="1"/>
    <col min="11018" max="11262" width="9.1796875" style="7"/>
    <col min="11263" max="11263" width="8.7265625" style="7" customWidth="1"/>
    <col min="11264" max="11264" width="9.81640625" style="7" customWidth="1"/>
    <col min="11265" max="11265" width="14.453125" style="7" customWidth="1"/>
    <col min="11266" max="11266" width="7.26953125" style="7" customWidth="1"/>
    <col min="11267" max="11267" width="5.54296875" style="7" customWidth="1"/>
    <col min="11268" max="11268" width="9" style="7" customWidth="1"/>
    <col min="11269" max="11270" width="9.81640625" style="7" customWidth="1"/>
    <col min="11271" max="11271" width="11.1796875" style="7" customWidth="1"/>
    <col min="11272" max="11272" width="2.81640625" style="7" customWidth="1"/>
    <col min="11273" max="11273" width="3.54296875" style="7" customWidth="1"/>
    <col min="11274" max="11518" width="9.1796875" style="7"/>
    <col min="11519" max="11519" width="8.7265625" style="7" customWidth="1"/>
    <col min="11520" max="11520" width="9.81640625" style="7" customWidth="1"/>
    <col min="11521" max="11521" width="14.453125" style="7" customWidth="1"/>
    <col min="11522" max="11522" width="7.26953125" style="7" customWidth="1"/>
    <col min="11523" max="11523" width="5.54296875" style="7" customWidth="1"/>
    <col min="11524" max="11524" width="9" style="7" customWidth="1"/>
    <col min="11525" max="11526" width="9.81640625" style="7" customWidth="1"/>
    <col min="11527" max="11527" width="11.1796875" style="7" customWidth="1"/>
    <col min="11528" max="11528" width="2.81640625" style="7" customWidth="1"/>
    <col min="11529" max="11529" width="3.54296875" style="7" customWidth="1"/>
    <col min="11530" max="11774" width="9.1796875" style="7"/>
    <col min="11775" max="11775" width="8.7265625" style="7" customWidth="1"/>
    <col min="11776" max="11776" width="9.81640625" style="7" customWidth="1"/>
    <col min="11777" max="11777" width="14.453125" style="7" customWidth="1"/>
    <col min="11778" max="11778" width="7.26953125" style="7" customWidth="1"/>
    <col min="11779" max="11779" width="5.54296875" style="7" customWidth="1"/>
    <col min="11780" max="11780" width="9" style="7" customWidth="1"/>
    <col min="11781" max="11782" width="9.81640625" style="7" customWidth="1"/>
    <col min="11783" max="11783" width="11.1796875" style="7" customWidth="1"/>
    <col min="11784" max="11784" width="2.81640625" style="7" customWidth="1"/>
    <col min="11785" max="11785" width="3.54296875" style="7" customWidth="1"/>
    <col min="11786" max="12030" width="9.1796875" style="7"/>
    <col min="12031" max="12031" width="8.7265625" style="7" customWidth="1"/>
    <col min="12032" max="12032" width="9.81640625" style="7" customWidth="1"/>
    <col min="12033" max="12033" width="14.453125" style="7" customWidth="1"/>
    <col min="12034" max="12034" width="7.26953125" style="7" customWidth="1"/>
    <col min="12035" max="12035" width="5.54296875" style="7" customWidth="1"/>
    <col min="12036" max="12036" width="9" style="7" customWidth="1"/>
    <col min="12037" max="12038" width="9.81640625" style="7" customWidth="1"/>
    <col min="12039" max="12039" width="11.1796875" style="7" customWidth="1"/>
    <col min="12040" max="12040" width="2.81640625" style="7" customWidth="1"/>
    <col min="12041" max="12041" width="3.54296875" style="7" customWidth="1"/>
    <col min="12042" max="12286" width="9.1796875" style="7"/>
    <col min="12287" max="12287" width="8.7265625" style="7" customWidth="1"/>
    <col min="12288" max="12288" width="9.81640625" style="7" customWidth="1"/>
    <col min="12289" max="12289" width="14.453125" style="7" customWidth="1"/>
    <col min="12290" max="12290" width="7.26953125" style="7" customWidth="1"/>
    <col min="12291" max="12291" width="5.54296875" style="7" customWidth="1"/>
    <col min="12292" max="12292" width="9" style="7" customWidth="1"/>
    <col min="12293" max="12294" width="9.81640625" style="7" customWidth="1"/>
    <col min="12295" max="12295" width="11.1796875" style="7" customWidth="1"/>
    <col min="12296" max="12296" width="2.81640625" style="7" customWidth="1"/>
    <col min="12297" max="12297" width="3.54296875" style="7" customWidth="1"/>
    <col min="12298" max="12542" width="9.1796875" style="7"/>
    <col min="12543" max="12543" width="8.7265625" style="7" customWidth="1"/>
    <col min="12544" max="12544" width="9.81640625" style="7" customWidth="1"/>
    <col min="12545" max="12545" width="14.453125" style="7" customWidth="1"/>
    <col min="12546" max="12546" width="7.26953125" style="7" customWidth="1"/>
    <col min="12547" max="12547" width="5.54296875" style="7" customWidth="1"/>
    <col min="12548" max="12548" width="9" style="7" customWidth="1"/>
    <col min="12549" max="12550" width="9.81640625" style="7" customWidth="1"/>
    <col min="12551" max="12551" width="11.1796875" style="7" customWidth="1"/>
    <col min="12552" max="12552" width="2.81640625" style="7" customWidth="1"/>
    <col min="12553" max="12553" width="3.54296875" style="7" customWidth="1"/>
    <col min="12554" max="12798" width="9.1796875" style="7"/>
    <col min="12799" max="12799" width="8.7265625" style="7" customWidth="1"/>
    <col min="12800" max="12800" width="9.81640625" style="7" customWidth="1"/>
    <col min="12801" max="12801" width="14.453125" style="7" customWidth="1"/>
    <col min="12802" max="12802" width="7.26953125" style="7" customWidth="1"/>
    <col min="12803" max="12803" width="5.54296875" style="7" customWidth="1"/>
    <col min="12804" max="12804" width="9" style="7" customWidth="1"/>
    <col min="12805" max="12806" width="9.81640625" style="7" customWidth="1"/>
    <col min="12807" max="12807" width="11.1796875" style="7" customWidth="1"/>
    <col min="12808" max="12808" width="2.81640625" style="7" customWidth="1"/>
    <col min="12809" max="12809" width="3.54296875" style="7" customWidth="1"/>
    <col min="12810" max="13054" width="9.1796875" style="7"/>
    <col min="13055" max="13055" width="8.7265625" style="7" customWidth="1"/>
    <col min="13056" max="13056" width="9.81640625" style="7" customWidth="1"/>
    <col min="13057" max="13057" width="14.453125" style="7" customWidth="1"/>
    <col min="13058" max="13058" width="7.26953125" style="7" customWidth="1"/>
    <col min="13059" max="13059" width="5.54296875" style="7" customWidth="1"/>
    <col min="13060" max="13060" width="9" style="7" customWidth="1"/>
    <col min="13061" max="13062" width="9.81640625" style="7" customWidth="1"/>
    <col min="13063" max="13063" width="11.1796875" style="7" customWidth="1"/>
    <col min="13064" max="13064" width="2.81640625" style="7" customWidth="1"/>
    <col min="13065" max="13065" width="3.54296875" style="7" customWidth="1"/>
    <col min="13066" max="13310" width="9.1796875" style="7"/>
    <col min="13311" max="13311" width="8.7265625" style="7" customWidth="1"/>
    <col min="13312" max="13312" width="9.81640625" style="7" customWidth="1"/>
    <col min="13313" max="13313" width="14.453125" style="7" customWidth="1"/>
    <col min="13314" max="13314" width="7.26953125" style="7" customWidth="1"/>
    <col min="13315" max="13315" width="5.54296875" style="7" customWidth="1"/>
    <col min="13316" max="13316" width="9" style="7" customWidth="1"/>
    <col min="13317" max="13318" width="9.81640625" style="7" customWidth="1"/>
    <col min="13319" max="13319" width="11.1796875" style="7" customWidth="1"/>
    <col min="13320" max="13320" width="2.81640625" style="7" customWidth="1"/>
    <col min="13321" max="13321" width="3.54296875" style="7" customWidth="1"/>
    <col min="13322" max="13566" width="9.1796875" style="7"/>
    <col min="13567" max="13567" width="8.7265625" style="7" customWidth="1"/>
    <col min="13568" max="13568" width="9.81640625" style="7" customWidth="1"/>
    <col min="13569" max="13569" width="14.453125" style="7" customWidth="1"/>
    <col min="13570" max="13570" width="7.26953125" style="7" customWidth="1"/>
    <col min="13571" max="13571" width="5.54296875" style="7" customWidth="1"/>
    <col min="13572" max="13572" width="9" style="7" customWidth="1"/>
    <col min="13573" max="13574" width="9.81640625" style="7" customWidth="1"/>
    <col min="13575" max="13575" width="11.1796875" style="7" customWidth="1"/>
    <col min="13576" max="13576" width="2.81640625" style="7" customWidth="1"/>
    <col min="13577" max="13577" width="3.54296875" style="7" customWidth="1"/>
    <col min="13578" max="13822" width="9.1796875" style="7"/>
    <col min="13823" max="13823" width="8.7265625" style="7" customWidth="1"/>
    <col min="13824" max="13824" width="9.81640625" style="7" customWidth="1"/>
    <col min="13825" max="13825" width="14.453125" style="7" customWidth="1"/>
    <col min="13826" max="13826" width="7.26953125" style="7" customWidth="1"/>
    <col min="13827" max="13827" width="5.54296875" style="7" customWidth="1"/>
    <col min="13828" max="13828" width="9" style="7" customWidth="1"/>
    <col min="13829" max="13830" width="9.81640625" style="7" customWidth="1"/>
    <col min="13831" max="13831" width="11.1796875" style="7" customWidth="1"/>
    <col min="13832" max="13832" width="2.81640625" style="7" customWidth="1"/>
    <col min="13833" max="13833" width="3.54296875" style="7" customWidth="1"/>
    <col min="13834" max="14078" width="9.1796875" style="7"/>
    <col min="14079" max="14079" width="8.7265625" style="7" customWidth="1"/>
    <col min="14080" max="14080" width="9.81640625" style="7" customWidth="1"/>
    <col min="14081" max="14081" width="14.453125" style="7" customWidth="1"/>
    <col min="14082" max="14082" width="7.26953125" style="7" customWidth="1"/>
    <col min="14083" max="14083" width="5.54296875" style="7" customWidth="1"/>
    <col min="14084" max="14084" width="9" style="7" customWidth="1"/>
    <col min="14085" max="14086" width="9.81640625" style="7" customWidth="1"/>
    <col min="14087" max="14087" width="11.1796875" style="7" customWidth="1"/>
    <col min="14088" max="14088" width="2.81640625" style="7" customWidth="1"/>
    <col min="14089" max="14089" width="3.54296875" style="7" customWidth="1"/>
    <col min="14090" max="14334" width="9.1796875" style="7"/>
    <col min="14335" max="14335" width="8.7265625" style="7" customWidth="1"/>
    <col min="14336" max="14336" width="9.81640625" style="7" customWidth="1"/>
    <col min="14337" max="14337" width="14.453125" style="7" customWidth="1"/>
    <col min="14338" max="14338" width="7.26953125" style="7" customWidth="1"/>
    <col min="14339" max="14339" width="5.54296875" style="7" customWidth="1"/>
    <col min="14340" max="14340" width="9" style="7" customWidth="1"/>
    <col min="14341" max="14342" width="9.81640625" style="7" customWidth="1"/>
    <col min="14343" max="14343" width="11.1796875" style="7" customWidth="1"/>
    <col min="14344" max="14344" width="2.81640625" style="7" customWidth="1"/>
    <col min="14345" max="14345" width="3.54296875" style="7" customWidth="1"/>
    <col min="14346" max="14590" width="9.1796875" style="7"/>
    <col min="14591" max="14591" width="8.7265625" style="7" customWidth="1"/>
    <col min="14592" max="14592" width="9.81640625" style="7" customWidth="1"/>
    <col min="14593" max="14593" width="14.453125" style="7" customWidth="1"/>
    <col min="14594" max="14594" width="7.26953125" style="7" customWidth="1"/>
    <col min="14595" max="14595" width="5.54296875" style="7" customWidth="1"/>
    <col min="14596" max="14596" width="9" style="7" customWidth="1"/>
    <col min="14597" max="14598" width="9.81640625" style="7" customWidth="1"/>
    <col min="14599" max="14599" width="11.1796875" style="7" customWidth="1"/>
    <col min="14600" max="14600" width="2.81640625" style="7" customWidth="1"/>
    <col min="14601" max="14601" width="3.54296875" style="7" customWidth="1"/>
    <col min="14602" max="14846" width="9.1796875" style="7"/>
    <col min="14847" max="14847" width="8.7265625" style="7" customWidth="1"/>
    <col min="14848" max="14848" width="9.81640625" style="7" customWidth="1"/>
    <col min="14849" max="14849" width="14.453125" style="7" customWidth="1"/>
    <col min="14850" max="14850" width="7.26953125" style="7" customWidth="1"/>
    <col min="14851" max="14851" width="5.54296875" style="7" customWidth="1"/>
    <col min="14852" max="14852" width="9" style="7" customWidth="1"/>
    <col min="14853" max="14854" width="9.81640625" style="7" customWidth="1"/>
    <col min="14855" max="14855" width="11.1796875" style="7" customWidth="1"/>
    <col min="14856" max="14856" width="2.81640625" style="7" customWidth="1"/>
    <col min="14857" max="14857" width="3.54296875" style="7" customWidth="1"/>
    <col min="14858" max="15102" width="9.1796875" style="7"/>
    <col min="15103" max="15103" width="8.7265625" style="7" customWidth="1"/>
    <col min="15104" max="15104" width="9.81640625" style="7" customWidth="1"/>
    <col min="15105" max="15105" width="14.453125" style="7" customWidth="1"/>
    <col min="15106" max="15106" width="7.26953125" style="7" customWidth="1"/>
    <col min="15107" max="15107" width="5.54296875" style="7" customWidth="1"/>
    <col min="15108" max="15108" width="9" style="7" customWidth="1"/>
    <col min="15109" max="15110" width="9.81640625" style="7" customWidth="1"/>
    <col min="15111" max="15111" width="11.1796875" style="7" customWidth="1"/>
    <col min="15112" max="15112" width="2.81640625" style="7" customWidth="1"/>
    <col min="15113" max="15113" width="3.54296875" style="7" customWidth="1"/>
    <col min="15114" max="15358" width="9.1796875" style="7"/>
    <col min="15359" max="15359" width="8.7265625" style="7" customWidth="1"/>
    <col min="15360" max="15360" width="9.81640625" style="7" customWidth="1"/>
    <col min="15361" max="15361" width="14.453125" style="7" customWidth="1"/>
    <col min="15362" max="15362" width="7.26953125" style="7" customWidth="1"/>
    <col min="15363" max="15363" width="5.54296875" style="7" customWidth="1"/>
    <col min="15364" max="15364" width="9" style="7" customWidth="1"/>
    <col min="15365" max="15366" width="9.81640625" style="7" customWidth="1"/>
    <col min="15367" max="15367" width="11.1796875" style="7" customWidth="1"/>
    <col min="15368" max="15368" width="2.81640625" style="7" customWidth="1"/>
    <col min="15369" max="15369" width="3.54296875" style="7" customWidth="1"/>
    <col min="15370" max="15614" width="9.1796875" style="7"/>
    <col min="15615" max="15615" width="8.7265625" style="7" customWidth="1"/>
    <col min="15616" max="15616" width="9.81640625" style="7" customWidth="1"/>
    <col min="15617" max="15617" width="14.453125" style="7" customWidth="1"/>
    <col min="15618" max="15618" width="7.26953125" style="7" customWidth="1"/>
    <col min="15619" max="15619" width="5.54296875" style="7" customWidth="1"/>
    <col min="15620" max="15620" width="9" style="7" customWidth="1"/>
    <col min="15621" max="15622" width="9.81640625" style="7" customWidth="1"/>
    <col min="15623" max="15623" width="11.1796875" style="7" customWidth="1"/>
    <col min="15624" max="15624" width="2.81640625" style="7" customWidth="1"/>
    <col min="15625" max="15625" width="3.54296875" style="7" customWidth="1"/>
    <col min="15626" max="15870" width="9.1796875" style="7"/>
    <col min="15871" max="15871" width="8.7265625" style="7" customWidth="1"/>
    <col min="15872" max="15872" width="9.81640625" style="7" customWidth="1"/>
    <col min="15873" max="15873" width="14.453125" style="7" customWidth="1"/>
    <col min="15874" max="15874" width="7.26953125" style="7" customWidth="1"/>
    <col min="15875" max="15875" width="5.54296875" style="7" customWidth="1"/>
    <col min="15876" max="15876" width="9" style="7" customWidth="1"/>
    <col min="15877" max="15878" width="9.81640625" style="7" customWidth="1"/>
    <col min="15879" max="15879" width="11.1796875" style="7" customWidth="1"/>
    <col min="15880" max="15880" width="2.81640625" style="7" customWidth="1"/>
    <col min="15881" max="15881" width="3.54296875" style="7" customWidth="1"/>
    <col min="15882" max="16126" width="9.1796875" style="7"/>
    <col min="16127" max="16127" width="8.7265625" style="7" customWidth="1"/>
    <col min="16128" max="16128" width="9.81640625" style="7" customWidth="1"/>
    <col min="16129" max="16129" width="14.453125" style="7" customWidth="1"/>
    <col min="16130" max="16130" width="7.26953125" style="7" customWidth="1"/>
    <col min="16131" max="16131" width="5.54296875" style="7" customWidth="1"/>
    <col min="16132" max="16132" width="9" style="7" customWidth="1"/>
    <col min="16133" max="16134" width="9.81640625" style="7" customWidth="1"/>
    <col min="16135" max="16135" width="11.1796875" style="7" customWidth="1"/>
    <col min="16136" max="16136" width="2.81640625" style="7" customWidth="1"/>
    <col min="16137" max="16137" width="3.54296875" style="7" customWidth="1"/>
    <col min="16138" max="16384" width="9.1796875" style="7"/>
  </cols>
  <sheetData>
    <row r="1" spans="1:10" ht="46.5" customHeight="1" x14ac:dyDescent="0.35">
      <c r="A1" s="157" t="s">
        <v>272</v>
      </c>
      <c r="B1" s="157"/>
      <c r="C1" s="157"/>
      <c r="D1" s="157"/>
      <c r="E1" s="157"/>
      <c r="F1" s="157"/>
      <c r="G1" s="157"/>
      <c r="H1" s="157"/>
    </row>
    <row r="2" spans="1:10" ht="16.5" customHeight="1" x14ac:dyDescent="0.35">
      <c r="A2" s="158" t="s">
        <v>0</v>
      </c>
      <c r="B2" s="158"/>
      <c r="C2" s="158"/>
      <c r="D2" s="158"/>
      <c r="E2" s="158"/>
      <c r="F2" s="158"/>
      <c r="G2" s="158"/>
      <c r="H2" s="158"/>
    </row>
    <row r="3" spans="1:10" x14ac:dyDescent="0.35">
      <c r="A3" s="142" t="s">
        <v>1</v>
      </c>
      <c r="B3" s="142"/>
      <c r="C3" s="142"/>
      <c r="D3" s="142"/>
      <c r="E3" s="159" t="str">
        <f ca="1">TEXT(TODAY(),"DD/MM/YYYY")</f>
        <v>13/08/2025</v>
      </c>
      <c r="F3" s="159"/>
      <c r="G3" s="159"/>
      <c r="H3" s="159"/>
    </row>
    <row r="4" spans="1:10" ht="15" customHeight="1" x14ac:dyDescent="0.35">
      <c r="A4" s="142" t="s">
        <v>2</v>
      </c>
      <c r="B4" s="142"/>
      <c r="C4" s="142"/>
      <c r="D4" s="142"/>
      <c r="E4" s="161" t="s">
        <v>162</v>
      </c>
      <c r="F4" s="161"/>
      <c r="G4" s="161"/>
      <c r="H4" s="161"/>
    </row>
    <row r="5" spans="1:10" x14ac:dyDescent="0.35">
      <c r="A5" s="142" t="s">
        <v>3</v>
      </c>
      <c r="B5" s="142"/>
      <c r="C5" s="142"/>
      <c r="D5" s="142"/>
      <c r="E5" s="153">
        <v>45847</v>
      </c>
      <c r="F5" s="153"/>
      <c r="G5" s="153"/>
      <c r="H5" s="153"/>
    </row>
    <row r="6" spans="1:10" ht="16.5" customHeight="1" x14ac:dyDescent="0.35">
      <c r="A6" s="142" t="s">
        <v>4</v>
      </c>
      <c r="B6" s="142"/>
      <c r="C6" s="142"/>
      <c r="D6" s="142"/>
      <c r="E6" s="145" t="s">
        <v>163</v>
      </c>
      <c r="F6" s="145"/>
      <c r="G6" s="145"/>
      <c r="H6" s="145"/>
    </row>
    <row r="7" spans="1:10" ht="15" customHeight="1" x14ac:dyDescent="0.35">
      <c r="A7" s="142" t="s">
        <v>5</v>
      </c>
      <c r="B7" s="142"/>
      <c r="C7" s="142"/>
      <c r="D7" s="142"/>
      <c r="E7" s="145" t="str">
        <f>E6</f>
        <v>M/s.Panvelkar Realty Private Limited</v>
      </c>
      <c r="F7" s="145"/>
      <c r="G7" s="145"/>
      <c r="H7" s="145"/>
    </row>
    <row r="8" spans="1:10" x14ac:dyDescent="0.35">
      <c r="A8" s="142" t="s">
        <v>6</v>
      </c>
      <c r="B8" s="142"/>
      <c r="C8" s="142"/>
      <c r="D8" s="142"/>
      <c r="E8" s="160" t="s">
        <v>238</v>
      </c>
      <c r="F8" s="142"/>
      <c r="G8" s="142"/>
      <c r="H8" s="142"/>
      <c r="I8" s="77" t="s">
        <v>267</v>
      </c>
      <c r="J8" s="77"/>
    </row>
    <row r="9" spans="1:10" x14ac:dyDescent="0.35">
      <c r="A9" s="142" t="s">
        <v>160</v>
      </c>
      <c r="B9" s="142"/>
      <c r="C9" s="142"/>
      <c r="D9" s="142"/>
      <c r="E9" s="142">
        <v>8850041475</v>
      </c>
      <c r="F9" s="142"/>
      <c r="G9" s="142"/>
      <c r="H9" s="142"/>
    </row>
    <row r="10" spans="1:10" ht="35.5" customHeight="1" x14ac:dyDescent="0.35">
      <c r="A10" s="151" t="s">
        <v>7</v>
      </c>
      <c r="B10" s="151"/>
      <c r="C10" s="151"/>
      <c r="D10" s="151"/>
      <c r="E10" s="152" t="s">
        <v>219</v>
      </c>
      <c r="F10" s="151"/>
      <c r="G10" s="151"/>
      <c r="H10" s="151"/>
    </row>
    <row r="11" spans="1:10" x14ac:dyDescent="0.35">
      <c r="A11" s="142" t="s">
        <v>8</v>
      </c>
      <c r="B11" s="142"/>
      <c r="C11" s="142"/>
      <c r="D11" s="142"/>
      <c r="E11" s="152" t="s">
        <v>198</v>
      </c>
      <c r="F11" s="152"/>
      <c r="G11" s="152"/>
      <c r="H11" s="152"/>
    </row>
    <row r="12" spans="1:10" ht="35.25" customHeight="1" x14ac:dyDescent="0.35">
      <c r="A12" s="154" t="s">
        <v>9</v>
      </c>
      <c r="B12" s="155"/>
      <c r="C12" s="155"/>
      <c r="D12" s="156"/>
      <c r="E12" s="152" t="s">
        <v>239</v>
      </c>
      <c r="F12" s="151"/>
      <c r="G12" s="151"/>
      <c r="H12" s="151"/>
    </row>
    <row r="13" spans="1:10" ht="33.75" customHeight="1" x14ac:dyDescent="0.35">
      <c r="A13" s="145" t="s">
        <v>10</v>
      </c>
      <c r="B13" s="145"/>
      <c r="C13" s="14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Panvelkar Nisarg Phase I &amp; II, Survey No.69, Hissa No.31 &amp; Plot No.1, near Dhruvika Enclave, Internal Road, Joveli, Badlapur East, Ambernath, Thane.</v>
      </c>
      <c r="D13" s="145"/>
      <c r="E13" s="145"/>
      <c r="F13" s="145"/>
      <c r="G13" s="145"/>
      <c r="H13" s="145"/>
    </row>
    <row r="14" spans="1:10" ht="18.75" customHeight="1" x14ac:dyDescent="0.35">
      <c r="A14" s="123" t="s">
        <v>164</v>
      </c>
      <c r="B14" s="123"/>
      <c r="C14" s="123" t="s">
        <v>202</v>
      </c>
      <c r="D14" s="123"/>
      <c r="E14" s="123"/>
      <c r="F14" s="123"/>
      <c r="G14" s="123"/>
      <c r="H14" s="123"/>
    </row>
    <row r="15" spans="1:10" ht="15.75" customHeight="1" x14ac:dyDescent="0.35">
      <c r="A15" s="115" t="s">
        <v>11</v>
      </c>
      <c r="B15" s="115"/>
      <c r="C15" s="132" t="s">
        <v>169</v>
      </c>
      <c r="D15" s="132"/>
      <c r="E15" s="115" t="s">
        <v>101</v>
      </c>
      <c r="F15" s="115"/>
      <c r="G15" s="123" t="s">
        <v>167</v>
      </c>
      <c r="H15" s="123"/>
    </row>
    <row r="16" spans="1:10" x14ac:dyDescent="0.35">
      <c r="A16" s="105" t="s">
        <v>13</v>
      </c>
      <c r="B16" s="105"/>
      <c r="C16" s="123" t="s">
        <v>201</v>
      </c>
      <c r="D16" s="123"/>
      <c r="E16" s="115" t="s">
        <v>12</v>
      </c>
      <c r="F16" s="115"/>
      <c r="G16" s="166" t="s">
        <v>166</v>
      </c>
      <c r="H16" s="166"/>
    </row>
    <row r="17" spans="1:8" x14ac:dyDescent="0.35">
      <c r="A17" s="105" t="s">
        <v>102</v>
      </c>
      <c r="B17" s="105"/>
      <c r="C17" s="123" t="s">
        <v>165</v>
      </c>
      <c r="D17" s="123"/>
      <c r="E17" s="115" t="s">
        <v>14</v>
      </c>
      <c r="F17" s="115"/>
      <c r="G17" s="123">
        <v>421503</v>
      </c>
      <c r="H17" s="123"/>
    </row>
    <row r="18" spans="1:8" ht="32.25" customHeight="1" x14ac:dyDescent="0.35">
      <c r="A18" s="105" t="s">
        <v>161</v>
      </c>
      <c r="B18" s="105"/>
      <c r="C18" s="167" t="s">
        <v>200</v>
      </c>
      <c r="D18" s="167"/>
      <c r="E18" s="115" t="s">
        <v>15</v>
      </c>
      <c r="F18" s="115"/>
      <c r="G18" s="123" t="s">
        <v>171</v>
      </c>
      <c r="H18" s="123"/>
    </row>
    <row r="19" spans="1:8" ht="15" customHeight="1" x14ac:dyDescent="0.35">
      <c r="A19" s="115" t="s">
        <v>106</v>
      </c>
      <c r="B19" s="115"/>
      <c r="C19" s="115"/>
      <c r="D19" s="115"/>
      <c r="E19" s="132" t="s">
        <v>16</v>
      </c>
      <c r="F19" s="132"/>
      <c r="G19" s="132"/>
      <c r="H19" s="132"/>
    </row>
    <row r="20" spans="1:8" ht="18.75" customHeight="1" x14ac:dyDescent="0.35">
      <c r="A20" s="115"/>
      <c r="B20" s="115"/>
      <c r="C20" s="115"/>
      <c r="D20" s="115"/>
      <c r="E20" s="132"/>
      <c r="F20" s="132"/>
      <c r="G20" s="132"/>
      <c r="H20" s="132"/>
    </row>
    <row r="21" spans="1:8" ht="15" customHeight="1" x14ac:dyDescent="0.35">
      <c r="A21" s="115" t="s">
        <v>17</v>
      </c>
      <c r="B21" s="115"/>
      <c r="C21" s="115"/>
      <c r="D21" s="115"/>
      <c r="E21" s="123" t="s">
        <v>18</v>
      </c>
      <c r="F21" s="123"/>
      <c r="G21" s="123"/>
      <c r="H21" s="123"/>
    </row>
    <row r="22" spans="1:8" ht="15" customHeight="1" x14ac:dyDescent="0.35">
      <c r="A22" s="105" t="s">
        <v>19</v>
      </c>
      <c r="B22" s="105"/>
      <c r="C22" s="105"/>
      <c r="D22" s="105"/>
      <c r="E22" s="123" t="str">
        <f>IF(AND(G16="Mumbai"),"Upper Class","Middle Class")</f>
        <v>Middle Class</v>
      </c>
      <c r="F22" s="123"/>
      <c r="G22" s="123"/>
      <c r="H22" s="123"/>
    </row>
    <row r="23" spans="1:8" x14ac:dyDescent="0.35">
      <c r="A23" s="105" t="s">
        <v>20</v>
      </c>
      <c r="B23" s="105"/>
      <c r="C23" s="105"/>
      <c r="D23" s="105"/>
      <c r="E23" s="123" t="s">
        <v>21</v>
      </c>
      <c r="F23" s="123"/>
      <c r="G23" s="123"/>
      <c r="H23" s="123"/>
    </row>
    <row r="24" spans="1:8" ht="15.75" customHeight="1" x14ac:dyDescent="0.35">
      <c r="A24" s="105" t="s">
        <v>22</v>
      </c>
      <c r="B24" s="105"/>
      <c r="C24" s="105"/>
      <c r="D24" s="105"/>
      <c r="E24" s="123" t="str">
        <f>IF(AND(G16="Mumbai"),"Developed","Developing")</f>
        <v>Developing</v>
      </c>
      <c r="F24" s="123"/>
      <c r="G24" s="123"/>
      <c r="H24" s="123"/>
    </row>
    <row r="25" spans="1:8" x14ac:dyDescent="0.35">
      <c r="A25" s="105" t="s">
        <v>23</v>
      </c>
      <c r="B25" s="105"/>
      <c r="C25" s="105"/>
      <c r="D25" s="105"/>
      <c r="E25" s="123" t="s">
        <v>24</v>
      </c>
      <c r="F25" s="123"/>
      <c r="G25" s="123"/>
      <c r="H25" s="123"/>
    </row>
    <row r="26" spans="1:8" x14ac:dyDescent="0.35">
      <c r="A26" s="105" t="s">
        <v>113</v>
      </c>
      <c r="B26" s="105"/>
      <c r="C26" s="105"/>
      <c r="D26" s="105"/>
      <c r="E26" s="123" t="s">
        <v>114</v>
      </c>
      <c r="F26" s="123"/>
      <c r="G26" s="123"/>
      <c r="H26" s="123"/>
    </row>
    <row r="27" spans="1:8" ht="15" customHeight="1" x14ac:dyDescent="0.35">
      <c r="A27" s="115" t="s">
        <v>35</v>
      </c>
      <c r="B27" s="115"/>
      <c r="C27" s="115"/>
      <c r="D27" s="115"/>
      <c r="E27" s="161" t="s">
        <v>110</v>
      </c>
      <c r="F27" s="161"/>
      <c r="G27" s="161"/>
      <c r="H27" s="161"/>
    </row>
    <row r="28" spans="1:8" x14ac:dyDescent="0.35">
      <c r="A28" s="115" t="s">
        <v>126</v>
      </c>
      <c r="B28" s="115"/>
      <c r="C28" s="115"/>
      <c r="D28" s="115"/>
      <c r="E28" s="115" t="s">
        <v>36</v>
      </c>
      <c r="F28" s="115"/>
      <c r="G28" s="115"/>
      <c r="H28" s="115"/>
    </row>
    <row r="29" spans="1:8" s="10" customFormat="1" x14ac:dyDescent="0.35">
      <c r="A29" s="171" t="s">
        <v>127</v>
      </c>
      <c r="B29" s="171"/>
      <c r="C29" s="169" t="s">
        <v>29</v>
      </c>
      <c r="D29" s="169"/>
      <c r="E29" s="169"/>
      <c r="F29" s="169" t="s">
        <v>31</v>
      </c>
      <c r="G29" s="169"/>
      <c r="H29" s="169"/>
    </row>
    <row r="30" spans="1:8" s="10" customFormat="1" x14ac:dyDescent="0.35">
      <c r="A30" s="170" t="s">
        <v>25</v>
      </c>
      <c r="B30" s="170" t="s">
        <v>30</v>
      </c>
      <c r="C30" s="172" t="s">
        <v>30</v>
      </c>
      <c r="D30" s="172"/>
      <c r="E30" s="172"/>
      <c r="F30" s="172" t="s">
        <v>168</v>
      </c>
      <c r="G30" s="172"/>
      <c r="H30" s="172"/>
    </row>
    <row r="31" spans="1:8" x14ac:dyDescent="0.35">
      <c r="A31" s="170" t="s">
        <v>26</v>
      </c>
      <c r="B31" s="170" t="s">
        <v>30</v>
      </c>
      <c r="C31" s="172" t="s">
        <v>30</v>
      </c>
      <c r="D31" s="172"/>
      <c r="E31" s="172"/>
      <c r="F31" s="172" t="s">
        <v>170</v>
      </c>
      <c r="G31" s="172"/>
      <c r="H31" s="172"/>
    </row>
    <row r="32" spans="1:8" s="10" customFormat="1" x14ac:dyDescent="0.35">
      <c r="A32" s="170" t="s">
        <v>28</v>
      </c>
      <c r="B32" s="170" t="s">
        <v>30</v>
      </c>
      <c r="C32" s="172" t="s">
        <v>30</v>
      </c>
      <c r="D32" s="172"/>
      <c r="E32" s="172"/>
      <c r="F32" s="172" t="s">
        <v>170</v>
      </c>
      <c r="G32" s="172"/>
      <c r="H32" s="172"/>
    </row>
    <row r="33" spans="1:8" x14ac:dyDescent="0.35">
      <c r="A33" s="170" t="s">
        <v>27</v>
      </c>
      <c r="B33" s="170" t="s">
        <v>30</v>
      </c>
      <c r="C33" s="172" t="s">
        <v>30</v>
      </c>
      <c r="D33" s="172"/>
      <c r="E33" s="172"/>
      <c r="F33" s="172" t="s">
        <v>170</v>
      </c>
      <c r="G33" s="172"/>
      <c r="H33" s="172"/>
    </row>
    <row r="34" spans="1:8" x14ac:dyDescent="0.35">
      <c r="A34" s="105" t="s">
        <v>32</v>
      </c>
      <c r="B34" s="105"/>
      <c r="C34" s="105"/>
      <c r="D34" s="105"/>
      <c r="E34" s="105"/>
      <c r="F34" s="105"/>
      <c r="G34" s="105"/>
      <c r="H34" s="105"/>
    </row>
    <row r="35" spans="1:8" ht="15.75" customHeight="1" x14ac:dyDescent="0.35">
      <c r="A35" s="148" t="s">
        <v>33</v>
      </c>
      <c r="B35" s="148"/>
      <c r="C35" s="178">
        <v>19.141750800000001</v>
      </c>
      <c r="D35" s="178"/>
      <c r="E35" s="148" t="s">
        <v>34</v>
      </c>
      <c r="F35" s="148"/>
      <c r="G35" s="168">
        <v>73.243122799999995</v>
      </c>
      <c r="H35" s="168"/>
    </row>
    <row r="36" spans="1:8" ht="15.75" customHeight="1" x14ac:dyDescent="0.35">
      <c r="A36" s="148" t="s">
        <v>270</v>
      </c>
      <c r="B36" s="148"/>
      <c r="C36" s="164" t="s">
        <v>271</v>
      </c>
      <c r="D36" s="165"/>
      <c r="E36" s="165"/>
      <c r="F36" s="165"/>
      <c r="G36" s="165"/>
      <c r="H36" s="165"/>
    </row>
    <row r="37" spans="1:8" x14ac:dyDescent="0.35">
      <c r="A37" s="120" t="s">
        <v>37</v>
      </c>
      <c r="B37" s="120"/>
      <c r="C37" s="120"/>
      <c r="D37" s="120"/>
      <c r="E37" s="120"/>
      <c r="F37" s="120"/>
      <c r="G37" s="120"/>
      <c r="H37" s="120"/>
    </row>
    <row r="38" spans="1:8" x14ac:dyDescent="0.35">
      <c r="A38" s="105" t="s">
        <v>38</v>
      </c>
      <c r="B38" s="105"/>
      <c r="C38" s="105"/>
      <c r="D38" s="105"/>
      <c r="E38" s="177">
        <v>4224.3500000000004</v>
      </c>
      <c r="F38" s="177"/>
      <c r="G38" s="177"/>
      <c r="H38" s="177"/>
    </row>
    <row r="39" spans="1:8" x14ac:dyDescent="0.35">
      <c r="A39" s="105" t="s">
        <v>39</v>
      </c>
      <c r="B39" s="105"/>
      <c r="C39" s="105"/>
      <c r="D39" s="105"/>
      <c r="E39" s="162">
        <v>1.1000000000000001</v>
      </c>
      <c r="F39" s="162"/>
      <c r="G39" s="162"/>
      <c r="H39" s="162"/>
    </row>
    <row r="40" spans="1:8" x14ac:dyDescent="0.35">
      <c r="A40" s="105" t="s">
        <v>40</v>
      </c>
      <c r="B40" s="105"/>
      <c r="C40" s="105"/>
      <c r="D40" s="105"/>
      <c r="E40" s="163">
        <f>E42/E38-E39</f>
        <v>0.65768816504314254</v>
      </c>
      <c r="F40" s="163"/>
      <c r="G40" s="163"/>
      <c r="H40" s="163"/>
    </row>
    <row r="41" spans="1:8" x14ac:dyDescent="0.35">
      <c r="A41" s="105" t="s">
        <v>41</v>
      </c>
      <c r="B41" s="105"/>
      <c r="C41" s="105"/>
      <c r="D41" s="105"/>
      <c r="E41" s="163">
        <f>E39+E40</f>
        <v>1.7576881650431426</v>
      </c>
      <c r="F41" s="163"/>
      <c r="G41" s="163"/>
      <c r="H41" s="163"/>
    </row>
    <row r="42" spans="1:8" x14ac:dyDescent="0.35">
      <c r="A42" s="105" t="s">
        <v>125</v>
      </c>
      <c r="B42" s="105"/>
      <c r="C42" s="105"/>
      <c r="D42" s="105"/>
      <c r="E42" s="162">
        <v>7425.09</v>
      </c>
      <c r="F42" s="162"/>
      <c r="G42" s="162"/>
      <c r="H42" s="162"/>
    </row>
    <row r="43" spans="1:8" x14ac:dyDescent="0.35">
      <c r="A43" s="132" t="s">
        <v>42</v>
      </c>
      <c r="B43" s="132"/>
      <c r="C43" s="132"/>
      <c r="D43" s="132"/>
      <c r="E43" s="132" t="s">
        <v>232</v>
      </c>
      <c r="F43" s="132"/>
      <c r="G43" s="132"/>
      <c r="H43" s="132"/>
    </row>
    <row r="44" spans="1:8" x14ac:dyDescent="0.35">
      <c r="A44" s="120" t="s">
        <v>43</v>
      </c>
      <c r="B44" s="120"/>
      <c r="C44" s="120"/>
      <c r="D44" s="120"/>
      <c r="E44" s="120"/>
      <c r="F44" s="120"/>
      <c r="G44" s="120"/>
      <c r="H44" s="120"/>
    </row>
    <row r="45" spans="1:8" x14ac:dyDescent="0.35">
      <c r="A45" s="148" t="s">
        <v>253</v>
      </c>
      <c r="B45" s="148"/>
      <c r="C45" s="148"/>
      <c r="D45" s="148"/>
      <c r="E45" s="148"/>
      <c r="F45" s="148"/>
      <c r="G45" s="148"/>
      <c r="H45" s="148"/>
    </row>
    <row r="46" spans="1:8" ht="34.5" customHeight="1" x14ac:dyDescent="0.35">
      <c r="A46" s="115" t="s">
        <v>224</v>
      </c>
      <c r="B46" s="115"/>
      <c r="C46" s="128" t="s">
        <v>178</v>
      </c>
      <c r="D46" s="128"/>
      <c r="E46" s="128"/>
      <c r="F46" s="38" t="s">
        <v>44</v>
      </c>
      <c r="G46" s="127">
        <v>43595</v>
      </c>
      <c r="H46" s="127"/>
    </row>
    <row r="47" spans="1:8" ht="34.5" customHeight="1" x14ac:dyDescent="0.35">
      <c r="A47" s="115" t="s">
        <v>225</v>
      </c>
      <c r="B47" s="105"/>
      <c r="C47" s="128" t="str">
        <f>C46</f>
        <v>KBNP/NRV/BP/4253/19-20</v>
      </c>
      <c r="D47" s="128"/>
      <c r="E47" s="128"/>
      <c r="F47" s="38" t="s">
        <v>44</v>
      </c>
      <c r="G47" s="127">
        <f>G46</f>
        <v>43595</v>
      </c>
      <c r="H47" s="127"/>
    </row>
    <row r="48" spans="1:8" s="9" customFormat="1" ht="33.75" customHeight="1" x14ac:dyDescent="0.35">
      <c r="A48" s="123" t="s">
        <v>228</v>
      </c>
      <c r="B48" s="123"/>
      <c r="C48" s="128" t="s">
        <v>174</v>
      </c>
      <c r="D48" s="104"/>
      <c r="E48" s="104"/>
      <c r="F48" s="12" t="s">
        <v>44</v>
      </c>
      <c r="G48" s="127">
        <v>40996</v>
      </c>
      <c r="H48" s="127"/>
    </row>
    <row r="49" spans="1:11" s="9" customFormat="1" x14ac:dyDescent="0.35">
      <c r="A49" s="123"/>
      <c r="B49" s="123"/>
      <c r="C49" s="134" t="s">
        <v>240</v>
      </c>
      <c r="D49" s="135"/>
      <c r="E49" s="135"/>
      <c r="F49" s="135"/>
      <c r="G49" s="135"/>
      <c r="H49" s="136"/>
    </row>
    <row r="50" spans="1:11" ht="49.5" customHeight="1" x14ac:dyDescent="0.35">
      <c r="A50" s="122" t="s">
        <v>231</v>
      </c>
      <c r="B50" s="122"/>
      <c r="C50" s="129" t="s">
        <v>173</v>
      </c>
      <c r="D50" s="130"/>
      <c r="E50" s="130" t="s">
        <v>45</v>
      </c>
      <c r="F50" s="45" t="s">
        <v>44</v>
      </c>
      <c r="G50" s="133" t="s">
        <v>172</v>
      </c>
      <c r="H50" s="133"/>
    </row>
    <row r="51" spans="1:11" x14ac:dyDescent="0.35">
      <c r="A51" s="137" t="s">
        <v>254</v>
      </c>
      <c r="B51" s="138"/>
      <c r="C51" s="138"/>
      <c r="D51" s="138"/>
      <c r="E51" s="138"/>
      <c r="F51" s="138"/>
      <c r="G51" s="138"/>
      <c r="H51" s="139"/>
    </row>
    <row r="52" spans="1:11" ht="34.5" customHeight="1" x14ac:dyDescent="0.35">
      <c r="A52" s="115" t="s">
        <v>226</v>
      </c>
      <c r="B52" s="115"/>
      <c r="C52" s="128" t="s">
        <v>255</v>
      </c>
      <c r="D52" s="128"/>
      <c r="E52" s="128"/>
      <c r="F52" s="47" t="s">
        <v>44</v>
      </c>
      <c r="G52" s="127">
        <v>44691</v>
      </c>
      <c r="H52" s="127"/>
    </row>
    <row r="53" spans="1:11" ht="34.5" customHeight="1" x14ac:dyDescent="0.35">
      <c r="A53" s="115" t="s">
        <v>227</v>
      </c>
      <c r="B53" s="105"/>
      <c r="C53" s="128" t="str">
        <f>C52</f>
        <v>KBNP/NRV/BP/3809-11</v>
      </c>
      <c r="D53" s="128"/>
      <c r="E53" s="128"/>
      <c r="F53" s="47" t="s">
        <v>44</v>
      </c>
      <c r="G53" s="127">
        <f>G52</f>
        <v>44691</v>
      </c>
      <c r="H53" s="127"/>
    </row>
    <row r="54" spans="1:11" s="9" customFormat="1" ht="33.75" customHeight="1" x14ac:dyDescent="0.35">
      <c r="A54" s="123" t="s">
        <v>229</v>
      </c>
      <c r="B54" s="123"/>
      <c r="C54" s="128" t="s">
        <v>236</v>
      </c>
      <c r="D54" s="104"/>
      <c r="E54" s="104"/>
      <c r="F54" s="12" t="s">
        <v>44</v>
      </c>
      <c r="G54" s="127">
        <v>44691</v>
      </c>
      <c r="H54" s="127"/>
    </row>
    <row r="55" spans="1:11" s="9" customFormat="1" x14ac:dyDescent="0.35">
      <c r="A55" s="123"/>
      <c r="B55" s="123"/>
      <c r="C55" s="134" t="s">
        <v>241</v>
      </c>
      <c r="D55" s="135"/>
      <c r="E55" s="135"/>
      <c r="F55" s="135"/>
      <c r="G55" s="135"/>
      <c r="H55" s="136"/>
    </row>
    <row r="56" spans="1:11" x14ac:dyDescent="0.35">
      <c r="A56" s="131" t="s">
        <v>47</v>
      </c>
      <c r="B56" s="131"/>
      <c r="C56" s="131"/>
      <c r="D56" s="131"/>
      <c r="E56" s="131"/>
      <c r="F56" s="131"/>
      <c r="G56" s="131"/>
      <c r="H56" s="131"/>
    </row>
    <row r="57" spans="1:11" x14ac:dyDescent="0.35">
      <c r="A57" s="115" t="s">
        <v>124</v>
      </c>
      <c r="B57" s="115"/>
      <c r="C57" s="115"/>
      <c r="D57" s="105">
        <f>E42</f>
        <v>7425.09</v>
      </c>
      <c r="E57" s="105"/>
      <c r="F57" s="105"/>
      <c r="G57" s="105"/>
      <c r="H57" s="105"/>
    </row>
    <row r="58" spans="1:11" ht="31.5" customHeight="1" x14ac:dyDescent="0.35">
      <c r="A58" s="123" t="s">
        <v>48</v>
      </c>
      <c r="B58" s="132"/>
      <c r="C58" s="132"/>
      <c r="D58" s="123" t="s">
        <v>242</v>
      </c>
      <c r="E58" s="132"/>
      <c r="F58" s="132"/>
      <c r="G58" s="132"/>
      <c r="H58" s="132"/>
    </row>
    <row r="59" spans="1:11" ht="35.25" customHeight="1" x14ac:dyDescent="0.35">
      <c r="A59" s="123" t="s">
        <v>49</v>
      </c>
      <c r="B59" s="132"/>
      <c r="C59" s="132"/>
      <c r="D59" s="123" t="s">
        <v>256</v>
      </c>
      <c r="E59" s="132"/>
      <c r="F59" s="132"/>
      <c r="G59" s="132"/>
      <c r="H59" s="132"/>
    </row>
    <row r="60" spans="1:11" ht="15.75" customHeight="1" x14ac:dyDescent="0.35">
      <c r="A60" s="106" t="s">
        <v>122</v>
      </c>
      <c r="B60" s="107"/>
      <c r="C60" s="108"/>
      <c r="D60" s="123" t="s">
        <v>243</v>
      </c>
      <c r="E60" s="132"/>
      <c r="F60" s="132"/>
      <c r="G60" s="132"/>
      <c r="H60" s="132"/>
    </row>
    <row r="61" spans="1:11" ht="15.75" customHeight="1" x14ac:dyDescent="0.35">
      <c r="A61" s="109"/>
      <c r="B61" s="110"/>
      <c r="C61" s="111"/>
      <c r="D61" s="123" t="s">
        <v>244</v>
      </c>
      <c r="E61" s="132"/>
      <c r="F61" s="132"/>
      <c r="G61" s="132"/>
      <c r="H61" s="132"/>
    </row>
    <row r="62" spans="1:11" x14ac:dyDescent="0.35">
      <c r="A62" s="105" t="s">
        <v>46</v>
      </c>
      <c r="B62" s="105"/>
      <c r="C62" s="105"/>
      <c r="D62" s="115" t="s">
        <v>273</v>
      </c>
      <c r="E62" s="115"/>
      <c r="F62" s="115"/>
      <c r="G62" s="115"/>
      <c r="H62" s="115"/>
    </row>
    <row r="63" spans="1:11" ht="15.75" customHeight="1" x14ac:dyDescent="0.35">
      <c r="A63" s="105" t="s">
        <v>119</v>
      </c>
      <c r="B63" s="105"/>
      <c r="C63" s="105"/>
      <c r="D63" s="115" t="s">
        <v>120</v>
      </c>
      <c r="E63" s="115"/>
      <c r="F63" s="115"/>
      <c r="G63" s="115"/>
      <c r="H63" s="115"/>
    </row>
    <row r="64" spans="1:11" ht="15.75" customHeight="1" x14ac:dyDescent="0.35">
      <c r="A64" s="105" t="s">
        <v>121</v>
      </c>
      <c r="B64" s="105"/>
      <c r="C64" s="105"/>
      <c r="D64" s="115" t="s">
        <v>24</v>
      </c>
      <c r="E64" s="115"/>
      <c r="F64" s="115"/>
      <c r="G64" s="115"/>
      <c r="H64" s="115"/>
      <c r="J64" s="17"/>
      <c r="K64" s="17"/>
    </row>
    <row r="65" spans="1:14" ht="15.75" customHeight="1" thickBot="1" x14ac:dyDescent="0.4">
      <c r="A65" s="105" t="s">
        <v>118</v>
      </c>
      <c r="B65" s="105"/>
      <c r="C65" s="105"/>
      <c r="D65" s="123" t="str">
        <f ca="1">(IF(G85&gt;95%,"Nothing",IF(G85&gt;0%,"Cement, Aggregate, Steel, etc",IF(G85=0%,"Work not yet Started"))))</f>
        <v>Cement, Aggregate, Steel, etc</v>
      </c>
      <c r="E65" s="123"/>
      <c r="F65" s="123"/>
      <c r="G65" s="123"/>
      <c r="H65" s="123"/>
      <c r="J65" s="17"/>
      <c r="K65" s="17"/>
    </row>
    <row r="66" spans="1:14" customFormat="1" ht="15.75" customHeight="1" x14ac:dyDescent="0.35">
      <c r="A66" s="117" t="s">
        <v>203</v>
      </c>
      <c r="B66" s="117"/>
      <c r="C66" s="117" t="str">
        <f>D60</f>
        <v>Phase  I = Building no.1 to 3 = G + 1st to 7th Floor</v>
      </c>
      <c r="D66" s="117"/>
      <c r="E66" s="117"/>
      <c r="F66" s="117"/>
      <c r="G66" s="117"/>
      <c r="H66" s="117"/>
      <c r="I66" s="48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completed","0")))))))))))&amp;(IF(C73=(D67+F67+H67),", RCC Slab",IF(C73&gt;0,", RCC upto "&amp;C73&amp;" Slab",""))&amp;(IF(C74=H67,", Brickwork",IF(C74&gt;0,", Brickwork upto "&amp;C74&amp;" Floor",""))&amp;(IF(C75=H67,", Internal Plaster",IF(C75&gt;0,", Internal Plaster upto "&amp;C75&amp;" Floor",""))&amp;(IF(C76=H67,", External Plaster",IF(C76&gt;0,", External Plaster upto "&amp;C76&amp;" Floor",""))&amp;(IF(C77=H67,", Flooring",IF(C77&gt;0,", Flooring upto "&amp;C77&amp;" Floor",""))&amp;(IF(C78=H67,", Painting",IF(C78&gt;0,", Painting upto "&amp;C78&amp;" Floor",""))&amp;(IF(C79&gt;0,", Finishing upto "&amp;C79&amp;" Floor","")&amp;(IF(C73&gt;0.5," Completed",""))))))))))))))</f>
        <v>All work completed. Please provide OC.</v>
      </c>
      <c r="J66" s="18"/>
    </row>
    <row r="67" spans="1:14" s="52" customFormat="1" x14ac:dyDescent="0.35">
      <c r="A67" s="51" t="s">
        <v>204</v>
      </c>
      <c r="B67" s="51">
        <v>0</v>
      </c>
      <c r="C67" s="51" t="s">
        <v>100</v>
      </c>
      <c r="D67" s="51">
        <v>1</v>
      </c>
      <c r="E67" s="51" t="s">
        <v>99</v>
      </c>
      <c r="F67" s="51">
        <v>0</v>
      </c>
      <c r="G67" s="51" t="s">
        <v>112</v>
      </c>
      <c r="H67" s="51">
        <f ca="1">--TRIM(RIGHT(SUBSTITUTE(LEFT(C66,_xlfn.AGGREGATE(16,6,FIND({0,1,2,3,4,5,6,7,8,9},C66,ROW(INDIRECT("1:"&amp;LEN(C66)))),1))," ",REPT(" ",LEN(C66))),LEN(C66)))</f>
        <v>7</v>
      </c>
      <c r="I67" s="49"/>
      <c r="J67" s="19"/>
    </row>
    <row r="68" spans="1:14" s="52" customFormat="1" x14ac:dyDescent="0.35">
      <c r="A68" s="113" t="s">
        <v>123</v>
      </c>
      <c r="B68" s="113"/>
      <c r="C68" s="114" t="str">
        <f>I68</f>
        <v>All work Completed. OC Received.</v>
      </c>
      <c r="D68" s="114"/>
      <c r="E68" s="114"/>
      <c r="F68" s="114"/>
      <c r="G68" s="114"/>
      <c r="H68" s="114"/>
      <c r="I68" s="49" t="s">
        <v>139</v>
      </c>
      <c r="J68" s="19"/>
    </row>
    <row r="69" spans="1:14" s="52" customFormat="1" ht="31.5" customHeight="1" thickBot="1" x14ac:dyDescent="0.4">
      <c r="A69" s="179" t="s">
        <v>117</v>
      </c>
      <c r="B69" s="179"/>
      <c r="C69" s="118">
        <f ca="1">E71</f>
        <v>1</v>
      </c>
      <c r="D69" s="119"/>
      <c r="E69" s="119" t="s">
        <v>116</v>
      </c>
      <c r="F69" s="119"/>
      <c r="G69" s="118">
        <f ca="1">G71</f>
        <v>1</v>
      </c>
      <c r="H69" s="119"/>
      <c r="I69" s="49"/>
      <c r="J69" s="19"/>
    </row>
    <row r="70" spans="1:14" s="52" customFormat="1" ht="16" hidden="1" thickBot="1" x14ac:dyDescent="0.4">
      <c r="A70" s="112" t="s">
        <v>50</v>
      </c>
      <c r="B70" s="112"/>
      <c r="C70" s="50" t="s">
        <v>205</v>
      </c>
      <c r="D70" s="76" t="s">
        <v>115</v>
      </c>
      <c r="E70" s="112" t="s">
        <v>117</v>
      </c>
      <c r="F70" s="112"/>
      <c r="G70" s="112" t="s">
        <v>116</v>
      </c>
      <c r="H70" s="112"/>
      <c r="I70" s="53" t="s">
        <v>206</v>
      </c>
      <c r="J70" s="20">
        <f ca="1">H67*25%</f>
        <v>1.75</v>
      </c>
    </row>
    <row r="71" spans="1:14" s="52" customFormat="1" ht="16" hidden="1" thickBot="1" x14ac:dyDescent="0.4">
      <c r="A71" s="112" t="s">
        <v>186</v>
      </c>
      <c r="B71" s="112"/>
      <c r="C71" s="54">
        <f ca="1">J72</f>
        <v>7</v>
      </c>
      <c r="D71" s="79">
        <f ca="1">((100/H67)*C71)/100</f>
        <v>1</v>
      </c>
      <c r="E71" s="116">
        <f ca="1">(((C72/H67*10)+(40/(D67+F67+H67)*C73)+(7.5/(H67)*C74)+(7.5/(H67)*C75)+(10/H67*C76)+(10/H67*C77)+(5/H67*C78)+(5/H67*C79)+(5/H67*C80))/100)</f>
        <v>1</v>
      </c>
      <c r="F71" s="116"/>
      <c r="G71" s="116">
        <f ca="1">((((C71/H67)*20)+((C72/H67)*25)+(30/(H67+F67+D67)*C73)+(5/H67*C74)+(5/H67*C75)+(5/H67*C76)+(5/H67*C77)+(0/H67*C78)+(0/H67*C79)+(5/H67*C80))/100)</f>
        <v>1</v>
      </c>
      <c r="H71" s="116"/>
      <c r="I71" s="53" t="s">
        <v>133</v>
      </c>
      <c r="J71" s="55">
        <f ca="1">H67*50%</f>
        <v>3.5</v>
      </c>
    </row>
    <row r="72" spans="1:14" s="52" customFormat="1" ht="16" hidden="1" thickBot="1" x14ac:dyDescent="0.4">
      <c r="A72" s="112" t="s">
        <v>51</v>
      </c>
      <c r="B72" s="112"/>
      <c r="C72" s="56">
        <f ca="1">J80</f>
        <v>7</v>
      </c>
      <c r="D72" s="79">
        <f ca="1">((100/H67)*C72)/100</f>
        <v>1</v>
      </c>
      <c r="E72" s="116"/>
      <c r="F72" s="116"/>
      <c r="G72" s="116"/>
      <c r="H72" s="116"/>
      <c r="I72" s="53" t="s">
        <v>134</v>
      </c>
      <c r="J72" s="55">
        <f ca="1">H67</f>
        <v>7</v>
      </c>
    </row>
    <row r="73" spans="1:14" s="52" customFormat="1" ht="16" hidden="1" thickBot="1" x14ac:dyDescent="0.4">
      <c r="A73" s="112" t="s">
        <v>187</v>
      </c>
      <c r="B73" s="112"/>
      <c r="C73" s="56">
        <f ca="1">D67+H67</f>
        <v>8</v>
      </c>
      <c r="D73" s="79">
        <f ca="1">((100/(D67+F67+H67))*C73)/100</f>
        <v>1</v>
      </c>
      <c r="E73" s="116"/>
      <c r="F73" s="116"/>
      <c r="G73" s="116"/>
      <c r="H73" s="116"/>
      <c r="I73" s="53" t="s">
        <v>135</v>
      </c>
      <c r="J73" s="57">
        <f ca="1">(IF(B67&gt;1,(H67/(B67+2)),H67/4))</f>
        <v>1.75</v>
      </c>
      <c r="L73" s="58"/>
    </row>
    <row r="74" spans="1:14" s="52" customFormat="1" ht="15.75" hidden="1" customHeight="1" x14ac:dyDescent="0.35">
      <c r="A74" s="112" t="s">
        <v>207</v>
      </c>
      <c r="B74" s="112" t="s">
        <v>188</v>
      </c>
      <c r="C74" s="54">
        <v>7</v>
      </c>
      <c r="D74" s="79">
        <f ca="1">((100/H67)*C74)/100</f>
        <v>1</v>
      </c>
      <c r="E74" s="116"/>
      <c r="F74" s="116"/>
      <c r="G74" s="116"/>
      <c r="H74" s="116"/>
      <c r="I74" s="53" t="s">
        <v>136</v>
      </c>
      <c r="J74" s="57">
        <f ca="1">(IF(B67&gt;1,(H67/(B67+2)+J73),H67/4+J73))</f>
        <v>3.5</v>
      </c>
      <c r="L74" s="58"/>
    </row>
    <row r="75" spans="1:14" s="52" customFormat="1" ht="15.75" hidden="1" customHeight="1" x14ac:dyDescent="0.35">
      <c r="A75" s="112" t="s">
        <v>208</v>
      </c>
      <c r="B75" s="112" t="s">
        <v>188</v>
      </c>
      <c r="C75" s="54">
        <v>7</v>
      </c>
      <c r="D75" s="79">
        <f ca="1">((100/H67)*C75)/100</f>
        <v>1</v>
      </c>
      <c r="E75" s="116"/>
      <c r="F75" s="116"/>
      <c r="G75" s="116"/>
      <c r="H75" s="116"/>
      <c r="I75" s="53" t="s">
        <v>209</v>
      </c>
      <c r="J75" s="57">
        <f>(IF(B67&gt;1,(H67/(B67+2)+J74),0))</f>
        <v>0</v>
      </c>
      <c r="K75" s="59"/>
      <c r="L75" s="60"/>
      <c r="N75" s="58"/>
    </row>
    <row r="76" spans="1:14" s="52" customFormat="1" ht="15.75" hidden="1" customHeight="1" x14ac:dyDescent="0.35">
      <c r="A76" s="112" t="s">
        <v>199</v>
      </c>
      <c r="B76" s="112" t="s">
        <v>190</v>
      </c>
      <c r="C76" s="54">
        <v>7</v>
      </c>
      <c r="D76" s="79">
        <f ca="1">((100/(H67))*C76)/100</f>
        <v>1</v>
      </c>
      <c r="E76" s="116"/>
      <c r="F76" s="116"/>
      <c r="G76" s="116"/>
      <c r="H76" s="116"/>
      <c r="I76" s="53" t="s">
        <v>210</v>
      </c>
      <c r="J76" s="57">
        <f>(IF(B67&gt;2,(H67/(B67+2)+J75),0))</f>
        <v>0</v>
      </c>
      <c r="K76" s="61"/>
      <c r="L76" s="60"/>
    </row>
    <row r="77" spans="1:14" s="52" customFormat="1" ht="15.75" hidden="1" customHeight="1" x14ac:dyDescent="0.35">
      <c r="A77" s="112" t="s">
        <v>189</v>
      </c>
      <c r="B77" s="112" t="s">
        <v>189</v>
      </c>
      <c r="C77" s="54">
        <v>7</v>
      </c>
      <c r="D77" s="79">
        <f ca="1">((100/H67)*C77)/100</f>
        <v>1</v>
      </c>
      <c r="E77" s="116"/>
      <c r="F77" s="116"/>
      <c r="G77" s="116"/>
      <c r="H77" s="116"/>
      <c r="I77" s="53" t="s">
        <v>211</v>
      </c>
      <c r="J77" s="62">
        <f>(IF(B67&gt;3,(H67/(B67+2)+J76),0))</f>
        <v>0</v>
      </c>
      <c r="K77" s="61"/>
      <c r="L77" s="60"/>
    </row>
    <row r="78" spans="1:14" s="52" customFormat="1" ht="15.75" hidden="1" customHeight="1" x14ac:dyDescent="0.35">
      <c r="A78" s="112" t="s">
        <v>212</v>
      </c>
      <c r="B78" s="112"/>
      <c r="C78" s="54">
        <v>7</v>
      </c>
      <c r="D78" s="79">
        <f ca="1">((100/H67)*C78)/100</f>
        <v>1</v>
      </c>
      <c r="E78" s="116"/>
      <c r="F78" s="116"/>
      <c r="G78" s="116"/>
      <c r="H78" s="116"/>
      <c r="I78" s="53" t="s">
        <v>213</v>
      </c>
      <c r="J78" s="57">
        <f>(IF(B67&gt;4,(H67/(B67+2)+J77),0))</f>
        <v>0</v>
      </c>
      <c r="K78" s="63"/>
      <c r="L78" s="60"/>
    </row>
    <row r="79" spans="1:14" s="52" customFormat="1" ht="15.75" hidden="1" customHeight="1" x14ac:dyDescent="0.35">
      <c r="A79" s="112" t="s">
        <v>191</v>
      </c>
      <c r="B79" s="112" t="s">
        <v>191</v>
      </c>
      <c r="C79" s="54">
        <v>7</v>
      </c>
      <c r="D79" s="79">
        <f ca="1">((100/(H67))*C79)/100</f>
        <v>1</v>
      </c>
      <c r="E79" s="116"/>
      <c r="F79" s="116"/>
      <c r="G79" s="116"/>
      <c r="H79" s="116"/>
      <c r="I79" s="53" t="s">
        <v>137</v>
      </c>
      <c r="J79" s="57">
        <f ca="1">(IF(B67=1,(H67/(B67+3)+J74),IF(B67=0,(H67/4+J74),IF(B67&gt;1,0))))</f>
        <v>5.25</v>
      </c>
      <c r="K79" s="61"/>
      <c r="L79" s="60"/>
    </row>
    <row r="80" spans="1:14" s="52" customFormat="1" ht="16" hidden="1" thickBot="1" x14ac:dyDescent="0.4">
      <c r="A80" s="112" t="s">
        <v>192</v>
      </c>
      <c r="B80" s="112"/>
      <c r="C80" s="54">
        <v>7</v>
      </c>
      <c r="D80" s="79">
        <f ca="1">((100/(H67))*C80)/100</f>
        <v>1</v>
      </c>
      <c r="E80" s="116"/>
      <c r="F80" s="116"/>
      <c r="G80" s="116"/>
      <c r="H80" s="116"/>
      <c r="I80" s="64" t="s">
        <v>138</v>
      </c>
      <c r="J80" s="65">
        <f ca="1">(IF(B67&gt;1.5,(H67/(B67+2)+J74+MAX(0,J75-J74)+MAX(0,J76-J75)+MAX(0,J77-J76)+MAX(0,J78-J77)+MAX(0,J79-J78)),IF(B67=1,(H67/(B67+3)+J79),IF(B67=0,H67/4+J79))))</f>
        <v>7</v>
      </c>
      <c r="K80" s="61"/>
      <c r="L80" s="60"/>
    </row>
    <row r="81" spans="1:14" customFormat="1" ht="15.75" customHeight="1" x14ac:dyDescent="0.35">
      <c r="A81" s="117" t="s">
        <v>203</v>
      </c>
      <c r="B81" s="117"/>
      <c r="C81" s="117" t="str">
        <f>D61</f>
        <v>Phase  II = Building no.A1  = G + 1st to 9th Floor</v>
      </c>
      <c r="D81" s="117"/>
      <c r="E81" s="117"/>
      <c r="F81" s="117"/>
      <c r="G81" s="117"/>
      <c r="H81" s="117"/>
      <c r="I81" s="48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Excavation work Completed. Plinth work completed, RCC Slab, Brickwork, Internal Plaster, External Plaster upto 7 Floor, Flooring upto 3 Floor, Painting upto 3 Floor Completed</v>
      </c>
      <c r="J81" s="18"/>
    </row>
    <row r="82" spans="1:14" s="52" customFormat="1" x14ac:dyDescent="0.35">
      <c r="A82" s="51" t="s">
        <v>204</v>
      </c>
      <c r="B82" s="51">
        <v>0</v>
      </c>
      <c r="C82" s="51" t="s">
        <v>100</v>
      </c>
      <c r="D82" s="51">
        <v>1</v>
      </c>
      <c r="E82" s="51" t="s">
        <v>99</v>
      </c>
      <c r="F82" s="51">
        <v>0</v>
      </c>
      <c r="G82" s="51" t="s">
        <v>112</v>
      </c>
      <c r="H82" s="51">
        <f ca="1">--TRIM(RIGHT(SUBSTITUTE(LEFT(C81,_xlfn.AGGREGATE(16,6,FIND({0,1,2,3,4,5,6,7,8,9},C81,ROW(INDIRECT("1:"&amp;LEN(C81)))),1))," ",REPT(" ",LEN(C81))),LEN(C81)))</f>
        <v>9</v>
      </c>
      <c r="I82" s="49"/>
      <c r="J82" s="19"/>
    </row>
    <row r="83" spans="1:14" s="52" customFormat="1" ht="48" customHeight="1" x14ac:dyDescent="0.35">
      <c r="A83" s="113" t="s">
        <v>123</v>
      </c>
      <c r="B83" s="113"/>
      <c r="C83" s="114" t="str">
        <f ca="1">I81</f>
        <v>Excavation work Completed. Plinth work completed, RCC Slab, Brickwork, Internal Plaster, External Plaster upto 7 Floor, Flooring upto 3 Floor, Painting upto 3 Floor Completed</v>
      </c>
      <c r="D83" s="114"/>
      <c r="E83" s="114"/>
      <c r="F83" s="114"/>
      <c r="G83" s="114"/>
      <c r="H83" s="114"/>
      <c r="I83" s="49" t="s">
        <v>139</v>
      </c>
      <c r="J83" s="19"/>
    </row>
    <row r="84" spans="1:14" s="52" customFormat="1" x14ac:dyDescent="0.35">
      <c r="A84" s="112" t="s">
        <v>50</v>
      </c>
      <c r="B84" s="112"/>
      <c r="C84" s="50" t="s">
        <v>205</v>
      </c>
      <c r="D84" s="76" t="s">
        <v>115</v>
      </c>
      <c r="E84" s="112" t="s">
        <v>117</v>
      </c>
      <c r="F84" s="112"/>
      <c r="G84" s="112" t="s">
        <v>116</v>
      </c>
      <c r="H84" s="112"/>
      <c r="I84" s="53" t="s">
        <v>206</v>
      </c>
      <c r="J84" s="20">
        <f ca="1">H82*25%</f>
        <v>2.25</v>
      </c>
    </row>
    <row r="85" spans="1:14" s="52" customFormat="1" x14ac:dyDescent="0.35">
      <c r="A85" s="112" t="s">
        <v>186</v>
      </c>
      <c r="B85" s="112"/>
      <c r="C85" s="54">
        <f ca="1">J86</f>
        <v>9</v>
      </c>
      <c r="D85" s="79">
        <f ca="1">((100/H82)*C85)/100</f>
        <v>1</v>
      </c>
      <c r="E85" s="116">
        <f ca="1">(((C86/H82*10)+(40/(D82+F82+H82)*C87)+(7.5/(H82)*C88)+(7.5/(H82)*C89)+(10/H82*C90)+(10/H82*C91)+(5/H82*C92)+(5/H82*C93)+(5/H82*C94))/100)</f>
        <v>0.77777777777777768</v>
      </c>
      <c r="F85" s="116"/>
      <c r="G85" s="116">
        <f ca="1">((((C85/H82)*20)+((C86/H82)*25)+(30/(H82+F82+D82)*C87)+(5/H82*C88)+(5/H82*C89)+(5/H82*C90)+(5/H82*C91)+(0/H82*C92)+(0/H82*C93)+(5/H82*C94))/100)</f>
        <v>0.90555555555555556</v>
      </c>
      <c r="H85" s="116"/>
      <c r="I85" s="53" t="s">
        <v>133</v>
      </c>
      <c r="J85" s="55">
        <f ca="1">H82*50%</f>
        <v>4.5</v>
      </c>
    </row>
    <row r="86" spans="1:14" s="52" customFormat="1" x14ac:dyDescent="0.35">
      <c r="A86" s="112" t="s">
        <v>51</v>
      </c>
      <c r="B86" s="112"/>
      <c r="C86" s="56">
        <f ca="1">J94</f>
        <v>9</v>
      </c>
      <c r="D86" s="79">
        <f ca="1">((100/H82)*C86)/100</f>
        <v>1</v>
      </c>
      <c r="E86" s="116"/>
      <c r="F86" s="116"/>
      <c r="G86" s="116"/>
      <c r="H86" s="116"/>
      <c r="I86" s="53" t="s">
        <v>134</v>
      </c>
      <c r="J86" s="55">
        <f ca="1">H82</f>
        <v>9</v>
      </c>
    </row>
    <row r="87" spans="1:14" s="52" customFormat="1" x14ac:dyDescent="0.35">
      <c r="A87" s="112" t="s">
        <v>187</v>
      </c>
      <c r="B87" s="112"/>
      <c r="C87" s="56">
        <v>10</v>
      </c>
      <c r="D87" s="79">
        <f ca="1">((100/(D82+F82+H82))*C87)/100</f>
        <v>1</v>
      </c>
      <c r="E87" s="116"/>
      <c r="F87" s="116"/>
      <c r="G87" s="116"/>
      <c r="H87" s="116"/>
      <c r="I87" s="53" t="s">
        <v>135</v>
      </c>
      <c r="J87" s="57">
        <f ca="1">(IF(B82&gt;1,(H82/(B82+2)),H82/4))</f>
        <v>2.25</v>
      </c>
      <c r="L87" s="58"/>
    </row>
    <row r="88" spans="1:14" s="52" customFormat="1" ht="15.75" customHeight="1" x14ac:dyDescent="0.35">
      <c r="A88" s="112" t="s">
        <v>207</v>
      </c>
      <c r="B88" s="112" t="s">
        <v>188</v>
      </c>
      <c r="C88" s="54">
        <v>9</v>
      </c>
      <c r="D88" s="79">
        <f ca="1">((100/H82)*C88)/100</f>
        <v>1</v>
      </c>
      <c r="E88" s="116"/>
      <c r="F88" s="116"/>
      <c r="G88" s="116"/>
      <c r="H88" s="116"/>
      <c r="I88" s="53" t="s">
        <v>136</v>
      </c>
      <c r="J88" s="57">
        <f ca="1">(IF(B82&gt;1,(H82/(B82+2)+J87),H82/4+J87))</f>
        <v>4.5</v>
      </c>
      <c r="L88" s="58"/>
    </row>
    <row r="89" spans="1:14" s="52" customFormat="1" ht="15.75" customHeight="1" x14ac:dyDescent="0.35">
      <c r="A89" s="112" t="s">
        <v>208</v>
      </c>
      <c r="B89" s="112" t="s">
        <v>188</v>
      </c>
      <c r="C89" s="54">
        <v>9</v>
      </c>
      <c r="D89" s="79">
        <f ca="1">((100/H82)*C89)/100</f>
        <v>1</v>
      </c>
      <c r="E89" s="116"/>
      <c r="F89" s="116"/>
      <c r="G89" s="116"/>
      <c r="H89" s="116"/>
      <c r="I89" s="53" t="s">
        <v>209</v>
      </c>
      <c r="J89" s="57">
        <f>(IF(B82&gt;1,(H82/(B82+2)+J88),0))</f>
        <v>0</v>
      </c>
      <c r="K89" s="59"/>
      <c r="L89" s="60"/>
      <c r="N89" s="58"/>
    </row>
    <row r="90" spans="1:14" s="52" customFormat="1" ht="15.75" customHeight="1" x14ac:dyDescent="0.35">
      <c r="A90" s="112" t="s">
        <v>199</v>
      </c>
      <c r="B90" s="112" t="s">
        <v>190</v>
      </c>
      <c r="C90" s="54">
        <v>7</v>
      </c>
      <c r="D90" s="79">
        <f ca="1">((100/(H82))*C90)/100</f>
        <v>0.77777777777777768</v>
      </c>
      <c r="E90" s="116"/>
      <c r="F90" s="116"/>
      <c r="G90" s="116"/>
      <c r="H90" s="116"/>
      <c r="I90" s="53" t="s">
        <v>210</v>
      </c>
      <c r="J90" s="57">
        <f>(IF(B82&gt;2,(H82/(B82+2)+J89),0))</f>
        <v>0</v>
      </c>
      <c r="K90" s="61"/>
      <c r="L90" s="60"/>
    </row>
    <row r="91" spans="1:14" s="52" customFormat="1" ht="15.75" customHeight="1" x14ac:dyDescent="0.35">
      <c r="A91" s="112" t="s">
        <v>189</v>
      </c>
      <c r="B91" s="112" t="s">
        <v>189</v>
      </c>
      <c r="C91" s="54">
        <v>3</v>
      </c>
      <c r="D91" s="79">
        <f ca="1">((100/H82)*C91)/100</f>
        <v>0.33333333333333326</v>
      </c>
      <c r="E91" s="116"/>
      <c r="F91" s="116"/>
      <c r="G91" s="116"/>
      <c r="H91" s="116"/>
      <c r="I91" s="53" t="s">
        <v>211</v>
      </c>
      <c r="J91" s="62">
        <f>(IF(B82&gt;3,(H82/(B82+2)+J90),0))</f>
        <v>0</v>
      </c>
      <c r="K91" s="61"/>
      <c r="L91" s="60"/>
    </row>
    <row r="92" spans="1:14" s="52" customFormat="1" ht="15.75" customHeight="1" x14ac:dyDescent="0.35">
      <c r="A92" s="112" t="s">
        <v>212</v>
      </c>
      <c r="B92" s="112"/>
      <c r="C92" s="54">
        <v>3</v>
      </c>
      <c r="D92" s="79">
        <f ca="1">((100/H82)*C92)/100</f>
        <v>0.33333333333333326</v>
      </c>
      <c r="E92" s="116"/>
      <c r="F92" s="116"/>
      <c r="G92" s="116"/>
      <c r="H92" s="116"/>
      <c r="I92" s="53" t="s">
        <v>213</v>
      </c>
      <c r="J92" s="57">
        <f>(IF(B82&gt;4,(H82/(B82+2)+J91),0))</f>
        <v>0</v>
      </c>
      <c r="K92" s="63"/>
      <c r="L92" s="60"/>
    </row>
    <row r="93" spans="1:14" s="52" customFormat="1" ht="15.75" customHeight="1" x14ac:dyDescent="0.35">
      <c r="A93" s="112" t="s">
        <v>191</v>
      </c>
      <c r="B93" s="112" t="s">
        <v>191</v>
      </c>
      <c r="C93" s="54">
        <v>0</v>
      </c>
      <c r="D93" s="79">
        <f ca="1">((100/(H82))*C93)/100</f>
        <v>0</v>
      </c>
      <c r="E93" s="116"/>
      <c r="F93" s="116"/>
      <c r="G93" s="116"/>
      <c r="H93" s="116"/>
      <c r="I93" s="53" t="s">
        <v>137</v>
      </c>
      <c r="J93" s="57">
        <f ca="1">(IF(B82=1,(H82/(B82+3)+J88),IF(B82=0,(H82/4+J88),IF(B82&gt;1,0))))</f>
        <v>6.75</v>
      </c>
      <c r="K93" s="61"/>
      <c r="L93" s="60"/>
    </row>
    <row r="94" spans="1:14" s="52" customFormat="1" ht="16" thickBot="1" x14ac:dyDescent="0.4">
      <c r="A94" s="112" t="s">
        <v>192</v>
      </c>
      <c r="B94" s="112"/>
      <c r="C94" s="54">
        <v>0</v>
      </c>
      <c r="D94" s="79">
        <f ca="1">((100/(H82))*C94)/100</f>
        <v>0</v>
      </c>
      <c r="E94" s="116"/>
      <c r="F94" s="116"/>
      <c r="G94" s="116"/>
      <c r="H94" s="116"/>
      <c r="I94" s="64" t="s">
        <v>138</v>
      </c>
      <c r="J94" s="65">
        <f ca="1">(IF(B82&gt;1.5,(H82/(B82+2)+J88+MAX(0,J89-J88)+MAX(0,J90-J89)+MAX(0,J91-J90)+MAX(0,J92-J91)+MAX(0,J93-J92)),IF(B82=1,(H82/(B82+3)+J93),IF(B82=0,H82/4+J93))))</f>
        <v>9</v>
      </c>
      <c r="K94" s="61"/>
      <c r="L94" s="60"/>
    </row>
    <row r="95" spans="1:14" x14ac:dyDescent="0.35">
      <c r="A95" s="124" t="s">
        <v>153</v>
      </c>
      <c r="B95" s="125"/>
      <c r="C95" s="125"/>
      <c r="D95" s="125"/>
      <c r="E95" s="126"/>
      <c r="F95" s="124" t="str">
        <f>(IF(I83="100%","Yes",IF(I83&gt;0%,"Under Construction",IF(I83=0%,"Work not yet Started"))))</f>
        <v>Under Construction</v>
      </c>
      <c r="G95" s="125"/>
      <c r="H95" s="126"/>
    </row>
    <row r="96" spans="1:14" x14ac:dyDescent="0.35">
      <c r="A96" s="105" t="s">
        <v>52</v>
      </c>
      <c r="B96" s="105"/>
      <c r="C96" s="105"/>
      <c r="D96" s="105"/>
      <c r="E96" s="105"/>
      <c r="F96" s="105"/>
      <c r="G96" s="105"/>
      <c r="H96" s="105"/>
    </row>
    <row r="97" spans="1:18" ht="15" customHeight="1" x14ac:dyDescent="0.35">
      <c r="A97" s="121" t="s">
        <v>103</v>
      </c>
      <c r="B97" s="121"/>
      <c r="C97" s="122" t="s">
        <v>104</v>
      </c>
      <c r="D97" s="122"/>
      <c r="E97" s="122"/>
      <c r="F97" s="122"/>
      <c r="G97" s="122"/>
      <c r="H97" s="122"/>
    </row>
    <row r="98" spans="1:18" x14ac:dyDescent="0.35">
      <c r="A98" s="120" t="s">
        <v>53</v>
      </c>
      <c r="B98" s="120"/>
      <c r="C98" s="120"/>
      <c r="D98" s="120"/>
      <c r="E98" s="120"/>
      <c r="F98" s="120"/>
      <c r="G98" s="120"/>
      <c r="H98" s="120"/>
    </row>
    <row r="99" spans="1:18" x14ac:dyDescent="0.35">
      <c r="A99" s="105" t="s">
        <v>105</v>
      </c>
      <c r="B99" s="105"/>
      <c r="C99" s="105"/>
      <c r="D99" s="105"/>
      <c r="E99" s="105"/>
      <c r="F99" s="104">
        <v>3900</v>
      </c>
      <c r="G99" s="104"/>
      <c r="H99" s="104"/>
      <c r="J99" s="77" t="s">
        <v>268</v>
      </c>
      <c r="K99" s="78">
        <v>44984</v>
      </c>
      <c r="L99" s="77"/>
      <c r="M99" s="77"/>
      <c r="N99" s="77"/>
      <c r="O99" s="77"/>
      <c r="P99" s="77"/>
      <c r="Q99" s="77" t="s">
        <v>269</v>
      </c>
      <c r="R99" s="77"/>
    </row>
    <row r="100" spans="1:18" x14ac:dyDescent="0.35">
      <c r="A100" s="105" t="s">
        <v>111</v>
      </c>
      <c r="B100" s="105"/>
      <c r="C100" s="105"/>
      <c r="D100" s="105"/>
      <c r="E100" s="105"/>
      <c r="F100" s="104">
        <v>8000</v>
      </c>
      <c r="G100" s="104"/>
      <c r="H100" s="104"/>
      <c r="I100" s="7" t="s">
        <v>277</v>
      </c>
    </row>
    <row r="101" spans="1:18" s="11" customFormat="1" x14ac:dyDescent="0.3">
      <c r="A101" s="105" t="s">
        <v>197</v>
      </c>
      <c r="B101" s="105"/>
      <c r="C101" s="105"/>
      <c r="D101" s="105"/>
      <c r="E101" s="105"/>
      <c r="F101" s="104" t="s">
        <v>195</v>
      </c>
      <c r="G101" s="104"/>
      <c r="H101" s="104"/>
    </row>
    <row r="102" spans="1:18" s="11" customFormat="1" hidden="1" x14ac:dyDescent="0.3">
      <c r="A102" s="105" t="s">
        <v>128</v>
      </c>
      <c r="B102" s="105"/>
      <c r="C102" s="105"/>
      <c r="D102" s="105"/>
      <c r="E102" s="105"/>
      <c r="F102" s="104" t="s">
        <v>30</v>
      </c>
      <c r="G102" s="104"/>
      <c r="H102" s="104"/>
    </row>
    <row r="103" spans="1:18" s="11" customFormat="1" hidden="1" x14ac:dyDescent="0.3">
      <c r="A103" s="105" t="s">
        <v>129</v>
      </c>
      <c r="B103" s="105"/>
      <c r="C103" s="105"/>
      <c r="D103" s="105"/>
      <c r="E103" s="105"/>
      <c r="F103" s="104" t="s">
        <v>30</v>
      </c>
      <c r="G103" s="104"/>
      <c r="H103" s="104"/>
    </row>
    <row r="104" spans="1:18" s="11" customFormat="1" hidden="1" x14ac:dyDescent="0.3">
      <c r="A104" s="105" t="s">
        <v>130</v>
      </c>
      <c r="B104" s="105"/>
      <c r="C104" s="105"/>
      <c r="D104" s="105"/>
      <c r="E104" s="105"/>
      <c r="F104" s="104" t="s">
        <v>30</v>
      </c>
      <c r="G104" s="104"/>
      <c r="H104" s="104"/>
    </row>
    <row r="105" spans="1:18" s="11" customFormat="1" hidden="1" x14ac:dyDescent="0.3">
      <c r="A105" s="105" t="s">
        <v>131</v>
      </c>
      <c r="B105" s="105"/>
      <c r="C105" s="105"/>
      <c r="D105" s="105"/>
      <c r="E105" s="105"/>
      <c r="F105" s="104" t="s">
        <v>30</v>
      </c>
      <c r="G105" s="104"/>
      <c r="H105" s="104"/>
    </row>
    <row r="106" spans="1:18" s="11" customFormat="1" hidden="1" x14ac:dyDescent="0.3">
      <c r="A106" s="105" t="s">
        <v>132</v>
      </c>
      <c r="B106" s="105"/>
      <c r="C106" s="105"/>
      <c r="D106" s="105"/>
      <c r="E106" s="105"/>
      <c r="F106" s="104" t="s">
        <v>30</v>
      </c>
      <c r="G106" s="104"/>
      <c r="H106" s="104"/>
    </row>
    <row r="107" spans="1:18" s="11" customFormat="1" x14ac:dyDescent="0.3">
      <c r="A107" s="105" t="s">
        <v>221</v>
      </c>
      <c r="B107" s="105"/>
      <c r="C107" s="105"/>
      <c r="D107" s="105"/>
      <c r="E107" s="105"/>
      <c r="F107" s="104" t="s">
        <v>220</v>
      </c>
      <c r="G107" s="104"/>
      <c r="H107" s="104"/>
    </row>
    <row r="108" spans="1:18" x14ac:dyDescent="0.35">
      <c r="A108" s="105" t="s">
        <v>54</v>
      </c>
      <c r="B108" s="105"/>
      <c r="C108" s="105"/>
      <c r="D108" s="105"/>
      <c r="E108" s="105"/>
      <c r="F108" s="128" t="s">
        <v>196</v>
      </c>
      <c r="G108" s="128"/>
      <c r="H108" s="128"/>
    </row>
    <row r="109" spans="1:18" s="8" customFormat="1" ht="15" customHeight="1" x14ac:dyDescent="0.35">
      <c r="A109" s="120" t="s">
        <v>55</v>
      </c>
      <c r="B109" s="120"/>
      <c r="C109" s="120"/>
      <c r="D109" s="120"/>
      <c r="E109" s="120"/>
      <c r="F109" s="104">
        <f>F99*0.8</f>
        <v>3120</v>
      </c>
      <c r="G109" s="104"/>
      <c r="H109" s="104"/>
    </row>
    <row r="110" spans="1:18" s="1" customFormat="1" ht="15.75" customHeight="1" x14ac:dyDescent="0.35">
      <c r="A110" s="92" t="s">
        <v>247</v>
      </c>
      <c r="B110" s="92"/>
      <c r="C110" s="92"/>
      <c r="D110" s="92"/>
      <c r="E110" s="92"/>
      <c r="F110" s="92"/>
      <c r="G110" s="92"/>
      <c r="H110" s="92"/>
    </row>
    <row r="111" spans="1:18" s="1" customFormat="1" ht="15.75" customHeight="1" x14ac:dyDescent="0.35">
      <c r="A111" s="143" t="s">
        <v>56</v>
      </c>
      <c r="B111" s="143"/>
      <c r="C111" s="94" t="s">
        <v>108</v>
      </c>
      <c r="D111" s="94"/>
      <c r="E111" s="144" t="s">
        <v>57</v>
      </c>
      <c r="F111" s="144"/>
      <c r="G111" s="143" t="s">
        <v>58</v>
      </c>
      <c r="H111" s="143"/>
    </row>
    <row r="112" spans="1:18" s="1" customFormat="1" x14ac:dyDescent="0.35">
      <c r="A112" s="180" t="s">
        <v>245</v>
      </c>
      <c r="B112" s="75" t="s">
        <v>249</v>
      </c>
      <c r="C112" s="90">
        <f>COUNT(D130:D137)</f>
        <v>8</v>
      </c>
      <c r="D112" s="149"/>
      <c r="E112" s="91">
        <f>SUM(D130:D137)</f>
        <v>1314.0761166</v>
      </c>
      <c r="F112" s="150"/>
      <c r="G112" s="91">
        <f>SUM(F130:F137)</f>
        <v>2236</v>
      </c>
      <c r="H112" s="150"/>
    </row>
    <row r="113" spans="1:8" s="1" customFormat="1" x14ac:dyDescent="0.35">
      <c r="A113" s="181"/>
      <c r="B113" s="75" t="s">
        <v>250</v>
      </c>
      <c r="C113" s="90">
        <f>COUNT(D140:D146)</f>
        <v>7</v>
      </c>
      <c r="D113" s="149"/>
      <c r="E113" s="91">
        <f>SUM(D140:D146)</f>
        <v>1135.6870355999999</v>
      </c>
      <c r="F113" s="150"/>
      <c r="G113" s="91">
        <f>SUM(F140:F146)</f>
        <v>1849</v>
      </c>
      <c r="H113" s="150"/>
    </row>
    <row r="114" spans="1:8" s="1" customFormat="1" x14ac:dyDescent="0.35">
      <c r="A114" s="182"/>
      <c r="B114" s="75" t="s">
        <v>251</v>
      </c>
      <c r="C114" s="90">
        <f>COUNT(D149:D155)</f>
        <v>7</v>
      </c>
      <c r="D114" s="149"/>
      <c r="E114" s="91">
        <f>SUM(D149:D155)</f>
        <v>1135.6870355999999</v>
      </c>
      <c r="F114" s="150"/>
      <c r="G114" s="91">
        <f>SUM(F149:F155)</f>
        <v>1849</v>
      </c>
      <c r="H114" s="150"/>
    </row>
    <row r="115" spans="1:8" s="1" customFormat="1" x14ac:dyDescent="0.35">
      <c r="A115" s="71" t="s">
        <v>246</v>
      </c>
      <c r="B115" s="75" t="s">
        <v>252</v>
      </c>
      <c r="C115" s="90">
        <f>COUNT(D159:D175)</f>
        <v>17</v>
      </c>
      <c r="D115" s="149"/>
      <c r="E115" s="91">
        <f>SUM(D159:D175)</f>
        <v>2627.5516020000005</v>
      </c>
      <c r="F115" s="150"/>
      <c r="G115" s="91">
        <f>SUM(F159:F175)</f>
        <v>4507</v>
      </c>
      <c r="H115" s="150"/>
    </row>
    <row r="116" spans="1:8" s="66" customFormat="1" ht="15" x14ac:dyDescent="0.35">
      <c r="A116" s="92" t="s">
        <v>60</v>
      </c>
      <c r="B116" s="92"/>
      <c r="C116" s="93">
        <f>SUM(C112:D115)</f>
        <v>39</v>
      </c>
      <c r="D116" s="94"/>
      <c r="E116" s="95">
        <f>SUM(E112:F115)</f>
        <v>6213.0017898000006</v>
      </c>
      <c r="F116" s="95"/>
      <c r="G116" s="95">
        <f>SUM(G112:H115)</f>
        <v>10441</v>
      </c>
      <c r="H116" s="95"/>
    </row>
    <row r="117" spans="1:8" s="1" customFormat="1" x14ac:dyDescent="0.35">
      <c r="A117" s="92" t="s">
        <v>248</v>
      </c>
      <c r="B117" s="92"/>
      <c r="C117" s="92"/>
      <c r="D117" s="92"/>
      <c r="E117" s="92"/>
      <c r="F117" s="92"/>
      <c r="G117" s="92"/>
      <c r="H117" s="92"/>
    </row>
    <row r="118" spans="1:8" s="1" customFormat="1" ht="15.75" customHeight="1" x14ac:dyDescent="0.35">
      <c r="A118" s="143" t="s">
        <v>56</v>
      </c>
      <c r="B118" s="143"/>
      <c r="C118" s="94" t="s">
        <v>108</v>
      </c>
      <c r="D118" s="94"/>
      <c r="E118" s="144" t="s">
        <v>57</v>
      </c>
      <c r="F118" s="144"/>
      <c r="G118" s="143" t="s">
        <v>58</v>
      </c>
      <c r="H118" s="143"/>
    </row>
    <row r="119" spans="1:8" s="1" customFormat="1" ht="15.75" customHeight="1" x14ac:dyDescent="0.35">
      <c r="A119" s="183" t="s">
        <v>245</v>
      </c>
      <c r="B119" s="75" t="s">
        <v>249</v>
      </c>
      <c r="C119" s="90">
        <f>COUNT(D187:D192)*7</f>
        <v>42</v>
      </c>
      <c r="D119" s="90"/>
      <c r="E119" s="91">
        <f>SUM(D187:D192)*7</f>
        <v>20447.111411999998</v>
      </c>
      <c r="F119" s="91"/>
      <c r="G119" s="91">
        <f>SUM(F187:F192)*7</f>
        <v>32858</v>
      </c>
      <c r="H119" s="91"/>
    </row>
    <row r="120" spans="1:8" s="1" customFormat="1" ht="15.75" customHeight="1" x14ac:dyDescent="0.35">
      <c r="A120" s="183"/>
      <c r="B120" s="75" t="s">
        <v>250</v>
      </c>
      <c r="C120" s="90">
        <f>COUNT(D195:D198)*7</f>
        <v>28</v>
      </c>
      <c r="D120" s="90"/>
      <c r="E120" s="91">
        <f>SUM(D195:D198)*7</f>
        <v>13835.249064</v>
      </c>
      <c r="F120" s="91"/>
      <c r="G120" s="91">
        <f>SUM(F195:F198)*7</f>
        <v>22309</v>
      </c>
      <c r="H120" s="91"/>
    </row>
    <row r="121" spans="1:8" s="1" customFormat="1" ht="15.75" customHeight="1" x14ac:dyDescent="0.35">
      <c r="A121" s="183"/>
      <c r="B121" s="75" t="s">
        <v>251</v>
      </c>
      <c r="C121" s="90">
        <f>COUNT(D201:D204)*7</f>
        <v>28</v>
      </c>
      <c r="D121" s="90"/>
      <c r="E121" s="91">
        <f>SUM(D201:D204)*7</f>
        <v>13835.249064</v>
      </c>
      <c r="F121" s="91"/>
      <c r="G121" s="91">
        <f>SUM(F201:F204)*7</f>
        <v>22309</v>
      </c>
      <c r="H121" s="91"/>
    </row>
    <row r="122" spans="1:8" s="1" customFormat="1" ht="15.75" customHeight="1" x14ac:dyDescent="0.35">
      <c r="A122" s="71" t="s">
        <v>246</v>
      </c>
      <c r="B122" s="75" t="s">
        <v>252</v>
      </c>
      <c r="C122" s="90">
        <f>COUNT(D208:D217)+COUNT(D219:D228)*3+COUNT(D230:D239)*3+COUNT(D241:D250)+COUNT(D252:D261)</f>
        <v>90</v>
      </c>
      <c r="D122" s="90"/>
      <c r="E122" s="91">
        <f>SUM(D208:D217)+SUM(D219:D228)*3+SUM(D230:D239)*3+SUM(D241:D250)+SUM(D252:D261)</f>
        <v>39001.868567999991</v>
      </c>
      <c r="F122" s="91"/>
      <c r="G122" s="91">
        <f>SUM(F208:F217)+SUM(F219:F228)*3+SUM(F230:F239)*3+SUM(F241:F250)+SUM(F252:F261)</f>
        <v>64949.025538799993</v>
      </c>
      <c r="H122" s="91"/>
    </row>
    <row r="123" spans="1:8" s="66" customFormat="1" ht="15" x14ac:dyDescent="0.35">
      <c r="A123" s="92" t="s">
        <v>60</v>
      </c>
      <c r="B123" s="92"/>
      <c r="C123" s="93">
        <f>SUM(C119:C122)</f>
        <v>188</v>
      </c>
      <c r="D123" s="94"/>
      <c r="E123" s="95">
        <f>SUM(E119:E122)</f>
        <v>87119.478107999996</v>
      </c>
      <c r="F123" s="95"/>
      <c r="G123" s="95">
        <f>SUM(G119:G122)</f>
        <v>142425.02553879999</v>
      </c>
      <c r="H123" s="95"/>
    </row>
    <row r="124" spans="1:8" s="8" customFormat="1" x14ac:dyDescent="0.35">
      <c r="A124" s="148" t="s">
        <v>61</v>
      </c>
      <c r="B124" s="148"/>
      <c r="C124" s="148"/>
      <c r="D124" s="148"/>
      <c r="E124" s="148"/>
      <c r="F124" s="148"/>
      <c r="G124" s="148"/>
      <c r="H124" s="148"/>
    </row>
    <row r="125" spans="1:8" x14ac:dyDescent="0.35">
      <c r="A125" s="148" t="s">
        <v>62</v>
      </c>
      <c r="B125" s="148"/>
      <c r="C125" s="148"/>
      <c r="D125" s="148"/>
      <c r="E125" s="148"/>
      <c r="F125" s="148"/>
      <c r="G125" s="148"/>
      <c r="H125" s="148"/>
    </row>
    <row r="126" spans="1:8" ht="47.25" customHeight="1" x14ac:dyDescent="0.35">
      <c r="A126" s="42" t="s">
        <v>156</v>
      </c>
      <c r="B126" s="42" t="s">
        <v>155</v>
      </c>
      <c r="C126" s="42" t="s">
        <v>63</v>
      </c>
      <c r="D126" s="42" t="s">
        <v>64</v>
      </c>
      <c r="E126" s="43" t="s">
        <v>65</v>
      </c>
      <c r="F126" s="42" t="s">
        <v>193</v>
      </c>
      <c r="G126" s="96" t="s">
        <v>66</v>
      </c>
      <c r="H126" s="97"/>
    </row>
    <row r="127" spans="1:8" x14ac:dyDescent="0.35">
      <c r="A127" s="174" t="s">
        <v>222</v>
      </c>
      <c r="B127" s="175"/>
      <c r="C127" s="175"/>
      <c r="D127" s="175"/>
      <c r="E127" s="175"/>
      <c r="F127" s="175"/>
      <c r="G127" s="175"/>
      <c r="H127" s="176"/>
    </row>
    <row r="128" spans="1:8" s="39" customFormat="1" x14ac:dyDescent="0.35">
      <c r="A128" s="83" t="s">
        <v>179</v>
      </c>
      <c r="B128" s="84"/>
      <c r="C128" s="84"/>
      <c r="D128" s="84"/>
      <c r="E128" s="84"/>
      <c r="F128" s="84"/>
      <c r="G128" s="84"/>
      <c r="H128" s="85"/>
    </row>
    <row r="129" spans="1:14" s="39" customFormat="1" x14ac:dyDescent="0.35">
      <c r="A129" s="83" t="s">
        <v>154</v>
      </c>
      <c r="B129" s="84"/>
      <c r="C129" s="84"/>
      <c r="D129" s="84"/>
      <c r="E129" s="84"/>
      <c r="F129" s="84"/>
      <c r="G129" s="84"/>
      <c r="H129" s="85"/>
    </row>
    <row r="130" spans="1:14" s="39" customFormat="1" x14ac:dyDescent="0.35">
      <c r="A130" s="81">
        <v>1</v>
      </c>
      <c r="B130" s="82"/>
      <c r="C130" s="41" t="s">
        <v>180</v>
      </c>
      <c r="D130" s="41">
        <f>3.735*6.015*10.764</f>
        <v>241.82429309999998</v>
      </c>
      <c r="E130" s="41">
        <v>0</v>
      </c>
      <c r="F130" s="41">
        <v>362</v>
      </c>
      <c r="G130" s="81" t="str">
        <f>A129</f>
        <v>Ground Floor</v>
      </c>
      <c r="H130" s="82"/>
      <c r="I130" s="35"/>
      <c r="L130" s="87"/>
      <c r="M130" s="87"/>
      <c r="N130" s="35"/>
    </row>
    <row r="131" spans="1:14" s="39" customFormat="1" x14ac:dyDescent="0.35">
      <c r="A131" s="81">
        <f>A130+1</f>
        <v>2</v>
      </c>
      <c r="B131" s="82"/>
      <c r="C131" s="41" t="s">
        <v>180</v>
      </c>
      <c r="D131" s="41">
        <f>3.5*5.115*10.764</f>
        <v>192.70250999999999</v>
      </c>
      <c r="E131" s="41">
        <v>0</v>
      </c>
      <c r="F131" s="41">
        <v>283</v>
      </c>
      <c r="G131" s="81" t="str">
        <f t="shared" ref="G131:G137" si="0">G130</f>
        <v>Ground Floor</v>
      </c>
      <c r="H131" s="82"/>
      <c r="I131" s="35"/>
      <c r="L131" s="87"/>
      <c r="M131" s="87"/>
      <c r="N131" s="35"/>
    </row>
    <row r="132" spans="1:14" s="39" customFormat="1" x14ac:dyDescent="0.35">
      <c r="A132" s="81">
        <f t="shared" ref="A132:A137" si="1">A131+1</f>
        <v>3</v>
      </c>
      <c r="B132" s="82"/>
      <c r="C132" s="41" t="s">
        <v>180</v>
      </c>
      <c r="D132" s="41">
        <f>2.74*5.115*10.764</f>
        <v>150.85853640000002</v>
      </c>
      <c r="E132" s="41">
        <v>0</v>
      </c>
      <c r="F132" s="41">
        <v>227</v>
      </c>
      <c r="G132" s="81" t="str">
        <f t="shared" si="0"/>
        <v>Ground Floor</v>
      </c>
      <c r="H132" s="82"/>
      <c r="I132" s="35"/>
      <c r="L132" s="87"/>
      <c r="M132" s="87"/>
      <c r="N132" s="35"/>
    </row>
    <row r="133" spans="1:14" s="39" customFormat="1" x14ac:dyDescent="0.35">
      <c r="A133" s="81">
        <f t="shared" si="1"/>
        <v>4</v>
      </c>
      <c r="B133" s="82"/>
      <c r="C133" s="41" t="s">
        <v>180</v>
      </c>
      <c r="D133" s="41">
        <f>2.2*5.115*10.764</f>
        <v>121.12729200000001</v>
      </c>
      <c r="E133" s="41">
        <v>0</v>
      </c>
      <c r="F133" s="41">
        <v>299</v>
      </c>
      <c r="G133" s="81" t="str">
        <f t="shared" si="0"/>
        <v>Ground Floor</v>
      </c>
      <c r="H133" s="82"/>
      <c r="I133" s="35"/>
      <c r="L133" s="87"/>
      <c r="M133" s="87"/>
      <c r="N133" s="35"/>
    </row>
    <row r="134" spans="1:14" s="39" customFormat="1" x14ac:dyDescent="0.35">
      <c r="A134" s="81">
        <f t="shared" si="1"/>
        <v>5</v>
      </c>
      <c r="B134" s="82"/>
      <c r="C134" s="41" t="s">
        <v>180</v>
      </c>
      <c r="D134" s="41">
        <f>2.89*5.115*10.764</f>
        <v>159.11721539999999</v>
      </c>
      <c r="E134" s="41">
        <v>0</v>
      </c>
      <c r="F134" s="41">
        <v>299</v>
      </c>
      <c r="G134" s="81" t="str">
        <f t="shared" si="0"/>
        <v>Ground Floor</v>
      </c>
      <c r="H134" s="82"/>
      <c r="I134" s="35"/>
      <c r="L134" s="87"/>
      <c r="M134" s="87"/>
      <c r="N134" s="35"/>
    </row>
    <row r="135" spans="1:14" s="39" customFormat="1" x14ac:dyDescent="0.35">
      <c r="A135" s="81">
        <f t="shared" si="1"/>
        <v>6</v>
      </c>
      <c r="B135" s="82"/>
      <c r="C135" s="41" t="s">
        <v>180</v>
      </c>
      <c r="D135" s="41">
        <f>2.89*5.115*10.764</f>
        <v>159.11721539999999</v>
      </c>
      <c r="E135" s="41">
        <v>0</v>
      </c>
      <c r="F135" s="41">
        <v>264</v>
      </c>
      <c r="G135" s="81" t="str">
        <f t="shared" si="0"/>
        <v>Ground Floor</v>
      </c>
      <c r="H135" s="82"/>
      <c r="I135" s="35"/>
      <c r="L135" s="87"/>
      <c r="M135" s="87"/>
      <c r="N135" s="35"/>
    </row>
    <row r="136" spans="1:14" s="39" customFormat="1" x14ac:dyDescent="0.35">
      <c r="A136" s="81">
        <f t="shared" si="1"/>
        <v>7</v>
      </c>
      <c r="B136" s="82"/>
      <c r="C136" s="41" t="s">
        <v>180</v>
      </c>
      <c r="D136" s="41">
        <f>2.515*5.115*10.764</f>
        <v>138.4705179</v>
      </c>
      <c r="E136" s="41">
        <v>0</v>
      </c>
      <c r="F136" s="41">
        <v>283</v>
      </c>
      <c r="G136" s="81" t="str">
        <f t="shared" si="0"/>
        <v>Ground Floor</v>
      </c>
      <c r="H136" s="82"/>
      <c r="I136" s="35"/>
      <c r="L136" s="87"/>
      <c r="M136" s="87"/>
      <c r="N136" s="35"/>
    </row>
    <row r="137" spans="1:14" s="39" customFormat="1" x14ac:dyDescent="0.35">
      <c r="A137" s="81">
        <f t="shared" si="1"/>
        <v>8</v>
      </c>
      <c r="B137" s="82"/>
      <c r="C137" s="41" t="s">
        <v>180</v>
      </c>
      <c r="D137" s="41">
        <f>2.74*5.115*10.764</f>
        <v>150.85853640000002</v>
      </c>
      <c r="E137" s="41">
        <v>0</v>
      </c>
      <c r="F137" s="41">
        <v>219</v>
      </c>
      <c r="G137" s="81" t="str">
        <f t="shared" si="0"/>
        <v>Ground Floor</v>
      </c>
      <c r="H137" s="82"/>
      <c r="I137" s="35"/>
      <c r="L137" s="87"/>
      <c r="M137" s="87"/>
      <c r="N137" s="35"/>
    </row>
    <row r="138" spans="1:14" s="39" customFormat="1" x14ac:dyDescent="0.35">
      <c r="A138" s="83" t="s">
        <v>181</v>
      </c>
      <c r="B138" s="84"/>
      <c r="C138" s="84"/>
      <c r="D138" s="84"/>
      <c r="E138" s="84"/>
      <c r="F138" s="84"/>
      <c r="G138" s="84"/>
      <c r="H138" s="85"/>
    </row>
    <row r="139" spans="1:14" s="39" customFormat="1" x14ac:dyDescent="0.35">
      <c r="A139" s="83" t="s">
        <v>154</v>
      </c>
      <c r="B139" s="84"/>
      <c r="C139" s="84"/>
      <c r="D139" s="84"/>
      <c r="E139" s="84"/>
      <c r="F139" s="84"/>
      <c r="G139" s="84"/>
      <c r="H139" s="85"/>
    </row>
    <row r="140" spans="1:14" s="39" customFormat="1" x14ac:dyDescent="0.35">
      <c r="A140" s="81">
        <v>9</v>
      </c>
      <c r="B140" s="82"/>
      <c r="C140" s="41" t="s">
        <v>180</v>
      </c>
      <c r="D140" s="41">
        <f>2.74*4.685*10.764</f>
        <v>138.17639159999999</v>
      </c>
      <c r="E140" s="41">
        <v>0</v>
      </c>
      <c r="F140" s="41">
        <v>264</v>
      </c>
      <c r="G140" s="81" t="str">
        <f>A139</f>
        <v>Ground Floor</v>
      </c>
      <c r="H140" s="82"/>
      <c r="I140" s="35"/>
      <c r="L140" s="87"/>
      <c r="M140" s="87"/>
      <c r="N140" s="35"/>
    </row>
    <row r="141" spans="1:14" s="39" customFormat="1" x14ac:dyDescent="0.35">
      <c r="A141" s="81">
        <f>A140+1</f>
        <v>10</v>
      </c>
      <c r="B141" s="82"/>
      <c r="C141" s="41" t="s">
        <v>180</v>
      </c>
      <c r="D141" s="41">
        <f>2.515*6*10.764</f>
        <v>162.42875999999998</v>
      </c>
      <c r="E141" s="41">
        <v>0</v>
      </c>
      <c r="F141" s="41">
        <v>312</v>
      </c>
      <c r="G141" s="81" t="str">
        <f t="shared" ref="G141:G146" si="2">G140</f>
        <v>Ground Floor</v>
      </c>
      <c r="H141" s="82"/>
      <c r="I141" s="35"/>
      <c r="L141" s="87"/>
      <c r="M141" s="87"/>
      <c r="N141" s="35"/>
    </row>
    <row r="142" spans="1:14" s="39" customFormat="1" x14ac:dyDescent="0.35">
      <c r="A142" s="81">
        <f t="shared" ref="A142:A146" si="3">A141+1</f>
        <v>11</v>
      </c>
      <c r="B142" s="82"/>
      <c r="C142" s="41" t="s">
        <v>180</v>
      </c>
      <c r="D142" s="41">
        <f>2.89*6*10.764</f>
        <v>186.64775999999998</v>
      </c>
      <c r="E142" s="41">
        <v>0</v>
      </c>
      <c r="F142" s="41">
        <v>195</v>
      </c>
      <c r="G142" s="81" t="str">
        <f t="shared" si="2"/>
        <v>Ground Floor</v>
      </c>
      <c r="H142" s="82"/>
      <c r="I142" s="35"/>
      <c r="L142" s="87"/>
      <c r="M142" s="87"/>
      <c r="N142" s="35"/>
    </row>
    <row r="143" spans="1:14" s="39" customFormat="1" x14ac:dyDescent="0.35">
      <c r="A143" s="81">
        <f t="shared" si="3"/>
        <v>12</v>
      </c>
      <c r="B143" s="82"/>
      <c r="C143" s="41" t="s">
        <v>180</v>
      </c>
      <c r="D143" s="41">
        <f>2.74*4.15*10.764</f>
        <v>122.39744400000002</v>
      </c>
      <c r="E143" s="41">
        <v>0</v>
      </c>
      <c r="F143" s="41">
        <v>312</v>
      </c>
      <c r="G143" s="81" t="str">
        <f t="shared" si="2"/>
        <v>Ground Floor</v>
      </c>
      <c r="H143" s="82"/>
      <c r="I143" s="35"/>
      <c r="L143" s="87"/>
      <c r="M143" s="87"/>
      <c r="N143" s="35"/>
    </row>
    <row r="144" spans="1:14" s="39" customFormat="1" x14ac:dyDescent="0.35">
      <c r="A144" s="81">
        <f t="shared" si="3"/>
        <v>13</v>
      </c>
      <c r="B144" s="82"/>
      <c r="C144" s="41" t="s">
        <v>180</v>
      </c>
      <c r="D144" s="41">
        <f>2.89*6*10.764</f>
        <v>186.64775999999998</v>
      </c>
      <c r="E144" s="41">
        <v>0</v>
      </c>
      <c r="F144" s="41">
        <v>264</v>
      </c>
      <c r="G144" s="81" t="str">
        <f t="shared" si="2"/>
        <v>Ground Floor</v>
      </c>
      <c r="H144" s="82"/>
      <c r="I144" s="35"/>
      <c r="L144" s="87"/>
      <c r="M144" s="87"/>
      <c r="N144" s="35"/>
    </row>
    <row r="145" spans="1:14" s="39" customFormat="1" x14ac:dyDescent="0.35">
      <c r="A145" s="81">
        <f t="shared" si="3"/>
        <v>14</v>
      </c>
      <c r="B145" s="82"/>
      <c r="C145" s="41" t="s">
        <v>180</v>
      </c>
      <c r="D145" s="41">
        <f>2.515*6*10.764</f>
        <v>162.42875999999998</v>
      </c>
      <c r="E145" s="41">
        <v>0</v>
      </c>
      <c r="F145" s="41">
        <v>283</v>
      </c>
      <c r="G145" s="81" t="str">
        <f t="shared" si="2"/>
        <v>Ground Floor</v>
      </c>
      <c r="H145" s="82"/>
      <c r="I145" s="35"/>
      <c r="L145" s="87"/>
      <c r="M145" s="87"/>
      <c r="N145" s="35"/>
    </row>
    <row r="146" spans="1:14" s="39" customFormat="1" x14ac:dyDescent="0.35">
      <c r="A146" s="81">
        <f t="shared" si="3"/>
        <v>15</v>
      </c>
      <c r="B146" s="82"/>
      <c r="C146" s="41" t="s">
        <v>180</v>
      </c>
      <c r="D146" s="41">
        <f>2.74*6*10.764</f>
        <v>176.96016</v>
      </c>
      <c r="E146" s="41">
        <v>0</v>
      </c>
      <c r="F146" s="41">
        <v>219</v>
      </c>
      <c r="G146" s="81" t="str">
        <f t="shared" si="2"/>
        <v>Ground Floor</v>
      </c>
      <c r="H146" s="82"/>
      <c r="I146" s="35"/>
      <c r="L146" s="87"/>
      <c r="M146" s="87"/>
      <c r="N146" s="35"/>
    </row>
    <row r="147" spans="1:14" s="39" customFormat="1" x14ac:dyDescent="0.35">
      <c r="A147" s="83" t="s">
        <v>185</v>
      </c>
      <c r="B147" s="84"/>
      <c r="C147" s="84"/>
      <c r="D147" s="84"/>
      <c r="E147" s="84"/>
      <c r="F147" s="84"/>
      <c r="G147" s="84"/>
      <c r="H147" s="85"/>
    </row>
    <row r="148" spans="1:14" s="39" customFormat="1" x14ac:dyDescent="0.35">
      <c r="A148" s="83" t="s">
        <v>154</v>
      </c>
      <c r="B148" s="84"/>
      <c r="C148" s="84"/>
      <c r="D148" s="84"/>
      <c r="E148" s="84"/>
      <c r="F148" s="84"/>
      <c r="G148" s="84"/>
      <c r="H148" s="85"/>
    </row>
    <row r="149" spans="1:14" s="39" customFormat="1" x14ac:dyDescent="0.35">
      <c r="A149" s="81">
        <v>16</v>
      </c>
      <c r="B149" s="82"/>
      <c r="C149" s="41" t="s">
        <v>180</v>
      </c>
      <c r="D149" s="41">
        <f>2.74*4.685*10.764</f>
        <v>138.17639159999999</v>
      </c>
      <c r="E149" s="41">
        <v>0</v>
      </c>
      <c r="F149" s="41">
        <v>264</v>
      </c>
      <c r="G149" s="81" t="str">
        <f>A148</f>
        <v>Ground Floor</v>
      </c>
      <c r="H149" s="82"/>
      <c r="I149" s="35"/>
      <c r="L149" s="87"/>
      <c r="M149" s="87"/>
      <c r="N149" s="35"/>
    </row>
    <row r="150" spans="1:14" s="39" customFormat="1" x14ac:dyDescent="0.35">
      <c r="A150" s="81">
        <f>A149+1</f>
        <v>17</v>
      </c>
      <c r="B150" s="82"/>
      <c r="C150" s="41" t="s">
        <v>180</v>
      </c>
      <c r="D150" s="41">
        <f>2.515*6*10.764</f>
        <v>162.42875999999998</v>
      </c>
      <c r="E150" s="41">
        <v>0</v>
      </c>
      <c r="F150" s="41">
        <v>312</v>
      </c>
      <c r="G150" s="81" t="str">
        <f t="shared" ref="G150:G155" si="4">G149</f>
        <v>Ground Floor</v>
      </c>
      <c r="H150" s="82"/>
      <c r="I150" s="35"/>
      <c r="L150" s="87"/>
      <c r="M150" s="87"/>
      <c r="N150" s="35"/>
    </row>
    <row r="151" spans="1:14" s="39" customFormat="1" x14ac:dyDescent="0.35">
      <c r="A151" s="81">
        <f t="shared" ref="A151:A155" si="5">A150+1</f>
        <v>18</v>
      </c>
      <c r="B151" s="82"/>
      <c r="C151" s="41" t="s">
        <v>180</v>
      </c>
      <c r="D151" s="41">
        <f>2.89*6*10.764</f>
        <v>186.64775999999998</v>
      </c>
      <c r="E151" s="41">
        <v>0</v>
      </c>
      <c r="F151" s="41">
        <v>195</v>
      </c>
      <c r="G151" s="81" t="str">
        <f t="shared" si="4"/>
        <v>Ground Floor</v>
      </c>
      <c r="H151" s="82"/>
      <c r="I151" s="35"/>
      <c r="L151" s="87"/>
      <c r="M151" s="87"/>
      <c r="N151" s="35"/>
    </row>
    <row r="152" spans="1:14" s="39" customFormat="1" x14ac:dyDescent="0.35">
      <c r="A152" s="81">
        <f t="shared" si="5"/>
        <v>19</v>
      </c>
      <c r="B152" s="82"/>
      <c r="C152" s="41" t="s">
        <v>180</v>
      </c>
      <c r="D152" s="41">
        <f>2.74*4.15*10.764</f>
        <v>122.39744400000002</v>
      </c>
      <c r="E152" s="41">
        <v>0</v>
      </c>
      <c r="F152" s="41">
        <v>312</v>
      </c>
      <c r="G152" s="81" t="str">
        <f t="shared" si="4"/>
        <v>Ground Floor</v>
      </c>
      <c r="H152" s="82"/>
      <c r="I152" s="35"/>
      <c r="L152" s="87"/>
      <c r="M152" s="87"/>
      <c r="N152" s="35"/>
    </row>
    <row r="153" spans="1:14" s="39" customFormat="1" x14ac:dyDescent="0.35">
      <c r="A153" s="81">
        <f t="shared" si="5"/>
        <v>20</v>
      </c>
      <c r="B153" s="82"/>
      <c r="C153" s="41" t="s">
        <v>180</v>
      </c>
      <c r="D153" s="41">
        <f>2.89*6*10.764</f>
        <v>186.64775999999998</v>
      </c>
      <c r="E153" s="41">
        <v>0</v>
      </c>
      <c r="F153" s="41">
        <v>264</v>
      </c>
      <c r="G153" s="81" t="str">
        <f t="shared" si="4"/>
        <v>Ground Floor</v>
      </c>
      <c r="H153" s="82"/>
      <c r="I153" s="35"/>
      <c r="L153" s="87"/>
      <c r="M153" s="87"/>
      <c r="N153" s="35"/>
    </row>
    <row r="154" spans="1:14" s="39" customFormat="1" x14ac:dyDescent="0.35">
      <c r="A154" s="81">
        <f t="shared" si="5"/>
        <v>21</v>
      </c>
      <c r="B154" s="82"/>
      <c r="C154" s="41" t="s">
        <v>180</v>
      </c>
      <c r="D154" s="41">
        <f>2.515*6*10.764</f>
        <v>162.42875999999998</v>
      </c>
      <c r="E154" s="41">
        <v>0</v>
      </c>
      <c r="F154" s="41">
        <v>283</v>
      </c>
      <c r="G154" s="81" t="str">
        <f t="shared" si="4"/>
        <v>Ground Floor</v>
      </c>
      <c r="H154" s="82"/>
      <c r="I154" s="35"/>
      <c r="L154" s="87"/>
      <c r="M154" s="87"/>
      <c r="N154" s="35"/>
    </row>
    <row r="155" spans="1:14" s="39" customFormat="1" x14ac:dyDescent="0.35">
      <c r="A155" s="81">
        <f t="shared" si="5"/>
        <v>22</v>
      </c>
      <c r="B155" s="82"/>
      <c r="C155" s="41" t="s">
        <v>180</v>
      </c>
      <c r="D155" s="41">
        <f>2.74*6*10.764</f>
        <v>176.96016</v>
      </c>
      <c r="E155" s="41">
        <v>0</v>
      </c>
      <c r="F155" s="41">
        <v>219</v>
      </c>
      <c r="G155" s="81" t="str">
        <f t="shared" si="4"/>
        <v>Ground Floor</v>
      </c>
      <c r="H155" s="82"/>
      <c r="I155" s="35"/>
      <c r="L155" s="87"/>
      <c r="M155" s="87"/>
      <c r="N155" s="35"/>
    </row>
    <row r="156" spans="1:14" x14ac:dyDescent="0.35">
      <c r="A156" s="174" t="s">
        <v>223</v>
      </c>
      <c r="B156" s="175"/>
      <c r="C156" s="175"/>
      <c r="D156" s="175"/>
      <c r="E156" s="175"/>
      <c r="F156" s="175"/>
      <c r="G156" s="175"/>
      <c r="H156" s="176"/>
    </row>
    <row r="157" spans="1:14" s="46" customFormat="1" x14ac:dyDescent="0.35">
      <c r="A157" s="83" t="s">
        <v>214</v>
      </c>
      <c r="B157" s="84"/>
      <c r="C157" s="84"/>
      <c r="D157" s="84"/>
      <c r="E157" s="84"/>
      <c r="F157" s="84"/>
      <c r="G157" s="84"/>
      <c r="H157" s="85"/>
    </row>
    <row r="158" spans="1:14" s="46" customFormat="1" x14ac:dyDescent="0.35">
      <c r="A158" s="83" t="s">
        <v>230</v>
      </c>
      <c r="B158" s="84"/>
      <c r="C158" s="84"/>
      <c r="D158" s="84"/>
      <c r="E158" s="84"/>
      <c r="F158" s="84"/>
      <c r="G158" s="84"/>
      <c r="H158" s="85"/>
    </row>
    <row r="159" spans="1:14" s="46" customFormat="1" x14ac:dyDescent="0.35">
      <c r="A159" s="81">
        <v>1</v>
      </c>
      <c r="B159" s="82"/>
      <c r="C159" s="41" t="s">
        <v>180</v>
      </c>
      <c r="D159" s="41">
        <f>2.75*6*10.764</f>
        <v>177.60599999999999</v>
      </c>
      <c r="E159" s="41">
        <v>0</v>
      </c>
      <c r="F159" s="41">
        <v>264</v>
      </c>
      <c r="G159" s="81" t="str">
        <f>A158</f>
        <v>Ground Floor For Commercial, Parking &amp; Amenities</v>
      </c>
      <c r="H159" s="82"/>
      <c r="I159" s="35"/>
      <c r="L159" s="87"/>
      <c r="M159" s="87"/>
      <c r="N159" s="35"/>
    </row>
    <row r="160" spans="1:14" s="46" customFormat="1" x14ac:dyDescent="0.35">
      <c r="A160" s="81">
        <f>A159+1</f>
        <v>2</v>
      </c>
      <c r="B160" s="82"/>
      <c r="C160" s="41" t="s">
        <v>180</v>
      </c>
      <c r="D160" s="41">
        <f>2.2*6*10.764</f>
        <v>142.0848</v>
      </c>
      <c r="E160" s="41">
        <v>0</v>
      </c>
      <c r="F160" s="41">
        <v>312</v>
      </c>
      <c r="G160" s="81" t="str">
        <f t="shared" ref="G160:G175" si="6">G159</f>
        <v>Ground Floor For Commercial, Parking &amp; Amenities</v>
      </c>
      <c r="H160" s="82"/>
      <c r="I160" s="35"/>
      <c r="L160" s="87"/>
      <c r="M160" s="87"/>
      <c r="N160" s="35"/>
    </row>
    <row r="161" spans="1:14" s="46" customFormat="1" x14ac:dyDescent="0.35">
      <c r="A161" s="81">
        <f t="shared" ref="A161:A175" si="7">A160+1</f>
        <v>3</v>
      </c>
      <c r="B161" s="82"/>
      <c r="C161" s="41" t="s">
        <v>180</v>
      </c>
      <c r="D161" s="41">
        <f>2.75*6*10.764</f>
        <v>177.60599999999999</v>
      </c>
      <c r="E161" s="41">
        <v>0</v>
      </c>
      <c r="F161" s="41">
        <v>195</v>
      </c>
      <c r="G161" s="81" t="str">
        <f t="shared" si="6"/>
        <v>Ground Floor For Commercial, Parking &amp; Amenities</v>
      </c>
      <c r="H161" s="82"/>
      <c r="I161" s="35"/>
      <c r="L161" s="87"/>
      <c r="M161" s="87"/>
      <c r="N161" s="35"/>
    </row>
    <row r="162" spans="1:14" s="46" customFormat="1" x14ac:dyDescent="0.35">
      <c r="A162" s="81">
        <f t="shared" si="7"/>
        <v>4</v>
      </c>
      <c r="B162" s="82"/>
      <c r="C162" s="41" t="s">
        <v>180</v>
      </c>
      <c r="D162" s="41">
        <f>2.75*4.2*10.764</f>
        <v>124.3242</v>
      </c>
      <c r="E162" s="41">
        <v>0</v>
      </c>
      <c r="F162" s="41">
        <v>312</v>
      </c>
      <c r="G162" s="81" t="str">
        <f t="shared" si="6"/>
        <v>Ground Floor For Commercial, Parking &amp; Amenities</v>
      </c>
      <c r="H162" s="82"/>
      <c r="I162" s="35"/>
      <c r="L162" s="87"/>
      <c r="M162" s="87"/>
      <c r="N162" s="35"/>
    </row>
    <row r="163" spans="1:14" s="46" customFormat="1" x14ac:dyDescent="0.35">
      <c r="A163" s="81">
        <f t="shared" si="7"/>
        <v>5</v>
      </c>
      <c r="B163" s="82"/>
      <c r="C163" s="41" t="s">
        <v>180</v>
      </c>
      <c r="D163" s="41">
        <f>2.75*6*10.764</f>
        <v>177.60599999999999</v>
      </c>
      <c r="E163" s="41">
        <v>0</v>
      </c>
      <c r="F163" s="41">
        <v>264</v>
      </c>
      <c r="G163" s="81" t="str">
        <f t="shared" si="6"/>
        <v>Ground Floor For Commercial, Parking &amp; Amenities</v>
      </c>
      <c r="H163" s="82"/>
      <c r="I163" s="35"/>
      <c r="L163" s="87"/>
      <c r="M163" s="87"/>
      <c r="N163" s="35"/>
    </row>
    <row r="164" spans="1:14" s="46" customFormat="1" x14ac:dyDescent="0.35">
      <c r="A164" s="81">
        <f t="shared" si="7"/>
        <v>6</v>
      </c>
      <c r="B164" s="82"/>
      <c r="C164" s="41" t="s">
        <v>180</v>
      </c>
      <c r="D164" s="41">
        <f>(2.4*4.95+1.2*1.05)*10.764</f>
        <v>141.43896000000001</v>
      </c>
      <c r="E164" s="41">
        <v>0</v>
      </c>
      <c r="F164" s="41">
        <v>283</v>
      </c>
      <c r="G164" s="81" t="str">
        <f t="shared" si="6"/>
        <v>Ground Floor For Commercial, Parking &amp; Amenities</v>
      </c>
      <c r="H164" s="82"/>
      <c r="I164" s="35"/>
      <c r="L164" s="87"/>
      <c r="M164" s="87"/>
      <c r="N164" s="35"/>
    </row>
    <row r="165" spans="1:14" s="46" customFormat="1" x14ac:dyDescent="0.35">
      <c r="A165" s="81">
        <f t="shared" si="7"/>
        <v>7</v>
      </c>
      <c r="B165" s="82"/>
      <c r="C165" s="41" t="s">
        <v>180</v>
      </c>
      <c r="D165" s="41">
        <f>(2.75*4.95+1.2*1.05)*10.764</f>
        <v>160.08759000000001</v>
      </c>
      <c r="E165" s="41">
        <v>0</v>
      </c>
      <c r="F165" s="41">
        <v>219</v>
      </c>
      <c r="G165" s="81" t="str">
        <f t="shared" si="6"/>
        <v>Ground Floor For Commercial, Parking &amp; Amenities</v>
      </c>
      <c r="H165" s="82"/>
      <c r="I165" s="35"/>
      <c r="L165" s="87"/>
      <c r="M165" s="87"/>
      <c r="N165" s="35"/>
    </row>
    <row r="166" spans="1:14" s="46" customFormat="1" x14ac:dyDescent="0.35">
      <c r="A166" s="81">
        <f t="shared" si="7"/>
        <v>8</v>
      </c>
      <c r="B166" s="82"/>
      <c r="C166" s="41" t="s">
        <v>180</v>
      </c>
      <c r="D166" s="41">
        <f>(2.75*4.95+1.2*1.05)*10.764</f>
        <v>160.08759000000001</v>
      </c>
      <c r="E166" s="41">
        <v>0</v>
      </c>
      <c r="F166" s="41">
        <v>312</v>
      </c>
      <c r="G166" s="81" t="str">
        <f t="shared" si="6"/>
        <v>Ground Floor For Commercial, Parking &amp; Amenities</v>
      </c>
      <c r="H166" s="82"/>
      <c r="I166" s="35"/>
      <c r="L166" s="87"/>
      <c r="M166" s="87"/>
      <c r="N166" s="35"/>
    </row>
    <row r="167" spans="1:14" s="46" customFormat="1" x14ac:dyDescent="0.35">
      <c r="A167" s="81">
        <f t="shared" si="7"/>
        <v>9</v>
      </c>
      <c r="B167" s="82"/>
      <c r="C167" s="41" t="s">
        <v>180</v>
      </c>
      <c r="D167" s="41">
        <f>(2.4*4.95+1.2*1.05)*10.764</f>
        <v>141.43896000000001</v>
      </c>
      <c r="E167" s="41">
        <v>0</v>
      </c>
      <c r="F167" s="41">
        <v>264</v>
      </c>
      <c r="G167" s="81" t="str">
        <f t="shared" si="6"/>
        <v>Ground Floor For Commercial, Parking &amp; Amenities</v>
      </c>
      <c r="H167" s="82"/>
      <c r="I167" s="35"/>
      <c r="L167" s="87"/>
      <c r="M167" s="87"/>
      <c r="N167" s="35"/>
    </row>
    <row r="168" spans="1:14" s="46" customFormat="1" x14ac:dyDescent="0.35">
      <c r="A168" s="81">
        <f t="shared" si="7"/>
        <v>10</v>
      </c>
      <c r="B168" s="82"/>
      <c r="C168" s="41" t="s">
        <v>180</v>
      </c>
      <c r="D168" s="41">
        <f>2.75*6*10.764</f>
        <v>177.60599999999999</v>
      </c>
      <c r="E168" s="41">
        <v>0</v>
      </c>
      <c r="F168" s="41">
        <v>283</v>
      </c>
      <c r="G168" s="81" t="str">
        <f t="shared" si="6"/>
        <v>Ground Floor For Commercial, Parking &amp; Amenities</v>
      </c>
      <c r="H168" s="82"/>
      <c r="I168" s="35"/>
      <c r="L168" s="87"/>
      <c r="M168" s="87"/>
      <c r="N168" s="35"/>
    </row>
    <row r="169" spans="1:14" s="46" customFormat="1" x14ac:dyDescent="0.35">
      <c r="A169" s="81">
        <f t="shared" si="7"/>
        <v>11</v>
      </c>
      <c r="B169" s="82"/>
      <c r="C169" s="41" t="s">
        <v>180</v>
      </c>
      <c r="D169" s="41">
        <f>(2.74*4.2+1.2*1.05)*10.764</f>
        <v>137.434752</v>
      </c>
      <c r="E169" s="41">
        <v>0</v>
      </c>
      <c r="F169" s="41">
        <v>219</v>
      </c>
      <c r="G169" s="81" t="str">
        <f t="shared" si="6"/>
        <v>Ground Floor For Commercial, Parking &amp; Amenities</v>
      </c>
      <c r="H169" s="82"/>
      <c r="I169" s="35"/>
      <c r="L169" s="87"/>
      <c r="M169" s="87"/>
      <c r="N169" s="35"/>
    </row>
    <row r="170" spans="1:14" s="46" customFormat="1" x14ac:dyDescent="0.35">
      <c r="A170" s="81">
        <f t="shared" si="7"/>
        <v>12</v>
      </c>
      <c r="B170" s="82"/>
      <c r="C170" s="41" t="s">
        <v>180</v>
      </c>
      <c r="D170" s="41">
        <f>2.75*4.2*10.764</f>
        <v>124.3242</v>
      </c>
      <c r="E170" s="41">
        <v>0</v>
      </c>
      <c r="F170" s="41">
        <v>312</v>
      </c>
      <c r="G170" s="81" t="str">
        <f t="shared" si="6"/>
        <v>Ground Floor For Commercial, Parking &amp; Amenities</v>
      </c>
      <c r="H170" s="82"/>
      <c r="I170" s="35"/>
      <c r="L170" s="87"/>
      <c r="M170" s="87"/>
      <c r="N170" s="35"/>
    </row>
    <row r="171" spans="1:14" s="46" customFormat="1" x14ac:dyDescent="0.35">
      <c r="A171" s="81">
        <f t="shared" si="7"/>
        <v>13</v>
      </c>
      <c r="B171" s="82"/>
      <c r="C171" s="41" t="s">
        <v>180</v>
      </c>
      <c r="D171" s="41">
        <f>2.75*3.75*10.764</f>
        <v>111.00375</v>
      </c>
      <c r="E171" s="41">
        <v>0</v>
      </c>
      <c r="F171" s="41">
        <v>264</v>
      </c>
      <c r="G171" s="81" t="str">
        <f t="shared" si="6"/>
        <v>Ground Floor For Commercial, Parking &amp; Amenities</v>
      </c>
      <c r="H171" s="82"/>
      <c r="I171" s="35"/>
      <c r="L171" s="87"/>
      <c r="M171" s="87"/>
      <c r="N171" s="35"/>
    </row>
    <row r="172" spans="1:14" s="46" customFormat="1" x14ac:dyDescent="0.35">
      <c r="A172" s="81">
        <f t="shared" si="7"/>
        <v>14</v>
      </c>
      <c r="B172" s="82"/>
      <c r="C172" s="41" t="s">
        <v>180</v>
      </c>
      <c r="D172" s="41">
        <f>2.75*6*10.764</f>
        <v>177.60599999999999</v>
      </c>
      <c r="E172" s="41">
        <v>0</v>
      </c>
      <c r="F172" s="41">
        <v>283</v>
      </c>
      <c r="G172" s="81" t="str">
        <f t="shared" si="6"/>
        <v>Ground Floor For Commercial, Parking &amp; Amenities</v>
      </c>
      <c r="H172" s="82"/>
      <c r="I172" s="35"/>
      <c r="L172" s="87"/>
      <c r="M172" s="87"/>
      <c r="N172" s="35"/>
    </row>
    <row r="173" spans="1:14" s="46" customFormat="1" x14ac:dyDescent="0.35">
      <c r="A173" s="81">
        <f t="shared" si="7"/>
        <v>15</v>
      </c>
      <c r="B173" s="82"/>
      <c r="C173" s="41" t="s">
        <v>180</v>
      </c>
      <c r="D173" s="41">
        <f>2.75*6*10.764</f>
        <v>177.60599999999999</v>
      </c>
      <c r="E173" s="41">
        <v>0</v>
      </c>
      <c r="F173" s="41">
        <v>219</v>
      </c>
      <c r="G173" s="81" t="str">
        <f t="shared" si="6"/>
        <v>Ground Floor For Commercial, Parking &amp; Amenities</v>
      </c>
      <c r="H173" s="82"/>
      <c r="I173" s="35"/>
      <c r="L173" s="87"/>
      <c r="M173" s="87"/>
      <c r="N173" s="35"/>
    </row>
    <row r="174" spans="1:14" s="46" customFormat="1" x14ac:dyDescent="0.35">
      <c r="A174" s="81">
        <f t="shared" si="7"/>
        <v>16</v>
      </c>
      <c r="B174" s="82"/>
      <c r="C174" s="41" t="s">
        <v>180</v>
      </c>
      <c r="D174" s="41">
        <f>2.2*6*10.764</f>
        <v>142.0848</v>
      </c>
      <c r="E174" s="41">
        <v>0</v>
      </c>
      <c r="F174" s="41">
        <v>283</v>
      </c>
      <c r="G174" s="81" t="str">
        <f t="shared" si="6"/>
        <v>Ground Floor For Commercial, Parking &amp; Amenities</v>
      </c>
      <c r="H174" s="82"/>
      <c r="I174" s="35"/>
      <c r="L174" s="87"/>
      <c r="M174" s="87"/>
      <c r="N174" s="35"/>
    </row>
    <row r="175" spans="1:14" s="46" customFormat="1" x14ac:dyDescent="0.35">
      <c r="A175" s="81">
        <f t="shared" si="7"/>
        <v>17</v>
      </c>
      <c r="B175" s="82"/>
      <c r="C175" s="41" t="s">
        <v>180</v>
      </c>
      <c r="D175" s="41">
        <f>2.75*6*10.764</f>
        <v>177.60599999999999</v>
      </c>
      <c r="E175" s="41">
        <v>0</v>
      </c>
      <c r="F175" s="41">
        <v>219</v>
      </c>
      <c r="G175" s="81" t="str">
        <f t="shared" si="6"/>
        <v>Ground Floor For Commercial, Parking &amp; Amenities</v>
      </c>
      <c r="H175" s="82"/>
      <c r="I175" s="77" t="s">
        <v>267</v>
      </c>
      <c r="J175" s="77"/>
      <c r="L175" s="87"/>
      <c r="M175" s="87"/>
      <c r="N175" s="35"/>
    </row>
    <row r="176" spans="1:14" hidden="1" x14ac:dyDescent="0.35">
      <c r="A176" s="174" t="s">
        <v>223</v>
      </c>
      <c r="B176" s="175"/>
      <c r="C176" s="175"/>
      <c r="D176" s="175"/>
      <c r="E176" s="175"/>
      <c r="F176" s="175"/>
      <c r="G176" s="175"/>
      <c r="H176" s="176"/>
    </row>
    <row r="177" spans="1:16" s="72" customFormat="1" hidden="1" x14ac:dyDescent="0.35">
      <c r="A177" s="83" t="s">
        <v>261</v>
      </c>
      <c r="B177" s="84"/>
      <c r="C177" s="84"/>
      <c r="D177" s="84"/>
      <c r="E177" s="84"/>
      <c r="F177" s="84"/>
      <c r="G177" s="84"/>
      <c r="H177" s="85"/>
    </row>
    <row r="178" spans="1:16" s="72" customFormat="1" hidden="1" x14ac:dyDescent="0.35">
      <c r="A178" s="83" t="s">
        <v>262</v>
      </c>
      <c r="B178" s="84"/>
      <c r="C178" s="84"/>
      <c r="D178" s="84"/>
      <c r="E178" s="84"/>
      <c r="F178" s="84"/>
      <c r="G178" s="84"/>
      <c r="H178" s="85"/>
      <c r="K178" s="74">
        <v>10.763999999999999</v>
      </c>
    </row>
    <row r="179" spans="1:16" s="72" customFormat="1" hidden="1" x14ac:dyDescent="0.35">
      <c r="A179" s="81">
        <v>1</v>
      </c>
      <c r="B179" s="82"/>
      <c r="C179" s="41" t="s">
        <v>180</v>
      </c>
      <c r="D179" s="74">
        <f>(12.92)*10.764</f>
        <v>139.07087999999999</v>
      </c>
      <c r="E179" s="41">
        <v>0</v>
      </c>
      <c r="F179" s="41">
        <v>264</v>
      </c>
      <c r="G179" s="81" t="str">
        <f>A178</f>
        <v xml:space="preserve">Ground Floor For Commercial &amp; Parking </v>
      </c>
      <c r="H179" s="82"/>
      <c r="I179" s="74">
        <f>(12.92)*10.764</f>
        <v>139.07087999999999</v>
      </c>
      <c r="J179" s="74">
        <f>(2.75*4.85)*10.764</f>
        <v>143.56484999999998</v>
      </c>
      <c r="K179" s="72">
        <f>(2.75*4.85)</f>
        <v>13.337499999999999</v>
      </c>
      <c r="L179" s="87"/>
      <c r="M179" s="87"/>
      <c r="N179" s="35"/>
    </row>
    <row r="180" spans="1:16" s="72" customFormat="1" hidden="1" x14ac:dyDescent="0.35">
      <c r="A180" s="81">
        <f>A179+1</f>
        <v>2</v>
      </c>
      <c r="B180" s="82"/>
      <c r="C180" s="41" t="s">
        <v>180</v>
      </c>
      <c r="D180" s="74">
        <f>(17.63)*10.764</f>
        <v>189.76931999999996</v>
      </c>
      <c r="E180" s="41">
        <v>0</v>
      </c>
      <c r="F180" s="41">
        <v>312</v>
      </c>
      <c r="G180" s="81" t="str">
        <f t="shared" ref="G180:G181" si="8">G179</f>
        <v xml:space="preserve">Ground Floor For Commercial &amp; Parking </v>
      </c>
      <c r="H180" s="82"/>
      <c r="I180" s="74">
        <f>(17.63)*10.764</f>
        <v>189.76931999999996</v>
      </c>
      <c r="J180" s="74">
        <f>(3.75*4.85)*10.764</f>
        <v>195.77024999999998</v>
      </c>
      <c r="K180" s="72">
        <f>(3.75*4.85)</f>
        <v>18.1875</v>
      </c>
      <c r="L180" s="87"/>
      <c r="M180" s="87"/>
      <c r="N180" s="35"/>
    </row>
    <row r="181" spans="1:16" s="72" customFormat="1" hidden="1" x14ac:dyDescent="0.35">
      <c r="A181" s="81">
        <f t="shared" ref="A181" si="9">A180+1</f>
        <v>3</v>
      </c>
      <c r="B181" s="82"/>
      <c r="C181" s="41" t="s">
        <v>180</v>
      </c>
      <c r="D181" s="74">
        <f>(12.92)*10.764</f>
        <v>139.07087999999999</v>
      </c>
      <c r="E181" s="41">
        <v>0</v>
      </c>
      <c r="F181" s="41">
        <v>195</v>
      </c>
      <c r="G181" s="81" t="str">
        <f t="shared" si="8"/>
        <v xml:space="preserve">Ground Floor For Commercial &amp; Parking </v>
      </c>
      <c r="H181" s="82"/>
      <c r="I181" s="74">
        <f>(12.92)*10.764</f>
        <v>139.07087999999999</v>
      </c>
      <c r="J181" s="74">
        <f>(2.75*4.85)*10.764</f>
        <v>143.56484999999998</v>
      </c>
      <c r="K181" s="72">
        <f>(2.75*4.85)</f>
        <v>13.337499999999999</v>
      </c>
      <c r="L181" s="87"/>
      <c r="M181" s="87"/>
      <c r="N181" s="35"/>
    </row>
    <row r="182" spans="1:16" s="39" customFormat="1" x14ac:dyDescent="0.35">
      <c r="A182" s="81"/>
      <c r="B182" s="86"/>
      <c r="C182" s="86"/>
      <c r="D182" s="86"/>
      <c r="E182" s="86"/>
      <c r="F182" s="86"/>
      <c r="G182" s="86"/>
      <c r="H182" s="82"/>
      <c r="I182" s="35"/>
      <c r="N182" s="35"/>
    </row>
    <row r="183" spans="1:16" ht="47.25" customHeight="1" x14ac:dyDescent="0.35">
      <c r="A183" s="40" t="s">
        <v>157</v>
      </c>
      <c r="B183" s="40" t="s">
        <v>158</v>
      </c>
      <c r="C183" s="42" t="s">
        <v>63</v>
      </c>
      <c r="D183" s="42" t="s">
        <v>64</v>
      </c>
      <c r="E183" s="43" t="s">
        <v>65</v>
      </c>
      <c r="F183" s="42" t="s">
        <v>193</v>
      </c>
      <c r="G183" s="96" t="s">
        <v>66</v>
      </c>
      <c r="H183" s="97"/>
      <c r="I183" s="35"/>
    </row>
    <row r="184" spans="1:16" x14ac:dyDescent="0.35">
      <c r="A184" s="174" t="s">
        <v>222</v>
      </c>
      <c r="B184" s="175"/>
      <c r="C184" s="175"/>
      <c r="D184" s="175"/>
      <c r="E184" s="175"/>
      <c r="F184" s="175"/>
      <c r="G184" s="175"/>
      <c r="H184" s="176"/>
    </row>
    <row r="185" spans="1:16" s="39" customFormat="1" x14ac:dyDescent="0.35">
      <c r="A185" s="83" t="s">
        <v>179</v>
      </c>
      <c r="B185" s="84"/>
      <c r="C185" s="84"/>
      <c r="D185" s="84"/>
      <c r="E185" s="84"/>
      <c r="F185" s="84"/>
      <c r="G185" s="84"/>
      <c r="H185" s="85"/>
    </row>
    <row r="186" spans="1:16" s="39" customFormat="1" x14ac:dyDescent="0.35">
      <c r="A186" s="83" t="s">
        <v>182</v>
      </c>
      <c r="B186" s="84"/>
      <c r="C186" s="84"/>
      <c r="D186" s="84"/>
      <c r="E186" s="84"/>
      <c r="F186" s="84"/>
      <c r="G186" s="84"/>
      <c r="H186" s="85"/>
      <c r="I186" s="35"/>
      <c r="O186" s="39" t="str">
        <f>MID(A186,1,3)</f>
        <v>1st</v>
      </c>
      <c r="P186" s="36">
        <f ca="1">--TRIM(RIGHT(SUBSTITUTE(LEFT(A186,_xlfn.AGGREGATE(14,6,FIND({0,1,2,3,4,5,6,7,8,9},A186,ROW(INDIRECT("1:"&amp;LEN(A186)))),1))," ",REPT(" ",LEN(A186))),LEN(A186)))</f>
        <v>7</v>
      </c>
    </row>
    <row r="187" spans="1:16" s="39" customFormat="1" x14ac:dyDescent="0.35">
      <c r="A187" s="81" t="str">
        <f t="shared" ref="A187:A192" ca="1" si="10">L187</f>
        <v>101 to 701</v>
      </c>
      <c r="B187" s="82"/>
      <c r="C187" s="41" t="s">
        <v>183</v>
      </c>
      <c r="D187" s="41">
        <f>(32.69+2.89*1.2+2.515*1.2+2.74*0.75)*10.764</f>
        <v>443.81048399999997</v>
      </c>
      <c r="E187" s="41">
        <v>0</v>
      </c>
      <c r="F187" s="37">
        <v>709</v>
      </c>
      <c r="G187" s="81" t="str">
        <f>A186</f>
        <v>1st to 7th Floor</v>
      </c>
      <c r="H187" s="82"/>
      <c r="I187" s="35">
        <f>2514700/F187</f>
        <v>3546.8265162200282</v>
      </c>
      <c r="J187" s="35">
        <f>60237/F187</f>
        <v>84.960507757404798</v>
      </c>
      <c r="L187" s="39" t="str">
        <f ca="1">O187&amp;""&amp;M187&amp;""&amp;P187</f>
        <v>101 to 701</v>
      </c>
      <c r="M187" s="39" t="s">
        <v>159</v>
      </c>
      <c r="N187" s="35">
        <v>1</v>
      </c>
      <c r="O187" s="39">
        <f ca="1">(SUMPRODUCT(MID(0&amp;O186, LARGE(INDEX(ISNUMBER(--MID(O186, ROW(INDIRECT("1:"&amp;LEN(O186))), 1)) * ROW(INDIRECT("1:"&amp;LEN(O186))), 0), ROW(INDIRECT("1:"&amp;LEN(O186))))+1, 1) * 10^ROW(INDIRECT("1:"&amp;LEN(O186)))/10))*N187*100+1</f>
        <v>101</v>
      </c>
      <c r="P187" s="39">
        <f ca="1">(SUMPRODUCT(MID(0&amp;P186, LARGE(INDEX(ISNUMBER(--MID(P186, ROW(INDIRECT("1:"&amp;LEN(P186))), 1)) * ROW(INDIRECT("1:"&amp;LEN(P186))), 0), ROW(INDIRECT("1:"&amp;LEN(P186))))+1, 1) * 10^ROW(INDIRECT("1:"&amp;LEN(P186)))/10))*N187*100+1</f>
        <v>701</v>
      </c>
    </row>
    <row r="188" spans="1:16" s="39" customFormat="1" x14ac:dyDescent="0.35">
      <c r="A188" s="81" t="str">
        <f t="shared" ca="1" si="10"/>
        <v>102 to 702</v>
      </c>
      <c r="B188" s="82"/>
      <c r="C188" s="41" t="s">
        <v>183</v>
      </c>
      <c r="D188" s="41">
        <f>(32.69+2.89*1.2+2.515*1.2+2.74*0.75)*10.764</f>
        <v>443.81048399999997</v>
      </c>
      <c r="E188" s="41">
        <v>0</v>
      </c>
      <c r="F188" s="37">
        <v>709</v>
      </c>
      <c r="G188" s="81" t="str">
        <f t="shared" ref="G188:G192" si="11">G187</f>
        <v>1st to 7th Floor</v>
      </c>
      <c r="H188" s="82"/>
      <c r="I188" s="35"/>
      <c r="L188" s="39" t="str">
        <f t="shared" ref="L188:L192" ca="1" si="12">O188&amp;""&amp;M188&amp;""&amp;P188</f>
        <v>102 to 702</v>
      </c>
      <c r="M188" s="39" t="s">
        <v>159</v>
      </c>
      <c r="N188" s="35">
        <f t="shared" ref="N188:P188" si="13">N187+1</f>
        <v>2</v>
      </c>
      <c r="O188" s="39">
        <f t="shared" ca="1" si="13"/>
        <v>102</v>
      </c>
      <c r="P188" s="39">
        <f t="shared" ca="1" si="13"/>
        <v>702</v>
      </c>
    </row>
    <row r="189" spans="1:16" s="39" customFormat="1" x14ac:dyDescent="0.35">
      <c r="A189" s="81" t="str">
        <f t="shared" ca="1" si="10"/>
        <v>103 to 703</v>
      </c>
      <c r="B189" s="82"/>
      <c r="C189" s="41" t="s">
        <v>184</v>
      </c>
      <c r="D189" s="41">
        <f>(47.35+2.89*0.75+2.2*0.75+2.74*0.75)*10.764</f>
        <v>572.88698999999997</v>
      </c>
      <c r="E189" s="41">
        <v>0</v>
      </c>
      <c r="F189" s="37">
        <v>929</v>
      </c>
      <c r="G189" s="81" t="str">
        <f t="shared" si="11"/>
        <v>1st to 7th Floor</v>
      </c>
      <c r="H189" s="82"/>
      <c r="I189" s="35">
        <f>3300000/F189</f>
        <v>3552.2066738428416</v>
      </c>
      <c r="L189" s="39" t="str">
        <f t="shared" ca="1" si="12"/>
        <v>103 to 703</v>
      </c>
      <c r="M189" s="39" t="s">
        <v>159</v>
      </c>
      <c r="N189" s="35">
        <f t="shared" ref="N189:P189" si="14">N188+1</f>
        <v>3</v>
      </c>
      <c r="O189" s="39">
        <f t="shared" ca="1" si="14"/>
        <v>103</v>
      </c>
      <c r="P189" s="39">
        <f t="shared" ca="1" si="14"/>
        <v>703</v>
      </c>
    </row>
    <row r="190" spans="1:16" s="39" customFormat="1" x14ac:dyDescent="0.35">
      <c r="A190" s="81" t="str">
        <f t="shared" ca="1" si="10"/>
        <v>104 to 704</v>
      </c>
      <c r="B190" s="82"/>
      <c r="C190" s="41" t="s">
        <v>184</v>
      </c>
      <c r="D190" s="41">
        <f>(47.35+2.89*0.75+2.2*0.75+2.74*0.75)*10.764</f>
        <v>572.88698999999997</v>
      </c>
      <c r="E190" s="41">
        <v>0</v>
      </c>
      <c r="F190" s="37">
        <v>929</v>
      </c>
      <c r="G190" s="81" t="str">
        <f t="shared" si="11"/>
        <v>1st to 7th Floor</v>
      </c>
      <c r="H190" s="82"/>
      <c r="I190" s="35"/>
      <c r="L190" s="39" t="str">
        <f t="shared" ca="1" si="12"/>
        <v>104 to 704</v>
      </c>
      <c r="M190" s="39" t="s">
        <v>159</v>
      </c>
      <c r="N190" s="35">
        <f t="shared" ref="N190:P190" si="15">N189+1</f>
        <v>4</v>
      </c>
      <c r="O190" s="39">
        <f t="shared" ca="1" si="15"/>
        <v>104</v>
      </c>
      <c r="P190" s="39">
        <f t="shared" ca="1" si="15"/>
        <v>704</v>
      </c>
    </row>
    <row r="191" spans="1:16" s="39" customFormat="1" x14ac:dyDescent="0.35">
      <c r="A191" s="81" t="str">
        <f t="shared" ca="1" si="10"/>
        <v>105 to 705</v>
      </c>
      <c r="B191" s="82"/>
      <c r="C191" s="41" t="s">
        <v>183</v>
      </c>
      <c r="D191" s="41">
        <f t="shared" ref="D191:D192" si="16">(32.69+2.89*1.2+2.515*1.2+2.74*0.75)*10.764</f>
        <v>443.81048399999997</v>
      </c>
      <c r="E191" s="41">
        <v>0</v>
      </c>
      <c r="F191" s="37">
        <v>709</v>
      </c>
      <c r="G191" s="81" t="str">
        <f t="shared" si="11"/>
        <v>1st to 7th Floor</v>
      </c>
      <c r="H191" s="82"/>
      <c r="I191" s="35"/>
      <c r="L191" s="39" t="str">
        <f t="shared" ca="1" si="12"/>
        <v>105 to 705</v>
      </c>
      <c r="M191" s="39" t="s">
        <v>159</v>
      </c>
      <c r="N191" s="35">
        <f t="shared" ref="N191:P191" si="17">N190+1</f>
        <v>5</v>
      </c>
      <c r="O191" s="39">
        <f t="shared" ca="1" si="17"/>
        <v>105</v>
      </c>
      <c r="P191" s="39">
        <f t="shared" ca="1" si="17"/>
        <v>705</v>
      </c>
    </row>
    <row r="192" spans="1:16" s="39" customFormat="1" x14ac:dyDescent="0.35">
      <c r="A192" s="81" t="str">
        <f t="shared" ca="1" si="10"/>
        <v>106 to 706</v>
      </c>
      <c r="B192" s="82"/>
      <c r="C192" s="41" t="s">
        <v>183</v>
      </c>
      <c r="D192" s="41">
        <f t="shared" si="16"/>
        <v>443.81048399999997</v>
      </c>
      <c r="E192" s="41">
        <v>0</v>
      </c>
      <c r="F192" s="37">
        <v>709</v>
      </c>
      <c r="G192" s="81" t="str">
        <f t="shared" si="11"/>
        <v>1st to 7th Floor</v>
      </c>
      <c r="H192" s="82"/>
      <c r="I192" s="35"/>
      <c r="L192" s="39" t="str">
        <f t="shared" ca="1" si="12"/>
        <v>106 to 706</v>
      </c>
      <c r="M192" s="39" t="s">
        <v>159</v>
      </c>
      <c r="N192" s="35">
        <f t="shared" ref="N192:P192" si="18">N191+1</f>
        <v>6</v>
      </c>
      <c r="O192" s="39">
        <f t="shared" ca="1" si="18"/>
        <v>106</v>
      </c>
      <c r="P192" s="39">
        <f t="shared" ca="1" si="18"/>
        <v>706</v>
      </c>
    </row>
    <row r="193" spans="1:16" s="39" customFormat="1" x14ac:dyDescent="0.35">
      <c r="A193" s="83" t="s">
        <v>181</v>
      </c>
      <c r="B193" s="84"/>
      <c r="C193" s="84"/>
      <c r="D193" s="84"/>
      <c r="E193" s="84"/>
      <c r="F193" s="84"/>
      <c r="G193" s="84"/>
      <c r="H193" s="85"/>
    </row>
    <row r="194" spans="1:16" s="39" customFormat="1" x14ac:dyDescent="0.35">
      <c r="A194" s="83" t="s">
        <v>182</v>
      </c>
      <c r="B194" s="84"/>
      <c r="C194" s="84"/>
      <c r="D194" s="84"/>
      <c r="E194" s="84"/>
      <c r="F194" s="84"/>
      <c r="G194" s="84"/>
      <c r="H194" s="85"/>
      <c r="I194" s="35"/>
      <c r="O194" s="39" t="str">
        <f>MID(A194,1,3)</f>
        <v>1st</v>
      </c>
      <c r="P194" s="36">
        <f ca="1">--TRIM(RIGHT(SUBSTITUTE(LEFT(A194,_xlfn.AGGREGATE(14,6,FIND({0,1,2,3,4,5,6,7,8,9},A194,ROW(INDIRECT("1:"&amp;LEN(A194)))),1))," ",REPT(" ",LEN(A194))),LEN(A194)))</f>
        <v>7</v>
      </c>
    </row>
    <row r="195" spans="1:16" s="39" customFormat="1" x14ac:dyDescent="0.35">
      <c r="A195" s="81" t="str">
        <f t="shared" ref="A195:A198" ca="1" si="19">L195</f>
        <v>101 to 701</v>
      </c>
      <c r="B195" s="82"/>
      <c r="C195" s="41" t="s">
        <v>183</v>
      </c>
      <c r="D195" s="41">
        <f>(34.13+2.89*0.75+2.515*1.2+2.74*0.75)*10.764</f>
        <v>445.31206199999997</v>
      </c>
      <c r="E195" s="41">
        <v>0</v>
      </c>
      <c r="F195" s="37">
        <v>715</v>
      </c>
      <c r="G195" s="81" t="str">
        <f>A194</f>
        <v>1st to 7th Floor</v>
      </c>
      <c r="H195" s="82"/>
      <c r="I195" s="73">
        <f>F195/D195</f>
        <v>1.6056156143374352</v>
      </c>
      <c r="L195" s="39" t="str">
        <f ca="1">O195&amp;""&amp;M195&amp;""&amp;P195</f>
        <v>101 to 701</v>
      </c>
      <c r="M195" s="39" t="s">
        <v>159</v>
      </c>
      <c r="N195" s="35">
        <v>1</v>
      </c>
      <c r="O195" s="39">
        <f ca="1">(SUMPRODUCT(MID(0&amp;O194, LARGE(INDEX(ISNUMBER(--MID(O194, ROW(INDIRECT("1:"&amp;LEN(O194))), 1)) * ROW(INDIRECT("1:"&amp;LEN(O194))), 0), ROW(INDIRECT("1:"&amp;LEN(O194))))+1, 1) * 10^ROW(INDIRECT("1:"&amp;LEN(O194)))/10))*N195*100+1</f>
        <v>101</v>
      </c>
      <c r="P195" s="39">
        <f ca="1">(SUMPRODUCT(MID(0&amp;P194, LARGE(INDEX(ISNUMBER(--MID(P194, ROW(INDIRECT("1:"&amp;LEN(P194))), 1)) * ROW(INDIRECT("1:"&amp;LEN(P194))), 0), ROW(INDIRECT("1:"&amp;LEN(P194))))+1, 1) * 10^ROW(INDIRECT("1:"&amp;LEN(P194)))/10))*N195*100+1</f>
        <v>701</v>
      </c>
    </row>
    <row r="196" spans="1:16" s="39" customFormat="1" x14ac:dyDescent="0.35">
      <c r="A196" s="81" t="str">
        <f t="shared" ca="1" si="19"/>
        <v>102 to 702</v>
      </c>
      <c r="B196" s="82"/>
      <c r="C196" s="41" t="s">
        <v>184</v>
      </c>
      <c r="D196" s="41">
        <f>(47.64+2.89*1.2+2.515*1.2+2.74*0.75+2.74*0.75)*10.764</f>
        <v>626.852304</v>
      </c>
      <c r="E196" s="41">
        <v>0</v>
      </c>
      <c r="F196" s="37">
        <v>1010</v>
      </c>
      <c r="G196" s="81" t="str">
        <f t="shared" ref="G196:G198" si="20">G195</f>
        <v>1st to 7th Floor</v>
      </c>
      <c r="H196" s="82"/>
      <c r="I196" s="73">
        <f t="shared" ref="I196:I198" si="21">F196/D196</f>
        <v>1.6112248348695548</v>
      </c>
      <c r="L196" s="39" t="str">
        <f t="shared" ref="L196:L198" ca="1" si="22">O196&amp;""&amp;M196&amp;""&amp;P196</f>
        <v>102 to 702</v>
      </c>
      <c r="M196" s="39" t="s">
        <v>159</v>
      </c>
      <c r="N196" s="35">
        <f t="shared" ref="N196:P196" si="23">N195+1</f>
        <v>2</v>
      </c>
      <c r="O196" s="39">
        <f t="shared" ca="1" si="23"/>
        <v>102</v>
      </c>
      <c r="P196" s="39">
        <f t="shared" ca="1" si="23"/>
        <v>702</v>
      </c>
    </row>
    <row r="197" spans="1:16" s="39" customFormat="1" x14ac:dyDescent="0.35">
      <c r="A197" s="81" t="str">
        <f t="shared" ca="1" si="19"/>
        <v>103 to 703</v>
      </c>
      <c r="B197" s="82"/>
      <c r="C197" s="41" t="s">
        <v>183</v>
      </c>
      <c r="D197" s="41">
        <f>(34.1+2.89*1.2+2.515*1.2+2.74*0.75)*10.764</f>
        <v>458.98772399999996</v>
      </c>
      <c r="E197" s="41">
        <v>0</v>
      </c>
      <c r="F197" s="37">
        <v>747</v>
      </c>
      <c r="G197" s="81" t="str">
        <f t="shared" si="20"/>
        <v>1st to 7th Floor</v>
      </c>
      <c r="H197" s="82"/>
      <c r="I197" s="73">
        <f t="shared" si="21"/>
        <v>1.6274945078923289</v>
      </c>
      <c r="L197" s="39" t="str">
        <f t="shared" ca="1" si="22"/>
        <v>103 to 703</v>
      </c>
      <c r="M197" s="39" t="s">
        <v>159</v>
      </c>
      <c r="N197" s="35">
        <f t="shared" ref="N197:P197" si="24">N196+1</f>
        <v>3</v>
      </c>
      <c r="O197" s="39">
        <f t="shared" ca="1" si="24"/>
        <v>103</v>
      </c>
      <c r="P197" s="39">
        <f t="shared" ca="1" si="24"/>
        <v>703</v>
      </c>
    </row>
    <row r="198" spans="1:16" s="39" customFormat="1" x14ac:dyDescent="0.35">
      <c r="A198" s="81" t="str">
        <f t="shared" ca="1" si="19"/>
        <v>104 to 704</v>
      </c>
      <c r="B198" s="82"/>
      <c r="C198" s="41" t="s">
        <v>183</v>
      </c>
      <c r="D198" s="41">
        <f>(34.13+2.89*0.75+2.515*1.2+2.74*0.75)*10.764</f>
        <v>445.31206199999997</v>
      </c>
      <c r="E198" s="41">
        <v>0</v>
      </c>
      <c r="F198" s="37">
        <v>715</v>
      </c>
      <c r="G198" s="81" t="str">
        <f t="shared" si="20"/>
        <v>1st to 7th Floor</v>
      </c>
      <c r="H198" s="82"/>
      <c r="I198" s="73">
        <f t="shared" si="21"/>
        <v>1.6056156143374352</v>
      </c>
      <c r="L198" s="39" t="str">
        <f t="shared" ca="1" si="22"/>
        <v>104 to 704</v>
      </c>
      <c r="M198" s="39" t="s">
        <v>159</v>
      </c>
      <c r="N198" s="35">
        <f t="shared" ref="N198:P198" si="25">N197+1</f>
        <v>4</v>
      </c>
      <c r="O198" s="39">
        <f t="shared" ca="1" si="25"/>
        <v>104</v>
      </c>
      <c r="P198" s="39">
        <f t="shared" ca="1" si="25"/>
        <v>704</v>
      </c>
    </row>
    <row r="199" spans="1:16" s="39" customFormat="1" x14ac:dyDescent="0.35">
      <c r="A199" s="83" t="s">
        <v>185</v>
      </c>
      <c r="B199" s="84"/>
      <c r="C199" s="84"/>
      <c r="D199" s="84"/>
      <c r="E199" s="84"/>
      <c r="F199" s="84"/>
      <c r="G199" s="84"/>
      <c r="H199" s="85"/>
    </row>
    <row r="200" spans="1:16" s="39" customFormat="1" x14ac:dyDescent="0.35">
      <c r="A200" s="83" t="s">
        <v>182</v>
      </c>
      <c r="B200" s="84"/>
      <c r="C200" s="84"/>
      <c r="D200" s="84"/>
      <c r="E200" s="84"/>
      <c r="F200" s="84"/>
      <c r="G200" s="84"/>
      <c r="H200" s="85"/>
      <c r="I200" s="35"/>
      <c r="O200" s="39" t="str">
        <f>MID(A200,1,3)</f>
        <v>1st</v>
      </c>
      <c r="P200" s="36">
        <f ca="1">--TRIM(RIGHT(SUBSTITUTE(LEFT(A200,_xlfn.AGGREGATE(14,6,FIND({0,1,2,3,4,5,6,7,8,9},A200,ROW(INDIRECT("1:"&amp;LEN(A200)))),1))," ",REPT(" ",LEN(A200))),LEN(A200)))</f>
        <v>7</v>
      </c>
    </row>
    <row r="201" spans="1:16" s="39" customFormat="1" x14ac:dyDescent="0.35">
      <c r="A201" s="81" t="str">
        <f t="shared" ref="A201:A204" ca="1" si="26">L201</f>
        <v>101 to 701</v>
      </c>
      <c r="B201" s="82"/>
      <c r="C201" s="41" t="s">
        <v>183</v>
      </c>
      <c r="D201" s="41">
        <f>(34.13+2.89*0.75+2.515*1.2+2.74*0.75)*10.764</f>
        <v>445.31206199999997</v>
      </c>
      <c r="E201" s="41">
        <v>0</v>
      </c>
      <c r="F201" s="37">
        <v>715</v>
      </c>
      <c r="G201" s="81" t="str">
        <f>A200</f>
        <v>1st to 7th Floor</v>
      </c>
      <c r="H201" s="82"/>
      <c r="I201" s="70">
        <f>F201/D201</f>
        <v>1.6056156143374352</v>
      </c>
      <c r="L201" s="39" t="str">
        <f ca="1">O201&amp;""&amp;M201&amp;""&amp;P201</f>
        <v>101 to 701</v>
      </c>
      <c r="M201" s="39" t="s">
        <v>159</v>
      </c>
      <c r="N201" s="35">
        <v>1</v>
      </c>
      <c r="O201" s="39">
        <f ca="1">(SUMPRODUCT(MID(0&amp;O200, LARGE(INDEX(ISNUMBER(--MID(O200, ROW(INDIRECT("1:"&amp;LEN(O200))), 1)) * ROW(INDIRECT("1:"&amp;LEN(O200))), 0), ROW(INDIRECT("1:"&amp;LEN(O200))))+1, 1) * 10^ROW(INDIRECT("1:"&amp;LEN(O200)))/10))*N201*100+1</f>
        <v>101</v>
      </c>
      <c r="P201" s="39">
        <f ca="1">(SUMPRODUCT(MID(0&amp;P200, LARGE(INDEX(ISNUMBER(--MID(P200, ROW(INDIRECT("1:"&amp;LEN(P200))), 1)) * ROW(INDIRECT("1:"&amp;LEN(P200))), 0), ROW(INDIRECT("1:"&amp;LEN(P200))))+1, 1) * 10^ROW(INDIRECT("1:"&amp;LEN(P200)))/10))*N201*100+1</f>
        <v>701</v>
      </c>
    </row>
    <row r="202" spans="1:16" s="39" customFormat="1" x14ac:dyDescent="0.35">
      <c r="A202" s="81" t="str">
        <f t="shared" ca="1" si="26"/>
        <v>102 to 702</v>
      </c>
      <c r="B202" s="82"/>
      <c r="C202" s="41" t="s">
        <v>184</v>
      </c>
      <c r="D202" s="41">
        <f>(47.64+2.89*1.2+2.515*1.2+2.74*0.75+2.74*0.75)*10.764</f>
        <v>626.852304</v>
      </c>
      <c r="E202" s="41">
        <v>0</v>
      </c>
      <c r="F202" s="37">
        <v>1010</v>
      </c>
      <c r="G202" s="81" t="str">
        <f t="shared" ref="G202:G204" si="27">G201</f>
        <v>1st to 7th Floor</v>
      </c>
      <c r="H202" s="82"/>
      <c r="I202" s="35"/>
      <c r="J202" s="39">
        <v>585</v>
      </c>
      <c r="K202" s="39">
        <v>1010</v>
      </c>
      <c r="L202" s="39" t="str">
        <f t="shared" ref="L202:L204" ca="1" si="28">O202&amp;""&amp;M202&amp;""&amp;P202</f>
        <v>102 to 702</v>
      </c>
      <c r="M202" s="39" t="s">
        <v>159</v>
      </c>
      <c r="N202" s="35">
        <f t="shared" ref="N202:P202" si="29">N201+1</f>
        <v>2</v>
      </c>
      <c r="O202" s="39">
        <f t="shared" ca="1" si="29"/>
        <v>102</v>
      </c>
      <c r="P202" s="39">
        <f t="shared" ca="1" si="29"/>
        <v>702</v>
      </c>
    </row>
    <row r="203" spans="1:16" s="39" customFormat="1" x14ac:dyDescent="0.35">
      <c r="A203" s="81" t="str">
        <f t="shared" ca="1" si="26"/>
        <v>103 to 703</v>
      </c>
      <c r="B203" s="82"/>
      <c r="C203" s="41" t="s">
        <v>183</v>
      </c>
      <c r="D203" s="41">
        <f>(34.1+2.89*1.2+2.515*1.2+2.74*0.75)*10.764</f>
        <v>458.98772399999996</v>
      </c>
      <c r="E203" s="41">
        <v>0</v>
      </c>
      <c r="F203" s="37">
        <v>747</v>
      </c>
      <c r="G203" s="81" t="str">
        <f t="shared" si="27"/>
        <v>1st to 7th Floor</v>
      </c>
      <c r="H203" s="82"/>
      <c r="I203" s="35"/>
      <c r="J203" s="39">
        <f>85*J202</f>
        <v>49725</v>
      </c>
      <c r="K203" s="69">
        <f>85*K202</f>
        <v>85850</v>
      </c>
      <c r="L203" s="39" t="str">
        <f t="shared" ca="1" si="28"/>
        <v>103 to 703</v>
      </c>
      <c r="M203" s="39" t="s">
        <v>159</v>
      </c>
      <c r="N203" s="35">
        <f t="shared" ref="N203:P203" si="30">N202+1</f>
        <v>3</v>
      </c>
      <c r="O203" s="39">
        <f t="shared" ca="1" si="30"/>
        <v>103</v>
      </c>
      <c r="P203" s="39">
        <f t="shared" ca="1" si="30"/>
        <v>703</v>
      </c>
    </row>
    <row r="204" spans="1:16" s="39" customFormat="1" x14ac:dyDescent="0.35">
      <c r="A204" s="81" t="str">
        <f t="shared" ca="1" si="26"/>
        <v>104 to 704</v>
      </c>
      <c r="B204" s="82"/>
      <c r="C204" s="41" t="s">
        <v>183</v>
      </c>
      <c r="D204" s="41">
        <f>(34.13+2.89*0.75+2.515*1.2+2.74*0.75)*10.764</f>
        <v>445.31206199999997</v>
      </c>
      <c r="E204" s="41">
        <v>0</v>
      </c>
      <c r="F204" s="37">
        <v>715</v>
      </c>
      <c r="G204" s="81" t="str">
        <f t="shared" si="27"/>
        <v>1st to 7th Floor</v>
      </c>
      <c r="H204" s="82"/>
      <c r="I204" s="35"/>
      <c r="L204" s="39" t="str">
        <f t="shared" ca="1" si="28"/>
        <v>104 to 704</v>
      </c>
      <c r="M204" s="39" t="s">
        <v>159</v>
      </c>
      <c r="N204" s="35">
        <f t="shared" ref="N204:P204" si="31">N203+1</f>
        <v>4</v>
      </c>
      <c r="O204" s="39">
        <f t="shared" ca="1" si="31"/>
        <v>104</v>
      </c>
      <c r="P204" s="39">
        <f t="shared" ca="1" si="31"/>
        <v>704</v>
      </c>
    </row>
    <row r="205" spans="1:16" x14ac:dyDescent="0.35">
      <c r="A205" s="174" t="s">
        <v>223</v>
      </c>
      <c r="B205" s="175"/>
      <c r="C205" s="175"/>
      <c r="D205" s="175"/>
      <c r="E205" s="175"/>
      <c r="F205" s="175"/>
      <c r="G205" s="175"/>
      <c r="H205" s="176"/>
    </row>
    <row r="206" spans="1:16" s="46" customFormat="1" x14ac:dyDescent="0.35">
      <c r="A206" s="83" t="s">
        <v>215</v>
      </c>
      <c r="B206" s="84"/>
      <c r="C206" s="84"/>
      <c r="D206" s="84"/>
      <c r="E206" s="84"/>
      <c r="F206" s="84"/>
      <c r="G206" s="84"/>
      <c r="H206" s="85"/>
    </row>
    <row r="207" spans="1:16" s="68" customFormat="1" x14ac:dyDescent="0.35">
      <c r="A207" s="83" t="s">
        <v>258</v>
      </c>
      <c r="B207" s="84"/>
      <c r="C207" s="84"/>
      <c r="D207" s="84"/>
      <c r="E207" s="84"/>
      <c r="F207" s="84"/>
      <c r="G207" s="84"/>
      <c r="H207" s="85"/>
      <c r="I207" s="35"/>
      <c r="O207" s="68" t="str">
        <f>MID(A207,1,3)</f>
        <v>1st</v>
      </c>
      <c r="P207" s="36">
        <f ca="1">--TRIM(RIGHT(SUBSTITUTE(LEFT(A207,_xlfn.AGGREGATE(14,6,FIND({0,1,2,3,4,5,6,7,8,9},A207,ROW(INDIRECT("1:"&amp;LEN(A207)))),1))," ",REPT(" ",LEN(A207))),LEN(A207)))</f>
        <v>1</v>
      </c>
    </row>
    <row r="208" spans="1:16" s="68" customFormat="1" x14ac:dyDescent="0.35">
      <c r="A208" s="81">
        <v>1</v>
      </c>
      <c r="B208" s="82"/>
      <c r="C208" s="41" t="s">
        <v>183</v>
      </c>
      <c r="D208" s="41">
        <f>(2.75*4.5+2.4*1.5+2.75*2.55+1.2*2.1+1.2*2.1+2.4*0.9+(1.15*(2.4+2.75)))*10.764</f>
        <v>388.68803999999994</v>
      </c>
      <c r="E208" s="41">
        <f>2.75*1.45*10.764</f>
        <v>42.921449999999993</v>
      </c>
      <c r="F208" s="37">
        <f>(D208)*1.6+E208</f>
        <v>664.82231400000001</v>
      </c>
      <c r="G208" s="81" t="str">
        <f>A207</f>
        <v>1st Floor for Residential</v>
      </c>
      <c r="H208" s="82"/>
      <c r="I208" s="35"/>
      <c r="L208" s="68" t="str">
        <f ca="1">O208&amp;""&amp;M208&amp;""&amp;P208</f>
        <v>101 to 101</v>
      </c>
      <c r="M208" s="68" t="s">
        <v>159</v>
      </c>
      <c r="N208" s="35">
        <v>1</v>
      </c>
      <c r="O208" s="68">
        <f ca="1">(SUMPRODUCT(MID(0&amp;O207, LARGE(INDEX(ISNUMBER(--MID(O207, ROW(INDIRECT("1:"&amp;LEN(O207))), 1)) * ROW(INDIRECT("1:"&amp;LEN(O207))), 0), ROW(INDIRECT("1:"&amp;LEN(O207))))+1, 1) * 10^ROW(INDIRECT("1:"&amp;LEN(O207)))/10))*N208*100+1</f>
        <v>101</v>
      </c>
      <c r="P208" s="68">
        <f ca="1">(SUMPRODUCT(MID(0&amp;P207, LARGE(INDEX(ISNUMBER(--MID(P207, ROW(INDIRECT("1:"&amp;LEN(P207))), 1)) * ROW(INDIRECT("1:"&amp;LEN(P207))), 0), ROW(INDIRECT("1:"&amp;LEN(P207))))+1, 1) * 10^ROW(INDIRECT("1:"&amp;LEN(P207)))/10))*N208*100+1</f>
        <v>101</v>
      </c>
    </row>
    <row r="209" spans="1:16" s="68" customFormat="1" x14ac:dyDescent="0.35">
      <c r="A209" s="81">
        <v>2</v>
      </c>
      <c r="B209" s="82"/>
      <c r="C209" s="41" t="s">
        <v>183</v>
      </c>
      <c r="D209" s="41">
        <f t="shared" ref="D209:D210" si="32">(2.75*4.5+2.4*1.5+2.75*2.55+1.2*2.1+1.2*2.1+2.4*0.9+(1.15*(2.4+2.75)))*10.764</f>
        <v>388.68803999999994</v>
      </c>
      <c r="E209" s="41">
        <f t="shared" ref="E209:E217" si="33">2.75*1.45*10.764</f>
        <v>42.921449999999993</v>
      </c>
      <c r="F209" s="37">
        <f t="shared" ref="F209:F239" si="34">(D209)*1.6+E209</f>
        <v>664.82231400000001</v>
      </c>
      <c r="G209" s="81" t="str">
        <f t="shared" ref="G209:G212" si="35">G208</f>
        <v>1st Floor for Residential</v>
      </c>
      <c r="H209" s="82"/>
      <c r="I209" s="35"/>
      <c r="L209" s="68" t="str">
        <f t="shared" ref="L209:L217" ca="1" si="36">O209&amp;""&amp;M209&amp;""&amp;P209</f>
        <v>102 to 102</v>
      </c>
      <c r="M209" s="68" t="s">
        <v>159</v>
      </c>
      <c r="N209" s="35">
        <f t="shared" ref="N209:P209" si="37">N208+1</f>
        <v>2</v>
      </c>
      <c r="O209" s="68">
        <f t="shared" ca="1" si="37"/>
        <v>102</v>
      </c>
      <c r="P209" s="68">
        <f t="shared" ca="1" si="37"/>
        <v>102</v>
      </c>
    </row>
    <row r="210" spans="1:16" s="68" customFormat="1" x14ac:dyDescent="0.35">
      <c r="A210" s="81">
        <v>3</v>
      </c>
      <c r="B210" s="82"/>
      <c r="C210" s="41" t="s">
        <v>183</v>
      </c>
      <c r="D210" s="41">
        <f t="shared" si="32"/>
        <v>388.68803999999994</v>
      </c>
      <c r="E210" s="41">
        <f t="shared" si="33"/>
        <v>42.921449999999993</v>
      </c>
      <c r="F210" s="37">
        <f t="shared" si="34"/>
        <v>664.82231400000001</v>
      </c>
      <c r="G210" s="81" t="str">
        <f t="shared" si="35"/>
        <v>1st Floor for Residential</v>
      </c>
      <c r="H210" s="82"/>
      <c r="I210" s="35"/>
      <c r="L210" s="68" t="str">
        <f t="shared" ca="1" si="36"/>
        <v>103 to 103</v>
      </c>
      <c r="M210" s="68" t="s">
        <v>159</v>
      </c>
      <c r="N210" s="35">
        <f t="shared" ref="N210:P210" si="38">N209+1</f>
        <v>3</v>
      </c>
      <c r="O210" s="68">
        <f t="shared" ca="1" si="38"/>
        <v>103</v>
      </c>
      <c r="P210" s="68">
        <f t="shared" ca="1" si="38"/>
        <v>103</v>
      </c>
    </row>
    <row r="211" spans="1:16" s="68" customFormat="1" x14ac:dyDescent="0.35">
      <c r="A211" s="81">
        <v>4</v>
      </c>
      <c r="B211" s="82"/>
      <c r="C211" s="41" t="s">
        <v>184</v>
      </c>
      <c r="D211" s="41">
        <f>(2.75*4.5+0.6*1.8+2.2*1.5+2.75*1.2+1.7*2.7+1.2*1.8+1.2*1.8+3*0.9+1.8*0.9+(1.95*2.75+1.95*2.7+1.09*2.2))*10.764</f>
        <v>498.48622199999994</v>
      </c>
      <c r="E211" s="41">
        <f t="shared" si="33"/>
        <v>42.921449999999993</v>
      </c>
      <c r="F211" s="37">
        <f t="shared" si="34"/>
        <v>840.49940519999996</v>
      </c>
      <c r="G211" s="81" t="str">
        <f t="shared" si="35"/>
        <v>1st Floor for Residential</v>
      </c>
      <c r="H211" s="82"/>
      <c r="I211" s="35"/>
      <c r="L211" s="68" t="str">
        <f t="shared" ca="1" si="36"/>
        <v>104 to 104</v>
      </c>
      <c r="M211" s="68" t="s">
        <v>159</v>
      </c>
      <c r="N211" s="35">
        <f t="shared" ref="N211:P211" si="39">N210+1</f>
        <v>4</v>
      </c>
      <c r="O211" s="68">
        <f t="shared" ca="1" si="39"/>
        <v>104</v>
      </c>
      <c r="P211" s="68">
        <f t="shared" ca="1" si="39"/>
        <v>104</v>
      </c>
    </row>
    <row r="212" spans="1:16" s="68" customFormat="1" x14ac:dyDescent="0.35">
      <c r="A212" s="81">
        <v>5</v>
      </c>
      <c r="B212" s="82"/>
      <c r="C212" s="41" t="s">
        <v>184</v>
      </c>
      <c r="D212" s="41">
        <f>(2.75*4.5+0.6*1.8+2.2*1.5+2.75*1.2+1.7*2.7+1.2*1.8+1.2*1.8+3*0.9+1.8*0.9+(1.95*2.75+1.95*2.7+1.09*2.2))*10.764</f>
        <v>498.48622199999994</v>
      </c>
      <c r="E212" s="41">
        <f>(2.75*1.45+1.5*2.2)*10.764</f>
        <v>78.442649999999986</v>
      </c>
      <c r="F212" s="37">
        <f t="shared" si="34"/>
        <v>876.02060519999986</v>
      </c>
      <c r="G212" s="81" t="str">
        <f t="shared" si="35"/>
        <v>1st Floor for Residential</v>
      </c>
      <c r="H212" s="82"/>
      <c r="I212" s="35"/>
      <c r="L212" s="68" t="str">
        <f t="shared" ca="1" si="36"/>
        <v>105 to 105</v>
      </c>
      <c r="M212" s="68" t="s">
        <v>159</v>
      </c>
      <c r="N212" s="35">
        <f t="shared" ref="N212:P212" si="40">N211+1</f>
        <v>5</v>
      </c>
      <c r="O212" s="68">
        <f t="shared" ca="1" si="40"/>
        <v>105</v>
      </c>
      <c r="P212" s="68">
        <f t="shared" ca="1" si="40"/>
        <v>105</v>
      </c>
    </row>
    <row r="213" spans="1:16" s="68" customFormat="1" x14ac:dyDescent="0.35">
      <c r="A213" s="81">
        <v>6</v>
      </c>
      <c r="B213" s="82"/>
      <c r="C213" s="41" t="s">
        <v>183</v>
      </c>
      <c r="D213" s="41">
        <f t="shared" ref="D213:D215" si="41">(2.75*4.5+2.4*1.5+2.75*2.55+1.2*2.1+1.2*2.1+2.4*0.9+(1.15*(2.4+2.75)))*10.764</f>
        <v>388.68803999999994</v>
      </c>
      <c r="E213" s="41">
        <f>(2.75*1.45+2.9+2.7)*10.764</f>
        <v>103.19984999999998</v>
      </c>
      <c r="F213" s="37">
        <f>(D213)*1.6+E213/2</f>
        <v>673.50078899999994</v>
      </c>
      <c r="G213" s="81" t="str">
        <f>G211</f>
        <v>1st Floor for Residential</v>
      </c>
      <c r="H213" s="82"/>
      <c r="I213" s="35"/>
      <c r="L213" s="68" t="str">
        <f t="shared" ca="1" si="36"/>
        <v>105 to 105</v>
      </c>
      <c r="M213" s="68" t="s">
        <v>159</v>
      </c>
      <c r="N213" s="35">
        <f t="shared" ref="N213:P213" si="42">N211+1</f>
        <v>5</v>
      </c>
      <c r="O213" s="68">
        <f t="shared" ca="1" si="42"/>
        <v>105</v>
      </c>
      <c r="P213" s="68">
        <f t="shared" ca="1" si="42"/>
        <v>105</v>
      </c>
    </row>
    <row r="214" spans="1:16" s="68" customFormat="1" x14ac:dyDescent="0.35">
      <c r="A214" s="81">
        <v>7</v>
      </c>
      <c r="B214" s="82"/>
      <c r="C214" s="41" t="s">
        <v>184</v>
      </c>
      <c r="D214" s="41">
        <f>(2.75*4.5+2.4*1.5+2.75*2.55+2.75*3+1.2*2.1+1.2*2.1+2.4*0.9+(1.15*(2.4+2.75)+2.75*0.75))*10.764</f>
        <v>499.69178999999997</v>
      </c>
      <c r="E214" s="41">
        <f>(2.75*1.45+1.5*2.75+2.7+2.9)*10.764</f>
        <v>147.60135</v>
      </c>
      <c r="F214" s="37">
        <f>(D214)*1.6+E214/2</f>
        <v>873.30753899999991</v>
      </c>
      <c r="G214" s="81" t="str">
        <f>G212</f>
        <v>1st Floor for Residential</v>
      </c>
      <c r="H214" s="82"/>
      <c r="I214" s="35"/>
      <c r="L214" s="68" t="str">
        <f t="shared" ca="1" si="36"/>
        <v>106 to 106</v>
      </c>
      <c r="M214" s="68" t="s">
        <v>159</v>
      </c>
      <c r="N214" s="35">
        <f t="shared" ref="N214:P214" si="43">N212+1</f>
        <v>6</v>
      </c>
      <c r="O214" s="68">
        <f t="shared" ca="1" si="43"/>
        <v>106</v>
      </c>
      <c r="P214" s="68">
        <f t="shared" ca="1" si="43"/>
        <v>106</v>
      </c>
    </row>
    <row r="215" spans="1:16" s="68" customFormat="1" x14ac:dyDescent="0.35">
      <c r="A215" s="81">
        <v>8</v>
      </c>
      <c r="B215" s="82"/>
      <c r="C215" s="41" t="s">
        <v>183</v>
      </c>
      <c r="D215" s="41">
        <f t="shared" si="41"/>
        <v>388.68803999999994</v>
      </c>
      <c r="E215" s="41">
        <f>(2.75*1.45+2.9+2.7)*10.764</f>
        <v>103.19984999999998</v>
      </c>
      <c r="F215" s="37">
        <f>(D215)*1.6+E215/2</f>
        <v>673.50078899999994</v>
      </c>
      <c r="G215" s="81" t="str">
        <f t="shared" ref="G215:G216" si="44">G214</f>
        <v>1st Floor for Residential</v>
      </c>
      <c r="H215" s="82"/>
      <c r="I215" s="35"/>
      <c r="L215" s="68" t="str">
        <f t="shared" ca="1" si="36"/>
        <v>107 to 107</v>
      </c>
      <c r="M215" s="68" t="s">
        <v>159</v>
      </c>
      <c r="N215" s="35">
        <f t="shared" ref="N215:P215" si="45">N214+1</f>
        <v>7</v>
      </c>
      <c r="O215" s="68">
        <f t="shared" ca="1" si="45"/>
        <v>107</v>
      </c>
      <c r="P215" s="68">
        <f t="shared" ca="1" si="45"/>
        <v>107</v>
      </c>
    </row>
    <row r="216" spans="1:16" s="68" customFormat="1" x14ac:dyDescent="0.35">
      <c r="A216" s="81">
        <v>9</v>
      </c>
      <c r="B216" s="82"/>
      <c r="C216" s="41" t="s">
        <v>184</v>
      </c>
      <c r="D216" s="41">
        <f>(2.75*4.5+2.2*1.5+2.3*2.55+2.75*3+1.2*2+1.2*1.8+2.2*0.9+(1*(2.2+2.3))+2.75*0.75)*10.764</f>
        <v>461.69486999999987</v>
      </c>
      <c r="E216" s="41">
        <f>(2.75*1.45+(1.5*(2.3+2.2)))*10.764</f>
        <v>115.57845</v>
      </c>
      <c r="F216" s="37">
        <f>(D216)*1.6+E216/2</f>
        <v>796.50101699999982</v>
      </c>
      <c r="G216" s="81" t="str">
        <f t="shared" si="44"/>
        <v>1st Floor for Residential</v>
      </c>
      <c r="H216" s="82"/>
      <c r="I216" s="35"/>
      <c r="L216" s="68" t="str">
        <f t="shared" ca="1" si="36"/>
        <v>108 to 108</v>
      </c>
      <c r="M216" s="68" t="s">
        <v>159</v>
      </c>
      <c r="N216" s="35">
        <f t="shared" ref="N216:P216" si="46">N215+1</f>
        <v>8</v>
      </c>
      <c r="O216" s="68">
        <f t="shared" ca="1" si="46"/>
        <v>108</v>
      </c>
      <c r="P216" s="68">
        <f t="shared" ca="1" si="46"/>
        <v>108</v>
      </c>
    </row>
    <row r="217" spans="1:16" s="68" customFormat="1" x14ac:dyDescent="0.35">
      <c r="A217" s="81">
        <v>10</v>
      </c>
      <c r="B217" s="82"/>
      <c r="C217" s="41" t="s">
        <v>183</v>
      </c>
      <c r="D217" s="41">
        <f>(2.75*4.05+2.2*1.5+2.3*2.55+1.2*1.5+1.2*1+2.4*0.9+(1*(2.3+2.2)))*10.764</f>
        <v>322.51634999999999</v>
      </c>
      <c r="E217" s="41">
        <f t="shared" si="33"/>
        <v>42.921449999999993</v>
      </c>
      <c r="F217" s="37">
        <f t="shared" si="34"/>
        <v>558.94760999999994</v>
      </c>
      <c r="G217" s="81" t="str">
        <f>G215</f>
        <v>1st Floor for Residential</v>
      </c>
      <c r="H217" s="82"/>
      <c r="I217" s="35"/>
      <c r="L217" s="68" t="str">
        <f t="shared" ca="1" si="36"/>
        <v>108 to 108</v>
      </c>
      <c r="M217" s="68" t="s">
        <v>159</v>
      </c>
      <c r="N217" s="35">
        <f t="shared" ref="N217:P217" si="47">N215+1</f>
        <v>8</v>
      </c>
      <c r="O217" s="68">
        <f t="shared" ca="1" si="47"/>
        <v>108</v>
      </c>
      <c r="P217" s="68">
        <f t="shared" ca="1" si="47"/>
        <v>108</v>
      </c>
    </row>
    <row r="218" spans="1:16" s="68" customFormat="1" x14ac:dyDescent="0.35">
      <c r="A218" s="89" t="s">
        <v>217</v>
      </c>
      <c r="B218" s="89"/>
      <c r="C218" s="89"/>
      <c r="D218" s="89"/>
      <c r="E218" s="89"/>
      <c r="F218" s="89"/>
      <c r="G218" s="89"/>
      <c r="H218" s="89"/>
      <c r="I218" s="35"/>
      <c r="O218" s="68" t="str">
        <f>MID(A218,1,3)</f>
        <v xml:space="preserve"> 2n</v>
      </c>
      <c r="P218" s="36">
        <f ca="1">--TRIM(RIGHT(SUBSTITUTE(LEFT(A218,_xlfn.AGGREGATE(14,6,FIND({0,1,2,3,4,5,6,7,8,9},A218,ROW(INDIRECT("1:"&amp;LEN(A218)))),1))," ",REPT(" ",LEN(A218))),LEN(A218)))</f>
        <v>6</v>
      </c>
    </row>
    <row r="219" spans="1:16" s="68" customFormat="1" x14ac:dyDescent="0.35">
      <c r="A219" s="88">
        <v>1</v>
      </c>
      <c r="B219" s="88"/>
      <c r="C219" s="41" t="s">
        <v>183</v>
      </c>
      <c r="D219" s="41">
        <f>(2.75*4.5+2.4*1.5+2.75*2.55+1.2*2.1+1.2*2.1+2.4*0.9+(1.15*(2.4+2.75))+0.75*2.75)*10.764</f>
        <v>410.88878999999997</v>
      </c>
      <c r="E219" s="41">
        <v>0</v>
      </c>
      <c r="F219" s="37">
        <f t="shared" si="34"/>
        <v>657.42206399999998</v>
      </c>
      <c r="G219" s="88" t="str">
        <f>A218</f>
        <v xml:space="preserve"> 2nd, 4th &amp; 6th Floor</v>
      </c>
      <c r="H219" s="88"/>
      <c r="I219" s="35"/>
      <c r="L219" s="68" t="str">
        <f ca="1">O219&amp;""&amp;M219&amp;""&amp;P219</f>
        <v>201 to 601</v>
      </c>
      <c r="M219" s="68" t="s">
        <v>159</v>
      </c>
      <c r="N219" s="35">
        <v>1</v>
      </c>
      <c r="O219" s="68">
        <f ca="1">(SUMPRODUCT(MID(0&amp;O218, LARGE(INDEX(ISNUMBER(--MID(O218, ROW(INDIRECT("1:"&amp;LEN(O218))), 1)) * ROW(INDIRECT("1:"&amp;LEN(O218))), 0), ROW(INDIRECT("1:"&amp;LEN(O218))))+1, 1) * 10^ROW(INDIRECT("1:"&amp;LEN(O218)))/10))*N219*100+1</f>
        <v>201</v>
      </c>
      <c r="P219" s="68">
        <f ca="1">(SUMPRODUCT(MID(0&amp;P218, LARGE(INDEX(ISNUMBER(--MID(P218, ROW(INDIRECT("1:"&amp;LEN(P218))), 1)) * ROW(INDIRECT("1:"&amp;LEN(P218))), 0), ROW(INDIRECT("1:"&amp;LEN(P218))))+1, 1) * 10^ROW(INDIRECT("1:"&amp;LEN(P218)))/10))*N219*100+1</f>
        <v>601</v>
      </c>
    </row>
    <row r="220" spans="1:16" s="68" customFormat="1" x14ac:dyDescent="0.35">
      <c r="A220" s="88">
        <v>2</v>
      </c>
      <c r="B220" s="88"/>
      <c r="C220" s="41" t="s">
        <v>183</v>
      </c>
      <c r="D220" s="41">
        <f>(2.75*4.5+2.4*1.5+2.75*2.55+1.2*2.1+1.2*2.1+2.4*0.9+(1.15*(2.4+2.75))+0.75*2.75)*10.764</f>
        <v>410.88878999999997</v>
      </c>
      <c r="E220" s="41">
        <v>0</v>
      </c>
      <c r="F220" s="37">
        <f t="shared" si="34"/>
        <v>657.42206399999998</v>
      </c>
      <c r="G220" s="88" t="str">
        <f t="shared" ref="G220:G223" si="48">G219</f>
        <v xml:space="preserve"> 2nd, 4th &amp; 6th Floor</v>
      </c>
      <c r="H220" s="88"/>
      <c r="I220" s="35"/>
      <c r="L220" s="68" t="str">
        <f t="shared" ref="L220:L228" ca="1" si="49">O220&amp;""&amp;M220&amp;""&amp;P220</f>
        <v>202 to 602</v>
      </c>
      <c r="M220" s="68" t="s">
        <v>159</v>
      </c>
      <c r="N220" s="35">
        <f t="shared" ref="N220:P220" si="50">N219+1</f>
        <v>2</v>
      </c>
      <c r="O220" s="68">
        <f t="shared" ca="1" si="50"/>
        <v>202</v>
      </c>
      <c r="P220" s="68">
        <f t="shared" ca="1" si="50"/>
        <v>602</v>
      </c>
    </row>
    <row r="221" spans="1:16" s="68" customFormat="1" x14ac:dyDescent="0.35">
      <c r="A221" s="88">
        <v>3</v>
      </c>
      <c r="B221" s="88"/>
      <c r="C221" s="41" t="s">
        <v>183</v>
      </c>
      <c r="D221" s="41">
        <f>(2.75*4.5+2.4*1.5+2.75*2.55+1.2*2.1+1.2*2.1+2.4*0.9+(1.15*(2.4+2.75))+0.75*2.75)*10.764</f>
        <v>410.88878999999997</v>
      </c>
      <c r="E221" s="41">
        <v>0</v>
      </c>
      <c r="F221" s="37">
        <f t="shared" si="34"/>
        <v>657.42206399999998</v>
      </c>
      <c r="G221" s="88" t="str">
        <f t="shared" si="48"/>
        <v xml:space="preserve"> 2nd, 4th &amp; 6th Floor</v>
      </c>
      <c r="H221" s="88"/>
      <c r="I221" s="35"/>
      <c r="L221" s="68" t="str">
        <f t="shared" ca="1" si="49"/>
        <v>203 to 603</v>
      </c>
      <c r="M221" s="68" t="s">
        <v>159</v>
      </c>
      <c r="N221" s="35">
        <f t="shared" ref="N221:P221" si="51">N220+1</f>
        <v>3</v>
      </c>
      <c r="O221" s="68">
        <f t="shared" ca="1" si="51"/>
        <v>203</v>
      </c>
      <c r="P221" s="68">
        <f t="shared" ca="1" si="51"/>
        <v>603</v>
      </c>
    </row>
    <row r="222" spans="1:16" s="68" customFormat="1" x14ac:dyDescent="0.35">
      <c r="A222" s="88">
        <v>4</v>
      </c>
      <c r="B222" s="88"/>
      <c r="C222" s="41" t="s">
        <v>184</v>
      </c>
      <c r="D222" s="41">
        <f>(2.75*4.05+2.2*1.5+2.75*1.2+1.7*2.7+1.2*1.8+1.2*1.8+(3*0.9+1.8*0.9)+(1.95*2.75+1.65*2.7+1.09*2.2)+0.75*2.75)*10.764</f>
        <v>487.02256199999999</v>
      </c>
      <c r="E222" s="41">
        <v>0</v>
      </c>
      <c r="F222" s="37">
        <f t="shared" si="34"/>
        <v>779.23609920000001</v>
      </c>
      <c r="G222" s="88" t="str">
        <f t="shared" si="48"/>
        <v xml:space="preserve"> 2nd, 4th &amp; 6th Floor</v>
      </c>
      <c r="H222" s="88"/>
      <c r="I222" s="35"/>
      <c r="L222" s="68" t="str">
        <f t="shared" ca="1" si="49"/>
        <v>204 to 604</v>
      </c>
      <c r="M222" s="68" t="s">
        <v>159</v>
      </c>
      <c r="N222" s="35">
        <f t="shared" ref="N222:P222" si="52">N221+1</f>
        <v>4</v>
      </c>
      <c r="O222" s="68">
        <f t="shared" ca="1" si="52"/>
        <v>204</v>
      </c>
      <c r="P222" s="68">
        <f t="shared" ca="1" si="52"/>
        <v>604</v>
      </c>
    </row>
    <row r="223" spans="1:16" s="68" customFormat="1" x14ac:dyDescent="0.35">
      <c r="A223" s="88">
        <v>5</v>
      </c>
      <c r="B223" s="88"/>
      <c r="C223" s="41" t="s">
        <v>184</v>
      </c>
      <c r="D223" s="41">
        <f>(2.75*4.05+2.2*1.5+2.75*1.2+1.7*2.7+1.2*1.8+1.2*1.8+(3*0.9+1.8*0.9)+(1.95*2.75+1.65*2.7+1.09*2.2)+0.75*2.75)*10.764</f>
        <v>487.02256199999999</v>
      </c>
      <c r="E223" s="41">
        <v>0</v>
      </c>
      <c r="F223" s="37">
        <f t="shared" si="34"/>
        <v>779.23609920000001</v>
      </c>
      <c r="G223" s="88" t="str">
        <f t="shared" si="48"/>
        <v xml:space="preserve"> 2nd, 4th &amp; 6th Floor</v>
      </c>
      <c r="H223" s="88"/>
      <c r="I223" s="35"/>
      <c r="L223" s="68" t="str">
        <f t="shared" ca="1" si="49"/>
        <v>205 to 605</v>
      </c>
      <c r="M223" s="68" t="s">
        <v>159</v>
      </c>
      <c r="N223" s="35">
        <f t="shared" ref="N223:P223" si="53">N222+1</f>
        <v>5</v>
      </c>
      <c r="O223" s="68">
        <f t="shared" ca="1" si="53"/>
        <v>205</v>
      </c>
      <c r="P223" s="68">
        <f t="shared" ca="1" si="53"/>
        <v>605</v>
      </c>
    </row>
    <row r="224" spans="1:16" s="68" customFormat="1" x14ac:dyDescent="0.35">
      <c r="A224" s="88">
        <v>6</v>
      </c>
      <c r="B224" s="88"/>
      <c r="C224" s="41" t="s">
        <v>183</v>
      </c>
      <c r="D224" s="41">
        <f>(2.75*4.5+2.4*1.5+2.75*2.55+1.2*2.1+1.2*2.1+2.4*0.9+(1.15*(2.4+2.75))+0.75*2.75)*10.764</f>
        <v>410.88878999999997</v>
      </c>
      <c r="E224" s="41">
        <v>0</v>
      </c>
      <c r="F224" s="37">
        <f t="shared" si="34"/>
        <v>657.42206399999998</v>
      </c>
      <c r="G224" s="88" t="str">
        <f>G222</f>
        <v xml:space="preserve"> 2nd, 4th &amp; 6th Floor</v>
      </c>
      <c r="H224" s="88"/>
      <c r="I224" s="35"/>
      <c r="L224" s="68" t="str">
        <f t="shared" ca="1" si="49"/>
        <v>205 to 605</v>
      </c>
      <c r="M224" s="68" t="s">
        <v>159</v>
      </c>
      <c r="N224" s="35">
        <f t="shared" ref="N224:P224" si="54">N222+1</f>
        <v>5</v>
      </c>
      <c r="O224" s="68">
        <f t="shared" ca="1" si="54"/>
        <v>205</v>
      </c>
      <c r="P224" s="68">
        <f t="shared" ca="1" si="54"/>
        <v>605</v>
      </c>
    </row>
    <row r="225" spans="1:16" s="68" customFormat="1" x14ac:dyDescent="0.35">
      <c r="A225" s="88">
        <v>7</v>
      </c>
      <c r="B225" s="88"/>
      <c r="C225" s="41" t="s">
        <v>184</v>
      </c>
      <c r="D225" s="41">
        <f>(2.75*4.5+2.4*1.5+2.75*2.55+2.75*3+1.2*2.1+1.2*2.1+2.4*0.9+(1.15*(2.4+2.75))+0.75*2.75)*10.764</f>
        <v>499.69178999999997</v>
      </c>
      <c r="E225" s="41">
        <f>2.75*1.5*10.764</f>
        <v>44.401499999999999</v>
      </c>
      <c r="F225" s="37">
        <f t="shared" si="34"/>
        <v>843.90836399999989</v>
      </c>
      <c r="G225" s="88" t="str">
        <f>G223</f>
        <v xml:space="preserve"> 2nd, 4th &amp; 6th Floor</v>
      </c>
      <c r="H225" s="88"/>
      <c r="I225" s="35"/>
      <c r="L225" s="68" t="str">
        <f t="shared" ca="1" si="49"/>
        <v>206 to 606</v>
      </c>
      <c r="M225" s="68" t="s">
        <v>159</v>
      </c>
      <c r="N225" s="35">
        <f t="shared" ref="N225:P225" si="55">N223+1</f>
        <v>6</v>
      </c>
      <c r="O225" s="68">
        <f t="shared" ca="1" si="55"/>
        <v>206</v>
      </c>
      <c r="P225" s="68">
        <f t="shared" ca="1" si="55"/>
        <v>606</v>
      </c>
    </row>
    <row r="226" spans="1:16" s="68" customFormat="1" x14ac:dyDescent="0.35">
      <c r="A226" s="88">
        <v>8</v>
      </c>
      <c r="B226" s="88"/>
      <c r="C226" s="41" t="s">
        <v>183</v>
      </c>
      <c r="D226" s="41">
        <f>(2.75*4.5+2.4*1.5+2.75*2.55+1.2*2.1+1.2*2.1+2.4*0.9+(1.15*(2.4+2.75))+0.75*2.75)*10.764</f>
        <v>410.88878999999997</v>
      </c>
      <c r="E226" s="41">
        <v>0</v>
      </c>
      <c r="F226" s="37">
        <f t="shared" si="34"/>
        <v>657.42206399999998</v>
      </c>
      <c r="G226" s="88" t="str">
        <f t="shared" ref="G226:G227" si="56">G225</f>
        <v xml:space="preserve"> 2nd, 4th &amp; 6th Floor</v>
      </c>
      <c r="H226" s="88"/>
      <c r="I226" s="35"/>
      <c r="L226" s="68" t="str">
        <f t="shared" ca="1" si="49"/>
        <v>207 to 607</v>
      </c>
      <c r="M226" s="68" t="s">
        <v>159</v>
      </c>
      <c r="N226" s="35">
        <f t="shared" ref="N226:P226" si="57">N225+1</f>
        <v>7</v>
      </c>
      <c r="O226" s="68">
        <f t="shared" ca="1" si="57"/>
        <v>207</v>
      </c>
      <c r="P226" s="68">
        <f t="shared" ca="1" si="57"/>
        <v>607</v>
      </c>
    </row>
    <row r="227" spans="1:16" s="68" customFormat="1" x14ac:dyDescent="0.35">
      <c r="A227" s="88">
        <v>9</v>
      </c>
      <c r="B227" s="88"/>
      <c r="C227" s="41" t="s">
        <v>184</v>
      </c>
      <c r="D227" s="41">
        <f>(2.75*4.05+2.2*1.5+2.3*2.55+2.75*3+1.2*2+1.2*1.8+2.2*0.9+(1*(2.2+2.3))+2.75*0.75)*10.764</f>
        <v>448.37441999999993</v>
      </c>
      <c r="E227" s="41">
        <f>2.75*1.5*10.764</f>
        <v>44.401499999999999</v>
      </c>
      <c r="F227" s="37">
        <f t="shared" si="34"/>
        <v>761.80057199999987</v>
      </c>
      <c r="G227" s="88" t="str">
        <f t="shared" si="56"/>
        <v xml:space="preserve"> 2nd, 4th &amp; 6th Floor</v>
      </c>
      <c r="H227" s="88"/>
      <c r="I227" s="35"/>
      <c r="L227" s="68" t="str">
        <f t="shared" ca="1" si="49"/>
        <v>208 to 608</v>
      </c>
      <c r="M227" s="68" t="s">
        <v>159</v>
      </c>
      <c r="N227" s="35">
        <f t="shared" ref="N227:P227" si="58">N226+1</f>
        <v>8</v>
      </c>
      <c r="O227" s="68">
        <f t="shared" ca="1" si="58"/>
        <v>208</v>
      </c>
      <c r="P227" s="68">
        <f t="shared" ca="1" si="58"/>
        <v>608</v>
      </c>
    </row>
    <row r="228" spans="1:16" s="68" customFormat="1" x14ac:dyDescent="0.35">
      <c r="A228" s="88">
        <v>10</v>
      </c>
      <c r="B228" s="88"/>
      <c r="C228" s="41" t="s">
        <v>183</v>
      </c>
      <c r="D228" s="41">
        <f>(2.75*4.05+2.2*1.5+2.3*2.55+1.2*1.5+1.2*1+2.4*0.9+(1*(2.3+2.2))+2.75*0.75)*10.764</f>
        <v>344.71709999999996</v>
      </c>
      <c r="E228" s="41">
        <v>0</v>
      </c>
      <c r="F228" s="37">
        <f t="shared" si="34"/>
        <v>551.54735999999991</v>
      </c>
      <c r="G228" s="88" t="str">
        <f>G226</f>
        <v xml:space="preserve"> 2nd, 4th &amp; 6th Floor</v>
      </c>
      <c r="H228" s="88"/>
      <c r="I228" s="35"/>
      <c r="L228" s="68" t="str">
        <f t="shared" ca="1" si="49"/>
        <v>208 to 608</v>
      </c>
      <c r="M228" s="68" t="s">
        <v>159</v>
      </c>
      <c r="N228" s="35">
        <f t="shared" ref="N228:P228" si="59">N226+1</f>
        <v>8</v>
      </c>
      <c r="O228" s="68">
        <f t="shared" ca="1" si="59"/>
        <v>208</v>
      </c>
      <c r="P228" s="68">
        <f t="shared" ca="1" si="59"/>
        <v>608</v>
      </c>
    </row>
    <row r="229" spans="1:16" s="46" customFormat="1" x14ac:dyDescent="0.35">
      <c r="A229" s="83" t="s">
        <v>216</v>
      </c>
      <c r="B229" s="84"/>
      <c r="C229" s="84"/>
      <c r="D229" s="84"/>
      <c r="E229" s="84"/>
      <c r="F229" s="84"/>
      <c r="G229" s="84"/>
      <c r="H229" s="85"/>
      <c r="I229" s="35"/>
      <c r="O229" s="46" t="str">
        <f>MID(A229,1,3)</f>
        <v xml:space="preserve"> 3r</v>
      </c>
      <c r="P229" s="36">
        <f ca="1">--TRIM(RIGHT(SUBSTITUTE(LEFT(A229,_xlfn.AGGREGATE(14,6,FIND({0,1,2,3,4,5,6,7,8,9},A229,ROW(INDIRECT("1:"&amp;LEN(A229)))),1))," ",REPT(" ",LEN(A229))),LEN(A229)))</f>
        <v>7</v>
      </c>
    </row>
    <row r="230" spans="1:16" s="46" customFormat="1" x14ac:dyDescent="0.35">
      <c r="A230" s="81">
        <v>1</v>
      </c>
      <c r="B230" s="82"/>
      <c r="C230" s="41" t="s">
        <v>183</v>
      </c>
      <c r="D230" s="41">
        <f>(2.75*4.5+2.4*1.5+2.75*2.55+1.2*2.1+1.2*2.1+2.4*0.9+(1.15*(2.4+2.75)))*10.764</f>
        <v>388.68803999999994</v>
      </c>
      <c r="E230" s="41">
        <f>2.75*1.45*10.764</f>
        <v>42.921449999999993</v>
      </c>
      <c r="F230" s="37">
        <f t="shared" si="34"/>
        <v>664.82231400000001</v>
      </c>
      <c r="G230" s="81" t="str">
        <f>A229</f>
        <v xml:space="preserve"> 3rd, 5th &amp; 7th Floor</v>
      </c>
      <c r="H230" s="82"/>
      <c r="I230" s="35"/>
      <c r="L230" s="46" t="str">
        <f ca="1">O230&amp;""&amp;M230&amp;""&amp;P230</f>
        <v>301 to 701</v>
      </c>
      <c r="M230" s="46" t="s">
        <v>159</v>
      </c>
      <c r="N230" s="35">
        <v>1</v>
      </c>
      <c r="O230" s="46">
        <f ca="1">(SUMPRODUCT(MID(0&amp;O229, LARGE(INDEX(ISNUMBER(--MID(O229, ROW(INDIRECT("1:"&amp;LEN(O229))), 1)) * ROW(INDIRECT("1:"&amp;LEN(O229))), 0), ROW(INDIRECT("1:"&amp;LEN(O229))))+1, 1) * 10^ROW(INDIRECT("1:"&amp;LEN(O229)))/10))*N230*100+1</f>
        <v>301</v>
      </c>
      <c r="P230" s="46">
        <f ca="1">(SUMPRODUCT(MID(0&amp;P229, LARGE(INDEX(ISNUMBER(--MID(P229, ROW(INDIRECT("1:"&amp;LEN(P229))), 1)) * ROW(INDIRECT("1:"&amp;LEN(P229))), 0), ROW(INDIRECT("1:"&amp;LEN(P229))))+1, 1) * 10^ROW(INDIRECT("1:"&amp;LEN(P229)))/10))*N230*100+1</f>
        <v>701</v>
      </c>
    </row>
    <row r="231" spans="1:16" s="46" customFormat="1" x14ac:dyDescent="0.35">
      <c r="A231" s="81">
        <v>2</v>
      </c>
      <c r="B231" s="82"/>
      <c r="C231" s="41" t="s">
        <v>183</v>
      </c>
      <c r="D231" s="41">
        <f t="shared" ref="D231:D232" si="60">(2.75*4.5+2.4*1.5+2.75*2.55+1.2*2.1+1.2*2.1+2.4*0.9+(1.15*(2.4+2.75)))*10.764</f>
        <v>388.68803999999994</v>
      </c>
      <c r="E231" s="41">
        <f t="shared" ref="E231:E239" si="61">2.75*1.45*10.764</f>
        <v>42.921449999999993</v>
      </c>
      <c r="F231" s="37">
        <f t="shared" si="34"/>
        <v>664.82231400000001</v>
      </c>
      <c r="G231" s="81" t="str">
        <f t="shared" ref="G231:G234" si="62">G230</f>
        <v xml:space="preserve"> 3rd, 5th &amp; 7th Floor</v>
      </c>
      <c r="H231" s="82"/>
      <c r="I231" s="35"/>
      <c r="L231" s="46" t="str">
        <f t="shared" ref="L231:L233" ca="1" si="63">O231&amp;""&amp;M231&amp;""&amp;P231</f>
        <v>302 to 702</v>
      </c>
      <c r="M231" s="46" t="s">
        <v>159</v>
      </c>
      <c r="N231" s="35">
        <f t="shared" ref="N231:P231" si="64">N230+1</f>
        <v>2</v>
      </c>
      <c r="O231" s="46">
        <f t="shared" ca="1" si="64"/>
        <v>302</v>
      </c>
      <c r="P231" s="46">
        <f t="shared" ca="1" si="64"/>
        <v>702</v>
      </c>
    </row>
    <row r="232" spans="1:16" s="46" customFormat="1" x14ac:dyDescent="0.35">
      <c r="A232" s="81">
        <v>3</v>
      </c>
      <c r="B232" s="82"/>
      <c r="C232" s="41" t="s">
        <v>183</v>
      </c>
      <c r="D232" s="41">
        <f t="shared" si="60"/>
        <v>388.68803999999994</v>
      </c>
      <c r="E232" s="41">
        <f t="shared" si="61"/>
        <v>42.921449999999993</v>
      </c>
      <c r="F232" s="37">
        <f t="shared" si="34"/>
        <v>664.82231400000001</v>
      </c>
      <c r="G232" s="81" t="str">
        <f t="shared" si="62"/>
        <v xml:space="preserve"> 3rd, 5th &amp; 7th Floor</v>
      </c>
      <c r="H232" s="82"/>
      <c r="I232" s="35"/>
      <c r="L232" s="46" t="str">
        <f t="shared" ca="1" si="63"/>
        <v>303 to 703</v>
      </c>
      <c r="M232" s="46" t="s">
        <v>159</v>
      </c>
      <c r="N232" s="35">
        <f t="shared" ref="N232:P232" si="65">N231+1</f>
        <v>3</v>
      </c>
      <c r="O232" s="46">
        <f t="shared" ca="1" si="65"/>
        <v>303</v>
      </c>
      <c r="P232" s="46">
        <f t="shared" ca="1" si="65"/>
        <v>703</v>
      </c>
    </row>
    <row r="233" spans="1:16" s="46" customFormat="1" x14ac:dyDescent="0.35">
      <c r="A233" s="81">
        <v>4</v>
      </c>
      <c r="B233" s="82"/>
      <c r="C233" s="41" t="s">
        <v>184</v>
      </c>
      <c r="D233" s="41">
        <f>(2.75*4.5+0.6*1.8+2.2*1.5+2.75*1.2+1.7*2.7+1.2*1.8+1.2*1.8+3*0.9+1.8*0.9+(1.95*2.75+1.95*2.7+1.09*2.2))*10.764</f>
        <v>498.48622199999994</v>
      </c>
      <c r="E233" s="41">
        <f t="shared" si="61"/>
        <v>42.921449999999993</v>
      </c>
      <c r="F233" s="37">
        <f t="shared" si="34"/>
        <v>840.49940519999996</v>
      </c>
      <c r="G233" s="81" t="str">
        <f t="shared" si="62"/>
        <v xml:space="preserve"> 3rd, 5th &amp; 7th Floor</v>
      </c>
      <c r="H233" s="82"/>
      <c r="I233" s="35"/>
      <c r="L233" s="46" t="str">
        <f t="shared" ca="1" si="63"/>
        <v>304 to 704</v>
      </c>
      <c r="M233" s="46" t="s">
        <v>159</v>
      </c>
      <c r="N233" s="35">
        <f t="shared" ref="N233:P234" si="66">N232+1</f>
        <v>4</v>
      </c>
      <c r="O233" s="46">
        <f t="shared" ca="1" si="66"/>
        <v>304</v>
      </c>
      <c r="P233" s="46">
        <f t="shared" ca="1" si="66"/>
        <v>704</v>
      </c>
    </row>
    <row r="234" spans="1:16" s="46" customFormat="1" x14ac:dyDescent="0.35">
      <c r="A234" s="81">
        <v>5</v>
      </c>
      <c r="B234" s="82"/>
      <c r="C234" s="41" t="s">
        <v>184</v>
      </c>
      <c r="D234" s="41">
        <f>(2.75*4.5+0.6*1.8+2.2*1.5+2.75*1.2+1.7*2.7+1.2*1.8+1.2*1.8+3*0.9+1.8*0.9+(1.95*2.75+1.95*2.7+1.09*2.2))*10.764</f>
        <v>498.48622199999994</v>
      </c>
      <c r="E234" s="41">
        <f t="shared" si="61"/>
        <v>42.921449999999993</v>
      </c>
      <c r="F234" s="37">
        <f t="shared" si="34"/>
        <v>840.49940519999996</v>
      </c>
      <c r="G234" s="81" t="str">
        <f t="shared" si="62"/>
        <v xml:space="preserve"> 3rd, 5th &amp; 7th Floor</v>
      </c>
      <c r="H234" s="82"/>
      <c r="I234" s="35"/>
      <c r="L234" s="46" t="str">
        <f t="shared" ref="L234:L235" ca="1" si="67">O234&amp;""&amp;M234&amp;""&amp;P234</f>
        <v>305 to 705</v>
      </c>
      <c r="M234" s="46" t="s">
        <v>159</v>
      </c>
      <c r="N234" s="35">
        <f t="shared" si="66"/>
        <v>5</v>
      </c>
      <c r="O234" s="46">
        <f t="shared" ca="1" si="66"/>
        <v>305</v>
      </c>
      <c r="P234" s="46">
        <f t="shared" ca="1" si="66"/>
        <v>705</v>
      </c>
    </row>
    <row r="235" spans="1:16" s="46" customFormat="1" x14ac:dyDescent="0.35">
      <c r="A235" s="81">
        <v>6</v>
      </c>
      <c r="B235" s="82"/>
      <c r="C235" s="41" t="s">
        <v>183</v>
      </c>
      <c r="D235" s="41">
        <f t="shared" ref="D235:D237" si="68">(2.75*4.5+2.4*1.5+2.75*2.55+1.2*2.1+1.2*2.1+2.4*0.9+(1.15*(2.4+2.75)))*10.764</f>
        <v>388.68803999999994</v>
      </c>
      <c r="E235" s="41">
        <f t="shared" si="61"/>
        <v>42.921449999999993</v>
      </c>
      <c r="F235" s="37">
        <f t="shared" si="34"/>
        <v>664.82231400000001</v>
      </c>
      <c r="G235" s="81" t="str">
        <f>G233</f>
        <v xml:space="preserve"> 3rd, 5th &amp; 7th Floor</v>
      </c>
      <c r="H235" s="82"/>
      <c r="I235" s="35"/>
      <c r="L235" s="46" t="str">
        <f t="shared" ca="1" si="67"/>
        <v>305 to 705</v>
      </c>
      <c r="M235" s="46" t="s">
        <v>159</v>
      </c>
      <c r="N235" s="35">
        <f t="shared" ref="N235:P236" si="69">N233+1</f>
        <v>5</v>
      </c>
      <c r="O235" s="46">
        <f t="shared" ca="1" si="69"/>
        <v>305</v>
      </c>
      <c r="P235" s="46">
        <f t="shared" ca="1" si="69"/>
        <v>705</v>
      </c>
    </row>
    <row r="236" spans="1:16" s="46" customFormat="1" x14ac:dyDescent="0.35">
      <c r="A236" s="81">
        <v>7</v>
      </c>
      <c r="B236" s="82"/>
      <c r="C236" s="41" t="s">
        <v>184</v>
      </c>
      <c r="D236" s="41">
        <f>(2.75*4.5+2.4*1.5+2.75*2.55+2.75*3+1.2*2.1+1.2*2.1+2.4*0.9+(1.15*(2.4+2.75)+2.75*0.75))*10.764</f>
        <v>499.69178999999997</v>
      </c>
      <c r="E236" s="41">
        <f t="shared" si="61"/>
        <v>42.921449999999993</v>
      </c>
      <c r="F236" s="37">
        <f t="shared" si="34"/>
        <v>842.428314</v>
      </c>
      <c r="G236" s="81" t="str">
        <f>G234</f>
        <v xml:space="preserve"> 3rd, 5th &amp; 7th Floor</v>
      </c>
      <c r="H236" s="82"/>
      <c r="I236" s="35"/>
      <c r="L236" s="46" t="str">
        <f t="shared" ref="L236:L239" ca="1" si="70">O236&amp;""&amp;M236&amp;""&amp;P236</f>
        <v>306 to 706</v>
      </c>
      <c r="M236" s="46" t="s">
        <v>159</v>
      </c>
      <c r="N236" s="35">
        <f t="shared" si="69"/>
        <v>6</v>
      </c>
      <c r="O236" s="46">
        <f t="shared" ca="1" si="69"/>
        <v>306</v>
      </c>
      <c r="P236" s="46">
        <f t="shared" ca="1" si="69"/>
        <v>706</v>
      </c>
    </row>
    <row r="237" spans="1:16" s="46" customFormat="1" x14ac:dyDescent="0.35">
      <c r="A237" s="81">
        <v>8</v>
      </c>
      <c r="B237" s="82"/>
      <c r="C237" s="41" t="s">
        <v>183</v>
      </c>
      <c r="D237" s="41">
        <f t="shared" si="68"/>
        <v>388.68803999999994</v>
      </c>
      <c r="E237" s="41">
        <f t="shared" si="61"/>
        <v>42.921449999999993</v>
      </c>
      <c r="F237" s="37">
        <f t="shared" si="34"/>
        <v>664.82231400000001</v>
      </c>
      <c r="G237" s="81" t="str">
        <f t="shared" ref="G237:G238" si="71">G236</f>
        <v xml:space="preserve"> 3rd, 5th &amp; 7th Floor</v>
      </c>
      <c r="H237" s="82"/>
      <c r="I237" s="35"/>
      <c r="L237" s="46" t="str">
        <f t="shared" ca="1" si="70"/>
        <v>307 to 707</v>
      </c>
      <c r="M237" s="46" t="s">
        <v>159</v>
      </c>
      <c r="N237" s="35">
        <f t="shared" ref="N237:P237" si="72">N236+1</f>
        <v>7</v>
      </c>
      <c r="O237" s="46">
        <f t="shared" ca="1" si="72"/>
        <v>307</v>
      </c>
      <c r="P237" s="46">
        <f t="shared" ca="1" si="72"/>
        <v>707</v>
      </c>
    </row>
    <row r="238" spans="1:16" s="46" customFormat="1" x14ac:dyDescent="0.35">
      <c r="A238" s="81">
        <v>9</v>
      </c>
      <c r="B238" s="82"/>
      <c r="C238" s="41" t="s">
        <v>184</v>
      </c>
      <c r="D238" s="41">
        <f>(2.75*4.5+2.2*1.5+2.3*2.55+2.75*3+1.2*2+1.2*1.8+2.2*0.9+(1*(2.2+2.3))+2.75*0.75)*10.764</f>
        <v>461.69486999999987</v>
      </c>
      <c r="E238" s="41">
        <f t="shared" si="61"/>
        <v>42.921449999999993</v>
      </c>
      <c r="F238" s="37">
        <f t="shared" si="34"/>
        <v>781.63324199999988</v>
      </c>
      <c r="G238" s="81" t="str">
        <f t="shared" si="71"/>
        <v xml:space="preserve"> 3rd, 5th &amp; 7th Floor</v>
      </c>
      <c r="H238" s="82"/>
      <c r="I238" s="35"/>
      <c r="L238" s="46" t="str">
        <f t="shared" ca="1" si="70"/>
        <v>308 to 708</v>
      </c>
      <c r="M238" s="46" t="s">
        <v>159</v>
      </c>
      <c r="N238" s="35">
        <f t="shared" ref="N238:P238" si="73">N237+1</f>
        <v>8</v>
      </c>
      <c r="O238" s="46">
        <f t="shared" ca="1" si="73"/>
        <v>308</v>
      </c>
      <c r="P238" s="46">
        <f t="shared" ca="1" si="73"/>
        <v>708</v>
      </c>
    </row>
    <row r="239" spans="1:16" s="46" customFormat="1" x14ac:dyDescent="0.35">
      <c r="A239" s="81">
        <v>10</v>
      </c>
      <c r="B239" s="82"/>
      <c r="C239" s="41" t="s">
        <v>183</v>
      </c>
      <c r="D239" s="41">
        <f>(2.75*4.05+2.2*1.5+2.3*2.55+1.2*1.5+1.2*1+2.4*0.9+(1*(2.3+2.2)))*10.764</f>
        <v>322.51634999999999</v>
      </c>
      <c r="E239" s="41">
        <f t="shared" si="61"/>
        <v>42.921449999999993</v>
      </c>
      <c r="F239" s="37">
        <f t="shared" si="34"/>
        <v>558.94760999999994</v>
      </c>
      <c r="G239" s="81" t="str">
        <f>G237</f>
        <v xml:space="preserve"> 3rd, 5th &amp; 7th Floor</v>
      </c>
      <c r="H239" s="82"/>
      <c r="I239" s="35"/>
      <c r="L239" s="46" t="str">
        <f t="shared" ca="1" si="70"/>
        <v>308 to 708</v>
      </c>
      <c r="M239" s="46" t="s">
        <v>159</v>
      </c>
      <c r="N239" s="35">
        <f t="shared" ref="N239:P239" si="74">N237+1</f>
        <v>8</v>
      </c>
      <c r="O239" s="46">
        <f t="shared" ca="1" si="74"/>
        <v>308</v>
      </c>
      <c r="P239" s="46">
        <f t="shared" ca="1" si="74"/>
        <v>708</v>
      </c>
    </row>
    <row r="240" spans="1:16" s="72" customFormat="1" x14ac:dyDescent="0.35">
      <c r="A240" s="83" t="s">
        <v>234</v>
      </c>
      <c r="B240" s="84"/>
      <c r="C240" s="84"/>
      <c r="D240" s="84"/>
      <c r="E240" s="84"/>
      <c r="F240" s="84"/>
      <c r="G240" s="84"/>
      <c r="H240" s="85"/>
      <c r="I240" s="35"/>
      <c r="K240" s="74">
        <v>10.763999999999999</v>
      </c>
      <c r="O240" s="72" t="str">
        <f>MID(A240,1,3)</f>
        <v xml:space="preserve"> 8t</v>
      </c>
      <c r="P240" s="36">
        <f ca="1">--TRIM(RIGHT(SUBSTITUTE(LEFT(A240,_xlfn.AGGREGATE(14,6,FIND({0,1,2,3,4,5,6,7,8,9},A240,ROW(INDIRECT("1:"&amp;LEN(A240)))),1))," ",REPT(" ",LEN(A240))),LEN(A240)))</f>
        <v>8</v>
      </c>
    </row>
    <row r="241" spans="1:16" s="72" customFormat="1" x14ac:dyDescent="0.35">
      <c r="A241" s="81">
        <v>1</v>
      </c>
      <c r="B241" s="82"/>
      <c r="C241" s="41" t="s">
        <v>183</v>
      </c>
      <c r="D241" s="74">
        <f>(32.91+5.3+0.75*2.75)*10.764</f>
        <v>433.49318999999991</v>
      </c>
      <c r="E241" s="74">
        <v>0</v>
      </c>
      <c r="F241" s="37">
        <f t="shared" ref="F241:F250" si="75">(D241)*1.6+E241</f>
        <v>693.58910399999991</v>
      </c>
      <c r="G241" s="81" t="str">
        <f>A240</f>
        <v xml:space="preserve"> 8th Floor (Part Refuge Area)</v>
      </c>
      <c r="H241" s="82"/>
      <c r="I241" s="35">
        <f>2.75*4.5+2.4*2.65+2.75*3.7+1.2*2.1+1.2*2.1+0.9*2.4</f>
        <v>36.11</v>
      </c>
      <c r="J241" s="35">
        <f>32.91+5.3</f>
        <v>38.209999999999994</v>
      </c>
      <c r="L241" s="72" t="str">
        <f ca="1">O241&amp;""&amp;M241&amp;""&amp;P241</f>
        <v>801 to 801</v>
      </c>
      <c r="M241" s="72" t="s">
        <v>159</v>
      </c>
      <c r="N241" s="35">
        <v>1</v>
      </c>
      <c r="O241" s="72">
        <f ca="1">(SUMPRODUCT(MID(0&amp;O240, LARGE(INDEX(ISNUMBER(--MID(O240, ROW(INDIRECT("1:"&amp;LEN(O240))), 1)) * ROW(INDIRECT("1:"&amp;LEN(O240))), 0), ROW(INDIRECT("1:"&amp;LEN(O240))))+1, 1) * 10^ROW(INDIRECT("1:"&amp;LEN(O240)))/10))*N241*100+1</f>
        <v>801</v>
      </c>
      <c r="P241" s="72">
        <f ca="1">(SUMPRODUCT(MID(0&amp;P240, LARGE(INDEX(ISNUMBER(--MID(P240, ROW(INDIRECT("1:"&amp;LEN(P240))), 1)) * ROW(INDIRECT("1:"&amp;LEN(P240))), 0), ROW(INDIRECT("1:"&amp;LEN(P240))))+1, 1) * 10^ROW(INDIRECT("1:"&amp;LEN(P240)))/10))*N241*100+1</f>
        <v>801</v>
      </c>
    </row>
    <row r="242" spans="1:16" s="72" customFormat="1" x14ac:dyDescent="0.35">
      <c r="A242" s="81">
        <v>2</v>
      </c>
      <c r="B242" s="82"/>
      <c r="C242" s="41" t="s">
        <v>183</v>
      </c>
      <c r="D242" s="74">
        <f>(32.91+5.3+0.75*2.75)*10.764</f>
        <v>433.49318999999991</v>
      </c>
      <c r="E242" s="74">
        <v>0</v>
      </c>
      <c r="F242" s="37">
        <f t="shared" si="75"/>
        <v>693.58910399999991</v>
      </c>
      <c r="G242" s="81" t="str">
        <f t="shared" ref="G242:G245" si="76">G241</f>
        <v xml:space="preserve"> 8th Floor (Part Refuge Area)</v>
      </c>
      <c r="H242" s="82"/>
      <c r="I242" s="35"/>
      <c r="L242" s="72" t="str">
        <f t="shared" ref="L242:L249" ca="1" si="77">O242&amp;""&amp;M242&amp;""&amp;P242</f>
        <v>802 to 802</v>
      </c>
      <c r="M242" s="72" t="s">
        <v>159</v>
      </c>
      <c r="N242" s="35">
        <f t="shared" ref="N242:P242" si="78">N241+1</f>
        <v>2</v>
      </c>
      <c r="O242" s="72">
        <f t="shared" ca="1" si="78"/>
        <v>802</v>
      </c>
      <c r="P242" s="72">
        <f t="shared" ca="1" si="78"/>
        <v>802</v>
      </c>
    </row>
    <row r="243" spans="1:16" s="72" customFormat="1" x14ac:dyDescent="0.35">
      <c r="A243" s="81">
        <v>3</v>
      </c>
      <c r="B243" s="82"/>
      <c r="C243" s="41" t="s">
        <v>183</v>
      </c>
      <c r="D243" s="74">
        <f>(32.91+5.3+0.75*2.75)*10.764</f>
        <v>433.49318999999991</v>
      </c>
      <c r="E243" s="74">
        <v>0</v>
      </c>
      <c r="F243" s="37">
        <f t="shared" si="75"/>
        <v>693.58910399999991</v>
      </c>
      <c r="G243" s="81" t="str">
        <f t="shared" si="76"/>
        <v xml:space="preserve"> 8th Floor (Part Refuge Area)</v>
      </c>
      <c r="H243" s="82"/>
      <c r="I243" s="35"/>
      <c r="L243" s="72" t="str">
        <f t="shared" ca="1" si="77"/>
        <v>803 to 803</v>
      </c>
      <c r="M243" s="72" t="s">
        <v>159</v>
      </c>
      <c r="N243" s="35">
        <f t="shared" ref="N243:P243" si="79">N242+1</f>
        <v>3</v>
      </c>
      <c r="O243" s="72">
        <f t="shared" ca="1" si="79"/>
        <v>803</v>
      </c>
      <c r="P243" s="72">
        <f t="shared" ca="1" si="79"/>
        <v>803</v>
      </c>
    </row>
    <row r="244" spans="1:16" s="72" customFormat="1" x14ac:dyDescent="0.35">
      <c r="A244" s="81">
        <v>4</v>
      </c>
      <c r="B244" s="82"/>
      <c r="C244" s="41" t="s">
        <v>184</v>
      </c>
      <c r="D244" s="74">
        <f>(42.05+7.02+0.75*2.75)*10.764</f>
        <v>550.39022999999986</v>
      </c>
      <c r="E244" s="74">
        <v>0</v>
      </c>
      <c r="F244" s="37">
        <f t="shared" si="75"/>
        <v>880.62436799999978</v>
      </c>
      <c r="G244" s="81" t="str">
        <f t="shared" si="76"/>
        <v xml:space="preserve"> 8th Floor (Part Refuge Area)</v>
      </c>
      <c r="H244" s="82"/>
      <c r="I244" s="35">
        <f>2.75*4.5+2.2*2.5+2.75*3.15+3.35*3.15+1.2*1.8+1.2*1.8+0.6*2.9+0.9*2.7+0.4*0.95</f>
        <v>45.96</v>
      </c>
      <c r="J244" s="35">
        <f>41.71+5.3</f>
        <v>47.01</v>
      </c>
      <c r="L244" s="72" t="str">
        <f t="shared" ca="1" si="77"/>
        <v>804 to 804</v>
      </c>
      <c r="M244" s="72" t="s">
        <v>159</v>
      </c>
      <c r="N244" s="35">
        <f t="shared" ref="N244:P244" si="80">N243+1</f>
        <v>4</v>
      </c>
      <c r="O244" s="72">
        <f t="shared" ca="1" si="80"/>
        <v>804</v>
      </c>
      <c r="P244" s="72">
        <f t="shared" ca="1" si="80"/>
        <v>804</v>
      </c>
    </row>
    <row r="245" spans="1:16" s="72" customFormat="1" x14ac:dyDescent="0.35">
      <c r="A245" s="81">
        <v>5</v>
      </c>
      <c r="B245" s="82"/>
      <c r="C245" s="41" t="s">
        <v>184</v>
      </c>
      <c r="D245" s="74">
        <f>(42.05+7.02+0.75*2.75)*10.764</f>
        <v>550.39022999999986</v>
      </c>
      <c r="E245" s="74">
        <v>0</v>
      </c>
      <c r="F245" s="37">
        <f t="shared" si="75"/>
        <v>880.62436799999978</v>
      </c>
      <c r="G245" s="81" t="str">
        <f t="shared" si="76"/>
        <v xml:space="preserve"> 8th Floor (Part Refuge Area)</v>
      </c>
      <c r="H245" s="82"/>
      <c r="I245" s="35"/>
      <c r="L245" s="72" t="str">
        <f t="shared" ca="1" si="77"/>
        <v>805 to 805</v>
      </c>
      <c r="M245" s="72" t="s">
        <v>159</v>
      </c>
      <c r="N245" s="35">
        <f t="shared" ref="N245:P245" si="81">N244+1</f>
        <v>5</v>
      </c>
      <c r="O245" s="72">
        <f t="shared" ca="1" si="81"/>
        <v>805</v>
      </c>
      <c r="P245" s="72">
        <f t="shared" ca="1" si="81"/>
        <v>805</v>
      </c>
    </row>
    <row r="246" spans="1:16" s="72" customFormat="1" x14ac:dyDescent="0.35">
      <c r="A246" s="81">
        <v>6</v>
      </c>
      <c r="B246" s="82"/>
      <c r="C246" s="41" t="s">
        <v>233</v>
      </c>
      <c r="D246" s="74">
        <f>(22.38+2.4+0.75*2.75)*10.764</f>
        <v>288.93266999999997</v>
      </c>
      <c r="E246" s="74">
        <v>0</v>
      </c>
      <c r="F246" s="37">
        <f t="shared" si="75"/>
        <v>462.29227199999997</v>
      </c>
      <c r="G246" s="81" t="str">
        <f>G244</f>
        <v xml:space="preserve"> 8th Floor (Part Refuge Area)</v>
      </c>
      <c r="H246" s="82"/>
      <c r="I246" s="35"/>
      <c r="L246" s="72" t="str">
        <f t="shared" ca="1" si="77"/>
        <v>805 to 805</v>
      </c>
      <c r="M246" s="72" t="s">
        <v>159</v>
      </c>
      <c r="N246" s="35">
        <f t="shared" ref="N246:P246" si="82">N244+1</f>
        <v>5</v>
      </c>
      <c r="O246" s="72">
        <f t="shared" ca="1" si="82"/>
        <v>805</v>
      </c>
      <c r="P246" s="72">
        <f t="shared" ca="1" si="82"/>
        <v>805</v>
      </c>
    </row>
    <row r="247" spans="1:16" s="72" customFormat="1" x14ac:dyDescent="0.35">
      <c r="A247" s="81">
        <v>7</v>
      </c>
      <c r="B247" s="82"/>
      <c r="C247" s="41" t="s">
        <v>184</v>
      </c>
      <c r="D247" s="74">
        <f>(41.71+5.3+0.75*2.75)*10.764</f>
        <v>528.21638999999993</v>
      </c>
      <c r="E247" s="74">
        <f>(3.71)*10.764</f>
        <v>39.934439999999995</v>
      </c>
      <c r="F247" s="37">
        <f t="shared" si="75"/>
        <v>885.08066399999996</v>
      </c>
      <c r="G247" s="81" t="str">
        <f>G245</f>
        <v xml:space="preserve"> 8th Floor (Part Refuge Area)</v>
      </c>
      <c r="H247" s="82"/>
      <c r="I247" s="35"/>
      <c r="L247" s="72" t="str">
        <f t="shared" ca="1" si="77"/>
        <v>806 to 806</v>
      </c>
      <c r="M247" s="72" t="s">
        <v>159</v>
      </c>
      <c r="N247" s="35">
        <f t="shared" ref="N247:P247" si="83">N245+1</f>
        <v>6</v>
      </c>
      <c r="O247" s="72">
        <f t="shared" ca="1" si="83"/>
        <v>806</v>
      </c>
      <c r="P247" s="72">
        <f t="shared" ca="1" si="83"/>
        <v>806</v>
      </c>
    </row>
    <row r="248" spans="1:16" s="72" customFormat="1" x14ac:dyDescent="0.35">
      <c r="A248" s="81">
        <v>8</v>
      </c>
      <c r="B248" s="82"/>
      <c r="C248" s="41" t="s">
        <v>183</v>
      </c>
      <c r="D248" s="74">
        <f>(32.91+5.3+0.75*2.75)*10.764</f>
        <v>433.49318999999991</v>
      </c>
      <c r="E248" s="74">
        <v>0</v>
      </c>
      <c r="F248" s="37">
        <f t="shared" si="75"/>
        <v>693.58910399999991</v>
      </c>
      <c r="G248" s="81" t="str">
        <f t="shared" ref="G248:G249" si="84">G247</f>
        <v xml:space="preserve"> 8th Floor (Part Refuge Area)</v>
      </c>
      <c r="H248" s="82"/>
      <c r="I248" s="35"/>
      <c r="L248" s="72" t="str">
        <f t="shared" ca="1" si="77"/>
        <v>807 to 807</v>
      </c>
      <c r="M248" s="72" t="s">
        <v>159</v>
      </c>
      <c r="N248" s="35">
        <f t="shared" ref="N248:P248" si="85">N247+1</f>
        <v>7</v>
      </c>
      <c r="O248" s="72">
        <f t="shared" ca="1" si="85"/>
        <v>807</v>
      </c>
      <c r="P248" s="72">
        <f t="shared" ca="1" si="85"/>
        <v>807</v>
      </c>
    </row>
    <row r="249" spans="1:16" s="72" customFormat="1" x14ac:dyDescent="0.35">
      <c r="A249" s="81">
        <v>9</v>
      </c>
      <c r="B249" s="82"/>
      <c r="C249" s="41" t="s">
        <v>184</v>
      </c>
      <c r="D249" s="74">
        <f>(41.3+4.33+0.75*2.75)*10.764</f>
        <v>513.3620699999999</v>
      </c>
      <c r="E249" s="74">
        <f>(3.71)*10.764</f>
        <v>39.934439999999995</v>
      </c>
      <c r="F249" s="37">
        <f t="shared" si="75"/>
        <v>861.31375199999991</v>
      </c>
      <c r="G249" s="81" t="str">
        <f t="shared" si="84"/>
        <v xml:space="preserve"> 8th Floor (Part Refuge Area)</v>
      </c>
      <c r="H249" s="82"/>
      <c r="I249" s="35"/>
      <c r="L249" s="72" t="str">
        <f t="shared" ca="1" si="77"/>
        <v>808 to 808</v>
      </c>
      <c r="M249" s="72" t="s">
        <v>159</v>
      </c>
      <c r="N249" s="35">
        <f t="shared" ref="N249:P249" si="86">N248+1</f>
        <v>8</v>
      </c>
      <c r="O249" s="72">
        <f t="shared" ca="1" si="86"/>
        <v>808</v>
      </c>
      <c r="P249" s="72">
        <f t="shared" ca="1" si="86"/>
        <v>808</v>
      </c>
    </row>
    <row r="250" spans="1:16" s="72" customFormat="1" x14ac:dyDescent="0.35">
      <c r="A250" s="81">
        <v>10</v>
      </c>
      <c r="B250" s="82"/>
      <c r="C250" s="41" t="s">
        <v>183</v>
      </c>
      <c r="D250" s="74">
        <f>(30.91+4.33+0.75*2.75)*10.764</f>
        <v>401.52411000000001</v>
      </c>
      <c r="E250" s="74">
        <v>0</v>
      </c>
      <c r="F250" s="37">
        <f t="shared" si="75"/>
        <v>642.43857600000001</v>
      </c>
      <c r="G250" s="81" t="str">
        <f>G248</f>
        <v xml:space="preserve"> 8th Floor (Part Refuge Area)</v>
      </c>
      <c r="H250" s="82"/>
      <c r="I250" s="35"/>
      <c r="N250" s="35"/>
    </row>
    <row r="251" spans="1:16" s="72" customFormat="1" x14ac:dyDescent="0.35">
      <c r="A251" s="83" t="s">
        <v>235</v>
      </c>
      <c r="B251" s="84"/>
      <c r="C251" s="84"/>
      <c r="D251" s="84"/>
      <c r="E251" s="84"/>
      <c r="F251" s="84"/>
      <c r="G251" s="84"/>
      <c r="H251" s="85"/>
      <c r="I251" s="35"/>
      <c r="P251" s="36"/>
    </row>
    <row r="252" spans="1:16" s="72" customFormat="1" x14ac:dyDescent="0.35">
      <c r="A252" s="81">
        <v>1</v>
      </c>
      <c r="B252" s="82"/>
      <c r="C252" s="41" t="s">
        <v>183</v>
      </c>
      <c r="D252" s="74">
        <f>(33.39+5.3)*10.764</f>
        <v>416.45915999999994</v>
      </c>
      <c r="E252" s="74">
        <f t="shared" ref="E252:E261" si="87">(3.57)*10.764</f>
        <v>38.427479999999996</v>
      </c>
      <c r="F252" s="37">
        <f t="shared" ref="F252:F261" si="88">(D252)*1.6+E252</f>
        <v>704.76213599999994</v>
      </c>
      <c r="G252" s="81" t="str">
        <f>A251</f>
        <v xml:space="preserve"> 9th Floor</v>
      </c>
      <c r="H252" s="82"/>
      <c r="I252" s="35"/>
      <c r="J252" s="35"/>
      <c r="N252" s="35"/>
    </row>
    <row r="253" spans="1:16" s="72" customFormat="1" x14ac:dyDescent="0.35">
      <c r="A253" s="81">
        <v>2</v>
      </c>
      <c r="B253" s="82"/>
      <c r="C253" s="41" t="s">
        <v>183</v>
      </c>
      <c r="D253" s="74">
        <f>(33.39+5.3)*10.764</f>
        <v>416.45915999999994</v>
      </c>
      <c r="E253" s="74">
        <f t="shared" si="87"/>
        <v>38.427479999999996</v>
      </c>
      <c r="F253" s="37">
        <f t="shared" si="88"/>
        <v>704.76213599999994</v>
      </c>
      <c r="G253" s="81" t="str">
        <f t="shared" ref="G253:G256" si="89">G252</f>
        <v xml:space="preserve"> 9th Floor</v>
      </c>
      <c r="H253" s="82"/>
      <c r="I253" s="35"/>
      <c r="N253" s="35"/>
    </row>
    <row r="254" spans="1:16" s="72" customFormat="1" x14ac:dyDescent="0.35">
      <c r="A254" s="81">
        <v>3</v>
      </c>
      <c r="B254" s="82"/>
      <c r="C254" s="41" t="s">
        <v>183</v>
      </c>
      <c r="D254" s="74">
        <f>(33.39+5.3)*10.764</f>
        <v>416.45915999999994</v>
      </c>
      <c r="E254" s="74">
        <f t="shared" si="87"/>
        <v>38.427479999999996</v>
      </c>
      <c r="F254" s="37">
        <f t="shared" si="88"/>
        <v>704.76213599999994</v>
      </c>
      <c r="G254" s="81" t="str">
        <f t="shared" si="89"/>
        <v xml:space="preserve"> 9th Floor</v>
      </c>
      <c r="H254" s="82"/>
      <c r="I254" s="35"/>
      <c r="N254" s="35"/>
    </row>
    <row r="255" spans="1:16" s="72" customFormat="1" x14ac:dyDescent="0.35">
      <c r="A255" s="81">
        <v>4</v>
      </c>
      <c r="B255" s="82"/>
      <c r="C255" s="41" t="s">
        <v>184</v>
      </c>
      <c r="D255" s="74">
        <f>(42.48+7.02)*10.764</f>
        <v>532.81799999999998</v>
      </c>
      <c r="E255" s="74">
        <f t="shared" si="87"/>
        <v>38.427479999999996</v>
      </c>
      <c r="F255" s="37">
        <f t="shared" si="88"/>
        <v>890.93628000000001</v>
      </c>
      <c r="G255" s="81" t="str">
        <f t="shared" si="89"/>
        <v xml:space="preserve"> 9th Floor</v>
      </c>
      <c r="H255" s="82"/>
      <c r="I255" s="35"/>
      <c r="J255" s="35"/>
      <c r="N255" s="35"/>
    </row>
    <row r="256" spans="1:16" s="72" customFormat="1" x14ac:dyDescent="0.35">
      <c r="A256" s="81">
        <v>5</v>
      </c>
      <c r="B256" s="82"/>
      <c r="C256" s="41" t="s">
        <v>184</v>
      </c>
      <c r="D256" s="74">
        <f>(42.48+7.02)*10.764</f>
        <v>532.81799999999998</v>
      </c>
      <c r="E256" s="74">
        <f t="shared" si="87"/>
        <v>38.427479999999996</v>
      </c>
      <c r="F256" s="37">
        <f t="shared" si="88"/>
        <v>890.93628000000001</v>
      </c>
      <c r="G256" s="81" t="str">
        <f t="shared" si="89"/>
        <v xml:space="preserve"> 9th Floor</v>
      </c>
      <c r="H256" s="82"/>
      <c r="I256" s="35"/>
      <c r="N256" s="35"/>
    </row>
    <row r="257" spans="1:16" s="72" customFormat="1" x14ac:dyDescent="0.35">
      <c r="A257" s="81">
        <v>6</v>
      </c>
      <c r="B257" s="82"/>
      <c r="C257" s="41" t="s">
        <v>183</v>
      </c>
      <c r="D257" s="74">
        <f>(33.39+5.3)*10.764</f>
        <v>416.45915999999994</v>
      </c>
      <c r="E257" s="74">
        <f t="shared" si="87"/>
        <v>38.427479999999996</v>
      </c>
      <c r="F257" s="37">
        <f t="shared" si="88"/>
        <v>704.76213599999994</v>
      </c>
      <c r="G257" s="81" t="str">
        <f>G255</f>
        <v xml:space="preserve"> 9th Floor</v>
      </c>
      <c r="H257" s="82"/>
      <c r="I257" s="35"/>
      <c r="N257" s="35"/>
    </row>
    <row r="258" spans="1:16" s="72" customFormat="1" x14ac:dyDescent="0.35">
      <c r="A258" s="81">
        <v>7</v>
      </c>
      <c r="B258" s="82"/>
      <c r="C258" s="41" t="s">
        <v>184</v>
      </c>
      <c r="D258" s="74">
        <f>(41.78+5.3+0.75*2.75)*10.764</f>
        <v>528.9698699999999</v>
      </c>
      <c r="E258" s="74">
        <f t="shared" si="87"/>
        <v>38.427479999999996</v>
      </c>
      <c r="F258" s="37">
        <f t="shared" si="88"/>
        <v>884.77927199999988</v>
      </c>
      <c r="G258" s="81" t="str">
        <f>G256</f>
        <v xml:space="preserve"> 9th Floor</v>
      </c>
      <c r="H258" s="82"/>
      <c r="I258" s="35"/>
      <c r="L258" s="72" t="str">
        <f t="shared" ref="L258:L261" si="90">O258&amp;""&amp;M258&amp;""&amp;P258</f>
        <v>1 to 1</v>
      </c>
      <c r="M258" s="72" t="s">
        <v>159</v>
      </c>
      <c r="N258" s="35">
        <f t="shared" ref="N258:P258" si="91">N256+1</f>
        <v>1</v>
      </c>
      <c r="O258" s="72">
        <f t="shared" si="91"/>
        <v>1</v>
      </c>
      <c r="P258" s="72">
        <f t="shared" si="91"/>
        <v>1</v>
      </c>
    </row>
    <row r="259" spans="1:16" s="72" customFormat="1" x14ac:dyDescent="0.35">
      <c r="A259" s="81">
        <v>8</v>
      </c>
      <c r="B259" s="82"/>
      <c r="C259" s="41" t="s">
        <v>183</v>
      </c>
      <c r="D259" s="74">
        <f>(33.34+5.3)*10.764</f>
        <v>415.92095999999998</v>
      </c>
      <c r="E259" s="74">
        <f t="shared" si="87"/>
        <v>38.427479999999996</v>
      </c>
      <c r="F259" s="37">
        <f t="shared" si="88"/>
        <v>703.90101599999991</v>
      </c>
      <c r="G259" s="81" t="str">
        <f t="shared" ref="G259:G260" si="92">G258</f>
        <v xml:space="preserve"> 9th Floor</v>
      </c>
      <c r="H259" s="82"/>
      <c r="I259" s="35"/>
      <c r="L259" s="72" t="str">
        <f t="shared" si="90"/>
        <v>2 to 2</v>
      </c>
      <c r="M259" s="72" t="s">
        <v>159</v>
      </c>
      <c r="N259" s="35">
        <f t="shared" ref="N259:P259" si="93">N258+1</f>
        <v>2</v>
      </c>
      <c r="O259" s="72">
        <f t="shared" si="93"/>
        <v>2</v>
      </c>
      <c r="P259" s="72">
        <f t="shared" si="93"/>
        <v>2</v>
      </c>
    </row>
    <row r="260" spans="1:16" s="72" customFormat="1" x14ac:dyDescent="0.35">
      <c r="A260" s="81">
        <v>9</v>
      </c>
      <c r="B260" s="82"/>
      <c r="C260" s="41" t="s">
        <v>184</v>
      </c>
      <c r="D260" s="74">
        <f>(41.35+4.33+0.75*2.75)*10.764</f>
        <v>513.90026999999998</v>
      </c>
      <c r="E260" s="74">
        <f t="shared" si="87"/>
        <v>38.427479999999996</v>
      </c>
      <c r="F260" s="37">
        <f t="shared" si="88"/>
        <v>860.667912</v>
      </c>
      <c r="G260" s="81" t="str">
        <f t="shared" si="92"/>
        <v xml:space="preserve"> 9th Floor</v>
      </c>
      <c r="H260" s="82"/>
      <c r="I260" s="35"/>
      <c r="L260" s="72" t="str">
        <f t="shared" si="90"/>
        <v>3 to 3</v>
      </c>
      <c r="M260" s="72" t="s">
        <v>159</v>
      </c>
      <c r="N260" s="35">
        <f t="shared" ref="N260:P260" si="94">N259+1</f>
        <v>3</v>
      </c>
      <c r="O260" s="72">
        <f t="shared" si="94"/>
        <v>3</v>
      </c>
      <c r="P260" s="72">
        <f t="shared" si="94"/>
        <v>3</v>
      </c>
    </row>
    <row r="261" spans="1:16" s="72" customFormat="1" x14ac:dyDescent="0.35">
      <c r="A261" s="81">
        <v>10</v>
      </c>
      <c r="B261" s="82"/>
      <c r="C261" s="41" t="s">
        <v>183</v>
      </c>
      <c r="D261" s="74">
        <f>(31.32+4.33)*10.764</f>
        <v>383.73659999999995</v>
      </c>
      <c r="E261" s="74">
        <f t="shared" si="87"/>
        <v>38.427479999999996</v>
      </c>
      <c r="F261" s="37">
        <f t="shared" si="88"/>
        <v>652.40603999999996</v>
      </c>
      <c r="G261" s="81" t="str">
        <f>G259</f>
        <v xml:space="preserve"> 9th Floor</v>
      </c>
      <c r="H261" s="82"/>
      <c r="I261" s="77" t="s">
        <v>267</v>
      </c>
      <c r="J261" s="77"/>
      <c r="L261" s="72" t="str">
        <f t="shared" si="90"/>
        <v>3 to 3</v>
      </c>
      <c r="M261" s="72" t="s">
        <v>159</v>
      </c>
      <c r="N261" s="35">
        <f t="shared" ref="N261:P261" si="95">N259+1</f>
        <v>3</v>
      </c>
      <c r="O261" s="72">
        <f t="shared" si="95"/>
        <v>3</v>
      </c>
      <c r="P261" s="72">
        <f t="shared" si="95"/>
        <v>3</v>
      </c>
    </row>
    <row r="262" spans="1:16" s="72" customFormat="1" hidden="1" x14ac:dyDescent="0.35">
      <c r="A262" s="83" t="s">
        <v>259</v>
      </c>
      <c r="B262" s="84"/>
      <c r="C262" s="84"/>
      <c r="D262" s="84"/>
      <c r="E262" s="84"/>
      <c r="F262" s="84"/>
      <c r="G262" s="84"/>
      <c r="H262" s="85"/>
      <c r="I262" s="35"/>
      <c r="P262" s="36"/>
    </row>
    <row r="263" spans="1:16" s="72" customFormat="1" hidden="1" x14ac:dyDescent="0.35">
      <c r="A263" s="83" t="s">
        <v>260</v>
      </c>
      <c r="B263" s="84"/>
      <c r="C263" s="84"/>
      <c r="D263" s="84"/>
      <c r="E263" s="84"/>
      <c r="F263" s="84"/>
      <c r="G263" s="84"/>
      <c r="H263" s="85"/>
      <c r="I263" s="35"/>
      <c r="P263" s="36"/>
    </row>
    <row r="264" spans="1:16" s="72" customFormat="1" hidden="1" x14ac:dyDescent="0.35">
      <c r="A264" s="83" t="s">
        <v>265</v>
      </c>
      <c r="B264" s="84"/>
      <c r="C264" s="84"/>
      <c r="D264" s="84"/>
      <c r="E264" s="84"/>
      <c r="F264" s="84"/>
      <c r="G264" s="84"/>
      <c r="H264" s="85"/>
      <c r="I264" s="35"/>
      <c r="K264" s="74">
        <v>10.763999999999999</v>
      </c>
      <c r="P264" s="36"/>
    </row>
    <row r="265" spans="1:16" s="72" customFormat="1" hidden="1" x14ac:dyDescent="0.35">
      <c r="A265" s="81">
        <v>1</v>
      </c>
      <c r="B265" s="82"/>
      <c r="C265" s="41" t="s">
        <v>183</v>
      </c>
      <c r="D265" s="74">
        <f>(28.19+6.06+0.75*(2.2+3.35))*10.764</f>
        <v>413.47215</v>
      </c>
      <c r="E265" s="74">
        <f>(3*1.9)*10.764</f>
        <v>61.35479999999999</v>
      </c>
      <c r="F265" s="37">
        <f t="shared" ref="F265:F269" si="96">(D265)*1.6+E265</f>
        <v>722.91024000000004</v>
      </c>
      <c r="G265" s="81" t="str">
        <f>A264</f>
        <v>1st  Floor For Residential</v>
      </c>
      <c r="H265" s="82"/>
      <c r="I265" s="35">
        <f>4.4*2.75+2.65*2.2+2.75*3.35+1.5*1.2+1*1.2+0.9*2.2+0.4*1.2</f>
        <v>32.602499999999992</v>
      </c>
      <c r="J265" s="35">
        <f>28.19+6.06</f>
        <v>34.25</v>
      </c>
      <c r="N265" s="35"/>
    </row>
    <row r="266" spans="1:16" s="72" customFormat="1" hidden="1" x14ac:dyDescent="0.35">
      <c r="A266" s="81">
        <v>2</v>
      </c>
      <c r="B266" s="82"/>
      <c r="C266" s="41" t="s">
        <v>183</v>
      </c>
      <c r="D266" s="74">
        <f>(31.71+2.34+0.75*(2.75+2.2+3.35))*10.764</f>
        <v>433.52009999999996</v>
      </c>
      <c r="E266" s="74">
        <f>(3*1.9)*10.764</f>
        <v>61.35479999999999</v>
      </c>
      <c r="F266" s="37">
        <f t="shared" si="96"/>
        <v>754.98695999999995</v>
      </c>
      <c r="G266" s="81" t="str">
        <f t="shared" ref="G266:G269" si="97">G265</f>
        <v>1st  Floor For Residential</v>
      </c>
      <c r="H266" s="82"/>
      <c r="I266" s="35"/>
      <c r="N266" s="35"/>
    </row>
    <row r="267" spans="1:16" s="72" customFormat="1" hidden="1" x14ac:dyDescent="0.35">
      <c r="A267" s="81">
        <v>3</v>
      </c>
      <c r="B267" s="82"/>
      <c r="C267" s="41" t="s">
        <v>183</v>
      </c>
      <c r="D267" s="74">
        <f>(37.06+2.09+0.75*(2.95+2.4))*10.764</f>
        <v>464.60115000000008</v>
      </c>
      <c r="E267" s="74">
        <v>0</v>
      </c>
      <c r="F267" s="37">
        <f t="shared" si="96"/>
        <v>743.36184000000014</v>
      </c>
      <c r="G267" s="81" t="str">
        <f t="shared" si="97"/>
        <v>1st  Floor For Residential</v>
      </c>
      <c r="H267" s="82"/>
      <c r="I267" s="35"/>
      <c r="N267" s="35"/>
    </row>
    <row r="268" spans="1:16" s="72" customFormat="1" hidden="1" x14ac:dyDescent="0.35">
      <c r="A268" s="81">
        <v>4</v>
      </c>
      <c r="B268" s="82"/>
      <c r="C268" s="41" t="s">
        <v>233</v>
      </c>
      <c r="D268" s="74">
        <f>(23.85+0.75*(2.25+2.75))*10.764</f>
        <v>297.08639999999997</v>
      </c>
      <c r="E268" s="74">
        <v>0</v>
      </c>
      <c r="F268" s="37">
        <f t="shared" si="96"/>
        <v>475.33823999999998</v>
      </c>
      <c r="G268" s="81" t="str">
        <f t="shared" si="97"/>
        <v>1st  Floor For Residential</v>
      </c>
      <c r="H268" s="82"/>
      <c r="I268" s="35"/>
      <c r="J268" s="35"/>
      <c r="N268" s="35"/>
    </row>
    <row r="269" spans="1:16" s="72" customFormat="1" hidden="1" x14ac:dyDescent="0.35">
      <c r="A269" s="81">
        <v>5</v>
      </c>
      <c r="B269" s="82"/>
      <c r="C269" s="41" t="s">
        <v>233</v>
      </c>
      <c r="D269" s="74">
        <f>(22.21+4.08+0.75*(3.1))*10.764</f>
        <v>308.01185999999996</v>
      </c>
      <c r="E269" s="74">
        <v>0</v>
      </c>
      <c r="F269" s="37">
        <f t="shared" si="96"/>
        <v>492.81897599999996</v>
      </c>
      <c r="G269" s="81" t="str">
        <f t="shared" si="97"/>
        <v>1st  Floor For Residential</v>
      </c>
      <c r="H269" s="82"/>
      <c r="I269" s="35"/>
      <c r="N269" s="35"/>
    </row>
    <row r="270" spans="1:16" s="72" customFormat="1" hidden="1" x14ac:dyDescent="0.35">
      <c r="A270" s="83" t="s">
        <v>266</v>
      </c>
      <c r="B270" s="84"/>
      <c r="C270" s="84"/>
      <c r="D270" s="84"/>
      <c r="E270" s="84"/>
      <c r="F270" s="84"/>
      <c r="G270" s="84"/>
      <c r="H270" s="85"/>
      <c r="I270" s="35"/>
      <c r="K270" s="74"/>
      <c r="P270" s="36"/>
    </row>
    <row r="271" spans="1:16" s="72" customFormat="1" hidden="1" x14ac:dyDescent="0.35">
      <c r="A271" s="81">
        <v>1</v>
      </c>
      <c r="B271" s="82"/>
      <c r="C271" s="41" t="s">
        <v>183</v>
      </c>
      <c r="D271" s="74">
        <f>(28.19+6.06+0.75*(2.2+3.35))*10.764</f>
        <v>413.47215</v>
      </c>
      <c r="E271" s="74">
        <v>0</v>
      </c>
      <c r="F271" s="37">
        <f t="shared" ref="F271:F275" si="98">(D271)*1.6+E271</f>
        <v>661.55544000000009</v>
      </c>
      <c r="G271" s="81" t="str">
        <f>A270</f>
        <v xml:space="preserve">2nd to 7th &amp; 9th to 11th Floor </v>
      </c>
      <c r="H271" s="82"/>
      <c r="I271" s="35"/>
      <c r="J271" s="35"/>
      <c r="N271" s="35"/>
    </row>
    <row r="272" spans="1:16" s="72" customFormat="1" hidden="1" x14ac:dyDescent="0.35">
      <c r="A272" s="81">
        <v>2</v>
      </c>
      <c r="B272" s="82"/>
      <c r="C272" s="41" t="s">
        <v>183</v>
      </c>
      <c r="D272" s="74">
        <f>(31.71+2.34+0.75*(2.75+2.2+3.35))*10.764</f>
        <v>433.52009999999996</v>
      </c>
      <c r="E272" s="74">
        <v>0</v>
      </c>
      <c r="F272" s="37">
        <f t="shared" si="98"/>
        <v>693.63216</v>
      </c>
      <c r="G272" s="81" t="str">
        <f t="shared" ref="G272:G275" si="99">G271</f>
        <v xml:space="preserve">2nd to 7th &amp; 9th to 11th Floor </v>
      </c>
      <c r="H272" s="82"/>
      <c r="I272" s="35"/>
      <c r="N272" s="35"/>
    </row>
    <row r="273" spans="1:16" s="72" customFormat="1" hidden="1" x14ac:dyDescent="0.35">
      <c r="A273" s="81">
        <v>3</v>
      </c>
      <c r="B273" s="82"/>
      <c r="C273" s="41" t="s">
        <v>183</v>
      </c>
      <c r="D273" s="74">
        <f>(37.06+2.09+0.75*(2.95+2.4))*10.764</f>
        <v>464.60115000000008</v>
      </c>
      <c r="E273" s="74">
        <v>0</v>
      </c>
      <c r="F273" s="37">
        <f t="shared" si="98"/>
        <v>743.36184000000014</v>
      </c>
      <c r="G273" s="81" t="str">
        <f t="shared" si="99"/>
        <v xml:space="preserve">2nd to 7th &amp; 9th to 11th Floor </v>
      </c>
      <c r="H273" s="82"/>
      <c r="I273" s="35"/>
      <c r="N273" s="35"/>
    </row>
    <row r="274" spans="1:16" s="72" customFormat="1" hidden="1" x14ac:dyDescent="0.35">
      <c r="A274" s="81">
        <v>4</v>
      </c>
      <c r="B274" s="82"/>
      <c r="C274" s="41" t="s">
        <v>233</v>
      </c>
      <c r="D274" s="74">
        <f>(23.85+0.75*(2.25+2.75))*10.764</f>
        <v>297.08639999999997</v>
      </c>
      <c r="E274" s="74">
        <v>0</v>
      </c>
      <c r="F274" s="37">
        <f t="shared" si="98"/>
        <v>475.33823999999998</v>
      </c>
      <c r="G274" s="81" t="str">
        <f t="shared" si="99"/>
        <v xml:space="preserve">2nd to 7th &amp; 9th to 11th Floor </v>
      </c>
      <c r="H274" s="82"/>
      <c r="I274" s="35"/>
      <c r="J274" s="35"/>
      <c r="N274" s="35"/>
    </row>
    <row r="275" spans="1:16" s="72" customFormat="1" hidden="1" x14ac:dyDescent="0.35">
      <c r="A275" s="81">
        <v>5</v>
      </c>
      <c r="B275" s="82"/>
      <c r="C275" s="41" t="s">
        <v>233</v>
      </c>
      <c r="D275" s="74">
        <f>(22.21+4.08+0.75*(3.1))*10.764</f>
        <v>308.01185999999996</v>
      </c>
      <c r="E275" s="74">
        <v>0</v>
      </c>
      <c r="F275" s="37">
        <f t="shared" si="98"/>
        <v>492.81897599999996</v>
      </c>
      <c r="G275" s="81" t="str">
        <f t="shared" si="99"/>
        <v xml:space="preserve">2nd to 7th &amp; 9th to 11th Floor </v>
      </c>
      <c r="H275" s="82"/>
      <c r="I275" s="35"/>
      <c r="N275" s="35"/>
    </row>
    <row r="276" spans="1:16" s="72" customFormat="1" hidden="1" x14ac:dyDescent="0.35">
      <c r="A276" s="83" t="s">
        <v>263</v>
      </c>
      <c r="B276" s="84"/>
      <c r="C276" s="84"/>
      <c r="D276" s="84"/>
      <c r="E276" s="84"/>
      <c r="F276" s="84"/>
      <c r="G276" s="84"/>
      <c r="H276" s="85"/>
      <c r="I276" s="35"/>
      <c r="P276" s="36"/>
    </row>
    <row r="277" spans="1:16" s="72" customFormat="1" hidden="1" x14ac:dyDescent="0.35">
      <c r="A277" s="81">
        <v>1</v>
      </c>
      <c r="B277" s="82"/>
      <c r="C277" s="81" t="s">
        <v>264</v>
      </c>
      <c r="D277" s="86"/>
      <c r="E277" s="86"/>
      <c r="F277" s="82"/>
      <c r="G277" s="81" t="str">
        <f>A276</f>
        <v>8th Floor (Part Refuge Area)</v>
      </c>
      <c r="H277" s="82"/>
      <c r="I277" s="35"/>
      <c r="J277" s="35"/>
      <c r="N277" s="35"/>
    </row>
    <row r="278" spans="1:16" s="72" customFormat="1" hidden="1" x14ac:dyDescent="0.35">
      <c r="A278" s="81">
        <v>2</v>
      </c>
      <c r="B278" s="82"/>
      <c r="C278" s="41" t="s">
        <v>183</v>
      </c>
      <c r="D278" s="74">
        <f>(31.71+2.34+0.75*(2.75+2.2+3.35))*10.764</f>
        <v>433.52009999999996</v>
      </c>
      <c r="E278" s="74">
        <v>0</v>
      </c>
      <c r="F278" s="37">
        <f t="shared" ref="F278:F281" si="100">(D278)*1.6+E278</f>
        <v>693.63216</v>
      </c>
      <c r="G278" s="81" t="str">
        <f t="shared" ref="G278:G281" si="101">G277</f>
        <v>8th Floor (Part Refuge Area)</v>
      </c>
      <c r="H278" s="82"/>
      <c r="I278" s="35"/>
      <c r="N278" s="35"/>
    </row>
    <row r="279" spans="1:16" s="72" customFormat="1" hidden="1" x14ac:dyDescent="0.35">
      <c r="A279" s="81">
        <v>3</v>
      </c>
      <c r="B279" s="82"/>
      <c r="C279" s="41" t="s">
        <v>183</v>
      </c>
      <c r="D279" s="74">
        <f>(37.06+2.09+0.75*(2.95+2.4))*10.764</f>
        <v>464.60115000000008</v>
      </c>
      <c r="E279" s="74">
        <v>0</v>
      </c>
      <c r="F279" s="37">
        <f t="shared" si="100"/>
        <v>743.36184000000014</v>
      </c>
      <c r="G279" s="81" t="str">
        <f t="shared" si="101"/>
        <v>8th Floor (Part Refuge Area)</v>
      </c>
      <c r="H279" s="82"/>
      <c r="I279" s="35"/>
      <c r="N279" s="35"/>
    </row>
    <row r="280" spans="1:16" s="72" customFormat="1" hidden="1" x14ac:dyDescent="0.35">
      <c r="A280" s="81">
        <v>4</v>
      </c>
      <c r="B280" s="82"/>
      <c r="C280" s="41" t="s">
        <v>233</v>
      </c>
      <c r="D280" s="74">
        <f>(23.85+0.75*(2.25+2.75))*10.764</f>
        <v>297.08639999999997</v>
      </c>
      <c r="E280" s="74">
        <v>0</v>
      </c>
      <c r="F280" s="37">
        <f t="shared" si="100"/>
        <v>475.33823999999998</v>
      </c>
      <c r="G280" s="81" t="str">
        <f t="shared" si="101"/>
        <v>8th Floor (Part Refuge Area)</v>
      </c>
      <c r="H280" s="82"/>
      <c r="I280" s="35"/>
      <c r="J280" s="35"/>
      <c r="N280" s="35"/>
    </row>
    <row r="281" spans="1:16" s="72" customFormat="1" hidden="1" x14ac:dyDescent="0.35">
      <c r="A281" s="81">
        <v>5</v>
      </c>
      <c r="B281" s="82"/>
      <c r="C281" s="41" t="s">
        <v>233</v>
      </c>
      <c r="D281" s="74">
        <f>(22.21+4.08+0.75*(3.1))*10.764</f>
        <v>308.01185999999996</v>
      </c>
      <c r="E281" s="74">
        <v>0</v>
      </c>
      <c r="F281" s="37">
        <f t="shared" si="100"/>
        <v>492.81897599999996</v>
      </c>
      <c r="G281" s="81" t="str">
        <f t="shared" si="101"/>
        <v>8th Floor (Part Refuge Area)</v>
      </c>
      <c r="H281" s="82"/>
      <c r="I281" s="35"/>
      <c r="N281" s="35"/>
    </row>
    <row r="282" spans="1:16" s="1" customFormat="1" x14ac:dyDescent="0.35">
      <c r="A282" s="173" t="s">
        <v>76</v>
      </c>
      <c r="B282" s="173"/>
      <c r="C282" s="173"/>
      <c r="D282" s="173"/>
      <c r="E282" s="173"/>
      <c r="F282" s="173"/>
      <c r="G282" s="173"/>
      <c r="H282" s="173"/>
    </row>
    <row r="283" spans="1:16" s="1" customFormat="1" ht="32.5" customHeight="1" x14ac:dyDescent="0.35">
      <c r="A283" s="44">
        <v>1</v>
      </c>
      <c r="B283" s="98" t="s">
        <v>276</v>
      </c>
      <c r="C283" s="99"/>
      <c r="D283" s="99"/>
      <c r="E283" s="99"/>
      <c r="F283" s="99"/>
      <c r="G283" s="99"/>
      <c r="H283" s="100"/>
    </row>
    <row r="284" spans="1:16" s="1" customFormat="1" x14ac:dyDescent="0.35">
      <c r="A284" s="44">
        <v>2</v>
      </c>
      <c r="B284" s="98" t="s">
        <v>194</v>
      </c>
      <c r="C284" s="99"/>
      <c r="D284" s="99"/>
      <c r="E284" s="99"/>
      <c r="F284" s="99"/>
      <c r="G284" s="99"/>
      <c r="H284" s="100"/>
    </row>
    <row r="285" spans="1:16" s="1" customFormat="1" x14ac:dyDescent="0.35">
      <c r="A285" s="44">
        <v>3</v>
      </c>
      <c r="B285" s="101" t="s">
        <v>175</v>
      </c>
      <c r="C285" s="102"/>
      <c r="D285" s="102"/>
      <c r="E285" s="102"/>
      <c r="F285" s="102"/>
      <c r="G285" s="102"/>
      <c r="H285" s="103"/>
    </row>
    <row r="286" spans="1:16" s="1" customFormat="1" x14ac:dyDescent="0.35">
      <c r="A286" s="44">
        <v>4</v>
      </c>
      <c r="B286" s="101" t="s">
        <v>218</v>
      </c>
      <c r="C286" s="102"/>
      <c r="D286" s="102"/>
      <c r="E286" s="102"/>
      <c r="F286" s="102"/>
      <c r="G286" s="102"/>
      <c r="H286" s="103"/>
    </row>
    <row r="287" spans="1:16" s="1" customFormat="1" x14ac:dyDescent="0.35">
      <c r="A287" s="44">
        <v>5</v>
      </c>
      <c r="B287" s="101" t="s">
        <v>176</v>
      </c>
      <c r="C287" s="102"/>
      <c r="D287" s="102"/>
      <c r="E287" s="102"/>
      <c r="F287" s="102"/>
      <c r="G287" s="102"/>
      <c r="H287" s="103"/>
    </row>
    <row r="288" spans="1:16" s="1" customFormat="1" x14ac:dyDescent="0.35">
      <c r="A288" s="44">
        <v>6</v>
      </c>
      <c r="B288" s="101" t="s">
        <v>177</v>
      </c>
      <c r="C288" s="102"/>
      <c r="D288" s="102"/>
      <c r="E288" s="102"/>
      <c r="F288" s="102"/>
      <c r="G288" s="102"/>
      <c r="H288" s="103"/>
    </row>
    <row r="289" spans="1:8" s="1" customFormat="1" x14ac:dyDescent="0.35">
      <c r="A289" s="67">
        <v>7</v>
      </c>
      <c r="B289" s="98" t="s">
        <v>257</v>
      </c>
      <c r="C289" s="99"/>
      <c r="D289" s="99"/>
      <c r="E289" s="99"/>
      <c r="F289" s="99"/>
      <c r="G289" s="99"/>
      <c r="H289" s="100"/>
    </row>
    <row r="290" spans="1:8" s="1" customFormat="1" x14ac:dyDescent="0.35">
      <c r="A290" s="80">
        <v>8</v>
      </c>
      <c r="B290" s="98" t="s">
        <v>278</v>
      </c>
      <c r="C290" s="99"/>
      <c r="D290" s="99"/>
      <c r="E290" s="99"/>
      <c r="F290" s="99"/>
      <c r="G290" s="99"/>
      <c r="H290" s="100"/>
    </row>
    <row r="291" spans="1:8" x14ac:dyDescent="0.35">
      <c r="A291" s="146" t="s">
        <v>67</v>
      </c>
      <c r="B291" s="147"/>
      <c r="C291" s="147"/>
      <c r="D291" s="147"/>
      <c r="E291" s="147"/>
      <c r="F291" s="147"/>
      <c r="G291" s="147"/>
      <c r="H291" s="147"/>
    </row>
    <row r="292" spans="1:8" x14ac:dyDescent="0.35">
      <c r="A292" s="142" t="s">
        <v>68</v>
      </c>
      <c r="B292" s="142"/>
      <c r="C292" s="142"/>
      <c r="D292" s="142"/>
      <c r="E292" s="142"/>
      <c r="F292" s="142"/>
      <c r="G292" s="142"/>
      <c r="H292" s="142"/>
    </row>
    <row r="293" spans="1:8" ht="15.75" customHeight="1" x14ac:dyDescent="0.35">
      <c r="A293" s="147" t="s">
        <v>69</v>
      </c>
      <c r="B293" s="147"/>
      <c r="C293" s="147"/>
      <c r="D293" s="147"/>
      <c r="E293" s="147"/>
      <c r="F293" s="147"/>
      <c r="G293" s="147"/>
      <c r="H293" s="147"/>
    </row>
    <row r="294" spans="1:8" x14ac:dyDescent="0.35">
      <c r="A294" s="142" t="s">
        <v>70</v>
      </c>
      <c r="B294" s="142"/>
      <c r="C294" s="142"/>
      <c r="D294" s="142"/>
      <c r="E294" s="142"/>
      <c r="F294" s="142"/>
      <c r="G294" s="142"/>
      <c r="H294" s="142"/>
    </row>
    <row r="295" spans="1:8" x14ac:dyDescent="0.35">
      <c r="A295" s="142" t="s">
        <v>71</v>
      </c>
      <c r="B295" s="142"/>
      <c r="C295" s="142"/>
      <c r="D295" s="142"/>
      <c r="E295" s="142"/>
      <c r="F295" s="142"/>
      <c r="G295" s="142"/>
      <c r="H295" s="142"/>
    </row>
    <row r="296" spans="1:8" x14ac:dyDescent="0.35">
      <c r="A296" s="142" t="s">
        <v>72</v>
      </c>
      <c r="B296" s="142"/>
      <c r="C296" s="142"/>
      <c r="D296" s="142"/>
      <c r="E296" s="142"/>
      <c r="F296" s="142"/>
      <c r="G296" s="142"/>
      <c r="H296" s="142"/>
    </row>
    <row r="297" spans="1:8" ht="35.25" customHeight="1" x14ac:dyDescent="0.35">
      <c r="A297" s="145" t="s">
        <v>73</v>
      </c>
      <c r="B297" s="145"/>
      <c r="C297" s="145"/>
      <c r="D297" s="145"/>
      <c r="E297" s="145"/>
      <c r="F297" s="145"/>
      <c r="G297" s="145"/>
      <c r="H297" s="145"/>
    </row>
    <row r="298" spans="1:8" x14ac:dyDescent="0.35">
      <c r="A298" s="141" t="s">
        <v>107</v>
      </c>
      <c r="B298" s="141"/>
      <c r="C298" s="141" t="s">
        <v>274</v>
      </c>
      <c r="D298" s="141"/>
      <c r="E298" s="141" t="s">
        <v>140</v>
      </c>
      <c r="F298" s="141"/>
      <c r="G298" s="141" t="s">
        <v>275</v>
      </c>
      <c r="H298" s="141"/>
    </row>
    <row r="299" spans="1:8" x14ac:dyDescent="0.35">
      <c r="A299" s="140" t="s">
        <v>109</v>
      </c>
      <c r="B299" s="140"/>
      <c r="C299" s="140"/>
      <c r="D299" s="140"/>
      <c r="E299" s="140"/>
      <c r="F299" s="140"/>
      <c r="G299" s="140"/>
      <c r="H299" s="140"/>
    </row>
    <row r="300" spans="1:8" x14ac:dyDescent="0.35">
      <c r="A300" s="140"/>
      <c r="B300" s="140"/>
      <c r="C300" s="140"/>
      <c r="D300" s="140"/>
      <c r="E300" s="140"/>
      <c r="F300" s="140"/>
      <c r="G300" s="140"/>
      <c r="H300" s="140"/>
    </row>
    <row r="301" spans="1:8" x14ac:dyDescent="0.35">
      <c r="A301" s="140"/>
      <c r="B301" s="140"/>
      <c r="C301" s="140"/>
      <c r="D301" s="140"/>
      <c r="E301" s="140"/>
      <c r="F301" s="140"/>
      <c r="G301" s="140"/>
      <c r="H301" s="140"/>
    </row>
    <row r="302" spans="1:8" x14ac:dyDescent="0.35">
      <c r="A302" s="140"/>
      <c r="B302" s="140"/>
      <c r="C302" s="140"/>
      <c r="D302" s="140"/>
      <c r="E302" s="140"/>
      <c r="F302" s="140"/>
      <c r="G302" s="140"/>
      <c r="H302" s="140"/>
    </row>
    <row r="303" spans="1:8" x14ac:dyDescent="0.35">
      <c r="A303" s="13" t="s">
        <v>74</v>
      </c>
      <c r="B303" s="14"/>
      <c r="C303" s="14"/>
      <c r="D303" s="13" t="str">
        <f>E8</f>
        <v>Panvelkar Nisarg Phase I &amp; II</v>
      </c>
      <c r="F303" s="14"/>
      <c r="G303" s="14"/>
      <c r="H303" s="14"/>
    </row>
    <row r="304" spans="1:8" x14ac:dyDescent="0.35">
      <c r="A304" s="14"/>
      <c r="B304" s="14"/>
      <c r="C304" s="14"/>
      <c r="D304" s="14"/>
      <c r="E304" s="14"/>
      <c r="F304" s="14"/>
      <c r="G304" s="14"/>
      <c r="H304" s="14"/>
    </row>
    <row r="305" spans="1:9" x14ac:dyDescent="0.35">
      <c r="A305" s="14"/>
      <c r="B305" s="14"/>
      <c r="C305" s="14"/>
      <c r="D305" s="14"/>
      <c r="E305" s="14"/>
      <c r="F305" s="14"/>
      <c r="G305" s="14"/>
      <c r="H305" s="14"/>
    </row>
    <row r="306" spans="1:9" ht="15" customHeight="1" x14ac:dyDescent="0.35"/>
    <row r="307" spans="1:9" ht="16.5" customHeight="1" x14ac:dyDescent="0.35"/>
    <row r="311" spans="1:9" x14ac:dyDescent="0.35">
      <c r="I311"/>
    </row>
    <row r="321" spans="3:10" x14ac:dyDescent="0.35">
      <c r="F321"/>
    </row>
    <row r="323" spans="3:10" x14ac:dyDescent="0.35">
      <c r="J323"/>
    </row>
    <row r="332" spans="3:10" x14ac:dyDescent="0.35">
      <c r="C332"/>
    </row>
    <row r="333" spans="3:10" x14ac:dyDescent="0.35">
      <c r="I333"/>
    </row>
    <row r="346" spans="1:4" x14ac:dyDescent="0.35">
      <c r="A346" s="16" t="s">
        <v>237</v>
      </c>
      <c r="B346" s="16" t="str">
        <f>E8</f>
        <v>Panvelkar Nisarg Phase I &amp; II</v>
      </c>
      <c r="C346" s="16"/>
      <c r="D346" s="16"/>
    </row>
    <row r="383" spans="1:4" x14ac:dyDescent="0.35">
      <c r="A383" s="16" t="s">
        <v>75</v>
      </c>
      <c r="B383" s="16" t="str">
        <f>E8</f>
        <v>Panvelkar Nisarg Phase I &amp; II</v>
      </c>
      <c r="C383" s="16"/>
      <c r="D383" s="16"/>
    </row>
  </sheetData>
  <mergeCells count="596">
    <mergeCell ref="G237:H237"/>
    <mergeCell ref="A238:B238"/>
    <mergeCell ref="G238:H238"/>
    <mergeCell ref="F100:H100"/>
    <mergeCell ref="A210:B210"/>
    <mergeCell ref="G210:H210"/>
    <mergeCell ref="A211:B211"/>
    <mergeCell ref="E120:F120"/>
    <mergeCell ref="B290:H290"/>
    <mergeCell ref="G120:H120"/>
    <mergeCell ref="C121:D121"/>
    <mergeCell ref="E121:F121"/>
    <mergeCell ref="G121:H121"/>
    <mergeCell ref="G211:H211"/>
    <mergeCell ref="G204:H204"/>
    <mergeCell ref="A204:B204"/>
    <mergeCell ref="A185:H185"/>
    <mergeCell ref="A205:H205"/>
    <mergeCell ref="A196:B196"/>
    <mergeCell ref="G196:H196"/>
    <mergeCell ref="A191:B191"/>
    <mergeCell ref="A184:H184"/>
    <mergeCell ref="A200:H200"/>
    <mergeCell ref="A201:B201"/>
    <mergeCell ref="G201:H201"/>
    <mergeCell ref="A202:B202"/>
    <mergeCell ref="A207:H207"/>
    <mergeCell ref="A208:B208"/>
    <mergeCell ref="A119:A121"/>
    <mergeCell ref="C120:D120"/>
    <mergeCell ref="G190:H190"/>
    <mergeCell ref="A209:B209"/>
    <mergeCell ref="C115:D115"/>
    <mergeCell ref="E115:F115"/>
    <mergeCell ref="G115:H115"/>
    <mergeCell ref="A116:B116"/>
    <mergeCell ref="C116:D116"/>
    <mergeCell ref="E116:F116"/>
    <mergeCell ref="G116:H116"/>
    <mergeCell ref="C113:D113"/>
    <mergeCell ref="E118:F118"/>
    <mergeCell ref="G118:H118"/>
    <mergeCell ref="G113:H113"/>
    <mergeCell ref="C114:D114"/>
    <mergeCell ref="E114:F114"/>
    <mergeCell ref="G114:H114"/>
    <mergeCell ref="A112:A114"/>
    <mergeCell ref="E113:F113"/>
    <mergeCell ref="L172:M172"/>
    <mergeCell ref="A173:B173"/>
    <mergeCell ref="G173:H173"/>
    <mergeCell ref="L173:M173"/>
    <mergeCell ref="A171:B171"/>
    <mergeCell ref="G171:H171"/>
    <mergeCell ref="A170:B170"/>
    <mergeCell ref="A127:H127"/>
    <mergeCell ref="A156:H156"/>
    <mergeCell ref="L154:M154"/>
    <mergeCell ref="A155:B155"/>
    <mergeCell ref="G155:H155"/>
    <mergeCell ref="L155:M155"/>
    <mergeCell ref="L145:M145"/>
    <mergeCell ref="L146:M146"/>
    <mergeCell ref="A147:H147"/>
    <mergeCell ref="A148:H148"/>
    <mergeCell ref="A149:B149"/>
    <mergeCell ref="G149:H149"/>
    <mergeCell ref="L149:M149"/>
    <mergeCell ref="A150:B150"/>
    <mergeCell ref="G150:H150"/>
    <mergeCell ref="L150:M150"/>
    <mergeCell ref="L160:M160"/>
    <mergeCell ref="A27:D27"/>
    <mergeCell ref="E27:H27"/>
    <mergeCell ref="A34:H34"/>
    <mergeCell ref="A33:B33"/>
    <mergeCell ref="A77:B77"/>
    <mergeCell ref="A78:B78"/>
    <mergeCell ref="A79:B79"/>
    <mergeCell ref="A80:B80"/>
    <mergeCell ref="A81:B81"/>
    <mergeCell ref="A76:B76"/>
    <mergeCell ref="A52:B52"/>
    <mergeCell ref="C52:E52"/>
    <mergeCell ref="G52:H52"/>
    <mergeCell ref="A53:B53"/>
    <mergeCell ref="C53:E53"/>
    <mergeCell ref="G53:H53"/>
    <mergeCell ref="A54:B55"/>
    <mergeCell ref="C54:E54"/>
    <mergeCell ref="G54:H54"/>
    <mergeCell ref="C55:H55"/>
    <mergeCell ref="A66:B66"/>
    <mergeCell ref="C66:H66"/>
    <mergeCell ref="A68:B68"/>
    <mergeCell ref="A69:B69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L161:M161"/>
    <mergeCell ref="A162:B162"/>
    <mergeCell ref="G162:H162"/>
    <mergeCell ref="L162:M162"/>
    <mergeCell ref="G146:H146"/>
    <mergeCell ref="A143:B143"/>
    <mergeCell ref="G143:H143"/>
    <mergeCell ref="L143:M143"/>
    <mergeCell ref="L151:M151"/>
    <mergeCell ref="A152:B152"/>
    <mergeCell ref="A153:B153"/>
    <mergeCell ref="G153:H153"/>
    <mergeCell ref="L153:M153"/>
    <mergeCell ref="A154:B154"/>
    <mergeCell ref="G145:H145"/>
    <mergeCell ref="L152:M152"/>
    <mergeCell ref="L159:M159"/>
    <mergeCell ref="G151:H151"/>
    <mergeCell ref="A160:B160"/>
    <mergeCell ref="G160:H160"/>
    <mergeCell ref="A151:B151"/>
    <mergeCell ref="A161:B161"/>
    <mergeCell ref="G161:H161"/>
    <mergeCell ref="L134:M134"/>
    <mergeCell ref="A135:B135"/>
    <mergeCell ref="G135:H135"/>
    <mergeCell ref="L135:M135"/>
    <mergeCell ref="A136:B136"/>
    <mergeCell ref="G136:H136"/>
    <mergeCell ref="L136:M136"/>
    <mergeCell ref="L144:M144"/>
    <mergeCell ref="A145:B145"/>
    <mergeCell ref="A142:B142"/>
    <mergeCell ref="G142:H142"/>
    <mergeCell ref="L142:M142"/>
    <mergeCell ref="L137:M137"/>
    <mergeCell ref="A138:H138"/>
    <mergeCell ref="A139:H139"/>
    <mergeCell ref="A140:B140"/>
    <mergeCell ref="G140:H140"/>
    <mergeCell ref="L140:M140"/>
    <mergeCell ref="A141:B141"/>
    <mergeCell ref="G141:H141"/>
    <mergeCell ref="L141:M141"/>
    <mergeCell ref="A137:B137"/>
    <mergeCell ref="G137:H137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G130:H130"/>
    <mergeCell ref="L163:M163"/>
    <mergeCell ref="A164:B164"/>
    <mergeCell ref="G164:H164"/>
    <mergeCell ref="L164:M164"/>
    <mergeCell ref="A165:B165"/>
    <mergeCell ref="L165:M165"/>
    <mergeCell ref="A166:B166"/>
    <mergeCell ref="G166:H166"/>
    <mergeCell ref="L166:M166"/>
    <mergeCell ref="L174:M174"/>
    <mergeCell ref="L175:M175"/>
    <mergeCell ref="A174:B174"/>
    <mergeCell ref="G174:H174"/>
    <mergeCell ref="A188:B188"/>
    <mergeCell ref="A197:B197"/>
    <mergeCell ref="G197:H197"/>
    <mergeCell ref="A198:B198"/>
    <mergeCell ref="G198:H198"/>
    <mergeCell ref="A193:H193"/>
    <mergeCell ref="A194:H194"/>
    <mergeCell ref="A195:B195"/>
    <mergeCell ref="G195:H195"/>
    <mergeCell ref="G191:H191"/>
    <mergeCell ref="A192:B192"/>
    <mergeCell ref="G192:H192"/>
    <mergeCell ref="G188:H188"/>
    <mergeCell ref="A189:B189"/>
    <mergeCell ref="G189:H189"/>
    <mergeCell ref="A190:B190"/>
    <mergeCell ref="A186:H186"/>
    <mergeCell ref="A187:B187"/>
    <mergeCell ref="G187:H187"/>
    <mergeCell ref="A175:B175"/>
    <mergeCell ref="L167:M167"/>
    <mergeCell ref="A168:B168"/>
    <mergeCell ref="G168:H168"/>
    <mergeCell ref="L168:M168"/>
    <mergeCell ref="A169:B169"/>
    <mergeCell ref="G169:H169"/>
    <mergeCell ref="L169:M169"/>
    <mergeCell ref="L170:M170"/>
    <mergeCell ref="L171:M171"/>
    <mergeCell ref="G170:H170"/>
    <mergeCell ref="A282:H282"/>
    <mergeCell ref="A134:B134"/>
    <mergeCell ref="G134:H134"/>
    <mergeCell ref="A146:B146"/>
    <mergeCell ref="G154:H154"/>
    <mergeCell ref="A163:B163"/>
    <mergeCell ref="G163:H163"/>
    <mergeCell ref="A167:B167"/>
    <mergeCell ref="G167:H167"/>
    <mergeCell ref="A157:H157"/>
    <mergeCell ref="A158:H158"/>
    <mergeCell ref="A159:B159"/>
    <mergeCell ref="G159:H159"/>
    <mergeCell ref="G165:H165"/>
    <mergeCell ref="A144:B144"/>
    <mergeCell ref="G144:H144"/>
    <mergeCell ref="G208:H208"/>
    <mergeCell ref="A172:B172"/>
    <mergeCell ref="A199:H199"/>
    <mergeCell ref="G175:H175"/>
    <mergeCell ref="G212:H212"/>
    <mergeCell ref="A176:H176"/>
    <mergeCell ref="A177:H177"/>
    <mergeCell ref="A178:H178"/>
    <mergeCell ref="A21:D21"/>
    <mergeCell ref="E21:H21"/>
    <mergeCell ref="G35:H35"/>
    <mergeCell ref="F29:H29"/>
    <mergeCell ref="A30:B30"/>
    <mergeCell ref="A29:B29"/>
    <mergeCell ref="C30:E30"/>
    <mergeCell ref="A31:B31"/>
    <mergeCell ref="C31:E31"/>
    <mergeCell ref="A32:B32"/>
    <mergeCell ref="C32:E32"/>
    <mergeCell ref="C33:E33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A28:D28"/>
    <mergeCell ref="E28:H28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44:H44"/>
    <mergeCell ref="A46:B46"/>
    <mergeCell ref="C46:E46"/>
    <mergeCell ref="A45:H45"/>
    <mergeCell ref="G46:H46"/>
    <mergeCell ref="A39:D39"/>
    <mergeCell ref="E39:H39"/>
    <mergeCell ref="A43:D43"/>
    <mergeCell ref="A40:D40"/>
    <mergeCell ref="E40:H40"/>
    <mergeCell ref="E41:H41"/>
    <mergeCell ref="E42:H42"/>
    <mergeCell ref="E43:H43"/>
    <mergeCell ref="A41:D41"/>
    <mergeCell ref="A42:D42"/>
    <mergeCell ref="C36:H36"/>
    <mergeCell ref="A19:D20"/>
    <mergeCell ref="E19:H20"/>
    <mergeCell ref="A36:B36"/>
    <mergeCell ref="A16:B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E12:H12"/>
    <mergeCell ref="A13:B13"/>
    <mergeCell ref="C13:H13"/>
    <mergeCell ref="C14:H14"/>
    <mergeCell ref="A12:D12"/>
    <mergeCell ref="A292:H292"/>
    <mergeCell ref="A125:H125"/>
    <mergeCell ref="A118:B118"/>
    <mergeCell ref="A124:H124"/>
    <mergeCell ref="A105:E105"/>
    <mergeCell ref="A107:E107"/>
    <mergeCell ref="F107:H107"/>
    <mergeCell ref="F105:H105"/>
    <mergeCell ref="G202:H202"/>
    <mergeCell ref="A203:B203"/>
    <mergeCell ref="G203:H203"/>
    <mergeCell ref="B283:H283"/>
    <mergeCell ref="B284:H284"/>
    <mergeCell ref="B285:H285"/>
    <mergeCell ref="B286:H286"/>
    <mergeCell ref="A128:H128"/>
    <mergeCell ref="G111:H111"/>
    <mergeCell ref="A106:E106"/>
    <mergeCell ref="G126:H126"/>
    <mergeCell ref="A129:H129"/>
    <mergeCell ref="C112:D112"/>
    <mergeCell ref="E112:F112"/>
    <mergeCell ref="G112:H112"/>
    <mergeCell ref="C118:D118"/>
    <mergeCell ref="A299:H302"/>
    <mergeCell ref="A298:B298"/>
    <mergeCell ref="E298:F298"/>
    <mergeCell ref="C298:D298"/>
    <mergeCell ref="G298:H298"/>
    <mergeCell ref="A110:H110"/>
    <mergeCell ref="A108:E108"/>
    <mergeCell ref="F108:H108"/>
    <mergeCell ref="A109:E109"/>
    <mergeCell ref="F109:H109"/>
    <mergeCell ref="A294:H294"/>
    <mergeCell ref="A117:H117"/>
    <mergeCell ref="C119:D119"/>
    <mergeCell ref="E119:F119"/>
    <mergeCell ref="G119:H119"/>
    <mergeCell ref="C111:D111"/>
    <mergeCell ref="A111:B111"/>
    <mergeCell ref="E111:F111"/>
    <mergeCell ref="A295:H295"/>
    <mergeCell ref="A296:H296"/>
    <mergeCell ref="A297:H297"/>
    <mergeCell ref="A291:H291"/>
    <mergeCell ref="A293:H293"/>
    <mergeCell ref="A272:B272"/>
    <mergeCell ref="A48:B49"/>
    <mergeCell ref="G48:H48"/>
    <mergeCell ref="D63:H63"/>
    <mergeCell ref="C47:E47"/>
    <mergeCell ref="A50:B50"/>
    <mergeCell ref="C50:E50"/>
    <mergeCell ref="A47:B47"/>
    <mergeCell ref="A56:H56"/>
    <mergeCell ref="A57:C57"/>
    <mergeCell ref="D60:H60"/>
    <mergeCell ref="A58:C58"/>
    <mergeCell ref="D58:H58"/>
    <mergeCell ref="D57:H57"/>
    <mergeCell ref="G47:H47"/>
    <mergeCell ref="C48:E48"/>
    <mergeCell ref="D59:H59"/>
    <mergeCell ref="A59:C59"/>
    <mergeCell ref="G50:H50"/>
    <mergeCell ref="C49:H49"/>
    <mergeCell ref="A51:H51"/>
    <mergeCell ref="A62:C62"/>
    <mergeCell ref="A63:C63"/>
    <mergeCell ref="D62:H62"/>
    <mergeCell ref="D61:H61"/>
    <mergeCell ref="A100:E100"/>
    <mergeCell ref="A98:H98"/>
    <mergeCell ref="A99:E99"/>
    <mergeCell ref="F99:H99"/>
    <mergeCell ref="A96:H96"/>
    <mergeCell ref="A97:B97"/>
    <mergeCell ref="C97:H97"/>
    <mergeCell ref="A65:C65"/>
    <mergeCell ref="D65:H65"/>
    <mergeCell ref="F95:H95"/>
    <mergeCell ref="A85:B85"/>
    <mergeCell ref="E85:F94"/>
    <mergeCell ref="G85:H94"/>
    <mergeCell ref="A86:B86"/>
    <mergeCell ref="A87:B87"/>
    <mergeCell ref="A88:B88"/>
    <mergeCell ref="A89:B89"/>
    <mergeCell ref="A95:E95"/>
    <mergeCell ref="A90:B90"/>
    <mergeCell ref="A91:B91"/>
    <mergeCell ref="A92:B92"/>
    <mergeCell ref="A93:B93"/>
    <mergeCell ref="A94:B94"/>
    <mergeCell ref="A70:B70"/>
    <mergeCell ref="A60:C61"/>
    <mergeCell ref="E70:F70"/>
    <mergeCell ref="A83:B83"/>
    <mergeCell ref="C83:H83"/>
    <mergeCell ref="A84:B84"/>
    <mergeCell ref="E84:F84"/>
    <mergeCell ref="G84:H84"/>
    <mergeCell ref="A64:C64"/>
    <mergeCell ref="D64:H64"/>
    <mergeCell ref="G70:H70"/>
    <mergeCell ref="A71:B71"/>
    <mergeCell ref="E71:F80"/>
    <mergeCell ref="G71:H80"/>
    <mergeCell ref="A72:B72"/>
    <mergeCell ref="A73:B73"/>
    <mergeCell ref="A74:B74"/>
    <mergeCell ref="A75:B75"/>
    <mergeCell ref="C81:H81"/>
    <mergeCell ref="C68:H68"/>
    <mergeCell ref="C69:D69"/>
    <mergeCell ref="E69:F69"/>
    <mergeCell ref="G69:H69"/>
    <mergeCell ref="F106:H106"/>
    <mergeCell ref="A102:E102"/>
    <mergeCell ref="F102:H102"/>
    <mergeCell ref="A103:E103"/>
    <mergeCell ref="F103:H103"/>
    <mergeCell ref="A104:E104"/>
    <mergeCell ref="F104:H104"/>
    <mergeCell ref="A101:E101"/>
    <mergeCell ref="F101:H101"/>
    <mergeCell ref="G232:H232"/>
    <mergeCell ref="A240:H240"/>
    <mergeCell ref="A241:B241"/>
    <mergeCell ref="A227:B227"/>
    <mergeCell ref="G227:H227"/>
    <mergeCell ref="A215:B215"/>
    <mergeCell ref="G215:H215"/>
    <mergeCell ref="A216:B216"/>
    <mergeCell ref="G216:H216"/>
    <mergeCell ref="A217:B217"/>
    <mergeCell ref="G217:H217"/>
    <mergeCell ref="A229:H229"/>
    <mergeCell ref="G221:H221"/>
    <mergeCell ref="A239:B239"/>
    <mergeCell ref="G239:H239"/>
    <mergeCell ref="A233:B233"/>
    <mergeCell ref="G233:H233"/>
    <mergeCell ref="A234:B234"/>
    <mergeCell ref="G234:H234"/>
    <mergeCell ref="A236:B236"/>
    <mergeCell ref="G236:H236"/>
    <mergeCell ref="A235:B235"/>
    <mergeCell ref="G235:H235"/>
    <mergeCell ref="A237:B237"/>
    <mergeCell ref="A248:B248"/>
    <mergeCell ref="G248:H248"/>
    <mergeCell ref="A249:B249"/>
    <mergeCell ref="G249:H249"/>
    <mergeCell ref="A250:B250"/>
    <mergeCell ref="G250:H250"/>
    <mergeCell ref="A261:B261"/>
    <mergeCell ref="G261:H261"/>
    <mergeCell ref="A257:B257"/>
    <mergeCell ref="G257:H257"/>
    <mergeCell ref="A258:B258"/>
    <mergeCell ref="A256:B256"/>
    <mergeCell ref="G256:H256"/>
    <mergeCell ref="A259:B259"/>
    <mergeCell ref="B289:H289"/>
    <mergeCell ref="A222:B222"/>
    <mergeCell ref="G222:H222"/>
    <mergeCell ref="A223:B223"/>
    <mergeCell ref="G223:H223"/>
    <mergeCell ref="A224:B224"/>
    <mergeCell ref="G224:H224"/>
    <mergeCell ref="A225:B225"/>
    <mergeCell ref="G225:H225"/>
    <mergeCell ref="A226:B226"/>
    <mergeCell ref="G226:H226"/>
    <mergeCell ref="B287:H287"/>
    <mergeCell ref="B288:H288"/>
    <mergeCell ref="A230:B230"/>
    <mergeCell ref="G230:H230"/>
    <mergeCell ref="A231:B231"/>
    <mergeCell ref="G231:H231"/>
    <mergeCell ref="A232:B232"/>
    <mergeCell ref="A255:B255"/>
    <mergeCell ref="G255:H255"/>
    <mergeCell ref="G259:H259"/>
    <mergeCell ref="A260:B260"/>
    <mergeCell ref="G260:H260"/>
    <mergeCell ref="G271:H271"/>
    <mergeCell ref="G213:H213"/>
    <mergeCell ref="A214:B214"/>
    <mergeCell ref="G214:H214"/>
    <mergeCell ref="C122:D122"/>
    <mergeCell ref="E122:F122"/>
    <mergeCell ref="G122:H122"/>
    <mergeCell ref="A123:B123"/>
    <mergeCell ref="C123:D123"/>
    <mergeCell ref="E123:F123"/>
    <mergeCell ref="G123:H123"/>
    <mergeCell ref="A179:B179"/>
    <mergeCell ref="G179:H179"/>
    <mergeCell ref="A206:H206"/>
    <mergeCell ref="A182:H182"/>
    <mergeCell ref="G183:H183"/>
    <mergeCell ref="G152:H152"/>
    <mergeCell ref="A130:B130"/>
    <mergeCell ref="G172:H172"/>
    <mergeCell ref="A212:B212"/>
    <mergeCell ref="A247:B247"/>
    <mergeCell ref="G247:H247"/>
    <mergeCell ref="L179:M179"/>
    <mergeCell ref="A180:B180"/>
    <mergeCell ref="G180:H180"/>
    <mergeCell ref="L180:M180"/>
    <mergeCell ref="A181:B181"/>
    <mergeCell ref="G181:H181"/>
    <mergeCell ref="L181:M181"/>
    <mergeCell ref="A246:B246"/>
    <mergeCell ref="G246:H246"/>
    <mergeCell ref="G244:H244"/>
    <mergeCell ref="A245:B245"/>
    <mergeCell ref="G245:H245"/>
    <mergeCell ref="A228:B228"/>
    <mergeCell ref="G228:H228"/>
    <mergeCell ref="A218:H218"/>
    <mergeCell ref="A219:B219"/>
    <mergeCell ref="G219:H219"/>
    <mergeCell ref="A220:B220"/>
    <mergeCell ref="G220:H220"/>
    <mergeCell ref="A221:B221"/>
    <mergeCell ref="G209:H209"/>
    <mergeCell ref="A213:B213"/>
    <mergeCell ref="A281:B281"/>
    <mergeCell ref="G281:H281"/>
    <mergeCell ref="C277:F277"/>
    <mergeCell ref="A264:H264"/>
    <mergeCell ref="A265:B265"/>
    <mergeCell ref="G265:H265"/>
    <mergeCell ref="A266:B266"/>
    <mergeCell ref="G266:H266"/>
    <mergeCell ref="A267:B267"/>
    <mergeCell ref="G267:H267"/>
    <mergeCell ref="A268:B268"/>
    <mergeCell ref="G268:H268"/>
    <mergeCell ref="A269:B269"/>
    <mergeCell ref="G269:H269"/>
    <mergeCell ref="A280:B280"/>
    <mergeCell ref="G280:H280"/>
    <mergeCell ref="A278:B278"/>
    <mergeCell ref="G272:H272"/>
    <mergeCell ref="A273:B273"/>
    <mergeCell ref="G273:H273"/>
    <mergeCell ref="A274:B274"/>
    <mergeCell ref="G274:H274"/>
    <mergeCell ref="A276:H276"/>
    <mergeCell ref="G278:H278"/>
    <mergeCell ref="A279:B279"/>
    <mergeCell ref="G279:H279"/>
    <mergeCell ref="A275:B275"/>
    <mergeCell ref="G275:H275"/>
    <mergeCell ref="A270:H270"/>
    <mergeCell ref="G241:H241"/>
    <mergeCell ref="A242:B242"/>
    <mergeCell ref="G242:H242"/>
    <mergeCell ref="A243:B243"/>
    <mergeCell ref="G243:H243"/>
    <mergeCell ref="A244:B244"/>
    <mergeCell ref="A277:B277"/>
    <mergeCell ref="G277:H277"/>
    <mergeCell ref="A251:H251"/>
    <mergeCell ref="A271:B271"/>
    <mergeCell ref="A262:H262"/>
    <mergeCell ref="A263:H263"/>
    <mergeCell ref="A252:B252"/>
    <mergeCell ref="G252:H252"/>
    <mergeCell ref="A253:B253"/>
    <mergeCell ref="G253:H253"/>
    <mergeCell ref="A254:B254"/>
    <mergeCell ref="G254:H254"/>
    <mergeCell ref="G258:H258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scale="93" fitToHeight="0" orientation="portrait" r:id="rId2"/>
  <headerFooter>
    <oddHeader>&amp;C&amp;G</oddHeader>
    <oddFooter>&amp;L&amp;"Times New Roman,Bold"&amp;12Ref No: &amp;F&amp;C&amp;G</oddFooter>
  </headerFooter>
  <rowBreaks count="4" manualBreakCount="4">
    <brk id="80" max="7" man="1"/>
    <brk id="302" max="16383" man="1"/>
    <brk id="345" max="16383" man="1"/>
    <brk id="38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C13" sqref="C13"/>
    </sheetView>
  </sheetViews>
  <sheetFormatPr defaultRowHeight="14.5" x14ac:dyDescent="0.35"/>
  <cols>
    <col min="2" max="2" width="12.26953125" customWidth="1"/>
  </cols>
  <sheetData>
    <row r="2" spans="1:12" x14ac:dyDescent="0.35">
      <c r="B2" s="2" t="s">
        <v>77</v>
      </c>
      <c r="C2" s="184"/>
      <c r="D2" s="184"/>
    </row>
    <row r="3" spans="1:12" x14ac:dyDescent="0.35">
      <c r="D3" s="3"/>
      <c r="E3" s="3"/>
      <c r="F3" s="3"/>
      <c r="G3" s="3"/>
      <c r="H3" s="3"/>
      <c r="I3" s="3"/>
    </row>
    <row r="4" spans="1:12" x14ac:dyDescent="0.35">
      <c r="A4" s="2" t="s">
        <v>78</v>
      </c>
      <c r="B4" s="4" t="s">
        <v>79</v>
      </c>
      <c r="C4" s="185" t="s">
        <v>80</v>
      </c>
      <c r="D4" s="185"/>
      <c r="E4" s="185"/>
      <c r="F4" s="5"/>
      <c r="G4" s="185" t="s">
        <v>81</v>
      </c>
      <c r="H4" s="185"/>
      <c r="I4" s="185"/>
      <c r="J4" s="185" t="s">
        <v>82</v>
      </c>
      <c r="K4" s="185"/>
      <c r="L4" s="185"/>
    </row>
    <row r="5" spans="1:12" x14ac:dyDescent="0.35">
      <c r="A5" s="2">
        <v>202</v>
      </c>
      <c r="B5" s="4"/>
      <c r="C5" s="4" t="s">
        <v>83</v>
      </c>
      <c r="D5" s="4" t="s">
        <v>84</v>
      </c>
      <c r="E5" s="4" t="s">
        <v>59</v>
      </c>
      <c r="F5" s="4"/>
      <c r="G5" s="4" t="s">
        <v>83</v>
      </c>
      <c r="H5" s="4" t="s">
        <v>84</v>
      </c>
      <c r="I5" s="4" t="s">
        <v>59</v>
      </c>
      <c r="J5" s="4" t="s">
        <v>83</v>
      </c>
      <c r="K5" s="4" t="s">
        <v>84</v>
      </c>
      <c r="L5" s="4" t="s">
        <v>59</v>
      </c>
    </row>
    <row r="6" spans="1:12" x14ac:dyDescent="0.35">
      <c r="B6" s="6" t="s">
        <v>85</v>
      </c>
      <c r="C6" s="6">
        <v>4.5</v>
      </c>
      <c r="D6" s="6">
        <v>2.9</v>
      </c>
      <c r="E6" s="6">
        <f>C6*D6</f>
        <v>13.049999999999999</v>
      </c>
      <c r="F6" s="6" t="s">
        <v>86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5">
      <c r="B7" s="6"/>
      <c r="C7" s="6"/>
      <c r="D7" s="6"/>
      <c r="E7" s="6">
        <f t="shared" ref="E7:E33" si="0">C7*D7</f>
        <v>0</v>
      </c>
      <c r="F7" s="6" t="s">
        <v>87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5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5">
      <c r="B9" s="6" t="s">
        <v>88</v>
      </c>
      <c r="C9" s="6">
        <v>1.88</v>
      </c>
      <c r="D9" s="6">
        <v>2.13</v>
      </c>
      <c r="E9" s="6">
        <f t="shared" si="0"/>
        <v>4.0043999999999995</v>
      </c>
      <c r="F9" s="6" t="s">
        <v>86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5">
      <c r="B10" s="6"/>
      <c r="C10" s="6"/>
      <c r="D10" s="6"/>
      <c r="E10" s="6">
        <f t="shared" si="0"/>
        <v>0</v>
      </c>
      <c r="F10" s="6" t="s">
        <v>87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5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5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5">
      <c r="B13" s="6" t="s">
        <v>89</v>
      </c>
      <c r="C13" s="6"/>
      <c r="D13" s="6"/>
      <c r="E13" s="6">
        <f t="shared" si="0"/>
        <v>0</v>
      </c>
      <c r="F13" s="6" t="s">
        <v>86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5">
      <c r="B14" s="6"/>
      <c r="C14" s="6"/>
      <c r="D14" s="6"/>
      <c r="E14" s="6">
        <f t="shared" si="0"/>
        <v>0</v>
      </c>
      <c r="F14" s="6" t="s">
        <v>87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5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5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5">
      <c r="B17" s="6" t="s">
        <v>90</v>
      </c>
      <c r="C17" s="6"/>
      <c r="D17" s="6"/>
      <c r="E17" s="6">
        <f t="shared" si="0"/>
        <v>0</v>
      </c>
      <c r="F17" s="6" t="s">
        <v>86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5">
      <c r="B18" s="6"/>
      <c r="C18" s="6"/>
      <c r="D18" s="6"/>
      <c r="E18" s="6">
        <f t="shared" si="0"/>
        <v>0</v>
      </c>
      <c r="F18" s="6" t="s">
        <v>87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5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5">
      <c r="B20" s="6" t="s">
        <v>90</v>
      </c>
      <c r="C20" s="6"/>
      <c r="D20" s="6"/>
      <c r="E20" s="6">
        <f t="shared" si="0"/>
        <v>0</v>
      </c>
      <c r="F20" s="6" t="s">
        <v>86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5">
      <c r="B21" s="6"/>
      <c r="C21" s="6"/>
      <c r="D21" s="6"/>
      <c r="E21" s="6">
        <f t="shared" si="0"/>
        <v>0</v>
      </c>
      <c r="F21" s="6" t="s">
        <v>87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5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5">
      <c r="B23" s="6" t="s">
        <v>91</v>
      </c>
      <c r="C23" s="6">
        <v>1.9</v>
      </c>
      <c r="D23" s="6">
        <v>1.07</v>
      </c>
      <c r="E23" s="6">
        <f t="shared" si="0"/>
        <v>2.0329999999999999</v>
      </c>
      <c r="F23" s="6" t="s">
        <v>92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5">
      <c r="B24" s="6" t="s">
        <v>93</v>
      </c>
      <c r="C24" s="6"/>
      <c r="D24" s="6"/>
      <c r="E24" s="6">
        <f t="shared" si="0"/>
        <v>0</v>
      </c>
      <c r="F24" s="6" t="s">
        <v>92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5">
      <c r="B25" s="6" t="s">
        <v>94</v>
      </c>
      <c r="C25" s="6"/>
      <c r="D25" s="6"/>
      <c r="E25" s="6">
        <f t="shared" si="0"/>
        <v>0</v>
      </c>
      <c r="F25" s="6" t="s">
        <v>92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5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5">
      <c r="B27" s="6" t="s">
        <v>95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5">
      <c r="B28" s="6" t="s">
        <v>96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5">
      <c r="B29" s="6" t="s">
        <v>97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5">
      <c r="B30" s="6" t="s">
        <v>98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5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5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5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5">
      <c r="B34" s="6" t="s">
        <v>60</v>
      </c>
      <c r="C34" s="6"/>
      <c r="D34" s="6">
        <f>E34*10.764</f>
        <v>205.45677359999996</v>
      </c>
      <c r="E34" s="6">
        <f>SUM(E6:E33)</f>
        <v>19.087399999999999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E8" sqref="E8"/>
    </sheetView>
  </sheetViews>
  <sheetFormatPr defaultColWidth="8.7265625" defaultRowHeight="14.5" x14ac:dyDescent="0.35"/>
  <cols>
    <col min="1" max="1" width="8.7265625" style="22"/>
    <col min="2" max="2" width="22.1796875" style="22" customWidth="1"/>
    <col min="3" max="3" width="37" style="22" customWidth="1"/>
    <col min="4" max="5" width="11.453125" style="22" customWidth="1"/>
    <col min="6" max="6" width="14" style="22" customWidth="1"/>
    <col min="7" max="7" width="20" style="22" customWidth="1"/>
    <col min="8" max="8" width="16.453125" style="22" customWidth="1"/>
    <col min="9" max="16384" width="8.7265625" style="22"/>
  </cols>
  <sheetData>
    <row r="1" spans="1:9" ht="15" customHeight="1" x14ac:dyDescent="0.35">
      <c r="A1" s="21"/>
      <c r="B1" s="21"/>
      <c r="C1" s="21"/>
      <c r="D1" s="21"/>
      <c r="E1" s="21"/>
      <c r="F1" s="21"/>
      <c r="G1" s="21"/>
      <c r="H1" s="21"/>
    </row>
    <row r="2" spans="1:9" ht="15" customHeight="1" x14ac:dyDescent="0.3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5">
      <c r="A3" s="23"/>
      <c r="B3" s="186" t="s">
        <v>141</v>
      </c>
      <c r="C3" s="186"/>
      <c r="D3" s="186"/>
      <c r="E3" s="186"/>
      <c r="F3" s="186"/>
      <c r="G3" s="186"/>
      <c r="H3" s="186"/>
    </row>
    <row r="4" spans="1:9" x14ac:dyDescent="0.35">
      <c r="A4" s="23"/>
      <c r="B4" s="24" t="s">
        <v>142</v>
      </c>
      <c r="C4" s="24" t="s">
        <v>143</v>
      </c>
      <c r="D4" s="24" t="s">
        <v>78</v>
      </c>
      <c r="E4" s="24" t="s">
        <v>144</v>
      </c>
      <c r="F4" s="24" t="s">
        <v>151</v>
      </c>
      <c r="G4" s="24" t="s">
        <v>152</v>
      </c>
      <c r="H4" s="24" t="s">
        <v>145</v>
      </c>
    </row>
    <row r="5" spans="1:9" ht="15" customHeight="1" x14ac:dyDescent="0.35">
      <c r="A5" s="23"/>
      <c r="B5" s="26" t="s">
        <v>146</v>
      </c>
      <c r="C5" s="27"/>
      <c r="D5" s="26" t="s">
        <v>147</v>
      </c>
      <c r="E5" s="26">
        <v>1106</v>
      </c>
      <c r="F5" s="28">
        <f>E5*1.6</f>
        <v>1769.6000000000001</v>
      </c>
      <c r="G5" s="28">
        <f>H5/F5</f>
        <v>31532.549728752259</v>
      </c>
      <c r="H5" s="29">
        <v>55800000</v>
      </c>
    </row>
    <row r="6" spans="1:9" x14ac:dyDescent="0.35">
      <c r="A6" s="23"/>
      <c r="B6" s="26" t="s">
        <v>146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35">
      <c r="A7" s="23"/>
      <c r="B7" s="26" t="s">
        <v>146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35">
      <c r="A8" s="23"/>
      <c r="B8" s="26" t="s">
        <v>146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5">
      <c r="A9" s="23"/>
      <c r="B9" s="26" t="s">
        <v>146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5">
      <c r="A10" s="23"/>
      <c r="B10" s="26" t="s">
        <v>148</v>
      </c>
      <c r="C10" s="27"/>
      <c r="D10" s="26"/>
      <c r="E10" s="26"/>
      <c r="F10" s="28">
        <f t="shared" si="0"/>
        <v>0</v>
      </c>
      <c r="G10" s="28" t="e">
        <f t="shared" si="1"/>
        <v>#DIV/0!</v>
      </c>
      <c r="H10" s="29"/>
    </row>
    <row r="11" spans="1:9" ht="15" customHeight="1" x14ac:dyDescent="0.35">
      <c r="A11" s="23"/>
      <c r="B11" s="26" t="s">
        <v>148</v>
      </c>
      <c r="C11" s="27"/>
      <c r="D11" s="26"/>
      <c r="E11" s="26"/>
      <c r="F11" s="28">
        <f t="shared" si="0"/>
        <v>0</v>
      </c>
      <c r="G11" s="28" t="e">
        <f t="shared" si="1"/>
        <v>#DIV/0!</v>
      </c>
      <c r="H11" s="29"/>
    </row>
    <row r="12" spans="1:9" ht="15" customHeight="1" x14ac:dyDescent="0.35">
      <c r="A12" s="23"/>
      <c r="B12" s="31" t="s">
        <v>149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5">
      <c r="A13" s="21"/>
      <c r="B13" s="31" t="s">
        <v>150</v>
      </c>
      <c r="C13" s="33"/>
      <c r="D13" s="33"/>
      <c r="E13" s="33"/>
      <c r="F13" s="34"/>
      <c r="G13" s="31"/>
      <c r="H13" s="31"/>
      <c r="I13" s="25"/>
    </row>
    <row r="14" spans="1:9" ht="15" customHeight="1" x14ac:dyDescent="0.35">
      <c r="B14" s="21"/>
      <c r="C14" s="21"/>
      <c r="D14" s="21"/>
      <c r="E14" s="21"/>
    </row>
    <row r="15" spans="1:9" ht="15" customHeight="1" x14ac:dyDescent="0.35">
      <c r="B15" s="21"/>
      <c r="C15" s="21"/>
      <c r="D15" s="21"/>
      <c r="E15" s="21"/>
    </row>
    <row r="16" spans="1:9" ht="15" customHeight="1" x14ac:dyDescent="0.35">
      <c r="B16" s="21"/>
      <c r="C16" s="21"/>
      <c r="D16" s="21"/>
      <c r="E16" s="2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2025-07-09T12:54:30Z</cp:lastPrinted>
  <dcterms:created xsi:type="dcterms:W3CDTF">2019-07-16T09:29:46Z</dcterms:created>
  <dcterms:modified xsi:type="dcterms:W3CDTF">2025-08-13T14:25:25Z</dcterms:modified>
</cp:coreProperties>
</file>