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J125" i="1"/>
  <c r="J126" i="1"/>
  <c r="I129" i="1" l="1"/>
  <c r="D129" i="1"/>
  <c r="F129" i="1" s="1"/>
  <c r="D128" i="1"/>
  <c r="F128" i="1" s="1"/>
  <c r="J128" i="1" s="1"/>
  <c r="D127" i="1"/>
  <c r="F127" i="1" s="1"/>
  <c r="J127" i="1" s="1"/>
  <c r="D123" i="1"/>
  <c r="D122" i="1"/>
  <c r="D121" i="1"/>
  <c r="D120" i="1"/>
  <c r="I122" i="1"/>
  <c r="I120" i="1"/>
  <c r="G127" i="1"/>
  <c r="J129" i="1" l="1"/>
  <c r="J112" i="1"/>
  <c r="C110" i="1"/>
  <c r="G111" i="1"/>
  <c r="C111" i="1"/>
  <c r="E110" i="1"/>
  <c r="E111" i="1"/>
  <c r="E42" i="1"/>
  <c r="E43" i="1" s="1"/>
  <c r="C112" i="1" l="1"/>
  <c r="E112" i="1"/>
  <c r="C14" i="1"/>
  <c r="E29" i="1" l="1"/>
  <c r="F107" i="1" l="1"/>
  <c r="B132" i="1" l="1"/>
  <c r="F123" i="1" l="1"/>
  <c r="J123" i="1" s="1"/>
  <c r="F122" i="1"/>
  <c r="F121" i="1"/>
  <c r="F120" i="1"/>
  <c r="K109" i="1" l="1"/>
  <c r="J120" i="1"/>
  <c r="J109" i="1"/>
  <c r="J121" i="1"/>
  <c r="J110" i="1"/>
  <c r="J122" i="1"/>
  <c r="J111" i="1"/>
  <c r="G110" i="1"/>
  <c r="G11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3" i="1"/>
  <c r="G120" i="1"/>
  <c r="J91" i="1"/>
  <c r="J90" i="1"/>
  <c r="J89" i="1"/>
  <c r="J88" i="1"/>
  <c r="C80" i="1"/>
  <c r="J77" i="1"/>
  <c r="J76" i="1"/>
  <c r="J75" i="1"/>
  <c r="J74" i="1"/>
  <c r="C66" i="1"/>
  <c r="D54" i="1"/>
  <c r="G49" i="1"/>
  <c r="C49" i="1"/>
  <c r="E26" i="1"/>
  <c r="E24" i="1"/>
  <c r="E7" i="1"/>
  <c r="E3" i="1"/>
  <c r="H67" i="1"/>
  <c r="H81" i="1"/>
  <c r="J113" i="1" l="1"/>
  <c r="D60" i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C85" i="1" s="1"/>
  <c r="J84" i="1"/>
  <c r="J85" i="1"/>
  <c r="C84" i="1" s="1"/>
  <c r="J83" i="1"/>
  <c r="D86" i="1" l="1"/>
  <c r="D72" i="1"/>
  <c r="J68" i="1"/>
  <c r="E70" i="1"/>
  <c r="D71" i="1"/>
  <c r="G70" i="1"/>
  <c r="D64" i="1" s="1"/>
  <c r="D65" i="1" s="1"/>
  <c r="D70" i="1"/>
  <c r="E84" i="1"/>
  <c r="D85" i="1"/>
  <c r="G84" i="1"/>
  <c r="D84" i="1"/>
  <c r="J81" i="1" s="1"/>
  <c r="I67" i="1" l="1"/>
  <c r="J67" i="1"/>
  <c r="I81" i="1"/>
  <c r="F65" i="1"/>
  <c r="I68" i="1" l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<sst xmlns="http://schemas.openxmlformats.org/spreadsheetml/2006/main" count="300" uniqueCount="220">
  <si>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</si>
  <si>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</si>
  <si>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</si>
  <si>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</si>
  <si>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</si>
  <si>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</si>
  <si>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</si>
  <si>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</si>
  <si>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</si>
  <si>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</si>
  <si>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</si>
  <si>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</si>
  <si>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</si>
  <si>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</si>
  <si>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</si>
  <si>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</si>
  <si>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</si>
  <si>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</si>
  <si>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</si>
  <si>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</si>
  <si>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</si>
  <si>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</si>
  <si>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</si>
  <si>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</si>
  <si>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</si>
  <si>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</si>
  <si>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</si>
  <si>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</si>
  <si>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</si>
  <si>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</si>
  <si>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</si>
  <si>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</si>
  <si>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</si>
  <si>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</si>
  <si>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</si>
  <si>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</si>
  <si>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</si>
  <si>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</si>
  <si>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</si>
  <si>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</si>
  <si>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</si>
  <si>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</si>
  <si>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</si>
  <si>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</si>
  <si>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</si>
  <si>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</si>
  <si>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</si>
  <si>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</si>
  <si>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</si>
  <si>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</si>
  <si>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</si>
  <si>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</si>
  <si>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</si>
  <si>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</si>
  <si>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</si>
  <si>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</si>
  <si>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</si>
  <si>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</si>
  <si>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</si>
  <si>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</si>
  <si>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</si>
  <si>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</si>
  <si>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</si>
  <si>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</si>
  <si>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</si>
  <si>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</si>
  <si>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</si>
  <si>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</si>
  <si>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</si>
  <si>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</si>
  <si>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</si>
  <si>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</si>
  <si>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</si>
  <si>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</si>
  <si>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</si>
  <si>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</si>
  <si>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</si>
  <si>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</si>
  <si>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</si>
  <si>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</si>
  <si>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</si>
  <si>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</si>
  <si>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</si>
  <si>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</si>
  <si>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</si>
  <si>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</si>
  <si>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</si>
  <si>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</si>
  <si>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</si>
  <si>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</si>
  <si>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</si>
  <si>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</si>
  <si>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</si>
  <si>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</si>
  <si>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</si>
  <si>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</si>
  <si>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</si>
  <si>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</si>
  <si>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</si>
  <si>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</si>
  <si>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</si>
  <si>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</si>
  <si>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</si>
  <si>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</si>
  <si>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</si>
  <si>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</si>
  <si>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</si>
  <si>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</si>
  <si>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</si>
  <si>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</si>
  <si>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</si>
  <si>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</si>
  <si>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</si>
  <si>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</si>
  <si>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</si>
  <si>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</si>
  <si>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</si>
  <si>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</si>
  <si>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</si>
  <si>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</si>
  <si>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</si>
  <si>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</si>
  <si>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</si>
  <si>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</si>
  <si>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</si>
  <si>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</si>
  <si>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</si>
  <si>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</si>
  <si>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</si>
  <si>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</si>
  <si>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</si>
  <si>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</si>
  <si>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</si>
  <si>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</si>
  <si>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</si>
  <si>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</si>
  <si>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</si>
  <si>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</si>
  <si>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</si>
  <si>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</si>
  <si>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</si>
  <si>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</si>
  <si>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</si>
  <si>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</si>
  <si>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</si>
  <si>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</si>
  <si>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</si>
  <si>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</si>
  <si>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</si>
  <si>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</si>
  <si>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</si>
  <si>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</si>
  <si>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</si>
  <si>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</si>
  <si>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</si>
  <si>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</si>
  <si>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</si>
  <si>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</si>
  <si>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</si>
  <si>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</si>
  <si>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</si>
  <si>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</si>
  <si>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</si>
  <si>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</si>
  <si>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</si>
  <si>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</si>
  <si>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</si>
  <si>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</si>
  <si>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</si>
  <si>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Thane</t>
  </si>
  <si>
    <t>Green Heights Infra</t>
  </si>
  <si>
    <t>Aadinath Complex</t>
  </si>
  <si>
    <t>Wing A &amp; B</t>
  </si>
  <si>
    <t>Plot No</t>
  </si>
  <si>
    <t>6, 7, 8, 9, 10, S.No.115, H. No. 4(PT)</t>
  </si>
  <si>
    <t>Asangaon</t>
  </si>
  <si>
    <t>Thane</t>
  </si>
  <si>
    <t>Shahapur</t>
  </si>
  <si>
    <t>https://goo.gl/maps/SDNDmWUon6bLJAnN6</t>
  </si>
  <si>
    <t>Gokul Residency</t>
  </si>
  <si>
    <t>Karate Hall</t>
  </si>
  <si>
    <t>New standard high school</t>
  </si>
  <si>
    <t>Rachana Kunj</t>
  </si>
  <si>
    <t>Internal Road</t>
  </si>
  <si>
    <t>Tulsi Vihar</t>
  </si>
  <si>
    <t>02 Building</t>
  </si>
  <si>
    <t>A Wing = Gr/Stilt + 1st to 4th Floor
B Wing = Gr/Stilt + 1st to 4th Floor</t>
  </si>
  <si>
    <t>B Wing = Gr/Stilt + 1st to 4th Floor</t>
  </si>
  <si>
    <t>Collector Office Thane</t>
  </si>
  <si>
    <t>Ground Floor For Parking</t>
  </si>
  <si>
    <t>1st, 2nd, 3rd &amp; 4th Floor</t>
  </si>
  <si>
    <t>A Wing</t>
  </si>
  <si>
    <t>B Wing</t>
  </si>
  <si>
    <t>1BHK</t>
  </si>
  <si>
    <t>We considered Gross carpet area = Net carpet + Enclose balcony.</t>
  </si>
  <si>
    <t>Flats - 28</t>
  </si>
  <si>
    <t>Approved Plans, CC, Cost Sheet</t>
  </si>
  <si>
    <t>P51700032369</t>
  </si>
  <si>
    <t>Mr. Ashok Kadmaliya - 9773065114</t>
  </si>
  <si>
    <t>Mr. Sanjay - 7498303012</t>
  </si>
  <si>
    <t>0.600KM from Asangaon Railway Station</t>
  </si>
  <si>
    <t>BS/RKKN/BP/M.Aasangaon/T.Shahapur/SSTN/606</t>
  </si>
  <si>
    <t>Society Formation &amp; Development Charges</t>
  </si>
  <si>
    <t>Cost Sheet</t>
  </si>
  <si>
    <t>Sheet</t>
  </si>
  <si>
    <t>3200 to 3600</t>
  </si>
  <si>
    <t>Sanket</t>
  </si>
  <si>
    <t>Verbal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</si>
  <si>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</si>
  <si>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 xml:space="preserve">1. Vitrified tiles flooring 2. Granite Kitchen Platform 3. Decorative Enternace etc.
</t>
  </si>
  <si>
    <t>As per RERA, completion period of project Aadinath Complex is expired on 31/01/2024 but still project is under construction.</t>
  </si>
  <si>
    <t>A  &amp; B Wing = Gr/Stilt + 1st to 4th Floor</t>
  </si>
  <si>
    <t>Latitude,Longitude</t>
  </si>
  <si>
    <t>19.4366603,73.3101714</t>
  </si>
  <si>
    <t>The project has received CC on 12/08/2021, But construction work is not yet completed.</t>
  </si>
  <si>
    <t>MHSL/K-1/T-11/BP/Aasangaon(Shahapur)
/SR-(58/2020)72/2021</t>
  </si>
  <si>
    <t>Mangesh Bapardekar</t>
  </si>
  <si>
    <t>As per RERA - 31/12/2025</t>
  </si>
  <si>
    <t>Pranita Mhatre</t>
  </si>
  <si>
    <t xml:space="preserve">Finishing work is in process at the time of visit.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</si>
</sst>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5" fontId="7" fillId="0" borderId="0" xfId="1" applyNumberFormat="1" applyFont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167" fontId="7" fillId="0" borderId="0" xfId="9" applyNumberFormat="1" applyFont="1" applyAlignment="1">
      <alignment horizontal="center" vertical="center"/>
    </xf>
    <xf numFmtId="167" fontId="8" fillId="0" borderId="0" xfId="2" applyNumberFormat="1" applyFont="1"/>
    <xf numFmtId="1" fontId="10" fillId="0" borderId="0" xfId="0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343320</xdr:colOff>
      <xdr:row>237</xdr:row>
      <xdr:rowOff>82837</xdr:rowOff>
    </xdr:from>
    <xdr:to>
      <xdr:col>6</xdr:col>
      <xdr:colOff>592970</xdr:colOff>
      <xdr:row>253</xdr:row>
      <xdr:rowOff>142316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5320" y="44193112"/>
          <a:ext cx="4469225" cy="325987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355422</xdr:colOff>
      <xdr:row>254</xdr:row>
      <xdr:rowOff>48494</xdr:rowOff>
    </xdr:from>
    <xdr:to>
      <xdr:col>6</xdr:col>
      <xdr:colOff>580867</xdr:colOff>
      <xdr:row>270</xdr:row>
      <xdr:rowOff>107972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7422" y="47559194"/>
          <a:ext cx="4445020" cy="3259878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66260</xdr:colOff>
      <xdr:row>263</xdr:row>
      <xdr:rowOff>74543</xdr:rowOff>
    </xdr:from>
    <xdr:to>
      <xdr:col>4</xdr:col>
      <xdr:colOff>314739</xdr:colOff>
      <xdr:row>265</xdr:row>
      <xdr:rowOff>165652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58717" y="66840652"/>
          <a:ext cx="1258957" cy="48867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279388</xdr:colOff>
      <xdr:row>196</xdr:row>
      <xdr:rowOff>17522</xdr:rowOff>
    </xdr:from>
    <xdr:to>
      <xdr:col>5</xdr:col>
      <xdr:colOff>335338</xdr:colOff>
      <xdr:row>211</xdr:row>
      <xdr:rowOff>52850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8" t="21671" b="26813"/>
        <a:stretch/>
      </xdr:blipFill>
      <xdr:spPr>
        <a:xfrm rot="16200000">
          <a:off x="1689142" y="43016249"/>
          <a:ext cx="3002731" cy="270096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688911</xdr:colOff>
      <xdr:row>211</xdr:row>
      <xdr:rowOff>168533</xdr:rowOff>
    </xdr:from>
    <xdr:to>
      <xdr:col>4</xdr:col>
      <xdr:colOff>763771</xdr:colOff>
      <xdr:row>224</xdr:row>
      <xdr:rowOff>160132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8" b="23442"/>
        <a:stretch/>
      </xdr:blipFill>
      <xdr:spPr>
        <a:xfrm>
          <a:off x="2249546" y="45983783"/>
          <a:ext cx="1869956" cy="256335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82826</xdr:colOff>
      <xdr:row>261</xdr:row>
      <xdr:rowOff>198779</xdr:rowOff>
    </xdr:from>
    <xdr:to>
      <xdr:col>4</xdr:col>
      <xdr:colOff>339587</xdr:colOff>
      <xdr:row>263</xdr:row>
      <xdr:rowOff>74540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675283" y="56131236"/>
          <a:ext cx="1267239" cy="273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</a:rPr>
            <a:t>Aadinath</a:t>
          </a:r>
          <a:r>
            <a:rPr lang="en-IN" sz="1100" b="1" baseline="0">
              <a:solidFill>
                <a:srgbClr val="FFFF00"/>
              </a:solidFill>
            </a:rPr>
            <a:t> Complex</a:t>
          </a:r>
          <a:endParaRPr lang="en-IN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512884</xdr:colOff>
      <xdr:row>217</xdr:row>
      <xdr:rowOff>117230</xdr:rowOff>
    </xdr:from>
    <xdr:to>
      <xdr:col>4</xdr:col>
      <xdr:colOff>43961</xdr:colOff>
      <xdr:row>221</xdr:row>
      <xdr:rowOff>153866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923442" y="47119442"/>
          <a:ext cx="476250" cy="827943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513065</xdr:colOff>
      <xdr:row>213</xdr:row>
      <xdr:rowOff>183173</xdr:rowOff>
    </xdr:from>
    <xdr:to>
      <xdr:col>4</xdr:col>
      <xdr:colOff>44142</xdr:colOff>
      <xdr:row>217</xdr:row>
      <xdr:rowOff>80610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23623" y="46394077"/>
          <a:ext cx="476250" cy="688745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36633</xdr:colOff>
      <xdr:row>213</xdr:row>
      <xdr:rowOff>153865</xdr:rowOff>
    </xdr:from>
    <xdr:to>
      <xdr:col>4</xdr:col>
      <xdr:colOff>644768</xdr:colOff>
      <xdr:row>214</xdr:row>
      <xdr:rowOff>197826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2364" y="46364769"/>
          <a:ext cx="608135" cy="241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00" b="1" i="0">
              <a:solidFill>
                <a:srgbClr val="FF0000"/>
              </a:solidFill>
            </a:rPr>
            <a:t>Wing B</a:t>
          </a:r>
        </a:p>
      </xdr:txBody>
    </xdr:sp>
    <xdr:clientData/>
  </xdr:twoCellAnchor>
  <xdr:twoCellAnchor>
    <xdr:from>
      <xdr:col>4</xdr:col>
      <xdr:colOff>80776</xdr:colOff>
      <xdr:row>219</xdr:row>
      <xdr:rowOff>117244</xdr:rowOff>
    </xdr:from>
    <xdr:to>
      <xdr:col>4</xdr:col>
      <xdr:colOff>688911</xdr:colOff>
      <xdr:row>220</xdr:row>
      <xdr:rowOff>161205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436507" y="47515109"/>
          <a:ext cx="608135" cy="241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00" b="1" i="0">
              <a:solidFill>
                <a:srgbClr val="FF0000"/>
              </a:solidFill>
            </a:rPr>
            <a:t>Wing A</a:t>
          </a:r>
        </a:p>
      </xdr:txBody>
    </xdr:sp>
    <xdr:clientData/>
  </xdr:twoCellAnchor>
  <xdr:twoCellAnchor>
    <xdr:from>
      <xdr:col>3</xdr:col>
      <xdr:colOff>644769</xdr:colOff>
      <xdr:row>198</xdr:row>
      <xdr:rowOff>51288</xdr:rowOff>
    </xdr:from>
    <xdr:to>
      <xdr:col>4</xdr:col>
      <xdr:colOff>161192</xdr:colOff>
      <xdr:row>205</xdr:row>
      <xdr:rowOff>58616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055327" y="43294788"/>
          <a:ext cx="461596" cy="1392116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59215</xdr:colOff>
      <xdr:row>152</xdr:row>
      <xdr:rowOff>0</xdr:rowOff>
    </xdr:from>
    <xdr:to>
      <xdr:col>10</xdr:col>
      <xdr:colOff>152883</xdr:colOff>
      <xdr:row>153</xdr:row>
      <xdr:rowOff>74544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621237" y="31987435"/>
          <a:ext cx="855668" cy="273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A Wing</a:t>
          </a:r>
        </a:p>
      </xdr:txBody>
    </xdr:sp>
    <xdr:clientData/>
  </xdr:twoCellAnchor>
  <xdr:twoCellAnchor>
    <xdr:from>
      <xdr:col>8</xdr:col>
      <xdr:colOff>0</xdr:colOff>
      <xdr:row>152</xdr:row>
      <xdr:rowOff>16570</xdr:rowOff>
    </xdr:from>
    <xdr:to>
      <xdr:col>8</xdr:col>
      <xdr:colOff>870604</xdr:colOff>
      <xdr:row>153</xdr:row>
      <xdr:rowOff>91114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02457" y="32004005"/>
          <a:ext cx="870604" cy="273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B Wing</a:t>
          </a:r>
        </a:p>
      </xdr:txBody>
    </xdr:sp>
    <xdr:clientData/>
  </xdr:twoCellAnchor>
  <xdr:twoCellAnchor>
    <xdr:from>
      <xdr:col>12</xdr:col>
      <xdr:colOff>742343</xdr:colOff>
      <xdr:row>152</xdr:row>
      <xdr:rowOff>57984</xdr:rowOff>
    </xdr:from>
    <xdr:to>
      <xdr:col>13</xdr:col>
      <xdr:colOff>738083</xdr:colOff>
      <xdr:row>153</xdr:row>
      <xdr:rowOff>132527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474408" y="32045419"/>
          <a:ext cx="782588" cy="273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A Wing</a:t>
          </a:r>
        </a:p>
      </xdr:txBody>
    </xdr:sp>
    <xdr:clientData/>
  </xdr:twoCellAnchor>
  <xdr:twoCellAnchor>
    <xdr:from>
      <xdr:col>11</xdr:col>
      <xdr:colOff>129429</xdr:colOff>
      <xdr:row>152</xdr:row>
      <xdr:rowOff>91114</xdr:rowOff>
    </xdr:from>
    <xdr:to>
      <xdr:col>12</xdr:col>
      <xdr:colOff>162560</xdr:colOff>
      <xdr:row>153</xdr:row>
      <xdr:rowOff>165657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157472" y="32078549"/>
          <a:ext cx="737153" cy="273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B Wing</a:t>
          </a:r>
        </a:p>
      </xdr:txBody>
    </xdr:sp>
    <xdr:clientData/>
  </xdr:twoCellAnchor>
  <xdr:twoCellAnchor>
    <xdr:from>
      <xdr:col>8</xdr:col>
      <xdr:colOff>602551</xdr:colOff>
      <xdr:row>152</xdr:row>
      <xdr:rowOff>23879</xdr:rowOff>
    </xdr:from>
    <xdr:to>
      <xdr:col>16</xdr:col>
      <xdr:colOff>462685</xdr:colOff>
      <xdr:row>188</xdr:row>
      <xdr:rowOff>49052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BC7EA65-1825-E175-9357-CF1082DBECF5}"/>
            </a:ext>
          </a:extLst>
        </xdr:cNvPr>
        <xdr:cNvGrpSpPr/>
      </xdr:nvGrpSpPr>
      <xdr:grpSpPr>
        <a:xfrm>
          <a:off x="7708201" y="27998804"/>
          <a:ext cx="6260934" cy="7216548"/>
          <a:chOff x="127359" y="226228"/>
          <a:chExt cx="6439495" cy="714987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F2A553D-A8F8-1582-08C9-66BBDDC0253B}"/>
              </a:ext>
            </a:extLst>
          </xdr:cNvPr>
          <xdr:cNvGrpSpPr/>
        </xdr:nvGrpSpPr>
        <xdr:grpSpPr>
          <a:xfrm>
            <a:off x="253964" y="226228"/>
            <a:ext cx="6186284" cy="2880000"/>
            <a:chOff x="241568" y="226228"/>
            <a:chExt cx="6186284" cy="288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E12DD4AA-9E11-12E2-FCF2-47A53ED6E2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70102" y="226228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0C312B4A-EBAC-2372-3BA3-CEF5E9D9A1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1568" y="226228"/>
              <a:ext cx="3836953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0570793-C3C4-283B-7BB0-6DCFBCB90B08}"/>
              </a:ext>
            </a:extLst>
          </xdr:cNvPr>
          <xdr:cNvGrpSpPr/>
        </xdr:nvGrpSpPr>
        <xdr:grpSpPr>
          <a:xfrm>
            <a:off x="1184789" y="5576102"/>
            <a:ext cx="4324634" cy="1800000"/>
            <a:chOff x="397077" y="5576102"/>
            <a:chExt cx="4324634" cy="180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C48B4606-D96B-F587-A018-0827525A8B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73117" y="557610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512F8BAF-B991-A105-D68D-9407879CDE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85575" y="557610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606BC9F-C57C-FD70-5A0A-66C2EEA3BD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7077" y="557610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53316635-3D38-98AC-4A5C-450C68091D93}"/>
              </a:ext>
            </a:extLst>
          </xdr:cNvPr>
          <xdr:cNvGrpSpPr/>
        </xdr:nvGrpSpPr>
        <xdr:grpSpPr>
          <a:xfrm>
            <a:off x="127359" y="3261165"/>
            <a:ext cx="6439495" cy="2160000"/>
            <a:chOff x="127359" y="3261165"/>
            <a:chExt cx="6439495" cy="216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364B87E-F3EF-8552-BD0A-A420749D57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7359" y="32611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B5C46F84-60DA-710F-5F59-9AC4A44B0A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89139" y="3261165"/>
              <a:ext cx="287771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A1D2FFBB-8455-EDCF-B36B-E63CAD7325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85575" y="32611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272142</xdr:colOff>
      <xdr:row>153</xdr:row>
      <xdr:rowOff>116134</xdr:rowOff>
    </xdr:from>
    <xdr:to>
      <xdr:col>7</xdr:col>
      <xdr:colOff>1187824</xdr:colOff>
      <xdr:row>192</xdr:row>
      <xdr:rowOff>179294</xdr:rowOff>
    </xdr:to>
    <xdr:grpSp>
      <xdr:nvGrpSpPr>
        <xdr:cNvPr id="44" name="Group 43"/>
        <xdr:cNvGrpSpPr/>
      </xdr:nvGrpSpPr>
      <xdr:grpSpPr>
        <a:xfrm>
          <a:off x="272142" y="28291084"/>
          <a:ext cx="6678307" cy="7854610"/>
          <a:chOff x="377982" y="1246976"/>
          <a:chExt cx="6070467" cy="6526247"/>
        </a:xfrm>
      </xdr:grpSpPr>
      <xdr:pic>
        <xdr:nvPicPr>
          <xdr:cNvPr id="45" name="Picture 44" descr="https://vsjcllp.vsjadon.com/upload/insp-23969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2422" y="63332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9695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53343" y="1246976"/>
            <a:ext cx="2198830" cy="2934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969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3206" y="63332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51" descr="https://vsjcllp.vsjadon.com/upload/insp-23969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2672" y="1246976"/>
            <a:ext cx="2198830" cy="29348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Picture 52" descr="https://vsjcllp.vsjadon.com/upload/insp-23969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01164" y="63332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Picture 53" descr="https://vsjcllp.vsjadon.com/upload/insp-23969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147" y="63332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54" descr="https://vsjcllp.vsjadon.com/upload/insp-23969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1729" y="4332359"/>
            <a:ext cx="1446720" cy="1930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39695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7982" y="4302252"/>
            <a:ext cx="1446720" cy="1930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39695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7466" y="4312056"/>
            <a:ext cx="1446720" cy="1930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3969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03987" y="63332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39695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75945" y="4312056"/>
            <a:ext cx="1446720" cy="1930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DNDmWUon6bLJAn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7"/>
  <sheetViews>
    <sheetView tabSelected="1" view="pageBreakPreview" topLeftCell="A121" zoomScaleNormal="100" zoomScaleSheetLayoutView="100" zoomScalePageLayoutView="115" workbookViewId="0">
      <selection activeCell="J130" sqref="J130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5" width="12.7109375" style="39" customWidth="1"/>
    <col min="6" max="7" width="11.7109375" style="39" customWidth="1"/>
    <col min="8" max="8" width="20.1406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43" t="s">
        <v>208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 x14ac:dyDescent="0.25">
      <c r="A3" s="105" t="s">
        <v>1</v>
      </c>
      <c r="B3" s="105"/>
      <c r="C3" s="105"/>
      <c r="D3" s="105"/>
      <c r="E3" s="105" t="str">
        <f ca="1">TEXT(TODAY(),"DD/MM/YYYY")</f>
        <v>14/07/2025</v>
      </c>
      <c r="F3" s="105"/>
      <c r="G3" s="105"/>
      <c r="H3" s="105"/>
    </row>
    <row r="4" spans="1:8" ht="15" customHeight="1" x14ac:dyDescent="0.25">
      <c r="A4" s="105" t="s">
        <v>2</v>
      </c>
      <c r="B4" s="105"/>
      <c r="C4" s="105"/>
      <c r="D4" s="105"/>
      <c r="E4" s="105" t="s">
        <v>169</v>
      </c>
      <c r="F4" s="105"/>
      <c r="G4" s="105"/>
      <c r="H4" s="105"/>
    </row>
    <row r="5" spans="1:8" x14ac:dyDescent="0.25">
      <c r="A5" s="105" t="s">
        <v>3</v>
      </c>
      <c r="B5" s="105"/>
      <c r="C5" s="105"/>
      <c r="D5" s="105"/>
      <c r="E5" s="145">
        <v>45850</v>
      </c>
      <c r="F5" s="105"/>
      <c r="G5" s="105"/>
      <c r="H5" s="105"/>
    </row>
    <row r="6" spans="1:8" ht="16.5" customHeight="1" x14ac:dyDescent="0.25">
      <c r="A6" s="105" t="s">
        <v>4</v>
      </c>
      <c r="B6" s="105"/>
      <c r="C6" s="105"/>
      <c r="D6" s="105"/>
      <c r="E6" s="105" t="s">
        <v>170</v>
      </c>
      <c r="F6" s="105"/>
      <c r="G6" s="105"/>
      <c r="H6" s="105"/>
    </row>
    <row r="7" spans="1:8" ht="15" customHeight="1" x14ac:dyDescent="0.25">
      <c r="A7" s="105" t="s">
        <v>5</v>
      </c>
      <c r="B7" s="105"/>
      <c r="C7" s="105"/>
      <c r="D7" s="105"/>
      <c r="E7" s="105" t="str">
        <f>E6</f>
        <v>Green Heights Infra</v>
      </c>
      <c r="F7" s="105"/>
      <c r="G7" s="105"/>
      <c r="H7" s="105"/>
    </row>
    <row r="8" spans="1:8" x14ac:dyDescent="0.25">
      <c r="A8" s="105" t="s">
        <v>6</v>
      </c>
      <c r="B8" s="105"/>
      <c r="C8" s="105"/>
      <c r="D8" s="105"/>
      <c r="E8" s="144" t="s">
        <v>171</v>
      </c>
      <c r="F8" s="144"/>
      <c r="G8" s="144"/>
      <c r="H8" s="144"/>
    </row>
    <row r="9" spans="1:8" x14ac:dyDescent="0.25">
      <c r="A9" s="105" t="s">
        <v>166</v>
      </c>
      <c r="B9" s="105"/>
      <c r="C9" s="105"/>
      <c r="D9" s="105"/>
      <c r="E9" s="105" t="s">
        <v>198</v>
      </c>
      <c r="F9" s="105"/>
      <c r="G9" s="105"/>
      <c r="H9" s="105"/>
    </row>
    <row r="10" spans="1:8" hidden="1" x14ac:dyDescent="0.25">
      <c r="A10" s="105" t="s">
        <v>167</v>
      </c>
      <c r="B10" s="105"/>
      <c r="C10" s="105"/>
      <c r="D10" s="105"/>
      <c r="E10" s="105" t="s">
        <v>199</v>
      </c>
      <c r="F10" s="105"/>
      <c r="G10" s="105"/>
      <c r="H10" s="105"/>
    </row>
    <row r="11" spans="1:8" x14ac:dyDescent="0.25">
      <c r="A11" s="105" t="s">
        <v>7</v>
      </c>
      <c r="B11" s="105"/>
      <c r="C11" s="105"/>
      <c r="D11" s="105"/>
      <c r="E11" s="105" t="s">
        <v>172</v>
      </c>
      <c r="F11" s="105"/>
      <c r="G11" s="105"/>
      <c r="H11" s="105"/>
    </row>
    <row r="12" spans="1:8" x14ac:dyDescent="0.25">
      <c r="A12" s="62" t="s">
        <v>8</v>
      </c>
      <c r="B12" s="62"/>
      <c r="C12" s="62"/>
      <c r="D12" s="62"/>
      <c r="E12" s="86" t="s">
        <v>196</v>
      </c>
      <c r="F12" s="86"/>
      <c r="G12" s="86"/>
      <c r="H12" s="86"/>
    </row>
    <row r="13" spans="1:8" x14ac:dyDescent="0.25">
      <c r="A13" s="62" t="s">
        <v>9</v>
      </c>
      <c r="B13" s="62"/>
      <c r="C13" s="62"/>
      <c r="D13" s="62"/>
      <c r="E13" s="86" t="s">
        <v>197</v>
      </c>
      <c r="F13" s="105"/>
      <c r="G13" s="105"/>
      <c r="H13" s="105"/>
    </row>
    <row r="14" spans="1:8" ht="33" customHeight="1" x14ac:dyDescent="0.25">
      <c r="A14" s="110" t="s">
        <v>10</v>
      </c>
      <c r="B14" s="110"/>
      <c r="C14" s="11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Aadinath Complex, Plot No.6, 7, 8, 9, 10, S.No.115, H. No. 4(PT), near Gokul Residency, Internal Road, Tulsi Vihar, Asangaon, Asangaon, Shahapur, Thane - 421601.</v>
      </c>
      <c r="D14" s="110"/>
      <c r="E14" s="110"/>
      <c r="F14" s="110"/>
      <c r="G14" s="110"/>
      <c r="H14" s="110"/>
    </row>
    <row r="15" spans="1:8" x14ac:dyDescent="0.25">
      <c r="A15" s="86" t="s">
        <v>173</v>
      </c>
      <c r="B15" s="86"/>
      <c r="C15" s="86" t="s">
        <v>174</v>
      </c>
      <c r="D15" s="86"/>
      <c r="E15" s="86"/>
      <c r="F15" s="86"/>
      <c r="G15" s="86"/>
      <c r="H15" s="86"/>
    </row>
    <row r="16" spans="1:8" ht="15.75" customHeight="1" x14ac:dyDescent="0.25">
      <c r="A16" s="86" t="s">
        <v>165</v>
      </c>
      <c r="B16" s="86"/>
      <c r="C16" s="86" t="s">
        <v>184</v>
      </c>
      <c r="D16" s="86"/>
      <c r="E16" s="86"/>
      <c r="F16" s="86"/>
      <c r="G16" s="86"/>
      <c r="H16" s="86"/>
    </row>
    <row r="17" spans="1:8" ht="15.75" customHeight="1" x14ac:dyDescent="0.25">
      <c r="A17" s="110" t="s">
        <v>11</v>
      </c>
      <c r="B17" s="110"/>
      <c r="C17" s="105" t="s">
        <v>183</v>
      </c>
      <c r="D17" s="105"/>
      <c r="E17" s="110" t="s">
        <v>75</v>
      </c>
      <c r="F17" s="110"/>
      <c r="G17" s="86" t="s">
        <v>175</v>
      </c>
      <c r="H17" s="86"/>
    </row>
    <row r="18" spans="1:8" x14ac:dyDescent="0.25">
      <c r="A18" s="62" t="s">
        <v>13</v>
      </c>
      <c r="B18" s="62"/>
      <c r="C18" s="86" t="s">
        <v>175</v>
      </c>
      <c r="D18" s="86"/>
      <c r="E18" s="110" t="s">
        <v>12</v>
      </c>
      <c r="F18" s="110"/>
      <c r="G18" s="146" t="s">
        <v>176</v>
      </c>
      <c r="H18" s="146"/>
    </row>
    <row r="19" spans="1:8" x14ac:dyDescent="0.25">
      <c r="A19" s="62" t="s">
        <v>76</v>
      </c>
      <c r="B19" s="62"/>
      <c r="C19" s="86" t="s">
        <v>177</v>
      </c>
      <c r="D19" s="86"/>
      <c r="E19" s="110" t="s">
        <v>14</v>
      </c>
      <c r="F19" s="110"/>
      <c r="G19" s="86">
        <v>421601</v>
      </c>
      <c r="H19" s="86"/>
    </row>
    <row r="20" spans="1:8" ht="33" customHeight="1" x14ac:dyDescent="0.25">
      <c r="A20" s="62" t="s">
        <v>123</v>
      </c>
      <c r="B20" s="62"/>
      <c r="C20" s="86" t="s">
        <v>179</v>
      </c>
      <c r="D20" s="86"/>
      <c r="E20" s="110" t="s">
        <v>15</v>
      </c>
      <c r="F20" s="110"/>
      <c r="G20" s="86" t="s">
        <v>200</v>
      </c>
      <c r="H20" s="86"/>
    </row>
    <row r="21" spans="1:8" ht="15" customHeight="1" x14ac:dyDescent="0.25">
      <c r="A21" s="110" t="s">
        <v>78</v>
      </c>
      <c r="B21" s="110"/>
      <c r="C21" s="110"/>
      <c r="D21" s="110"/>
      <c r="E21" s="105" t="s">
        <v>16</v>
      </c>
      <c r="F21" s="105"/>
      <c r="G21" s="105"/>
      <c r="H21" s="105"/>
    </row>
    <row r="22" spans="1:8" ht="18.75" customHeight="1" x14ac:dyDescent="0.25">
      <c r="A22" s="110"/>
      <c r="B22" s="110"/>
      <c r="C22" s="110"/>
      <c r="D22" s="110"/>
      <c r="E22" s="105"/>
      <c r="F22" s="105"/>
      <c r="G22" s="105"/>
      <c r="H22" s="105"/>
    </row>
    <row r="23" spans="1:8" ht="15" customHeight="1" x14ac:dyDescent="0.25">
      <c r="A23" s="110" t="s">
        <v>17</v>
      </c>
      <c r="B23" s="110"/>
      <c r="C23" s="110"/>
      <c r="D23" s="110"/>
      <c r="E23" s="86" t="s">
        <v>18</v>
      </c>
      <c r="F23" s="86"/>
      <c r="G23" s="86"/>
      <c r="H23" s="86"/>
    </row>
    <row r="24" spans="1:8" ht="15" customHeight="1" x14ac:dyDescent="0.25">
      <c r="A24" s="62" t="s">
        <v>19</v>
      </c>
      <c r="B24" s="62"/>
      <c r="C24" s="62"/>
      <c r="D24" s="62"/>
      <c r="E24" s="86" t="str">
        <f>IF(AND(G18="Mumbai"),"Upper Class","Middle Class")</f>
        <v>Middle Class</v>
      </c>
      <c r="F24" s="86"/>
      <c r="G24" s="86"/>
      <c r="H24" s="86"/>
    </row>
    <row r="25" spans="1:8" x14ac:dyDescent="0.25">
      <c r="A25" s="62" t="s">
        <v>20</v>
      </c>
      <c r="B25" s="62"/>
      <c r="C25" s="62"/>
      <c r="D25" s="62"/>
      <c r="E25" s="86" t="s">
        <v>21</v>
      </c>
      <c r="F25" s="86"/>
      <c r="G25" s="86"/>
      <c r="H25" s="86"/>
    </row>
    <row r="26" spans="1:8" ht="15.75" customHeight="1" x14ac:dyDescent="0.25">
      <c r="A26" s="62" t="s">
        <v>22</v>
      </c>
      <c r="B26" s="62"/>
      <c r="C26" s="62"/>
      <c r="D26" s="62"/>
      <c r="E26" s="86" t="str">
        <f>IF(AND(G18="Mumbai"),"Developed","Developing")</f>
        <v>Developing</v>
      </c>
      <c r="F26" s="86"/>
      <c r="G26" s="86"/>
      <c r="H26" s="86"/>
    </row>
    <row r="27" spans="1:8" x14ac:dyDescent="0.25">
      <c r="A27" s="62" t="s">
        <v>23</v>
      </c>
      <c r="B27" s="62"/>
      <c r="C27" s="62"/>
      <c r="D27" s="62"/>
      <c r="E27" s="86" t="s">
        <v>24</v>
      </c>
      <c r="F27" s="86"/>
      <c r="G27" s="86"/>
      <c r="H27" s="86"/>
    </row>
    <row r="28" spans="1:8" ht="15.75" customHeight="1" x14ac:dyDescent="0.25">
      <c r="A28" s="62" t="s">
        <v>83</v>
      </c>
      <c r="B28" s="62"/>
      <c r="C28" s="62"/>
      <c r="D28" s="62"/>
      <c r="E28" s="86" t="s">
        <v>84</v>
      </c>
      <c r="F28" s="86"/>
      <c r="G28" s="86"/>
      <c r="H28" s="86"/>
    </row>
    <row r="29" spans="1:8" ht="15" customHeight="1" x14ac:dyDescent="0.25">
      <c r="A29" s="62" t="s">
        <v>33</v>
      </c>
      <c r="B29" s="62"/>
      <c r="C29" s="62"/>
      <c r="D29" s="62"/>
      <c r="E29" s="8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86"/>
      <c r="G29" s="86"/>
      <c r="H29" s="86"/>
    </row>
    <row r="30" spans="1:8" ht="15.75" customHeight="1" x14ac:dyDescent="0.25">
      <c r="A30" s="62" t="s">
        <v>95</v>
      </c>
      <c r="B30" s="62"/>
      <c r="C30" s="62"/>
      <c r="D30" s="62"/>
      <c r="E30" s="86" t="s">
        <v>34</v>
      </c>
      <c r="F30" s="86"/>
      <c r="G30" s="86"/>
      <c r="H30" s="86"/>
    </row>
    <row r="31" spans="1:8" s="21" customFormat="1" x14ac:dyDescent="0.25">
      <c r="A31" s="150" t="s">
        <v>96</v>
      </c>
      <c r="B31" s="150"/>
      <c r="C31" s="149" t="s">
        <v>29</v>
      </c>
      <c r="D31" s="149"/>
      <c r="E31" s="149"/>
      <c r="F31" s="149" t="s">
        <v>31</v>
      </c>
      <c r="G31" s="149"/>
      <c r="H31" s="149"/>
    </row>
    <row r="32" spans="1:8" s="21" customFormat="1" x14ac:dyDescent="0.25">
      <c r="A32" s="147" t="s">
        <v>25</v>
      </c>
      <c r="B32" s="147" t="s">
        <v>30</v>
      </c>
      <c r="C32" s="148" t="s">
        <v>30</v>
      </c>
      <c r="D32" s="148"/>
      <c r="E32" s="148"/>
      <c r="F32" s="148" t="s">
        <v>179</v>
      </c>
      <c r="G32" s="148"/>
      <c r="H32" s="148"/>
    </row>
    <row r="33" spans="1:9" x14ac:dyDescent="0.25">
      <c r="A33" s="147" t="s">
        <v>26</v>
      </c>
      <c r="B33" s="147" t="s">
        <v>30</v>
      </c>
      <c r="C33" s="148" t="s">
        <v>30</v>
      </c>
      <c r="D33" s="148"/>
      <c r="E33" s="148"/>
      <c r="F33" s="148" t="s">
        <v>180</v>
      </c>
      <c r="G33" s="148"/>
      <c r="H33" s="148"/>
    </row>
    <row r="34" spans="1:9" s="21" customFormat="1" x14ac:dyDescent="0.25">
      <c r="A34" s="147" t="s">
        <v>28</v>
      </c>
      <c r="B34" s="147" t="s">
        <v>30</v>
      </c>
      <c r="C34" s="148" t="s">
        <v>30</v>
      </c>
      <c r="D34" s="148"/>
      <c r="E34" s="148"/>
      <c r="F34" s="148" t="s">
        <v>181</v>
      </c>
      <c r="G34" s="148"/>
      <c r="H34" s="148"/>
    </row>
    <row r="35" spans="1:9" x14ac:dyDescent="0.25">
      <c r="A35" s="147" t="s">
        <v>27</v>
      </c>
      <c r="B35" s="147" t="s">
        <v>30</v>
      </c>
      <c r="C35" s="148" t="s">
        <v>30</v>
      </c>
      <c r="D35" s="148"/>
      <c r="E35" s="148"/>
      <c r="F35" s="148" t="s">
        <v>182</v>
      </c>
      <c r="G35" s="148"/>
      <c r="H35" s="148"/>
    </row>
    <row r="36" spans="1:9" x14ac:dyDescent="0.25">
      <c r="A36" s="62" t="s">
        <v>32</v>
      </c>
      <c r="B36" s="62"/>
      <c r="C36" s="62"/>
      <c r="D36" s="62"/>
      <c r="E36" s="62"/>
      <c r="F36" s="62"/>
      <c r="G36" s="62"/>
      <c r="H36" s="62"/>
    </row>
    <row r="37" spans="1:9" ht="15.75" customHeight="1" x14ac:dyDescent="0.25">
      <c r="A37" s="62" t="s">
        <v>212</v>
      </c>
      <c r="B37" s="62"/>
      <c r="C37" s="162" t="s">
        <v>213</v>
      </c>
      <c r="D37" s="163"/>
      <c r="E37" s="163"/>
      <c r="F37" s="163"/>
      <c r="G37" s="163"/>
      <c r="H37" s="164"/>
    </row>
    <row r="38" spans="1:9" x14ac:dyDescent="0.25">
      <c r="A38" s="62" t="s">
        <v>164</v>
      </c>
      <c r="B38" s="62"/>
      <c r="C38" s="151" t="s">
        <v>178</v>
      </c>
      <c r="D38" s="86"/>
      <c r="E38" s="86"/>
      <c r="F38" s="86"/>
      <c r="G38" s="86"/>
      <c r="H38" s="86"/>
    </row>
    <row r="39" spans="1:9" x14ac:dyDescent="0.25">
      <c r="A39" s="126" t="s">
        <v>35</v>
      </c>
      <c r="B39" s="126"/>
      <c r="C39" s="126"/>
      <c r="D39" s="126"/>
      <c r="E39" s="126"/>
      <c r="F39" s="126"/>
      <c r="G39" s="126"/>
      <c r="H39" s="126"/>
      <c r="I39" s="53"/>
    </row>
    <row r="40" spans="1:9" x14ac:dyDescent="0.25">
      <c r="A40" s="62" t="s">
        <v>36</v>
      </c>
      <c r="B40" s="62"/>
      <c r="C40" s="62"/>
      <c r="D40" s="62"/>
      <c r="E40" s="167">
        <v>790.13</v>
      </c>
      <c r="F40" s="167"/>
      <c r="G40" s="167"/>
      <c r="H40" s="167"/>
    </row>
    <row r="41" spans="1:9" x14ac:dyDescent="0.25">
      <c r="A41" s="62" t="s">
        <v>37</v>
      </c>
      <c r="B41" s="62"/>
      <c r="C41" s="62"/>
      <c r="D41" s="62"/>
      <c r="E41" s="87">
        <v>1.1000000000000001</v>
      </c>
      <c r="F41" s="87"/>
      <c r="G41" s="87"/>
      <c r="H41" s="87"/>
    </row>
    <row r="42" spans="1:9" x14ac:dyDescent="0.25">
      <c r="A42" s="62" t="s">
        <v>38</v>
      </c>
      <c r="B42" s="62"/>
      <c r="C42" s="62"/>
      <c r="D42" s="62"/>
      <c r="E42" s="87">
        <f>E44/E40-E41</f>
        <v>0.65474921848303436</v>
      </c>
      <c r="F42" s="87"/>
      <c r="G42" s="87"/>
      <c r="H42" s="87"/>
    </row>
    <row r="43" spans="1:9" x14ac:dyDescent="0.25">
      <c r="A43" s="62" t="s">
        <v>39</v>
      </c>
      <c r="B43" s="62"/>
      <c r="C43" s="62"/>
      <c r="D43" s="62"/>
      <c r="E43" s="87">
        <f>E41+E42</f>
        <v>1.7547492184830344</v>
      </c>
      <c r="F43" s="87"/>
      <c r="G43" s="87"/>
      <c r="H43" s="87"/>
    </row>
    <row r="44" spans="1:9" x14ac:dyDescent="0.25">
      <c r="A44" s="62" t="s">
        <v>94</v>
      </c>
      <c r="B44" s="62"/>
      <c r="C44" s="62"/>
      <c r="D44" s="62"/>
      <c r="E44" s="161">
        <v>1386.48</v>
      </c>
      <c r="F44" s="161"/>
      <c r="G44" s="161"/>
      <c r="H44" s="161"/>
    </row>
    <row r="45" spans="1:9" x14ac:dyDescent="0.25">
      <c r="A45" s="105" t="s">
        <v>40</v>
      </c>
      <c r="B45" s="105"/>
      <c r="C45" s="105"/>
      <c r="D45" s="105"/>
      <c r="E45" s="105" t="s">
        <v>185</v>
      </c>
      <c r="F45" s="105"/>
      <c r="G45" s="105"/>
      <c r="H45" s="105"/>
    </row>
    <row r="46" spans="1:9" x14ac:dyDescent="0.25">
      <c r="A46" s="126" t="s">
        <v>41</v>
      </c>
      <c r="B46" s="126"/>
      <c r="C46" s="126"/>
      <c r="D46" s="126"/>
      <c r="E46" s="126"/>
      <c r="F46" s="126"/>
      <c r="G46" s="126"/>
      <c r="H46" s="126"/>
    </row>
    <row r="47" spans="1:9" ht="33.75" customHeight="1" x14ac:dyDescent="0.25">
      <c r="A47" s="93" t="s">
        <v>152</v>
      </c>
      <c r="B47" s="94"/>
      <c r="C47" s="168" t="s">
        <v>188</v>
      </c>
      <c r="D47" s="169"/>
      <c r="E47" s="169"/>
      <c r="F47" s="169"/>
      <c r="G47" s="169"/>
      <c r="H47" s="170"/>
    </row>
    <row r="48" spans="1:9" ht="31.5" customHeight="1" x14ac:dyDescent="0.25">
      <c r="A48" s="93" t="s">
        <v>42</v>
      </c>
      <c r="B48" s="94"/>
      <c r="C48" s="95" t="s">
        <v>201</v>
      </c>
      <c r="D48" s="96"/>
      <c r="E48" s="97"/>
      <c r="F48" s="55" t="s">
        <v>43</v>
      </c>
      <c r="G48" s="98">
        <v>44272</v>
      </c>
      <c r="H48" s="97"/>
    </row>
    <row r="49" spans="1:14" ht="30" customHeight="1" x14ac:dyDescent="0.25">
      <c r="A49" s="93" t="s">
        <v>44</v>
      </c>
      <c r="B49" s="94"/>
      <c r="C49" s="95" t="str">
        <f>C48</f>
        <v>BS/RKKN/BP/M.Aasangaon/T.Shahapur/SSTN/606</v>
      </c>
      <c r="D49" s="96"/>
      <c r="E49" s="97"/>
      <c r="F49" s="55" t="s">
        <v>43</v>
      </c>
      <c r="G49" s="98">
        <f>G48</f>
        <v>44272</v>
      </c>
      <c r="H49" s="99"/>
    </row>
    <row r="50" spans="1:14" s="22" customFormat="1" ht="33.75" customHeight="1" x14ac:dyDescent="0.25">
      <c r="A50" s="157" t="s">
        <v>156</v>
      </c>
      <c r="B50" s="158"/>
      <c r="C50" s="95" t="s">
        <v>215</v>
      </c>
      <c r="D50" s="96"/>
      <c r="E50" s="97"/>
      <c r="F50" s="55" t="s">
        <v>43</v>
      </c>
      <c r="G50" s="98">
        <v>44420</v>
      </c>
      <c r="H50" s="99"/>
    </row>
    <row r="51" spans="1:14" s="22" customFormat="1" ht="33.75" customHeight="1" x14ac:dyDescent="0.25">
      <c r="A51" s="159"/>
      <c r="B51" s="160"/>
      <c r="C51" s="95" t="s">
        <v>186</v>
      </c>
      <c r="D51" s="96"/>
      <c r="E51" s="96"/>
      <c r="F51" s="96"/>
      <c r="G51" s="96"/>
      <c r="H51" s="97"/>
    </row>
    <row r="52" spans="1:14" x14ac:dyDescent="0.25">
      <c r="A52" s="106" t="s">
        <v>45</v>
      </c>
      <c r="B52" s="107"/>
      <c r="C52" s="106" t="s">
        <v>107</v>
      </c>
      <c r="D52" s="108"/>
      <c r="E52" s="107"/>
      <c r="F52" s="45" t="s">
        <v>43</v>
      </c>
      <c r="G52" s="111" t="s">
        <v>30</v>
      </c>
      <c r="H52" s="112"/>
    </row>
    <row r="53" spans="1:14" x14ac:dyDescent="0.25">
      <c r="A53" s="109" t="s">
        <v>47</v>
      </c>
      <c r="B53" s="109"/>
      <c r="C53" s="109"/>
      <c r="D53" s="109"/>
      <c r="E53" s="109"/>
      <c r="F53" s="109"/>
      <c r="G53" s="109"/>
      <c r="H53" s="109"/>
    </row>
    <row r="54" spans="1:14" x14ac:dyDescent="0.25">
      <c r="A54" s="110" t="s">
        <v>93</v>
      </c>
      <c r="B54" s="110"/>
      <c r="C54" s="110"/>
      <c r="D54" s="62">
        <f>E44</f>
        <v>1386.48</v>
      </c>
      <c r="E54" s="62"/>
      <c r="F54" s="62"/>
      <c r="G54" s="62"/>
      <c r="H54" s="62"/>
    </row>
    <row r="55" spans="1:14" x14ac:dyDescent="0.25">
      <c r="A55" s="86" t="s">
        <v>48</v>
      </c>
      <c r="B55" s="105"/>
      <c r="C55" s="105"/>
      <c r="D55" s="105" t="s">
        <v>195</v>
      </c>
      <c r="E55" s="105"/>
      <c r="F55" s="105"/>
      <c r="G55" s="105"/>
      <c r="H55" s="105"/>
      <c r="I55" s="23"/>
    </row>
    <row r="56" spans="1:14" ht="31.5" customHeight="1" x14ac:dyDescent="0.25">
      <c r="A56" s="154" t="s">
        <v>49</v>
      </c>
      <c r="B56" s="155"/>
      <c r="C56" s="156"/>
      <c r="D56" s="152" t="s">
        <v>186</v>
      </c>
      <c r="E56" s="153"/>
      <c r="F56" s="153"/>
      <c r="G56" s="153"/>
      <c r="H56" s="153"/>
    </row>
    <row r="57" spans="1:14" ht="15.75" customHeight="1" x14ac:dyDescent="0.25">
      <c r="A57" s="154" t="s">
        <v>91</v>
      </c>
      <c r="B57" s="155"/>
      <c r="C57" s="155"/>
      <c r="D57" s="105" t="s">
        <v>211</v>
      </c>
      <c r="E57" s="105"/>
      <c r="F57" s="105"/>
      <c r="G57" s="105"/>
      <c r="H57" s="105"/>
    </row>
    <row r="58" spans="1:14" ht="15.75" hidden="1" customHeight="1" x14ac:dyDescent="0.25">
      <c r="A58" s="179"/>
      <c r="B58" s="180"/>
      <c r="C58" s="180"/>
      <c r="D58" s="105" t="s">
        <v>187</v>
      </c>
      <c r="E58" s="105"/>
      <c r="F58" s="105"/>
      <c r="G58" s="105"/>
      <c r="H58" s="105"/>
    </row>
    <row r="59" spans="1:14" ht="15.75" customHeight="1" x14ac:dyDescent="0.25">
      <c r="A59" s="62" t="s">
        <v>46</v>
      </c>
      <c r="B59" s="62"/>
      <c r="C59" s="62"/>
      <c r="D59" s="110" t="s">
        <v>217</v>
      </c>
      <c r="E59" s="110"/>
      <c r="F59" s="110"/>
      <c r="G59" s="110"/>
      <c r="H59" s="110"/>
      <c r="J59" s="24"/>
      <c r="K59" s="23"/>
      <c r="N59" s="23"/>
    </row>
    <row r="60" spans="1:14" ht="15.75" customHeight="1" x14ac:dyDescent="0.25">
      <c r="A60" s="62" t="s">
        <v>89</v>
      </c>
      <c r="B60" s="62"/>
      <c r="C60" s="62"/>
      <c r="D60" s="165" t="str">
        <f>(IF(G52="NA","60 Years After Completion",IF(G52&lt;&gt;"NA",""&amp;60-ROUNDDOWN((E3-G52)/360,0)&amp;" Years"," ")))</f>
        <v>60 Years After Completion</v>
      </c>
      <c r="E60" s="165"/>
      <c r="F60" s="165"/>
      <c r="G60" s="165"/>
      <c r="H60" s="165"/>
      <c r="N60" s="23"/>
    </row>
    <row r="61" spans="1:14" ht="15.75" customHeight="1" x14ac:dyDescent="0.25">
      <c r="A61" s="62" t="s">
        <v>90</v>
      </c>
      <c r="B61" s="62"/>
      <c r="C61" s="62"/>
      <c r="D61" s="110" t="s">
        <v>24</v>
      </c>
      <c r="E61" s="110"/>
      <c r="F61" s="110"/>
      <c r="G61" s="110"/>
      <c r="H61" s="110"/>
      <c r="J61" s="25"/>
      <c r="K61" s="25"/>
    </row>
    <row r="62" spans="1:14" x14ac:dyDescent="0.25">
      <c r="A62" s="62" t="s">
        <v>77</v>
      </c>
      <c r="B62" s="62"/>
      <c r="C62" s="62"/>
      <c r="D62" s="86" t="s">
        <v>209</v>
      </c>
      <c r="E62" s="110"/>
      <c r="F62" s="110"/>
      <c r="G62" s="110"/>
      <c r="H62" s="110"/>
    </row>
    <row r="63" spans="1:14" x14ac:dyDescent="0.25">
      <c r="A63" s="110" t="s">
        <v>149</v>
      </c>
      <c r="B63" s="110"/>
      <c r="C63" s="110"/>
      <c r="D63" s="110" t="s">
        <v>30</v>
      </c>
      <c r="E63" s="110"/>
      <c r="F63" s="110"/>
      <c r="G63" s="110"/>
      <c r="H63" s="110"/>
      <c r="I63" s="26"/>
      <c r="J63" s="26"/>
      <c r="K63" s="26"/>
      <c r="L63" s="26"/>
      <c r="M63" s="26"/>
      <c r="N63" s="26"/>
    </row>
    <row r="64" spans="1:14" ht="15.75" customHeight="1" x14ac:dyDescent="0.25">
      <c r="A64" s="171" t="s">
        <v>88</v>
      </c>
      <c r="B64" s="171"/>
      <c r="C64" s="171"/>
      <c r="D64" s="152" t="str">
        <f ca="1">(IF(G70&gt;95%,"Nothing",IF(G70&gt;0%,"Cement, Aggregate, Steel, etc",IF(G70=0%,"Work not yet Started"))))</f>
        <v>Cement, Aggregate, Steel, etc</v>
      </c>
      <c r="E64" s="152"/>
      <c r="F64" s="152"/>
      <c r="G64" s="152"/>
      <c r="H64" s="152"/>
      <c r="J64" s="25"/>
    </row>
    <row r="65" spans="1:10" ht="33.75" customHeight="1" thickBot="1" x14ac:dyDescent="0.3">
      <c r="A65" s="166" t="s">
        <v>120</v>
      </c>
      <c r="B65" s="166"/>
      <c r="C65" s="166"/>
      <c r="D65" s="152" t="str">
        <f ca="1">(IF(D64="Nothing","Yes",IF(D64="Cement, Aggregate, Steel, etc","Under Construction",IF(D64="Work not yet Started","Work not yet Started"))))</f>
        <v>Under Construction</v>
      </c>
      <c r="E65" s="152"/>
      <c r="F65" s="152" t="str">
        <f ca="1">(IF(D64="Nothing","Yes",IF(D64="Cement, Aggregate, Steel, etc","Under Construction",IF(D64="Work not yet Started","Work not yet Started"))))</f>
        <v>Under Construction</v>
      </c>
      <c r="G65" s="152"/>
      <c r="H65" s="152"/>
    </row>
    <row r="66" spans="1:10" ht="15.75" customHeight="1" x14ac:dyDescent="0.25">
      <c r="A66" s="174" t="s">
        <v>141</v>
      </c>
      <c r="B66" s="175"/>
      <c r="C66" s="176" t="str">
        <f>D57</f>
        <v>A  &amp; B Wing = Gr/Stilt + 1st to 4th Floor</v>
      </c>
      <c r="D66" s="177"/>
      <c r="E66" s="177"/>
      <c r="F66" s="177"/>
      <c r="G66" s="177"/>
      <c r="H66" s="178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3 Floor, Painting upto 3 Floor, Finishing upto 1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3 Floor, Painting upto 3 Floor, Finishing upto 1 Floor</v>
      </c>
    </row>
    <row r="67" spans="1:10" x14ac:dyDescent="0.25">
      <c r="A67" s="16" t="s">
        <v>143</v>
      </c>
      <c r="B67" s="52">
        <v>0</v>
      </c>
      <c r="C67" s="52" t="s">
        <v>74</v>
      </c>
      <c r="D67" s="52">
        <v>1</v>
      </c>
      <c r="E67" s="52" t="s">
        <v>73</v>
      </c>
      <c r="F67" s="52">
        <v>0</v>
      </c>
      <c r="G67" s="52" t="s">
        <v>82</v>
      </c>
      <c r="H67" s="17">
        <f ca="1">--TRIM(RIGHT(SUBSTITUTE(LEFT(C66,_xlfn.AGGREGATE(16,6,FIND({0,1,2,3,4,5,6,7,8,9},C66,ROW(INDIRECT("1:"&amp;LEN(C66)))),1))," ",REPT(" ",LEN(C66))),LEN(C66)))</f>
        <v>4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25" customHeight="1" x14ac:dyDescent="0.25">
      <c r="A68" s="172" t="s">
        <v>92</v>
      </c>
      <c r="B68" s="144"/>
      <c r="C68" s="140" t="str">
        <f ca="1">I66</f>
        <v>Excavation, Plinth, RCC Slab, Brickwork, Internal Plaster, External Plaster Completed, Flooring upto 3 Floor, Painting upto 3 Floor, Finishing upto 1 Floor Completed</v>
      </c>
      <c r="D68" s="140"/>
      <c r="E68" s="140"/>
      <c r="F68" s="140"/>
      <c r="G68" s="140"/>
      <c r="H68" s="141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25">
      <c r="A69" s="73" t="s">
        <v>50</v>
      </c>
      <c r="B69" s="74"/>
      <c r="C69" s="43" t="s">
        <v>140</v>
      </c>
      <c r="D69" s="43" t="s">
        <v>85</v>
      </c>
      <c r="E69" s="74" t="s">
        <v>87</v>
      </c>
      <c r="F69" s="74"/>
      <c r="G69" s="74" t="s">
        <v>86</v>
      </c>
      <c r="H69" s="142"/>
      <c r="I69" s="14" t="s">
        <v>142</v>
      </c>
      <c r="J69" s="27">
        <f ca="1">H67*25%</f>
        <v>1</v>
      </c>
    </row>
    <row r="70" spans="1:10" x14ac:dyDescent="0.25">
      <c r="A70" s="73" t="s">
        <v>129</v>
      </c>
      <c r="B70" s="74"/>
      <c r="C70" s="43">
        <f ca="1">J71</f>
        <v>4</v>
      </c>
      <c r="D70" s="18">
        <f ca="1">((100/H67)*C70)/100</f>
        <v>1</v>
      </c>
      <c r="E70" s="118">
        <f ca="1">(((C71/H67*10)+(40/(D67+F67+H67)*C72)+(7.5/(H67)*C73)+(7.5/(H67)*C74)+(10/H67*C75)+(10/H67*C76)+(5/H67*C77)+(5/H67*C78)+(5/H67*C79))/100)</f>
        <v>0.875</v>
      </c>
      <c r="F70" s="131"/>
      <c r="G70" s="118">
        <f ca="1">((((C70/H67)*20)+((C71/H67)*25)+(30/(H67+F67+D67)*C72)+(5/H67*C73)+(5/H67*C74)+(5/H67*C75)+(5/H67*C76)+(0/H67*C77)+(0/H67*C78)+(5/H67*C79))/100)</f>
        <v>0.9375</v>
      </c>
      <c r="H70" s="119"/>
      <c r="I70" s="14" t="s">
        <v>102</v>
      </c>
      <c r="J70" s="28">
        <f ca="1">H67*50%</f>
        <v>2</v>
      </c>
    </row>
    <row r="71" spans="1:10" x14ac:dyDescent="0.25">
      <c r="A71" s="73" t="s">
        <v>51</v>
      </c>
      <c r="B71" s="74"/>
      <c r="C71" s="43">
        <f ca="1">J79</f>
        <v>4</v>
      </c>
      <c r="D71" s="18">
        <f ca="1">((100/H67)*C71)/100</f>
        <v>1</v>
      </c>
      <c r="E71" s="120"/>
      <c r="F71" s="132"/>
      <c r="G71" s="120"/>
      <c r="H71" s="121"/>
      <c r="I71" s="14" t="s">
        <v>103</v>
      </c>
      <c r="J71" s="28">
        <f ca="1">H67</f>
        <v>4</v>
      </c>
    </row>
    <row r="72" spans="1:10" ht="15.75" customHeight="1" x14ac:dyDescent="0.25">
      <c r="A72" s="73" t="s">
        <v>130</v>
      </c>
      <c r="B72" s="74"/>
      <c r="C72" s="43">
        <v>5</v>
      </c>
      <c r="D72" s="18">
        <f ca="1">((100/(D67+F67+H67))*C72)/100</f>
        <v>1</v>
      </c>
      <c r="E72" s="120"/>
      <c r="F72" s="132"/>
      <c r="G72" s="120"/>
      <c r="H72" s="121"/>
      <c r="I72" s="14" t="s">
        <v>104</v>
      </c>
      <c r="J72" s="29">
        <f ca="1">(IF(B67&gt;1,(H67/(B67+2)),H67/4))</f>
        <v>1</v>
      </c>
    </row>
    <row r="73" spans="1:10" ht="15.75" customHeight="1" x14ac:dyDescent="0.25">
      <c r="A73" s="73" t="s">
        <v>137</v>
      </c>
      <c r="B73" s="74" t="s">
        <v>131</v>
      </c>
      <c r="C73" s="43">
        <v>4</v>
      </c>
      <c r="D73" s="18">
        <f ca="1">((100/H67)*C73)/100</f>
        <v>1</v>
      </c>
      <c r="E73" s="120"/>
      <c r="F73" s="132"/>
      <c r="G73" s="120"/>
      <c r="H73" s="121"/>
      <c r="I73" s="14" t="s">
        <v>105</v>
      </c>
      <c r="J73" s="29">
        <f ca="1">(IF(B67&gt;1,(H67/(B67+2)+J72),H67/4+J72))</f>
        <v>2</v>
      </c>
    </row>
    <row r="74" spans="1:10" ht="15.75" customHeight="1" x14ac:dyDescent="0.25">
      <c r="A74" s="73" t="s">
        <v>138</v>
      </c>
      <c r="B74" s="74" t="s">
        <v>131</v>
      </c>
      <c r="C74" s="43">
        <v>4</v>
      </c>
      <c r="D74" s="18">
        <f ca="1">((100/H67)*C74)/100</f>
        <v>1</v>
      </c>
      <c r="E74" s="120"/>
      <c r="F74" s="132"/>
      <c r="G74" s="120"/>
      <c r="H74" s="121"/>
      <c r="I74" s="14" t="s">
        <v>147</v>
      </c>
      <c r="J74" s="29">
        <f>(IF(B67&gt;1,(H67/(B67+2)+J73),0))</f>
        <v>0</v>
      </c>
    </row>
    <row r="75" spans="1:10" ht="15" customHeight="1" x14ac:dyDescent="0.25">
      <c r="A75" s="73" t="s">
        <v>136</v>
      </c>
      <c r="B75" s="74" t="s">
        <v>133</v>
      </c>
      <c r="C75" s="43">
        <v>4</v>
      </c>
      <c r="D75" s="18">
        <f ca="1">((100/(H67))*C75)/100</f>
        <v>1</v>
      </c>
      <c r="E75" s="120"/>
      <c r="F75" s="132"/>
      <c r="G75" s="120"/>
      <c r="H75" s="121"/>
      <c r="I75" s="14" t="s">
        <v>144</v>
      </c>
      <c r="J75" s="29">
        <f>(IF(B67&gt;2,(H67/(B67+2)+J74),0))</f>
        <v>0</v>
      </c>
    </row>
    <row r="76" spans="1:10" ht="15.75" customHeight="1" x14ac:dyDescent="0.25">
      <c r="A76" s="73" t="s">
        <v>132</v>
      </c>
      <c r="B76" s="74" t="s">
        <v>132</v>
      </c>
      <c r="C76" s="43">
        <v>3</v>
      </c>
      <c r="D76" s="18">
        <f ca="1">((100/H67)*C76)/100</f>
        <v>0.75</v>
      </c>
      <c r="E76" s="120"/>
      <c r="F76" s="132"/>
      <c r="G76" s="120"/>
      <c r="H76" s="121"/>
      <c r="I76" s="14" t="s">
        <v>145</v>
      </c>
      <c r="J76" s="30">
        <f>(IF(B67&gt;3,(H67/(B67+2)+J75),0))</f>
        <v>0</v>
      </c>
    </row>
    <row r="77" spans="1:10" ht="15.75" customHeight="1" x14ac:dyDescent="0.25">
      <c r="A77" s="73" t="s">
        <v>139</v>
      </c>
      <c r="B77" s="74"/>
      <c r="C77" s="43">
        <v>3</v>
      </c>
      <c r="D77" s="18">
        <f ca="1">((100/H67)*C77)/100</f>
        <v>0.75</v>
      </c>
      <c r="E77" s="120"/>
      <c r="F77" s="132"/>
      <c r="G77" s="120"/>
      <c r="H77" s="121"/>
      <c r="I77" s="14" t="s">
        <v>146</v>
      </c>
      <c r="J77" s="29">
        <f>(IF(B67&gt;4,(H67/(B67+2)+J76),0))</f>
        <v>0</v>
      </c>
    </row>
    <row r="78" spans="1:10" ht="15.75" customHeight="1" x14ac:dyDescent="0.25">
      <c r="A78" s="73" t="s">
        <v>134</v>
      </c>
      <c r="B78" s="74" t="s">
        <v>134</v>
      </c>
      <c r="C78" s="43">
        <v>1</v>
      </c>
      <c r="D78" s="18">
        <f ca="1">((100/(H67))*C78)/100</f>
        <v>0.25</v>
      </c>
      <c r="E78" s="120"/>
      <c r="F78" s="132"/>
      <c r="G78" s="120"/>
      <c r="H78" s="121"/>
      <c r="I78" s="14" t="s">
        <v>148</v>
      </c>
      <c r="J78" s="29">
        <f ca="1">(IF(B67=1,(H67/(B67+3)+J73),IF(B67=0,(H67/4+J73),IF(B67&gt;1,0))))</f>
        <v>3</v>
      </c>
    </row>
    <row r="79" spans="1:10" ht="16.5" thickBot="1" x14ac:dyDescent="0.3">
      <c r="A79" s="116" t="s">
        <v>135</v>
      </c>
      <c r="B79" s="117"/>
      <c r="C79" s="44">
        <v>0</v>
      </c>
      <c r="D79" s="19">
        <f ca="1">((100/(H67))*C79)/100</f>
        <v>0</v>
      </c>
      <c r="E79" s="122"/>
      <c r="F79" s="133"/>
      <c r="G79" s="122"/>
      <c r="H79" s="123"/>
      <c r="I79" s="15" t="s">
        <v>106</v>
      </c>
      <c r="J79" s="31">
        <f ca="1">(IF(B67&gt;1.5,(H67/(B67+2)+J73+MAX(0,J74-J73)+MAX(0,J75-J74)+MAX(0,J76-J75)+MAX(0,J77-J76)+MAX(0,J78-J77)),IF(B67=1,(H67/(B67+3)+J78),IF(B67=0,H67/4+J78))))</f>
        <v>4</v>
      </c>
    </row>
    <row r="80" spans="1:10" ht="15.75" hidden="1" customHeight="1" x14ac:dyDescent="0.25">
      <c r="A80" s="88" t="s">
        <v>141</v>
      </c>
      <c r="B80" s="89"/>
      <c r="C80" s="90" t="str">
        <f>D58</f>
        <v>B Wing = Gr/Stilt + 1st to 4th Floor</v>
      </c>
      <c r="D80" s="91"/>
      <c r="E80" s="91"/>
      <c r="F80" s="91"/>
      <c r="G80" s="91"/>
      <c r="H80" s="92"/>
      <c r="I80" s="48" t="str">
        <f ca="1">IF(D93=100%,"All work Completed. Possession granted to the Building.",IF(D92=100%,"All work Completed, Waiting for OC",I81&amp;""&amp;I82&amp;""&amp;J81&amp;""&amp;J80&amp;" "&amp;J82))</f>
        <v xml:space="preserve">Excavation, Plinth, RCC Slab, Brickwork Completed 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2" hidden="1" x14ac:dyDescent="0.25">
      <c r="A81" s="16" t="s">
        <v>143</v>
      </c>
      <c r="B81" s="52">
        <v>0</v>
      </c>
      <c r="C81" s="52" t="s">
        <v>74</v>
      </c>
      <c r="D81" s="52">
        <v>1</v>
      </c>
      <c r="E81" s="52" t="s">
        <v>73</v>
      </c>
      <c r="F81" s="52">
        <v>0</v>
      </c>
      <c r="G81" s="47" t="s">
        <v>82</v>
      </c>
      <c r="H81" s="17">
        <f ca="1">--TRIM(RIGHT(SUBSTITUTE(LEFT(C80,_xlfn.AGGREGATE(16,6,FIND({0,1,2,3,4,5,6,7,8,9},C80,ROW(INDIRECT("1:"&amp;LEN(C80)))),1))," ",REPT(" ",LEN(C80))),LEN(C80)))</f>
        <v>4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hidden="1" x14ac:dyDescent="0.25">
      <c r="A82" s="172" t="s">
        <v>92</v>
      </c>
      <c r="B82" s="144"/>
      <c r="C82" s="140" t="str">
        <f ca="1">(IF($G$52="NA",I80,"All work Completed. OC Received."))</f>
        <v xml:space="preserve">Excavation, Plinth, RCC Slab, Brickwork Completed </v>
      </c>
      <c r="D82" s="140"/>
      <c r="E82" s="140"/>
      <c r="F82" s="140"/>
      <c r="G82" s="140"/>
      <c r="H82" s="141"/>
      <c r="I82" s="50" t="str">
        <f ca="1">IF(I81&lt;&gt;""," Completed","")</f>
        <v xml:space="preserve"> Completed</v>
      </c>
      <c r="J82" s="51" t="str">
        <f ca="1">IF(J80&lt;&gt;"","Completed","")</f>
        <v/>
      </c>
    </row>
    <row r="83" spans="1:12" ht="15.75" hidden="1" customHeight="1" x14ac:dyDescent="0.25">
      <c r="A83" s="73" t="s">
        <v>50</v>
      </c>
      <c r="B83" s="74"/>
      <c r="C83" s="43" t="s">
        <v>140</v>
      </c>
      <c r="D83" s="43" t="s">
        <v>85</v>
      </c>
      <c r="E83" s="74" t="s">
        <v>87</v>
      </c>
      <c r="F83" s="74"/>
      <c r="G83" s="74" t="s">
        <v>86</v>
      </c>
      <c r="H83" s="142"/>
      <c r="I83" s="14" t="s">
        <v>142</v>
      </c>
      <c r="J83" s="27">
        <f ca="1">H81*25%</f>
        <v>1</v>
      </c>
    </row>
    <row r="84" spans="1:12" hidden="1" x14ac:dyDescent="0.25">
      <c r="A84" s="73" t="s">
        <v>129</v>
      </c>
      <c r="B84" s="74"/>
      <c r="C84" s="43">
        <f ca="1">J85</f>
        <v>4</v>
      </c>
      <c r="D84" s="18">
        <f ca="1">((100/H81)*C84)/100</f>
        <v>1</v>
      </c>
      <c r="E84" s="118">
        <f ca="1">(((C85/H81*10)+(40/(D81+F81+H81)*C86)+(7.5/(H81)*C87)+(7.5/(H81)*C88)+(10/H81*C89)+(10/H81*C90)+(5/H81*C91)+(5/H81*C92)+(5/H81*C93))/100)</f>
        <v>0.57499999999999996</v>
      </c>
      <c r="F84" s="131"/>
      <c r="G84" s="118">
        <f ca="1">((((C84/H81)*20)+((C85/H81)*25)+(30/(H81+F81+D81)*C86)+(5/H81*C87)+(5/H81*C88)+(5/H81*C89)+(5/H81*C90)+(0/H81*C91)+(0/H81*C92)+(5/H81*C93))/100)</f>
        <v>0.8</v>
      </c>
      <c r="H84" s="119"/>
      <c r="I84" s="14" t="s">
        <v>102</v>
      </c>
      <c r="J84" s="28">
        <f ca="1">H81*50%</f>
        <v>2</v>
      </c>
    </row>
    <row r="85" spans="1:12" hidden="1" x14ac:dyDescent="0.25">
      <c r="A85" s="73" t="s">
        <v>51</v>
      </c>
      <c r="B85" s="74"/>
      <c r="C85" s="43">
        <f ca="1">J93</f>
        <v>4</v>
      </c>
      <c r="D85" s="18">
        <f ca="1">((100/H81)*C85)/100</f>
        <v>1</v>
      </c>
      <c r="E85" s="120"/>
      <c r="F85" s="132"/>
      <c r="G85" s="120"/>
      <c r="H85" s="121"/>
      <c r="I85" s="14" t="s">
        <v>103</v>
      </c>
      <c r="J85" s="28">
        <f ca="1">H81</f>
        <v>4</v>
      </c>
    </row>
    <row r="86" spans="1:12" ht="15.75" hidden="1" customHeight="1" x14ac:dyDescent="0.25">
      <c r="A86" s="73" t="s">
        <v>130</v>
      </c>
      <c r="B86" s="74"/>
      <c r="C86" s="43">
        <v>5</v>
      </c>
      <c r="D86" s="18">
        <f ca="1">((100/(D81+F81+H81))*C86)/100</f>
        <v>1</v>
      </c>
      <c r="E86" s="120"/>
      <c r="F86" s="132"/>
      <c r="G86" s="120"/>
      <c r="H86" s="121"/>
      <c r="I86" s="14" t="s">
        <v>104</v>
      </c>
      <c r="J86" s="29">
        <f ca="1">(IF(B81&gt;1,(H81/(B81+2)),H81/4))</f>
        <v>1</v>
      </c>
    </row>
    <row r="87" spans="1:12" ht="15.75" hidden="1" customHeight="1" x14ac:dyDescent="0.25">
      <c r="A87" s="73" t="s">
        <v>137</v>
      </c>
      <c r="B87" s="74" t="s">
        <v>131</v>
      </c>
      <c r="C87" s="43">
        <v>4</v>
      </c>
      <c r="D87" s="18">
        <f ca="1">((100/H81)*C87)/100</f>
        <v>1</v>
      </c>
      <c r="E87" s="120"/>
      <c r="F87" s="132"/>
      <c r="G87" s="120"/>
      <c r="H87" s="121"/>
      <c r="I87" s="14" t="s">
        <v>105</v>
      </c>
      <c r="J87" s="29">
        <f ca="1">(IF(B81&gt;1,(H81/(B81+2)+J86),H81/4+J86))</f>
        <v>2</v>
      </c>
    </row>
    <row r="88" spans="1:12" ht="15.75" hidden="1" customHeight="1" x14ac:dyDescent="0.25">
      <c r="A88" s="73" t="s">
        <v>138</v>
      </c>
      <c r="B88" s="74" t="s">
        <v>131</v>
      </c>
      <c r="C88" s="43">
        <v>0</v>
      </c>
      <c r="D88" s="18">
        <f ca="1">((100/H81)*C88)/100</f>
        <v>0</v>
      </c>
      <c r="E88" s="120"/>
      <c r="F88" s="132"/>
      <c r="G88" s="120"/>
      <c r="H88" s="121"/>
      <c r="I88" s="14" t="s">
        <v>147</v>
      </c>
      <c r="J88" s="29">
        <f>(IF(B81&gt;1,(H81/(B81+2)+J87),0))</f>
        <v>0</v>
      </c>
    </row>
    <row r="89" spans="1:12" ht="15" hidden="1" customHeight="1" x14ac:dyDescent="0.25">
      <c r="A89" s="73" t="s">
        <v>136</v>
      </c>
      <c r="B89" s="74" t="s">
        <v>133</v>
      </c>
      <c r="C89" s="43">
        <v>0</v>
      </c>
      <c r="D89" s="18">
        <f ca="1">((100/(H81))*C89)/100</f>
        <v>0</v>
      </c>
      <c r="E89" s="120"/>
      <c r="F89" s="132"/>
      <c r="G89" s="120"/>
      <c r="H89" s="121"/>
      <c r="I89" s="14" t="s">
        <v>144</v>
      </c>
      <c r="J89" s="29">
        <f>(IF(B81&gt;2,(H81/(B81+2)+J88),0))</f>
        <v>0</v>
      </c>
    </row>
    <row r="90" spans="1:12" ht="15.75" hidden="1" customHeight="1" x14ac:dyDescent="0.25">
      <c r="A90" s="73" t="s">
        <v>132</v>
      </c>
      <c r="B90" s="74" t="s">
        <v>132</v>
      </c>
      <c r="C90" s="43">
        <v>0</v>
      </c>
      <c r="D90" s="18">
        <f ca="1">((100/H81)*C90)/100</f>
        <v>0</v>
      </c>
      <c r="E90" s="120"/>
      <c r="F90" s="132"/>
      <c r="G90" s="120"/>
      <c r="H90" s="121"/>
      <c r="I90" s="14" t="s">
        <v>145</v>
      </c>
      <c r="J90" s="30">
        <f>(IF(B81&gt;3,(H81/(B81+2)+J89),0))</f>
        <v>0</v>
      </c>
    </row>
    <row r="91" spans="1:12" ht="15.75" hidden="1" customHeight="1" x14ac:dyDescent="0.25">
      <c r="A91" s="73" t="s">
        <v>139</v>
      </c>
      <c r="B91" s="74"/>
      <c r="C91" s="43">
        <v>0</v>
      </c>
      <c r="D91" s="18">
        <f ca="1">((100/H81)*C91)/100</f>
        <v>0</v>
      </c>
      <c r="E91" s="120"/>
      <c r="F91" s="132"/>
      <c r="G91" s="120"/>
      <c r="H91" s="121"/>
      <c r="I91" s="14" t="s">
        <v>146</v>
      </c>
      <c r="J91" s="29">
        <f>(IF(B81&gt;4,(H81/(B81+2)+J90),0))</f>
        <v>0</v>
      </c>
    </row>
    <row r="92" spans="1:12" ht="15.75" hidden="1" customHeight="1" x14ac:dyDescent="0.25">
      <c r="A92" s="73" t="s">
        <v>134</v>
      </c>
      <c r="B92" s="74" t="s">
        <v>134</v>
      </c>
      <c r="C92" s="43">
        <v>0</v>
      </c>
      <c r="D92" s="18">
        <f ca="1">((100/(H81))*C92)/100</f>
        <v>0</v>
      </c>
      <c r="E92" s="120"/>
      <c r="F92" s="132"/>
      <c r="G92" s="120"/>
      <c r="H92" s="121"/>
      <c r="I92" s="14" t="s">
        <v>148</v>
      </c>
      <c r="J92" s="29">
        <f ca="1">(IF(B81=1,(H81/(B81+3)+J87),IF(B81=0,(H81/4+J87),IF(B81&gt;1,0))))</f>
        <v>3</v>
      </c>
    </row>
    <row r="93" spans="1:12" ht="16.5" hidden="1" thickBot="1" x14ac:dyDescent="0.3">
      <c r="A93" s="116" t="s">
        <v>135</v>
      </c>
      <c r="B93" s="117"/>
      <c r="C93" s="44">
        <v>0</v>
      </c>
      <c r="D93" s="19">
        <f ca="1">((100/(H81))*C93)/100</f>
        <v>0</v>
      </c>
      <c r="E93" s="122"/>
      <c r="F93" s="133"/>
      <c r="G93" s="122"/>
      <c r="H93" s="123"/>
      <c r="I93" s="15" t="s">
        <v>106</v>
      </c>
      <c r="J93" s="31">
        <f ca="1">(IF(B81&gt;1.5,(H81/(B81+2)+J87+MAX(0,J88-J87)+MAX(0,J89-J88)+MAX(0,J90-J89)+MAX(0,J91-J90)+MAX(0,J92-J91)),IF(B81=1,(H81/(B81+3)+J92),IF(B81=0,H81/4+J92))))</f>
        <v>4</v>
      </c>
    </row>
    <row r="94" spans="1:12" x14ac:dyDescent="0.25">
      <c r="A94" s="130" t="s">
        <v>157</v>
      </c>
      <c r="B94" s="130"/>
      <c r="C94" s="130"/>
      <c r="D94" s="130"/>
      <c r="E94" s="130"/>
      <c r="F94" s="173" t="s">
        <v>162</v>
      </c>
      <c r="G94" s="173"/>
      <c r="H94" s="173"/>
    </row>
    <row r="95" spans="1:12" x14ac:dyDescent="0.25">
      <c r="A95" s="62" t="s">
        <v>160</v>
      </c>
      <c r="B95" s="62"/>
      <c r="C95" s="62"/>
      <c r="D95" s="62"/>
      <c r="E95" s="62"/>
      <c r="F95" s="75">
        <v>3600</v>
      </c>
      <c r="G95" s="75"/>
      <c r="H95" s="75"/>
      <c r="I95" s="59" t="s">
        <v>205</v>
      </c>
      <c r="J95" s="59" t="s">
        <v>206</v>
      </c>
      <c r="K95" s="59" t="s">
        <v>207</v>
      </c>
      <c r="L95" s="60">
        <v>45106</v>
      </c>
    </row>
    <row r="96" spans="1:12" hidden="1" x14ac:dyDescent="0.25">
      <c r="A96" s="62" t="s">
        <v>159</v>
      </c>
      <c r="B96" s="62"/>
      <c r="C96" s="62"/>
      <c r="D96" s="62"/>
      <c r="E96" s="62"/>
      <c r="F96" s="77"/>
      <c r="G96" s="77"/>
      <c r="H96" s="77"/>
    </row>
    <row r="97" spans="1:11" hidden="1" x14ac:dyDescent="0.25">
      <c r="A97" s="62" t="s">
        <v>161</v>
      </c>
      <c r="B97" s="62"/>
      <c r="C97" s="62"/>
      <c r="D97" s="62"/>
      <c r="E97" s="62"/>
      <c r="F97" s="77"/>
      <c r="G97" s="77"/>
      <c r="H97" s="77"/>
    </row>
    <row r="98" spans="1:11" s="32" customFormat="1" hidden="1" x14ac:dyDescent="0.25">
      <c r="A98" s="62" t="s">
        <v>158</v>
      </c>
      <c r="B98" s="62"/>
      <c r="C98" s="62"/>
      <c r="D98" s="62"/>
      <c r="E98" s="62"/>
      <c r="F98" s="77"/>
      <c r="G98" s="77"/>
      <c r="H98" s="77"/>
    </row>
    <row r="99" spans="1:11" s="32" customFormat="1" hidden="1" x14ac:dyDescent="0.25">
      <c r="A99" s="62" t="s">
        <v>97</v>
      </c>
      <c r="B99" s="62"/>
      <c r="C99" s="62"/>
      <c r="D99" s="62"/>
      <c r="E99" s="62"/>
      <c r="F99" s="77"/>
      <c r="G99" s="77"/>
      <c r="H99" s="77"/>
    </row>
    <row r="100" spans="1:11" s="32" customFormat="1" hidden="1" x14ac:dyDescent="0.25">
      <c r="A100" s="62" t="s">
        <v>98</v>
      </c>
      <c r="B100" s="62"/>
      <c r="C100" s="62"/>
      <c r="D100" s="62"/>
      <c r="E100" s="62"/>
      <c r="F100" s="77"/>
      <c r="G100" s="77"/>
      <c r="H100" s="77"/>
    </row>
    <row r="101" spans="1:11" s="32" customFormat="1" hidden="1" x14ac:dyDescent="0.25">
      <c r="A101" s="62" t="s">
        <v>163</v>
      </c>
      <c r="B101" s="62"/>
      <c r="C101" s="62"/>
      <c r="D101" s="62"/>
      <c r="E101" s="62"/>
      <c r="F101" s="77"/>
      <c r="G101" s="77"/>
      <c r="H101" s="77"/>
    </row>
    <row r="102" spans="1:11" s="32" customFormat="1" hidden="1" x14ac:dyDescent="0.25">
      <c r="A102" s="62" t="s">
        <v>99</v>
      </c>
      <c r="B102" s="62"/>
      <c r="C102" s="62"/>
      <c r="D102" s="62"/>
      <c r="E102" s="62"/>
      <c r="F102" s="77"/>
      <c r="G102" s="77"/>
      <c r="H102" s="77"/>
    </row>
    <row r="103" spans="1:11" s="32" customFormat="1" hidden="1" x14ac:dyDescent="0.25">
      <c r="A103" s="62" t="s">
        <v>100</v>
      </c>
      <c r="B103" s="62"/>
      <c r="C103" s="62"/>
      <c r="D103" s="62"/>
      <c r="E103" s="62"/>
      <c r="F103" s="77"/>
      <c r="G103" s="77"/>
      <c r="H103" s="77"/>
    </row>
    <row r="104" spans="1:11" s="32" customFormat="1" x14ac:dyDescent="0.25">
      <c r="A104" s="62" t="s">
        <v>202</v>
      </c>
      <c r="B104" s="62"/>
      <c r="C104" s="62"/>
      <c r="D104" s="62"/>
      <c r="E104" s="62"/>
      <c r="F104" s="77">
        <v>100000</v>
      </c>
      <c r="G104" s="77"/>
      <c r="H104" s="77"/>
    </row>
    <row r="105" spans="1:11" s="32" customFormat="1" hidden="1" x14ac:dyDescent="0.25">
      <c r="A105" s="62" t="s">
        <v>101</v>
      </c>
      <c r="B105" s="62"/>
      <c r="C105" s="62"/>
      <c r="D105" s="62"/>
      <c r="E105" s="62"/>
      <c r="F105" s="77"/>
      <c r="G105" s="77"/>
      <c r="H105" s="77"/>
    </row>
    <row r="106" spans="1:11" x14ac:dyDescent="0.25">
      <c r="A106" s="62" t="s">
        <v>52</v>
      </c>
      <c r="B106" s="62"/>
      <c r="C106" s="62"/>
      <c r="D106" s="62"/>
      <c r="E106" s="62"/>
      <c r="F106" s="77">
        <v>100000</v>
      </c>
      <c r="G106" s="77"/>
      <c r="H106" s="77"/>
    </row>
    <row r="107" spans="1:11" s="33" customFormat="1" x14ac:dyDescent="0.25">
      <c r="A107" s="126" t="s">
        <v>53</v>
      </c>
      <c r="B107" s="126"/>
      <c r="C107" s="126"/>
      <c r="D107" s="126"/>
      <c r="E107" s="126"/>
      <c r="F107" s="77">
        <f>F95*0.8</f>
        <v>2880</v>
      </c>
      <c r="G107" s="77"/>
      <c r="H107" s="77"/>
    </row>
    <row r="108" spans="1:11" s="34" customFormat="1" x14ac:dyDescent="0.25">
      <c r="A108" s="128" t="s">
        <v>72</v>
      </c>
      <c r="B108" s="128"/>
      <c r="C108" s="128"/>
      <c r="D108" s="128"/>
      <c r="E108" s="128"/>
      <c r="F108" s="128"/>
      <c r="G108" s="128"/>
      <c r="H108" s="128"/>
      <c r="J108" s="34" t="s">
        <v>203</v>
      </c>
      <c r="K108" s="34" t="s">
        <v>204</v>
      </c>
    </row>
    <row r="109" spans="1:11" s="34" customFormat="1" ht="15.75" customHeight="1" x14ac:dyDescent="0.25">
      <c r="A109" s="64" t="s">
        <v>54</v>
      </c>
      <c r="B109" s="64"/>
      <c r="C109" s="115" t="s">
        <v>80</v>
      </c>
      <c r="D109" s="115"/>
      <c r="E109" s="129" t="s">
        <v>55</v>
      </c>
      <c r="F109" s="129"/>
      <c r="G109" s="64" t="s">
        <v>56</v>
      </c>
      <c r="H109" s="64"/>
      <c r="J109" s="56">
        <f>2045000/F120</f>
        <v>3194.9337106560988</v>
      </c>
      <c r="K109" s="58">
        <f>2000000/F120</f>
        <v>3124.6295458739351</v>
      </c>
    </row>
    <row r="110" spans="1:11" s="34" customFormat="1" x14ac:dyDescent="0.25">
      <c r="A110" s="127" t="s">
        <v>191</v>
      </c>
      <c r="B110" s="127"/>
      <c r="C110" s="78">
        <f>COUNT(D120:D123)*4</f>
        <v>16</v>
      </c>
      <c r="D110" s="78"/>
      <c r="E110" s="79">
        <f>SUM(D120:D123)*4</f>
        <v>6945.3633599999994</v>
      </c>
      <c r="F110" s="79"/>
      <c r="G110" s="79">
        <f>SUM(F120:F123)*4</f>
        <v>10070.776871999999</v>
      </c>
      <c r="H110" s="79"/>
      <c r="J110" s="56">
        <f>2045000/F121</f>
        <v>3194.9337106560988</v>
      </c>
    </row>
    <row r="111" spans="1:11" s="34" customFormat="1" x14ac:dyDescent="0.25">
      <c r="A111" s="127" t="s">
        <v>192</v>
      </c>
      <c r="B111" s="127"/>
      <c r="C111" s="78">
        <f>COUNT(D127:D129)*4</f>
        <v>12</v>
      </c>
      <c r="D111" s="78"/>
      <c r="E111" s="79">
        <f>SUM(D127:D129)*4</f>
        <v>4960.4817599999997</v>
      </c>
      <c r="F111" s="79"/>
      <c r="G111" s="79">
        <f>SUM(F127:F129)*4</f>
        <v>7192.6985519999989</v>
      </c>
      <c r="H111" s="79"/>
      <c r="J111" s="56">
        <f>1910000/F122</f>
        <v>3196.831506814447</v>
      </c>
    </row>
    <row r="112" spans="1:11" s="34" customFormat="1" x14ac:dyDescent="0.25">
      <c r="A112" s="128" t="s">
        <v>151</v>
      </c>
      <c r="B112" s="128"/>
      <c r="C112" s="114">
        <f>SUM(C110:D111)</f>
        <v>28</v>
      </c>
      <c r="D112" s="115"/>
      <c r="E112" s="114">
        <f>SUM(E110:F111)</f>
        <v>11905.845119999998</v>
      </c>
      <c r="F112" s="115"/>
      <c r="G112" s="114">
        <f>SUM(G110:H111)</f>
        <v>17263.475423999997</v>
      </c>
      <c r="H112" s="115"/>
      <c r="J112" s="56">
        <f>1800000/F129</f>
        <v>3193.767707246222</v>
      </c>
    </row>
    <row r="113" spans="1:10" s="33" customFormat="1" x14ac:dyDescent="0.25">
      <c r="A113" s="113" t="s">
        <v>57</v>
      </c>
      <c r="B113" s="113"/>
      <c r="C113" s="113"/>
      <c r="D113" s="113"/>
      <c r="E113" s="113"/>
      <c r="F113" s="113"/>
      <c r="G113" s="113"/>
      <c r="H113" s="113"/>
      <c r="J113" s="57">
        <f>AVERAGE(J109:J112)</f>
        <v>3195.116658843217</v>
      </c>
    </row>
    <row r="114" spans="1:10" x14ac:dyDescent="0.25">
      <c r="A114" s="113" t="s">
        <v>58</v>
      </c>
      <c r="B114" s="113"/>
      <c r="C114" s="113"/>
      <c r="D114" s="113"/>
      <c r="E114" s="113"/>
      <c r="F114" s="113"/>
      <c r="G114" s="113"/>
      <c r="H114" s="113"/>
    </row>
    <row r="115" spans="1:10" ht="47.25" customHeight="1" x14ac:dyDescent="0.25">
      <c r="A115" s="69" t="s">
        <v>121</v>
      </c>
      <c r="B115" s="69" t="s">
        <v>122</v>
      </c>
      <c r="C115" s="65" t="s">
        <v>59</v>
      </c>
      <c r="D115" s="65" t="s">
        <v>60</v>
      </c>
      <c r="E115" s="67" t="s">
        <v>61</v>
      </c>
      <c r="F115" s="42" t="s">
        <v>150</v>
      </c>
      <c r="G115" s="69" t="s">
        <v>62</v>
      </c>
      <c r="H115" s="70"/>
      <c r="I115" s="35"/>
    </row>
    <row r="116" spans="1:10" s="36" customFormat="1" x14ac:dyDescent="0.25">
      <c r="A116" s="71"/>
      <c r="B116" s="71"/>
      <c r="C116" s="66"/>
      <c r="D116" s="66"/>
      <c r="E116" s="68"/>
      <c r="F116" s="13">
        <v>0.45</v>
      </c>
      <c r="G116" s="71"/>
      <c r="H116" s="72"/>
      <c r="I116" s="35"/>
    </row>
    <row r="117" spans="1:10" s="36" customFormat="1" ht="15.75" customHeight="1" x14ac:dyDescent="0.25">
      <c r="A117" s="100" t="s">
        <v>191</v>
      </c>
      <c r="B117" s="101"/>
      <c r="C117" s="101"/>
      <c r="D117" s="101"/>
      <c r="E117" s="101"/>
      <c r="F117" s="101"/>
      <c r="G117" s="101"/>
      <c r="H117" s="102"/>
      <c r="J117" s="35"/>
    </row>
    <row r="118" spans="1:10" s="36" customFormat="1" x14ac:dyDescent="0.25">
      <c r="A118" s="100" t="s">
        <v>189</v>
      </c>
      <c r="B118" s="101"/>
      <c r="C118" s="101"/>
      <c r="D118" s="101"/>
      <c r="E118" s="101"/>
      <c r="F118" s="101"/>
      <c r="G118" s="101"/>
      <c r="H118" s="102"/>
      <c r="J118" s="35"/>
    </row>
    <row r="119" spans="1:10" s="36" customFormat="1" ht="15.75" customHeight="1" x14ac:dyDescent="0.25">
      <c r="A119" s="100" t="s">
        <v>190</v>
      </c>
      <c r="B119" s="101"/>
      <c r="C119" s="101"/>
      <c r="D119" s="101"/>
      <c r="E119" s="101"/>
      <c r="F119" s="101"/>
      <c r="G119" s="101"/>
      <c r="H119" s="102"/>
      <c r="I119" s="35"/>
    </row>
    <row r="120" spans="1:10" s="36" customFormat="1" ht="15.75" customHeight="1" x14ac:dyDescent="0.25">
      <c r="A120" s="103">
        <v>1</v>
      </c>
      <c r="B120" s="104"/>
      <c r="C120" s="41" t="s">
        <v>193</v>
      </c>
      <c r="D120" s="54">
        <f>(41.01)*(10.764)</f>
        <v>441.43163999999996</v>
      </c>
      <c r="E120" s="41">
        <v>0</v>
      </c>
      <c r="F120" s="41">
        <f>D120*(($F$116)+1)+(IF(E120&lt;101,E120,IF(E120&lt;201,E120/2,IF(E120&lt;=301,E120/3,E120/4))))</f>
        <v>640.07587799999988</v>
      </c>
      <c r="G120" s="134" t="str">
        <f>A119</f>
        <v>1st, 2nd, 3rd &amp; 4th Floor</v>
      </c>
      <c r="H120" s="135"/>
      <c r="I120" s="35">
        <f>4.27*2.67+1.84*3.19+2.9*2.74+0.91*3.3+1.22*2.2+1*2.74+1*2.67+1.22*2.04</f>
        <v>38.802300000000002</v>
      </c>
      <c r="J120" s="36">
        <f>3200*F120</f>
        <v>2048242.8095999996</v>
      </c>
    </row>
    <row r="121" spans="1:10" s="36" customFormat="1" ht="15.75" customHeight="1" x14ac:dyDescent="0.25">
      <c r="A121" s="103">
        <v>2</v>
      </c>
      <c r="B121" s="104"/>
      <c r="C121" s="41" t="s">
        <v>193</v>
      </c>
      <c r="D121" s="54">
        <f>(41.01)*(10.764)</f>
        <v>441.43163999999996</v>
      </c>
      <c r="E121" s="41">
        <v>0</v>
      </c>
      <c r="F121" s="41">
        <f>D121*(($F$116)+1)+(IF(E121&lt;101,E121,IF(E121&lt;201,E121/2,IF(E121&lt;=301,E121/3,E121/4))))</f>
        <v>640.07587799999988</v>
      </c>
      <c r="G121" s="136"/>
      <c r="H121" s="137"/>
      <c r="I121" s="35"/>
      <c r="J121" s="36">
        <f t="shared" ref="J121:J129" si="0">3200*F121</f>
        <v>2048242.8095999996</v>
      </c>
    </row>
    <row r="122" spans="1:10" s="36" customFormat="1" ht="15.75" customHeight="1" x14ac:dyDescent="0.25">
      <c r="A122" s="103">
        <v>3</v>
      </c>
      <c r="B122" s="104"/>
      <c r="C122" s="41" t="s">
        <v>193</v>
      </c>
      <c r="D122" s="54">
        <f>(38.28)*(10.764)</f>
        <v>412.04591999999997</v>
      </c>
      <c r="E122" s="41">
        <v>0</v>
      </c>
      <c r="F122" s="41">
        <f>D122*(($F$116)+1)+(IF(E122&lt;101,E122,IF(E122&lt;201,E122/2,IF(E122&lt;=301,E122/3,E122/4))))</f>
        <v>597.4665839999999</v>
      </c>
      <c r="G122" s="136"/>
      <c r="H122" s="137"/>
      <c r="I122" s="35">
        <f>4.27*2.67+1.84*3.19+2.9*2.74+1.22*2.04+1.22*2.2+0.91*3.19+1*2.67</f>
        <v>35.962200000000003</v>
      </c>
      <c r="J122" s="36">
        <f t="shared" si="0"/>
        <v>1911893.0687999998</v>
      </c>
    </row>
    <row r="123" spans="1:10" s="36" customFormat="1" ht="15.75" customHeight="1" x14ac:dyDescent="0.25">
      <c r="A123" s="103">
        <v>4</v>
      </c>
      <c r="B123" s="104"/>
      <c r="C123" s="41" t="s">
        <v>193</v>
      </c>
      <c r="D123" s="54">
        <f>(41.01)*(10.764)</f>
        <v>441.43163999999996</v>
      </c>
      <c r="E123" s="41">
        <v>0</v>
      </c>
      <c r="F123" s="41">
        <f>D123*(($F$116)+1)+(IF(E123&lt;101,E123,IF(E123&lt;201,E123/2,IF(E123&lt;=301,E123/3,E123/4))))</f>
        <v>640.07587799999988</v>
      </c>
      <c r="G123" s="138"/>
      <c r="H123" s="139"/>
      <c r="I123" s="35"/>
      <c r="J123" s="36">
        <f t="shared" si="0"/>
        <v>2048242.8095999996</v>
      </c>
    </row>
    <row r="124" spans="1:10" s="36" customFormat="1" x14ac:dyDescent="0.25">
      <c r="A124" s="100" t="s">
        <v>192</v>
      </c>
      <c r="B124" s="101"/>
      <c r="C124" s="101"/>
      <c r="D124" s="101"/>
      <c r="E124" s="101"/>
      <c r="F124" s="101"/>
      <c r="G124" s="101"/>
      <c r="H124" s="101"/>
      <c r="I124" s="35"/>
      <c r="J124" s="36">
        <f t="shared" si="0"/>
        <v>0</v>
      </c>
    </row>
    <row r="125" spans="1:10" s="36" customFormat="1" x14ac:dyDescent="0.25">
      <c r="A125" s="100" t="s">
        <v>189</v>
      </c>
      <c r="B125" s="101"/>
      <c r="C125" s="101"/>
      <c r="D125" s="101"/>
      <c r="E125" s="101"/>
      <c r="F125" s="101"/>
      <c r="G125" s="101"/>
      <c r="H125" s="102"/>
      <c r="J125" s="36">
        <f t="shared" si="0"/>
        <v>0</v>
      </c>
    </row>
    <row r="126" spans="1:10" s="36" customFormat="1" ht="15.75" customHeight="1" x14ac:dyDescent="0.25">
      <c r="A126" s="100" t="s">
        <v>190</v>
      </c>
      <c r="B126" s="101"/>
      <c r="C126" s="101"/>
      <c r="D126" s="101"/>
      <c r="E126" s="101"/>
      <c r="F126" s="101"/>
      <c r="G126" s="101"/>
      <c r="H126" s="102"/>
      <c r="I126" s="35"/>
      <c r="J126" s="36">
        <f t="shared" si="0"/>
        <v>0</v>
      </c>
    </row>
    <row r="127" spans="1:10" s="36" customFormat="1" ht="15.75" customHeight="1" x14ac:dyDescent="0.25">
      <c r="A127" s="103">
        <v>1</v>
      </c>
      <c r="B127" s="104"/>
      <c r="C127" s="41" t="s">
        <v>193</v>
      </c>
      <c r="D127" s="54">
        <f>(41.01)*(10.764)</f>
        <v>441.43163999999996</v>
      </c>
      <c r="E127" s="41">
        <v>0</v>
      </c>
      <c r="F127" s="41">
        <f>D127*(($F$116)+1)+(IF(E127&lt;101,E127,IF(E127&lt;201,E127/2,IF(E127&lt;=301,E127/3,E127/4))))</f>
        <v>640.07587799999988</v>
      </c>
      <c r="G127" s="134" t="str">
        <f>A126</f>
        <v>1st, 2nd, 3rd &amp; 4th Floor</v>
      </c>
      <c r="H127" s="135"/>
      <c r="I127" s="35"/>
      <c r="J127" s="36">
        <f t="shared" si="0"/>
        <v>2048242.8095999996</v>
      </c>
    </row>
    <row r="128" spans="1:10" s="36" customFormat="1" ht="15.75" customHeight="1" x14ac:dyDescent="0.25">
      <c r="A128" s="103">
        <v>2</v>
      </c>
      <c r="B128" s="104"/>
      <c r="C128" s="41" t="s">
        <v>193</v>
      </c>
      <c r="D128" s="54">
        <f>(38.09)*(10.764)</f>
        <v>410.00076000000001</v>
      </c>
      <c r="E128" s="41">
        <v>0</v>
      </c>
      <c r="F128" s="41">
        <f>D128*(($F$116)+1)+(IF(E128&lt;101,E128,IF(E128&lt;201,E128/2,IF(E128&lt;=301,E128/3,E128/4))))</f>
        <v>594.50110199999995</v>
      </c>
      <c r="G128" s="136"/>
      <c r="H128" s="137"/>
      <c r="I128" s="35"/>
      <c r="J128" s="36">
        <f t="shared" si="0"/>
        <v>1902403.5263999999</v>
      </c>
    </row>
    <row r="129" spans="1:10" s="36" customFormat="1" ht="15.75" customHeight="1" x14ac:dyDescent="0.25">
      <c r="A129" s="103">
        <v>3</v>
      </c>
      <c r="B129" s="104"/>
      <c r="C129" s="41" t="s">
        <v>193</v>
      </c>
      <c r="D129" s="54">
        <f>(36.11)*(10.764)</f>
        <v>388.68803999999994</v>
      </c>
      <c r="E129" s="41">
        <v>0</v>
      </c>
      <c r="F129" s="41">
        <f>D129*(($F$116)+1)+(IF(E129&lt;101,E129,IF(E129&lt;201,E129/2,IF(E129&lt;=301,E129/3,E129/4))))</f>
        <v>563.59765799999991</v>
      </c>
      <c r="G129" s="136"/>
      <c r="H129" s="137"/>
      <c r="I129" s="35">
        <f>4.46*2.67+3.42*2.67+2.03*2.44+1.22*1.98+1*1.95+0.91*1+1*2.67</f>
        <v>33.938400000000001</v>
      </c>
      <c r="J129" s="36">
        <f t="shared" si="0"/>
        <v>1803512.5055999998</v>
      </c>
    </row>
    <row r="130" spans="1:10" s="34" customFormat="1" x14ac:dyDescent="0.25">
      <c r="A130" s="76" t="s">
        <v>70</v>
      </c>
      <c r="B130" s="76"/>
      <c r="C130" s="76"/>
      <c r="D130" s="76"/>
      <c r="E130" s="76"/>
      <c r="F130" s="76"/>
      <c r="G130" s="76"/>
      <c r="H130" s="76"/>
    </row>
    <row r="131" spans="1:10" s="34" customFormat="1" x14ac:dyDescent="0.25">
      <c r="A131" s="61" t="s">
        <v>154</v>
      </c>
      <c r="B131" s="181" t="s">
        <v>219</v>
      </c>
      <c r="C131" s="182"/>
      <c r="D131" s="182"/>
      <c r="E131" s="182"/>
      <c r="F131" s="182"/>
      <c r="G131" s="182"/>
      <c r="H131" s="183"/>
    </row>
    <row r="132" spans="1:10" s="34" customFormat="1" x14ac:dyDescent="0.25">
      <c r="A132" s="61" t="s">
        <v>154</v>
      </c>
      <c r="B132" s="181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32" s="182"/>
      <c r="D132" s="182"/>
      <c r="E132" s="182"/>
      <c r="F132" s="182"/>
      <c r="G132" s="182"/>
      <c r="H132" s="183"/>
    </row>
    <row r="133" spans="1:10" s="34" customFormat="1" x14ac:dyDescent="0.25">
      <c r="A133" s="61" t="s">
        <v>154</v>
      </c>
      <c r="B133" s="181" t="s">
        <v>124</v>
      </c>
      <c r="C133" s="182"/>
      <c r="D133" s="182"/>
      <c r="E133" s="182"/>
      <c r="F133" s="182"/>
      <c r="G133" s="182"/>
      <c r="H133" s="183"/>
    </row>
    <row r="134" spans="1:10" s="34" customFormat="1" x14ac:dyDescent="0.25">
      <c r="A134" s="46" t="s">
        <v>154</v>
      </c>
      <c r="B134" s="80" t="s">
        <v>194</v>
      </c>
      <c r="C134" s="81"/>
      <c r="D134" s="81"/>
      <c r="E134" s="81"/>
      <c r="F134" s="81"/>
      <c r="G134" s="81"/>
      <c r="H134" s="82"/>
    </row>
    <row r="135" spans="1:10" s="34" customFormat="1" x14ac:dyDescent="0.25">
      <c r="A135" s="46" t="s">
        <v>154</v>
      </c>
      <c r="B135" s="80" t="s">
        <v>153</v>
      </c>
      <c r="C135" s="81"/>
      <c r="D135" s="81"/>
      <c r="E135" s="81"/>
      <c r="F135" s="81"/>
      <c r="G135" s="81"/>
      <c r="H135" s="82"/>
    </row>
    <row r="136" spans="1:10" s="34" customFormat="1" x14ac:dyDescent="0.25">
      <c r="A136" s="46" t="s">
        <v>154</v>
      </c>
      <c r="B136" s="80" t="s">
        <v>125</v>
      </c>
      <c r="C136" s="81"/>
      <c r="D136" s="81"/>
      <c r="E136" s="81"/>
      <c r="F136" s="81"/>
      <c r="G136" s="81"/>
      <c r="H136" s="82"/>
    </row>
    <row r="137" spans="1:10" s="34" customFormat="1" ht="32.1" hidden="1" customHeight="1" x14ac:dyDescent="0.25">
      <c r="A137" s="46" t="s">
        <v>154</v>
      </c>
      <c r="B137" s="80" t="s">
        <v>155</v>
      </c>
      <c r="C137" s="81"/>
      <c r="D137" s="81"/>
      <c r="E137" s="81"/>
      <c r="F137" s="81"/>
      <c r="G137" s="81"/>
      <c r="H137" s="82"/>
    </row>
    <row r="138" spans="1:10" s="34" customFormat="1" x14ac:dyDescent="0.25">
      <c r="A138" s="46" t="s">
        <v>154</v>
      </c>
      <c r="B138" s="80" t="s">
        <v>126</v>
      </c>
      <c r="C138" s="81"/>
      <c r="D138" s="81"/>
      <c r="E138" s="81"/>
      <c r="F138" s="81"/>
      <c r="G138" s="81"/>
      <c r="H138" s="82"/>
    </row>
    <row r="139" spans="1:10" s="34" customFormat="1" ht="30.95" hidden="1" customHeight="1" x14ac:dyDescent="0.25">
      <c r="A139" s="46" t="s">
        <v>154</v>
      </c>
      <c r="B139" s="83" t="s">
        <v>210</v>
      </c>
      <c r="C139" s="84"/>
      <c r="D139" s="84"/>
      <c r="E139" s="84"/>
      <c r="F139" s="84"/>
      <c r="G139" s="84"/>
      <c r="H139" s="85"/>
    </row>
    <row r="140" spans="1:10" s="34" customFormat="1" x14ac:dyDescent="0.25">
      <c r="A140" s="46" t="s">
        <v>154</v>
      </c>
      <c r="B140" s="80" t="s">
        <v>214</v>
      </c>
      <c r="C140" s="81"/>
      <c r="D140" s="81"/>
      <c r="E140" s="81"/>
      <c r="F140" s="81"/>
      <c r="G140" s="81"/>
      <c r="H140" s="82"/>
    </row>
    <row r="141" spans="1:10" x14ac:dyDescent="0.25">
      <c r="A141" s="109" t="s">
        <v>63</v>
      </c>
      <c r="B141" s="109"/>
      <c r="C141" s="109"/>
      <c r="D141" s="109"/>
      <c r="E141" s="109"/>
      <c r="F141" s="109"/>
      <c r="G141" s="109"/>
      <c r="H141" s="109"/>
    </row>
    <row r="142" spans="1:10" x14ac:dyDescent="0.25">
      <c r="A142" s="62" t="s">
        <v>64</v>
      </c>
      <c r="B142" s="62"/>
      <c r="C142" s="62"/>
      <c r="D142" s="62"/>
      <c r="E142" s="62"/>
      <c r="F142" s="62"/>
      <c r="G142" s="62"/>
      <c r="H142" s="62"/>
    </row>
    <row r="143" spans="1:10" ht="15.75" customHeight="1" x14ac:dyDescent="0.25">
      <c r="A143" s="63" t="s">
        <v>65</v>
      </c>
      <c r="B143" s="63"/>
      <c r="C143" s="63"/>
      <c r="D143" s="63"/>
      <c r="E143" s="63"/>
      <c r="F143" s="63"/>
      <c r="G143" s="63"/>
      <c r="H143" s="63"/>
    </row>
    <row r="144" spans="1:10" x14ac:dyDescent="0.25">
      <c r="A144" s="62" t="s">
        <v>66</v>
      </c>
      <c r="B144" s="62"/>
      <c r="C144" s="62"/>
      <c r="D144" s="62"/>
      <c r="E144" s="62"/>
      <c r="F144" s="62"/>
      <c r="G144" s="62"/>
      <c r="H144" s="62"/>
    </row>
    <row r="145" spans="1:8" x14ac:dyDescent="0.25">
      <c r="A145" s="62" t="s">
        <v>67</v>
      </c>
      <c r="B145" s="62"/>
      <c r="C145" s="62"/>
      <c r="D145" s="62"/>
      <c r="E145" s="62"/>
      <c r="F145" s="62"/>
      <c r="G145" s="62"/>
      <c r="H145" s="62"/>
    </row>
    <row r="146" spans="1:8" x14ac:dyDescent="0.25">
      <c r="A146" s="62" t="s">
        <v>127</v>
      </c>
      <c r="B146" s="62"/>
      <c r="C146" s="62"/>
      <c r="D146" s="62"/>
      <c r="E146" s="62"/>
      <c r="F146" s="62"/>
      <c r="G146" s="62"/>
      <c r="H146" s="62"/>
    </row>
    <row r="147" spans="1:8" x14ac:dyDescent="0.25">
      <c r="A147" s="110" t="s">
        <v>128</v>
      </c>
      <c r="B147" s="110"/>
      <c r="C147" s="110"/>
      <c r="D147" s="110"/>
      <c r="E147" s="110"/>
      <c r="F147" s="110"/>
      <c r="G147" s="110"/>
      <c r="H147" s="110"/>
    </row>
    <row r="148" spans="1:8" x14ac:dyDescent="0.25">
      <c r="A148" s="125" t="s">
        <v>79</v>
      </c>
      <c r="B148" s="125"/>
      <c r="C148" s="125" t="s">
        <v>216</v>
      </c>
      <c r="D148" s="125"/>
      <c r="E148" s="125" t="s">
        <v>108</v>
      </c>
      <c r="F148" s="125"/>
      <c r="G148" s="125" t="s">
        <v>218</v>
      </c>
      <c r="H148" s="125"/>
    </row>
    <row r="149" spans="1:8" x14ac:dyDescent="0.25">
      <c r="A149" s="124" t="s">
        <v>81</v>
      </c>
      <c r="B149" s="124"/>
      <c r="C149" s="124"/>
      <c r="D149" s="124"/>
      <c r="E149" s="124"/>
      <c r="F149" s="124"/>
      <c r="G149" s="124"/>
      <c r="H149" s="124"/>
    </row>
    <row r="150" spans="1:8" x14ac:dyDescent="0.25">
      <c r="A150" s="124"/>
      <c r="B150" s="124"/>
      <c r="C150" s="124"/>
      <c r="D150" s="124"/>
      <c r="E150" s="124"/>
      <c r="F150" s="124"/>
      <c r="G150" s="124"/>
      <c r="H150" s="124"/>
    </row>
    <row r="151" spans="1:8" x14ac:dyDescent="0.25">
      <c r="A151" s="124"/>
      <c r="B151" s="124"/>
      <c r="C151" s="124"/>
      <c r="D151" s="124"/>
      <c r="E151" s="124"/>
      <c r="F151" s="124"/>
      <c r="G151" s="124"/>
      <c r="H151" s="124"/>
    </row>
    <row r="152" spans="1:8" x14ac:dyDescent="0.25">
      <c r="A152" s="124"/>
      <c r="B152" s="124"/>
      <c r="C152" s="124"/>
      <c r="D152" s="124"/>
      <c r="E152" s="124"/>
      <c r="F152" s="124"/>
      <c r="G152" s="124"/>
      <c r="H152" s="124"/>
    </row>
    <row r="153" spans="1:8" x14ac:dyDescent="0.25">
      <c r="A153" s="37" t="s">
        <v>68</v>
      </c>
      <c r="B153" s="38"/>
      <c r="C153" s="38"/>
      <c r="D153" s="37" t="str">
        <f>E8</f>
        <v>Aadinath Complex</v>
      </c>
      <c r="F153" s="38"/>
      <c r="G153" s="38"/>
      <c r="H153" s="38"/>
    </row>
    <row r="154" spans="1:8" x14ac:dyDescent="0.25">
      <c r="A154" s="38"/>
      <c r="B154" s="38"/>
      <c r="C154" s="38"/>
      <c r="D154" s="38"/>
      <c r="E154" s="38"/>
      <c r="F154" s="38"/>
      <c r="G154" s="38"/>
      <c r="H154" s="38"/>
    </row>
    <row r="155" spans="1:8" x14ac:dyDescent="0.25">
      <c r="A155" s="38"/>
      <c r="B155" s="38"/>
      <c r="C155" s="38"/>
      <c r="D155" s="38"/>
      <c r="E155" s="38"/>
      <c r="F155" s="38"/>
      <c r="G155" s="38"/>
      <c r="H155" s="38"/>
    </row>
    <row r="156" spans="1:8" ht="15" customHeight="1" x14ac:dyDescent="0.25"/>
    <row r="196" spans="1:1" x14ac:dyDescent="0.25">
      <c r="A196" s="40" t="s">
        <v>168</v>
      </c>
    </row>
    <row r="230" spans="1:1" hidden="1" x14ac:dyDescent="0.25"/>
    <row r="231" spans="1:1" hidden="1" x14ac:dyDescent="0.25"/>
    <row r="232" spans="1:1" hidden="1" x14ac:dyDescent="0.25"/>
    <row r="233" spans="1:1" hidden="1" x14ac:dyDescent="0.25"/>
    <row r="234" spans="1:1" hidden="1" x14ac:dyDescent="0.25"/>
    <row r="235" spans="1:1" hidden="1" x14ac:dyDescent="0.25"/>
    <row r="236" spans="1:1" hidden="1" x14ac:dyDescent="0.25"/>
    <row r="237" spans="1:1" x14ac:dyDescent="0.25">
      <c r="A237" s="40" t="s">
        <v>69</v>
      </c>
    </row>
  </sheetData>
  <mergeCells count="266">
    <mergeCell ref="A85:B85"/>
    <mergeCell ref="A86:B86"/>
    <mergeCell ref="A87:B87"/>
    <mergeCell ref="F96:H96"/>
    <mergeCell ref="A96:E96"/>
    <mergeCell ref="A98:E98"/>
    <mergeCell ref="A99:E99"/>
    <mergeCell ref="A105:E105"/>
    <mergeCell ref="G112:H112"/>
    <mergeCell ref="G111:H111"/>
    <mergeCell ref="E112:F112"/>
    <mergeCell ref="A111:B111"/>
    <mergeCell ref="C111:D111"/>
    <mergeCell ref="A112:B112"/>
    <mergeCell ref="A92:B92"/>
    <mergeCell ref="A93:B93"/>
    <mergeCell ref="E111:F111"/>
    <mergeCell ref="C109:D109"/>
    <mergeCell ref="A82:B82"/>
    <mergeCell ref="F94:H94"/>
    <mergeCell ref="F99:H99"/>
    <mergeCell ref="F102:H102"/>
    <mergeCell ref="B137:H137"/>
    <mergeCell ref="E45:H45"/>
    <mergeCell ref="A43:D43"/>
    <mergeCell ref="A77:B7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57:C58"/>
    <mergeCell ref="A60:C60"/>
    <mergeCell ref="D59:H59"/>
    <mergeCell ref="E70:F79"/>
    <mergeCell ref="B135:H135"/>
    <mergeCell ref="G84:H93"/>
    <mergeCell ref="D60:H60"/>
    <mergeCell ref="A62:C62"/>
    <mergeCell ref="D62:H62"/>
    <mergeCell ref="A65:C65"/>
    <mergeCell ref="A36:H36"/>
    <mergeCell ref="A35:B35"/>
    <mergeCell ref="C35:E35"/>
    <mergeCell ref="A40:D40"/>
    <mergeCell ref="E40:H40"/>
    <mergeCell ref="A47:B47"/>
    <mergeCell ref="C47:H47"/>
    <mergeCell ref="D65:H65"/>
    <mergeCell ref="A63:C63"/>
    <mergeCell ref="D63:H63"/>
    <mergeCell ref="A64:C64"/>
    <mergeCell ref="D64:H64"/>
    <mergeCell ref="F32:H32"/>
    <mergeCell ref="F33:H33"/>
    <mergeCell ref="A39:H39"/>
    <mergeCell ref="A59:C59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A42:D42"/>
    <mergeCell ref="E42:H42"/>
    <mergeCell ref="E43:H43"/>
    <mergeCell ref="E44:H44"/>
    <mergeCell ref="D54:H54"/>
    <mergeCell ref="C50:E50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84:B84"/>
    <mergeCell ref="E84:F93"/>
    <mergeCell ref="B134:H134"/>
    <mergeCell ref="A71:B71"/>
    <mergeCell ref="A73:B73"/>
    <mergeCell ref="E69:F69"/>
    <mergeCell ref="A117:H117"/>
    <mergeCell ref="G120:H123"/>
    <mergeCell ref="A126:H126"/>
    <mergeCell ref="A127:B127"/>
    <mergeCell ref="G127:H129"/>
    <mergeCell ref="A128:B128"/>
    <mergeCell ref="A129:B129"/>
    <mergeCell ref="A91:B91"/>
    <mergeCell ref="A121:B121"/>
    <mergeCell ref="A122:B122"/>
    <mergeCell ref="C82:H82"/>
    <mergeCell ref="A83:B83"/>
    <mergeCell ref="E83:F83"/>
    <mergeCell ref="G83:H83"/>
    <mergeCell ref="A100:E100"/>
    <mergeCell ref="F100:H100"/>
    <mergeCell ref="G110:H110"/>
    <mergeCell ref="A70:B70"/>
    <mergeCell ref="B138:H138"/>
    <mergeCell ref="G109:H109"/>
    <mergeCell ref="A115:A116"/>
    <mergeCell ref="A123:B123"/>
    <mergeCell ref="A103:E103"/>
    <mergeCell ref="F97:H97"/>
    <mergeCell ref="A102:E102"/>
    <mergeCell ref="A97:E97"/>
    <mergeCell ref="A94:E94"/>
    <mergeCell ref="F98:H98"/>
    <mergeCell ref="F101:H101"/>
    <mergeCell ref="A95:E95"/>
    <mergeCell ref="A101:E101"/>
    <mergeCell ref="A125:H125"/>
    <mergeCell ref="A113:H113"/>
    <mergeCell ref="B131:H131"/>
    <mergeCell ref="B132:H132"/>
    <mergeCell ref="B133:H133"/>
    <mergeCell ref="A114:H114"/>
    <mergeCell ref="A104:E104"/>
    <mergeCell ref="C115:C116"/>
    <mergeCell ref="C112:D112"/>
    <mergeCell ref="A79:B79"/>
    <mergeCell ref="G70:H79"/>
    <mergeCell ref="A78:B78"/>
    <mergeCell ref="A149:H152"/>
    <mergeCell ref="A148:B148"/>
    <mergeCell ref="E148:F148"/>
    <mergeCell ref="C148:D148"/>
    <mergeCell ref="G148:H148"/>
    <mergeCell ref="A106:E106"/>
    <mergeCell ref="F106:H106"/>
    <mergeCell ref="A107:E107"/>
    <mergeCell ref="F107:H107"/>
    <mergeCell ref="A110:B110"/>
    <mergeCell ref="A144:H144"/>
    <mergeCell ref="A108:H108"/>
    <mergeCell ref="A147:H147"/>
    <mergeCell ref="A145:H145"/>
    <mergeCell ref="A141:H141"/>
    <mergeCell ref="A142:H142"/>
    <mergeCell ref="E109:F109"/>
    <mergeCell ref="A16:B16"/>
    <mergeCell ref="C16:H16"/>
    <mergeCell ref="E41:H41"/>
    <mergeCell ref="A41:D41"/>
    <mergeCell ref="A80:B80"/>
    <mergeCell ref="C80:H80"/>
    <mergeCell ref="A75:B75"/>
    <mergeCell ref="A48:B48"/>
    <mergeCell ref="C48:E48"/>
    <mergeCell ref="G48:H48"/>
    <mergeCell ref="G50:H50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G69:H69"/>
    <mergeCell ref="A146:H146"/>
    <mergeCell ref="A143:H143"/>
    <mergeCell ref="A109:B109"/>
    <mergeCell ref="D115:D116"/>
    <mergeCell ref="E115:E116"/>
    <mergeCell ref="G115:H116"/>
    <mergeCell ref="A88:B88"/>
    <mergeCell ref="A89:B89"/>
    <mergeCell ref="A90:B90"/>
    <mergeCell ref="F95:H95"/>
    <mergeCell ref="A130:H130"/>
    <mergeCell ref="F104:H104"/>
    <mergeCell ref="C110:D110"/>
    <mergeCell ref="E110:F110"/>
    <mergeCell ref="B140:H140"/>
    <mergeCell ref="B139:H139"/>
    <mergeCell ref="A118:H118"/>
    <mergeCell ref="A120:B120"/>
    <mergeCell ref="B136:H136"/>
    <mergeCell ref="B115:B116"/>
    <mergeCell ref="A124:H124"/>
    <mergeCell ref="A119:H119"/>
    <mergeCell ref="F105:H105"/>
    <mergeCell ref="F103:H103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9" max="7" man="1"/>
    <brk id="140" max="7" man="1"/>
    <brk id="152" max="16383" man="1"/>
    <brk id="195" max="16383" man="1"/>
    <brk id="23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4" t="s">
        <v>109</v>
      </c>
      <c r="C3" s="184"/>
      <c r="D3" s="184"/>
      <c r="E3" s="184"/>
      <c r="F3" s="184"/>
      <c r="G3" s="184"/>
      <c r="H3" s="184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2025-07-14T10:37:25Z</cp:lastPrinted>
  <dcterms:created xsi:type="dcterms:W3CDTF">2019-07-16T09:29:46Z</dcterms:created>
  <dcterms:modified xsi:type="dcterms:W3CDTF">2025-07-14T11:24:57Z</dcterms:modified>
</cp:coreProperties>
</file>