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K129" i="1" l="1"/>
  <c r="K130" i="1"/>
  <c r="K131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19" i="1"/>
  <c r="I140" i="1"/>
  <c r="I134" i="1"/>
  <c r="I133" i="1"/>
  <c r="I132" i="1"/>
  <c r="I127" i="1"/>
  <c r="I136" i="1"/>
  <c r="D141" i="1"/>
  <c r="K141" i="1" s="1"/>
  <c r="D140" i="1"/>
  <c r="K140" i="1" s="1"/>
  <c r="D139" i="1"/>
  <c r="K139" i="1" s="1"/>
  <c r="D138" i="1"/>
  <c r="K138" i="1" s="1"/>
  <c r="D136" i="1"/>
  <c r="K136" i="1" s="1"/>
  <c r="D137" i="1"/>
  <c r="K137" i="1" s="1"/>
  <c r="D135" i="1"/>
  <c r="K135" i="1" s="1"/>
  <c r="D134" i="1"/>
  <c r="K134" i="1" s="1"/>
  <c r="D133" i="1"/>
  <c r="K133" i="1" s="1"/>
  <c r="D132" i="1"/>
  <c r="K132" i="1" s="1"/>
  <c r="D128" i="1"/>
  <c r="K128" i="1" s="1"/>
  <c r="D127" i="1"/>
  <c r="K127" i="1" s="1"/>
  <c r="D126" i="1"/>
  <c r="K126" i="1" s="1"/>
  <c r="D125" i="1"/>
  <c r="K125" i="1" s="1"/>
  <c r="D124" i="1"/>
  <c r="K124" i="1" s="1"/>
  <c r="D123" i="1"/>
  <c r="K123" i="1" s="1"/>
  <c r="D122" i="1"/>
  <c r="K122" i="1" s="1"/>
  <c r="D121" i="1"/>
  <c r="K121" i="1" s="1"/>
  <c r="D120" i="1"/>
  <c r="K120" i="1" s="1"/>
  <c r="D119" i="1"/>
  <c r="K119" i="1" s="1"/>
  <c r="I119" i="1"/>
  <c r="G119" i="1"/>
  <c r="A119" i="1"/>
  <c r="G110" i="1" l="1"/>
  <c r="C111" i="1"/>
  <c r="E110" i="1"/>
  <c r="E111" i="1"/>
  <c r="C110" i="1"/>
  <c r="C14" i="1"/>
  <c r="A120" i="1"/>
  <c r="C112" i="1" l="1"/>
  <c r="E112" i="1"/>
  <c r="E29" i="1"/>
  <c r="A121" i="1"/>
  <c r="F107" i="1" l="1"/>
  <c r="A122" i="1"/>
  <c r="B144" i="1" l="1"/>
  <c r="A123" i="1"/>
  <c r="A132" i="1"/>
  <c r="G111" i="1" l="1"/>
  <c r="G112" i="1" s="1"/>
  <c r="A133" i="1"/>
  <c r="A124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5" i="1"/>
  <c r="G132" i="1"/>
  <c r="J91" i="1"/>
  <c r="J90" i="1"/>
  <c r="J89" i="1"/>
  <c r="J88" i="1"/>
  <c r="C80" i="1"/>
  <c r="J77" i="1"/>
  <c r="J76" i="1"/>
  <c r="J75" i="1"/>
  <c r="J74" i="1"/>
  <c r="C66" i="1"/>
  <c r="D54" i="1"/>
  <c r="G49" i="1"/>
  <c r="G50" i="1" s="1"/>
  <c r="C49" i="1"/>
  <c r="E42" i="1"/>
  <c r="E43" i="1" s="1"/>
  <c r="E26" i="1"/>
  <c r="E24" i="1"/>
  <c r="E7" i="1"/>
  <c r="E3" i="1"/>
  <c r="H67" i="1"/>
  <c r="A134" i="1"/>
  <c r="A125" i="1"/>
  <c r="H81" i="1"/>
  <c r="D60" i="1" l="1"/>
  <c r="D91" i="1"/>
  <c r="D92" i="1"/>
  <c r="D93" i="1"/>
  <c r="D87" i="1"/>
  <c r="D88" i="1"/>
  <c r="D89" i="1"/>
  <c r="D90" i="1"/>
  <c r="J80" i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79" i="1" s="1"/>
  <c r="J86" i="1"/>
  <c r="J84" i="1"/>
  <c r="J85" i="1"/>
  <c r="C84" i="1" s="1"/>
  <c r="J83" i="1"/>
  <c r="A126" i="1"/>
  <c r="A135" i="1"/>
  <c r="J87" i="1" l="1"/>
  <c r="J92" i="1" s="1"/>
  <c r="J93" i="1" s="1"/>
  <c r="D85" i="1"/>
  <c r="D86" i="1"/>
  <c r="J82" i="1"/>
  <c r="D72" i="1"/>
  <c r="J68" i="1"/>
  <c r="E70" i="1"/>
  <c r="D71" i="1"/>
  <c r="G70" i="1"/>
  <c r="D64" i="1" s="1"/>
  <c r="D70" i="1"/>
  <c r="J67" i="1" s="1"/>
  <c r="D84" i="1"/>
  <c r="A127" i="1"/>
  <c r="A136" i="1"/>
  <c r="E84" i="1" l="1"/>
  <c r="G84" i="1"/>
  <c r="I81" i="1"/>
  <c r="I82" i="1" s="1"/>
  <c r="J81" i="1"/>
  <c r="I67" i="1"/>
  <c r="F65" i="1"/>
  <c r="D65" i="1"/>
  <c r="A128" i="1"/>
  <c r="A137" i="1"/>
  <c r="I80" i="1" l="1"/>
  <c r="C82" i="1" s="1"/>
  <c r="I68" i="1"/>
  <c r="I66" i="1" s="1"/>
  <c r="A138" i="1"/>
  <c r="A139" i="1" l="1"/>
  <c r="A140" i="1" l="1"/>
  <c r="A141" i="1" l="1"/>
</calcChain>
</file>

<file path=xl/sharedStrings.xml><?xml version="1.0" encoding="utf-8"?>
<sst xmlns="http://schemas.openxmlformats.org/spreadsheetml/2006/main" count="315" uniqueCount="223">
  <si>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</si>
  <si>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</si>
  <si>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</si>
  <si>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</si>
  <si>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</si>
  <si>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</si>
  <si>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</si>
  <si>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</si>
  <si>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</si>
  <si>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</si>
  <si>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</si>
  <si>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</si>
  <si>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</si>
  <si>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</si>
  <si>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</si>
  <si>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</si>
  <si>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</si>
  <si>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</si>
  <si>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</si>
  <si>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</si>
  <si>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</si>
  <si>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</si>
  <si>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</si>
  <si>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</si>
  <si>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</si>
  <si>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</si>
  <si>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</si>
  <si>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</si>
  <si>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</si>
  <si>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</si>
  <si>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</si>
  <si>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</si>
  <si>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</si>
  <si>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</si>
  <si>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</si>
  <si>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</si>
  <si>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</si>
  <si>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</si>
  <si>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</si>
  <si>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</si>
  <si>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</si>
  <si>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</si>
  <si>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</si>
  <si>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</si>
  <si>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</si>
  <si>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</si>
  <si>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</si>
  <si>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</si>
  <si>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</si>
  <si>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</si>
  <si>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</si>
  <si>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</si>
  <si>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</si>
  <si>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</si>
  <si>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</si>
  <si>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</si>
  <si>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</si>
  <si>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</si>
  <si>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</si>
  <si>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</si>
  <si>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</si>
  <si>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</si>
  <si>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</si>
  <si>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</si>
  <si>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</si>
  <si>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</si>
  <si>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</si>
  <si>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</si>
  <si>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</si>
  <si>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</si>
  <si>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</si>
  <si>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</si>
  <si>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</si>
  <si>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</si>
  <si>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</si>
  <si>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</si>
  <si>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</si>
  <si>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</si>
  <si>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</si>
  <si>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</si>
  <si>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</si>
  <si>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</si>
  <si>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</si>
  <si>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</si>
  <si>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</si>
  <si>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</si>
  <si>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</si>
  <si>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</si>
  <si>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</si>
  <si>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</si>
  <si>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</si>
  <si>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</si>
  <si>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</si>
  <si>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</si>
  <si>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</si>
  <si>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</si>
  <si>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</si>
  <si>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</si>
  <si>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</si>
  <si>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</si>
  <si>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</si>
  <si>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</si>
  <si>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</si>
  <si>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</si>
  <si>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</si>
  <si>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</si>
  <si>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</si>
  <si>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</si>
  <si>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</si>
  <si>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</si>
  <si>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</si>
  <si>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</si>
  <si>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</si>
  <si>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</si>
  <si>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</si>
  <si>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</si>
  <si>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</si>
  <si>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</si>
  <si>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</si>
  <si>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</si>
  <si>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</si>
  <si>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</si>
  <si>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</si>
  <si>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</si>
  <si>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</si>
  <si>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</si>
  <si>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</si>
  <si>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</si>
  <si>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</si>
  <si>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</si>
  <si>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</si>
  <si>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</si>
  <si>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</si>
  <si>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</si>
  <si>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</si>
  <si>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</si>
  <si>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</si>
  <si>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</si>
  <si>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</si>
  <si>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</si>
  <si>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</si>
  <si>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</si>
  <si>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</si>
  <si>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</si>
  <si>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</si>
  <si>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</si>
  <si>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</si>
  <si>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</si>
  <si>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</si>
  <si>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</si>
  <si>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</si>
  <si>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</si>
  <si>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</si>
  <si>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</si>
  <si>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</si>
  <si>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</si>
  <si>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</si>
  <si>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</si>
  <si>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</si>
  <si>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</si>
  <si>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</si>
  <si>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</si>
  <si>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</si>
  <si>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</si>
  <si>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</si>
  <si>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>Wing 3A</t>
  </si>
  <si>
    <t>Wing 3B</t>
  </si>
  <si>
    <t>Ground Floor for Parking</t>
  </si>
  <si>
    <t>1st to 12th Floor for Residential</t>
  </si>
  <si>
    <t>2BHK</t>
  </si>
  <si>
    <t>3BHK</t>
  </si>
  <si>
    <t>1BHK</t>
  </si>
  <si>
    <t>Axis Sanpada</t>
  </si>
  <si>
    <t>M/s. Today Royal Infra</t>
  </si>
  <si>
    <t>Belantara Phase III</t>
  </si>
  <si>
    <t>Phase III - Wing 3A &amp; 3B</t>
  </si>
  <si>
    <t>P52000034458</t>
  </si>
  <si>
    <t>Plot No</t>
  </si>
  <si>
    <t>3 of Gut No. 128/1, 128/4,….,132/9, 135/2.</t>
  </si>
  <si>
    <t>Karade</t>
  </si>
  <si>
    <t xml:space="preserve">Panvel </t>
  </si>
  <si>
    <t>Raigad</t>
  </si>
  <si>
    <t>Rasayani</t>
  </si>
  <si>
    <t>4.2 KM from Rasayani Railway Station</t>
  </si>
  <si>
    <t>Internal road</t>
  </si>
  <si>
    <t>Titan Crushing</t>
  </si>
  <si>
    <t>Open Plot</t>
  </si>
  <si>
    <t>Midc Fire Station Patalganga</t>
  </si>
  <si>
    <t>https://goo.gl/maps/eeK9j7zjimNPaEjq7</t>
  </si>
  <si>
    <t>2 Wings</t>
  </si>
  <si>
    <t>Office Of District Collector, Raigad</t>
  </si>
  <si>
    <t>MS/LNA-1/S.R/11/2019</t>
  </si>
  <si>
    <t>MS/LNA.1(B)/T.N.14312/S.R.11/2019</t>
  </si>
  <si>
    <t>Wing 3A = G/St + 1st to 12th Floor
Wing 3B = G/St + 1st to 12th Floor</t>
  </si>
  <si>
    <t>Wing 3A = G/St + 1st to 12th Floor</t>
  </si>
  <si>
    <t>Wing 3B = G/St + 1st to 12th Floor</t>
  </si>
  <si>
    <t>As per RERA - 31/05/2025</t>
  </si>
  <si>
    <t>Water, MSEB &amp; Development Charges</t>
  </si>
  <si>
    <t>Club Membership</t>
  </si>
  <si>
    <t>Society Formation Charges + Infrastructure + Maintenance</t>
  </si>
  <si>
    <t>Rate shtee</t>
  </si>
  <si>
    <t>cost sheet</t>
  </si>
  <si>
    <t xml:space="preserve">Builder Saleable Area </t>
  </si>
  <si>
    <t>We considered Gross carpet area = Net carpet + Balcony + Chajja Area.</t>
  </si>
  <si>
    <t>Market rate</t>
  </si>
  <si>
    <t xml:space="preserve">1.Vitrified tiles flooring 2. Granite Kitchen Platform  3. Decorative Enternace  etc. 
</t>
  </si>
  <si>
    <t>Site Meet Person Details  ( Name &amp; Contact No.)</t>
  </si>
  <si>
    <t>Flats - 240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</si>
  <si>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</si>
  <si>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>On Site, we meet Mr. Rakesh : 9699120387</t>
  </si>
  <si>
    <t>Mr. Rakesh : 9699120387</t>
  </si>
  <si>
    <t>3900 to 4300</t>
  </si>
  <si>
    <t xml:space="preserve">smith </t>
  </si>
  <si>
    <t>Nitesh patil</t>
  </si>
  <si>
    <t>Latitude,Longitude</t>
  </si>
  <si>
    <t>18.884369,73.168275</t>
  </si>
  <si>
    <t>Recommended Rates/Other Charges of the Property have been revised on 30/01/2024 &amp; 29/10/2024.</t>
  </si>
  <si>
    <t>4300 to 4400</t>
  </si>
  <si>
    <t>smith</t>
  </si>
  <si>
    <t xml:space="preserve">As per RERA, completion period of Belantara Phase III is expired on Date 31/05/2025 but still project is under construction
</t>
  </si>
  <si>
    <t>Pranita Mhatre</t>
  </si>
  <si>
    <t>All work Completed, Provide OC</t>
  </si>
  <si>
    <t xml:space="preserve">Wing A = All work Completed, Provide OC
Wing B = Finishing is in process at the time of Visit.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</si>
</sst>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0" xfId="1" applyNumberFormat="1" applyFont="1" applyAlignment="1">
      <alignment horizontal="center" vertical="center"/>
    </xf>
    <xf numFmtId="0" fontId="24" fillId="0" borderId="29" xfId="0" applyFont="1" applyBorder="1"/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4" fontId="16" fillId="0" borderId="0" xfId="1" applyNumberFormat="1" applyFont="1"/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0" fillId="0" borderId="7" xfId="1" applyFont="1" applyBorder="1" applyAlignment="1" applyProtection="1">
      <alignment horizontal="left"/>
      <protection locked="0"/>
    </xf>
    <xf numFmtId="0" fontId="10" fillId="0" borderId="20" xfId="1" applyFont="1" applyBorder="1" applyAlignment="1" applyProtection="1">
      <alignment horizontal="left"/>
      <protection locked="0"/>
    </xf>
    <xf numFmtId="0" fontId="10" fillId="0" borderId="8" xfId="1" applyFont="1" applyBorder="1" applyAlignment="1" applyProtection="1">
      <alignment horizontal="left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0" fontId="7" fillId="0" borderId="0" xfId="1" applyFont="1" applyAlignment="1">
      <alignment wrapText="1"/>
    </xf>
    <xf numFmtId="1" fontId="27" fillId="0" borderId="7" xfId="0" applyNumberFormat="1" applyFont="1" applyBorder="1" applyAlignment="1" applyProtection="1">
      <alignment vertical="top" wrapText="1"/>
      <protection locked="0"/>
    </xf>
    <xf numFmtId="1" fontId="27" fillId="0" borderId="20" xfId="0" applyNumberFormat="1" applyFont="1" applyBorder="1" applyAlignment="1" applyProtection="1">
      <alignment vertical="top" wrapText="1"/>
      <protection locked="0"/>
    </xf>
    <xf numFmtId="1" fontId="27" fillId="0" borderId="8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g"/><Relationship Id="rId21" Type="http://schemas.openxmlformats.org/officeDocument/2006/relationships/image" Target="../media/image21.jpe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10" Type="http://schemas.openxmlformats.org/officeDocument/2006/relationships/image" Target="../media/image10.jpg"/><Relationship Id="rId19" Type="http://schemas.openxmlformats.org/officeDocument/2006/relationships/image" Target="../media/image19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202</xdr:row>
      <xdr:rowOff>19050</xdr:rowOff>
    </xdr:from>
    <xdr:to>
      <xdr:col>7</xdr:col>
      <xdr:colOff>17972</xdr:colOff>
      <xdr:row>218</xdr:row>
      <xdr:rowOff>165699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9150" y="49768125"/>
          <a:ext cx="5313872" cy="334704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219</xdr:row>
      <xdr:rowOff>162479</xdr:rowOff>
    </xdr:from>
    <xdr:to>
      <xdr:col>7</xdr:col>
      <xdr:colOff>719</xdr:colOff>
      <xdr:row>236</xdr:row>
      <xdr:rowOff>91851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9150" y="53311979"/>
          <a:ext cx="5296619" cy="332979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510989</xdr:colOff>
      <xdr:row>165</xdr:row>
      <xdr:rowOff>143325</xdr:rowOff>
    </xdr:from>
    <xdr:to>
      <xdr:col>16</xdr:col>
      <xdr:colOff>406213</xdr:colOff>
      <xdr:row>199</xdr:row>
      <xdr:rowOff>6164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23B8E2D4-7B07-9826-08AF-FEED316086B6}"/>
            </a:ext>
          </a:extLst>
        </xdr:cNvPr>
        <xdr:cNvGrpSpPr/>
      </xdr:nvGrpSpPr>
      <xdr:grpSpPr>
        <a:xfrm>
          <a:off x="7044018" y="35688384"/>
          <a:ext cx="6361019" cy="6709633"/>
          <a:chOff x="142943" y="211449"/>
          <a:chExt cx="8058657" cy="8121111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EF6DFA02-61AC-5A86-39D7-E5C8D4A9B257}"/>
              </a:ext>
            </a:extLst>
          </xdr:cNvPr>
          <xdr:cNvGrpSpPr/>
        </xdr:nvGrpSpPr>
        <xdr:grpSpPr>
          <a:xfrm>
            <a:off x="1462392" y="6532560"/>
            <a:ext cx="5419759" cy="1800000"/>
            <a:chOff x="-366349" y="6564110"/>
            <a:chExt cx="5419759" cy="1800000"/>
          </a:xfrm>
        </xdr:grpSpPr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819E880A-A32E-6AC5-44B3-523B00AD90E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705285" y="6564110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83D46771-F366-F1EF-E530-6E69DC80D82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93739" y="6564110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470AAB3C-B51F-986B-13F0-6DCBBD439C5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366349" y="6564110"/>
              <a:ext cx="2396667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2A634CDA-5290-3376-AE54-DBC285B7F041}"/>
              </a:ext>
            </a:extLst>
          </xdr:cNvPr>
          <xdr:cNvGrpSpPr/>
        </xdr:nvGrpSpPr>
        <xdr:grpSpPr>
          <a:xfrm>
            <a:off x="142943" y="3794341"/>
            <a:ext cx="8058657" cy="2535933"/>
            <a:chOff x="142943" y="3840061"/>
            <a:chExt cx="8058657" cy="2535933"/>
          </a:xfrm>
        </xdr:grpSpPr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F0022462-D103-D228-6502-79F0EAF488B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42943" y="3855994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AB3C14CC-FE75-B9F8-647B-B84D399879E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93739" y="3855994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85D12C48-9C5F-29BB-7414-2D5C3F85F13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44535" y="3840061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D2257073-FE9E-B8AA-ED50-8686841EDAB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314225" y="3840061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AF065510-B7F0-8FFC-2511-1BED8AB9C818}"/>
              </a:ext>
            </a:extLst>
          </xdr:cNvPr>
          <xdr:cNvGrpSpPr/>
        </xdr:nvGrpSpPr>
        <xdr:grpSpPr>
          <a:xfrm>
            <a:off x="184743" y="211449"/>
            <a:ext cx="7975057" cy="3364674"/>
            <a:chOff x="142943" y="211449"/>
            <a:chExt cx="7975057" cy="3364674"/>
          </a:xfrm>
        </xdr:grpSpPr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FF2AD436-7BAC-B543-7F47-1BA1E0E9B90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42943" y="211450"/>
              <a:ext cx="2520000" cy="336467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B4EEF30F-0C55-3FBF-3E4E-B73BB2A0099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870471" y="211449"/>
              <a:ext cx="2520000" cy="336467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6725AEC1-737A-0DB5-8ABE-20786F6AA08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598000" y="211449"/>
              <a:ext cx="2520000" cy="336467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123265</xdr:colOff>
      <xdr:row>165</xdr:row>
      <xdr:rowOff>100853</xdr:rowOff>
    </xdr:from>
    <xdr:to>
      <xdr:col>7</xdr:col>
      <xdr:colOff>694765</xdr:colOff>
      <xdr:row>198</xdr:row>
      <xdr:rowOff>190500</xdr:rowOff>
    </xdr:to>
    <xdr:grpSp>
      <xdr:nvGrpSpPr>
        <xdr:cNvPr id="19" name="Group 18"/>
        <xdr:cNvGrpSpPr/>
      </xdr:nvGrpSpPr>
      <xdr:grpSpPr>
        <a:xfrm>
          <a:off x="123265" y="35645912"/>
          <a:ext cx="6275294" cy="6734735"/>
          <a:chOff x="33686" y="376564"/>
          <a:chExt cx="6812828" cy="7675915"/>
        </a:xfrm>
      </xdr:grpSpPr>
      <xdr:pic>
        <xdr:nvPicPr>
          <xdr:cNvPr id="28" name="Picture 27" descr="https://vsjcllp.vsjadon.com/upload/insp-239697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47779" y="6497630"/>
            <a:ext cx="1164517" cy="155484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39697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1512" y="376564"/>
            <a:ext cx="2784190" cy="371741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39697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85145" y="6497630"/>
            <a:ext cx="1164517" cy="155484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39697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09163" y="6497630"/>
            <a:ext cx="2070252" cy="155484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39697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88893" y="376564"/>
            <a:ext cx="2784190" cy="371741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39697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88893" y="4190568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39697-87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7222" y="4212014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39697-94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686" y="4195894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39697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8764" y="4187522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39697-9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686" y="6497630"/>
            <a:ext cx="2070252" cy="155484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56332</xdr:rowOff>
    </xdr:from>
    <xdr:to>
      <xdr:col>2</xdr:col>
      <xdr:colOff>2362699</xdr:colOff>
      <xdr:row>49</xdr:row>
      <xdr:rowOff>120832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7306538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26</xdr:row>
      <xdr:rowOff>31630</xdr:rowOff>
    </xdr:from>
    <xdr:to>
      <xdr:col>2</xdr:col>
      <xdr:colOff>2362699</xdr:colOff>
      <xdr:row>37</xdr:row>
      <xdr:rowOff>96130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499583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187524</xdr:colOff>
      <xdr:row>26</xdr:row>
      <xdr:rowOff>31630</xdr:rowOff>
    </xdr:from>
    <xdr:to>
      <xdr:col>7</xdr:col>
      <xdr:colOff>241810</xdr:colOff>
      <xdr:row>37</xdr:row>
      <xdr:rowOff>96130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4700" y="499583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2362699</xdr:colOff>
      <xdr:row>25</xdr:row>
      <xdr:rowOff>64500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187525</xdr:colOff>
      <xdr:row>14</xdr:row>
      <xdr:rowOff>0</xdr:rowOff>
    </xdr:from>
    <xdr:to>
      <xdr:col>7</xdr:col>
      <xdr:colOff>241811</xdr:colOff>
      <xdr:row>25</xdr:row>
      <xdr:rowOff>64500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4701" y="267820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eeK9j7zjimNPaEjq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01"/>
  <sheetViews>
    <sheetView tabSelected="1" view="pageBreakPreview" zoomScale="85" zoomScaleNormal="100" zoomScaleSheetLayoutView="85" workbookViewId="0">
      <selection activeCell="J10" sqref="J10"/>
    </sheetView>
  </sheetViews>
  <sheetFormatPr defaultColWidth="9.140625" defaultRowHeight="15.75" x14ac:dyDescent="0.25"/>
  <cols>
    <col min="1" max="1" width="11.42578125" style="36" customWidth="1"/>
    <col min="2" max="2" width="12" style="36" customWidth="1"/>
    <col min="3" max="3" width="12.7109375" style="36" customWidth="1"/>
    <col min="4" max="4" width="14.140625" style="36" customWidth="1"/>
    <col min="5" max="7" width="11.7109375" style="36" customWidth="1"/>
    <col min="8" max="8" width="12.42578125" style="36" customWidth="1"/>
    <col min="9" max="9" width="17.42578125" style="17" customWidth="1"/>
    <col min="10" max="10" width="11.42578125" style="17" customWidth="1"/>
    <col min="11" max="11" width="11.28515625" style="17" bestFit="1" customWidth="1"/>
    <col min="12" max="12" width="10.5703125" style="17" customWidth="1"/>
    <col min="13" max="13" width="11.85546875" style="17" customWidth="1"/>
    <col min="14" max="14" width="12.5703125" style="17" customWidth="1"/>
    <col min="15" max="15" width="9.85546875" style="17" customWidth="1"/>
    <col min="16" max="16" width="11.7109375" style="17" customWidth="1"/>
    <col min="17" max="247" width="9.140625" style="17"/>
    <col min="248" max="248" width="8.7109375" style="17" customWidth="1"/>
    <col min="249" max="249" width="9.85546875" style="17" customWidth="1"/>
    <col min="250" max="250" width="14.42578125" style="17" customWidth="1"/>
    <col min="251" max="251" width="7.28515625" style="17" customWidth="1"/>
    <col min="252" max="252" width="5.5703125" style="17" customWidth="1"/>
    <col min="253" max="253" width="9" style="17" customWidth="1"/>
    <col min="254" max="255" width="9.85546875" style="17" customWidth="1"/>
    <col min="256" max="256" width="11.140625" style="17" customWidth="1"/>
    <col min="257" max="257" width="2.85546875" style="17" customWidth="1"/>
    <col min="258" max="258" width="3.5703125" style="17" customWidth="1"/>
    <col min="259" max="503" width="9.140625" style="17"/>
    <col min="504" max="504" width="8.7109375" style="17" customWidth="1"/>
    <col min="505" max="505" width="9.85546875" style="17" customWidth="1"/>
    <col min="506" max="506" width="14.42578125" style="17" customWidth="1"/>
    <col min="507" max="507" width="7.28515625" style="17" customWidth="1"/>
    <col min="508" max="508" width="5.5703125" style="17" customWidth="1"/>
    <col min="509" max="509" width="9" style="17" customWidth="1"/>
    <col min="510" max="511" width="9.85546875" style="17" customWidth="1"/>
    <col min="512" max="512" width="11.140625" style="17" customWidth="1"/>
    <col min="513" max="513" width="2.85546875" style="17" customWidth="1"/>
    <col min="514" max="514" width="3.5703125" style="17" customWidth="1"/>
    <col min="515" max="759" width="9.140625" style="17"/>
    <col min="760" max="760" width="8.7109375" style="17" customWidth="1"/>
    <col min="761" max="761" width="9.85546875" style="17" customWidth="1"/>
    <col min="762" max="762" width="14.42578125" style="17" customWidth="1"/>
    <col min="763" max="763" width="7.28515625" style="17" customWidth="1"/>
    <col min="764" max="764" width="5.5703125" style="17" customWidth="1"/>
    <col min="765" max="765" width="9" style="17" customWidth="1"/>
    <col min="766" max="767" width="9.85546875" style="17" customWidth="1"/>
    <col min="768" max="768" width="11.140625" style="17" customWidth="1"/>
    <col min="769" max="769" width="2.85546875" style="17" customWidth="1"/>
    <col min="770" max="770" width="3.5703125" style="17" customWidth="1"/>
    <col min="771" max="1015" width="9.140625" style="17"/>
    <col min="1016" max="1016" width="8.7109375" style="17" customWidth="1"/>
    <col min="1017" max="1017" width="9.85546875" style="17" customWidth="1"/>
    <col min="1018" max="1018" width="14.42578125" style="17" customWidth="1"/>
    <col min="1019" max="1019" width="7.28515625" style="17" customWidth="1"/>
    <col min="1020" max="1020" width="5.5703125" style="17" customWidth="1"/>
    <col min="1021" max="1021" width="9" style="17" customWidth="1"/>
    <col min="1022" max="1023" width="9.85546875" style="17" customWidth="1"/>
    <col min="1024" max="1024" width="11.140625" style="17" customWidth="1"/>
    <col min="1025" max="1025" width="2.85546875" style="17" customWidth="1"/>
    <col min="1026" max="1026" width="3.5703125" style="17" customWidth="1"/>
    <col min="1027" max="1271" width="9.140625" style="17"/>
    <col min="1272" max="1272" width="8.7109375" style="17" customWidth="1"/>
    <col min="1273" max="1273" width="9.85546875" style="17" customWidth="1"/>
    <col min="1274" max="1274" width="14.42578125" style="17" customWidth="1"/>
    <col min="1275" max="1275" width="7.28515625" style="17" customWidth="1"/>
    <col min="1276" max="1276" width="5.5703125" style="17" customWidth="1"/>
    <col min="1277" max="1277" width="9" style="17" customWidth="1"/>
    <col min="1278" max="1279" width="9.85546875" style="17" customWidth="1"/>
    <col min="1280" max="1280" width="11.140625" style="17" customWidth="1"/>
    <col min="1281" max="1281" width="2.85546875" style="17" customWidth="1"/>
    <col min="1282" max="1282" width="3.5703125" style="17" customWidth="1"/>
    <col min="1283" max="1527" width="9.140625" style="17"/>
    <col min="1528" max="1528" width="8.7109375" style="17" customWidth="1"/>
    <col min="1529" max="1529" width="9.85546875" style="17" customWidth="1"/>
    <col min="1530" max="1530" width="14.42578125" style="17" customWidth="1"/>
    <col min="1531" max="1531" width="7.28515625" style="17" customWidth="1"/>
    <col min="1532" max="1532" width="5.5703125" style="17" customWidth="1"/>
    <col min="1533" max="1533" width="9" style="17" customWidth="1"/>
    <col min="1534" max="1535" width="9.85546875" style="17" customWidth="1"/>
    <col min="1536" max="1536" width="11.140625" style="17" customWidth="1"/>
    <col min="1537" max="1537" width="2.85546875" style="17" customWidth="1"/>
    <col min="1538" max="1538" width="3.5703125" style="17" customWidth="1"/>
    <col min="1539" max="1783" width="9.140625" style="17"/>
    <col min="1784" max="1784" width="8.7109375" style="17" customWidth="1"/>
    <col min="1785" max="1785" width="9.85546875" style="17" customWidth="1"/>
    <col min="1786" max="1786" width="14.42578125" style="17" customWidth="1"/>
    <col min="1787" max="1787" width="7.28515625" style="17" customWidth="1"/>
    <col min="1788" max="1788" width="5.5703125" style="17" customWidth="1"/>
    <col min="1789" max="1789" width="9" style="17" customWidth="1"/>
    <col min="1790" max="1791" width="9.85546875" style="17" customWidth="1"/>
    <col min="1792" max="1792" width="11.140625" style="17" customWidth="1"/>
    <col min="1793" max="1793" width="2.85546875" style="17" customWidth="1"/>
    <col min="1794" max="1794" width="3.5703125" style="17" customWidth="1"/>
    <col min="1795" max="2039" width="9.140625" style="17"/>
    <col min="2040" max="2040" width="8.7109375" style="17" customWidth="1"/>
    <col min="2041" max="2041" width="9.85546875" style="17" customWidth="1"/>
    <col min="2042" max="2042" width="14.42578125" style="17" customWidth="1"/>
    <col min="2043" max="2043" width="7.28515625" style="17" customWidth="1"/>
    <col min="2044" max="2044" width="5.5703125" style="17" customWidth="1"/>
    <col min="2045" max="2045" width="9" style="17" customWidth="1"/>
    <col min="2046" max="2047" width="9.85546875" style="17" customWidth="1"/>
    <col min="2048" max="2048" width="11.140625" style="17" customWidth="1"/>
    <col min="2049" max="2049" width="2.85546875" style="17" customWidth="1"/>
    <col min="2050" max="2050" width="3.5703125" style="17" customWidth="1"/>
    <col min="2051" max="2295" width="9.140625" style="17"/>
    <col min="2296" max="2296" width="8.7109375" style="17" customWidth="1"/>
    <col min="2297" max="2297" width="9.85546875" style="17" customWidth="1"/>
    <col min="2298" max="2298" width="14.42578125" style="17" customWidth="1"/>
    <col min="2299" max="2299" width="7.28515625" style="17" customWidth="1"/>
    <col min="2300" max="2300" width="5.5703125" style="17" customWidth="1"/>
    <col min="2301" max="2301" width="9" style="17" customWidth="1"/>
    <col min="2302" max="2303" width="9.85546875" style="17" customWidth="1"/>
    <col min="2304" max="2304" width="11.140625" style="17" customWidth="1"/>
    <col min="2305" max="2305" width="2.85546875" style="17" customWidth="1"/>
    <col min="2306" max="2306" width="3.5703125" style="17" customWidth="1"/>
    <col min="2307" max="2551" width="9.140625" style="17"/>
    <col min="2552" max="2552" width="8.7109375" style="17" customWidth="1"/>
    <col min="2553" max="2553" width="9.85546875" style="17" customWidth="1"/>
    <col min="2554" max="2554" width="14.42578125" style="17" customWidth="1"/>
    <col min="2555" max="2555" width="7.28515625" style="17" customWidth="1"/>
    <col min="2556" max="2556" width="5.5703125" style="17" customWidth="1"/>
    <col min="2557" max="2557" width="9" style="17" customWidth="1"/>
    <col min="2558" max="2559" width="9.85546875" style="17" customWidth="1"/>
    <col min="2560" max="2560" width="11.140625" style="17" customWidth="1"/>
    <col min="2561" max="2561" width="2.85546875" style="17" customWidth="1"/>
    <col min="2562" max="2562" width="3.5703125" style="17" customWidth="1"/>
    <col min="2563" max="2807" width="9.140625" style="17"/>
    <col min="2808" max="2808" width="8.7109375" style="17" customWidth="1"/>
    <col min="2809" max="2809" width="9.85546875" style="17" customWidth="1"/>
    <col min="2810" max="2810" width="14.42578125" style="17" customWidth="1"/>
    <col min="2811" max="2811" width="7.28515625" style="17" customWidth="1"/>
    <col min="2812" max="2812" width="5.5703125" style="17" customWidth="1"/>
    <col min="2813" max="2813" width="9" style="17" customWidth="1"/>
    <col min="2814" max="2815" width="9.85546875" style="17" customWidth="1"/>
    <col min="2816" max="2816" width="11.140625" style="17" customWidth="1"/>
    <col min="2817" max="2817" width="2.85546875" style="17" customWidth="1"/>
    <col min="2818" max="2818" width="3.5703125" style="17" customWidth="1"/>
    <col min="2819" max="3063" width="9.140625" style="17"/>
    <col min="3064" max="3064" width="8.7109375" style="17" customWidth="1"/>
    <col min="3065" max="3065" width="9.85546875" style="17" customWidth="1"/>
    <col min="3066" max="3066" width="14.42578125" style="17" customWidth="1"/>
    <col min="3067" max="3067" width="7.28515625" style="17" customWidth="1"/>
    <col min="3068" max="3068" width="5.5703125" style="17" customWidth="1"/>
    <col min="3069" max="3069" width="9" style="17" customWidth="1"/>
    <col min="3070" max="3071" width="9.85546875" style="17" customWidth="1"/>
    <col min="3072" max="3072" width="11.140625" style="17" customWidth="1"/>
    <col min="3073" max="3073" width="2.85546875" style="17" customWidth="1"/>
    <col min="3074" max="3074" width="3.5703125" style="17" customWidth="1"/>
    <col min="3075" max="3319" width="9.140625" style="17"/>
    <col min="3320" max="3320" width="8.7109375" style="17" customWidth="1"/>
    <col min="3321" max="3321" width="9.85546875" style="17" customWidth="1"/>
    <col min="3322" max="3322" width="14.42578125" style="17" customWidth="1"/>
    <col min="3323" max="3323" width="7.28515625" style="17" customWidth="1"/>
    <col min="3324" max="3324" width="5.5703125" style="17" customWidth="1"/>
    <col min="3325" max="3325" width="9" style="17" customWidth="1"/>
    <col min="3326" max="3327" width="9.85546875" style="17" customWidth="1"/>
    <col min="3328" max="3328" width="11.140625" style="17" customWidth="1"/>
    <col min="3329" max="3329" width="2.85546875" style="17" customWidth="1"/>
    <col min="3330" max="3330" width="3.5703125" style="17" customWidth="1"/>
    <col min="3331" max="3575" width="9.140625" style="17"/>
    <col min="3576" max="3576" width="8.7109375" style="17" customWidth="1"/>
    <col min="3577" max="3577" width="9.85546875" style="17" customWidth="1"/>
    <col min="3578" max="3578" width="14.42578125" style="17" customWidth="1"/>
    <col min="3579" max="3579" width="7.28515625" style="17" customWidth="1"/>
    <col min="3580" max="3580" width="5.5703125" style="17" customWidth="1"/>
    <col min="3581" max="3581" width="9" style="17" customWidth="1"/>
    <col min="3582" max="3583" width="9.85546875" style="17" customWidth="1"/>
    <col min="3584" max="3584" width="11.140625" style="17" customWidth="1"/>
    <col min="3585" max="3585" width="2.85546875" style="17" customWidth="1"/>
    <col min="3586" max="3586" width="3.5703125" style="17" customWidth="1"/>
    <col min="3587" max="3831" width="9.140625" style="17"/>
    <col min="3832" max="3832" width="8.7109375" style="17" customWidth="1"/>
    <col min="3833" max="3833" width="9.85546875" style="17" customWidth="1"/>
    <col min="3834" max="3834" width="14.42578125" style="17" customWidth="1"/>
    <col min="3835" max="3835" width="7.28515625" style="17" customWidth="1"/>
    <col min="3836" max="3836" width="5.5703125" style="17" customWidth="1"/>
    <col min="3837" max="3837" width="9" style="17" customWidth="1"/>
    <col min="3838" max="3839" width="9.85546875" style="17" customWidth="1"/>
    <col min="3840" max="3840" width="11.140625" style="17" customWidth="1"/>
    <col min="3841" max="3841" width="2.85546875" style="17" customWidth="1"/>
    <col min="3842" max="3842" width="3.5703125" style="17" customWidth="1"/>
    <col min="3843" max="4087" width="9.140625" style="17"/>
    <col min="4088" max="4088" width="8.7109375" style="17" customWidth="1"/>
    <col min="4089" max="4089" width="9.85546875" style="17" customWidth="1"/>
    <col min="4090" max="4090" width="14.42578125" style="17" customWidth="1"/>
    <col min="4091" max="4091" width="7.28515625" style="17" customWidth="1"/>
    <col min="4092" max="4092" width="5.5703125" style="17" customWidth="1"/>
    <col min="4093" max="4093" width="9" style="17" customWidth="1"/>
    <col min="4094" max="4095" width="9.85546875" style="17" customWidth="1"/>
    <col min="4096" max="4096" width="11.140625" style="17" customWidth="1"/>
    <col min="4097" max="4097" width="2.85546875" style="17" customWidth="1"/>
    <col min="4098" max="4098" width="3.5703125" style="17" customWidth="1"/>
    <col min="4099" max="4343" width="9.140625" style="17"/>
    <col min="4344" max="4344" width="8.7109375" style="17" customWidth="1"/>
    <col min="4345" max="4345" width="9.85546875" style="17" customWidth="1"/>
    <col min="4346" max="4346" width="14.42578125" style="17" customWidth="1"/>
    <col min="4347" max="4347" width="7.28515625" style="17" customWidth="1"/>
    <col min="4348" max="4348" width="5.5703125" style="17" customWidth="1"/>
    <col min="4349" max="4349" width="9" style="17" customWidth="1"/>
    <col min="4350" max="4351" width="9.85546875" style="17" customWidth="1"/>
    <col min="4352" max="4352" width="11.140625" style="17" customWidth="1"/>
    <col min="4353" max="4353" width="2.85546875" style="17" customWidth="1"/>
    <col min="4354" max="4354" width="3.5703125" style="17" customWidth="1"/>
    <col min="4355" max="4599" width="9.140625" style="17"/>
    <col min="4600" max="4600" width="8.7109375" style="17" customWidth="1"/>
    <col min="4601" max="4601" width="9.85546875" style="17" customWidth="1"/>
    <col min="4602" max="4602" width="14.42578125" style="17" customWidth="1"/>
    <col min="4603" max="4603" width="7.28515625" style="17" customWidth="1"/>
    <col min="4604" max="4604" width="5.5703125" style="17" customWidth="1"/>
    <col min="4605" max="4605" width="9" style="17" customWidth="1"/>
    <col min="4606" max="4607" width="9.85546875" style="17" customWidth="1"/>
    <col min="4608" max="4608" width="11.140625" style="17" customWidth="1"/>
    <col min="4609" max="4609" width="2.85546875" style="17" customWidth="1"/>
    <col min="4610" max="4610" width="3.5703125" style="17" customWidth="1"/>
    <col min="4611" max="4855" width="9.140625" style="17"/>
    <col min="4856" max="4856" width="8.7109375" style="17" customWidth="1"/>
    <col min="4857" max="4857" width="9.85546875" style="17" customWidth="1"/>
    <col min="4858" max="4858" width="14.42578125" style="17" customWidth="1"/>
    <col min="4859" max="4859" width="7.28515625" style="17" customWidth="1"/>
    <col min="4860" max="4860" width="5.5703125" style="17" customWidth="1"/>
    <col min="4861" max="4861" width="9" style="17" customWidth="1"/>
    <col min="4862" max="4863" width="9.85546875" style="17" customWidth="1"/>
    <col min="4864" max="4864" width="11.140625" style="17" customWidth="1"/>
    <col min="4865" max="4865" width="2.85546875" style="17" customWidth="1"/>
    <col min="4866" max="4866" width="3.5703125" style="17" customWidth="1"/>
    <col min="4867" max="5111" width="9.140625" style="17"/>
    <col min="5112" max="5112" width="8.7109375" style="17" customWidth="1"/>
    <col min="5113" max="5113" width="9.85546875" style="17" customWidth="1"/>
    <col min="5114" max="5114" width="14.42578125" style="17" customWidth="1"/>
    <col min="5115" max="5115" width="7.28515625" style="17" customWidth="1"/>
    <col min="5116" max="5116" width="5.5703125" style="17" customWidth="1"/>
    <col min="5117" max="5117" width="9" style="17" customWidth="1"/>
    <col min="5118" max="5119" width="9.85546875" style="17" customWidth="1"/>
    <col min="5120" max="5120" width="11.140625" style="17" customWidth="1"/>
    <col min="5121" max="5121" width="2.85546875" style="17" customWidth="1"/>
    <col min="5122" max="5122" width="3.5703125" style="17" customWidth="1"/>
    <col min="5123" max="5367" width="9.140625" style="17"/>
    <col min="5368" max="5368" width="8.7109375" style="17" customWidth="1"/>
    <col min="5369" max="5369" width="9.85546875" style="17" customWidth="1"/>
    <col min="5370" max="5370" width="14.42578125" style="17" customWidth="1"/>
    <col min="5371" max="5371" width="7.28515625" style="17" customWidth="1"/>
    <col min="5372" max="5372" width="5.5703125" style="17" customWidth="1"/>
    <col min="5373" max="5373" width="9" style="17" customWidth="1"/>
    <col min="5374" max="5375" width="9.85546875" style="17" customWidth="1"/>
    <col min="5376" max="5376" width="11.140625" style="17" customWidth="1"/>
    <col min="5377" max="5377" width="2.85546875" style="17" customWidth="1"/>
    <col min="5378" max="5378" width="3.5703125" style="17" customWidth="1"/>
    <col min="5379" max="5623" width="9.140625" style="17"/>
    <col min="5624" max="5624" width="8.7109375" style="17" customWidth="1"/>
    <col min="5625" max="5625" width="9.85546875" style="17" customWidth="1"/>
    <col min="5626" max="5626" width="14.42578125" style="17" customWidth="1"/>
    <col min="5627" max="5627" width="7.28515625" style="17" customWidth="1"/>
    <col min="5628" max="5628" width="5.5703125" style="17" customWidth="1"/>
    <col min="5629" max="5629" width="9" style="17" customWidth="1"/>
    <col min="5630" max="5631" width="9.85546875" style="17" customWidth="1"/>
    <col min="5632" max="5632" width="11.140625" style="17" customWidth="1"/>
    <col min="5633" max="5633" width="2.85546875" style="17" customWidth="1"/>
    <col min="5634" max="5634" width="3.5703125" style="17" customWidth="1"/>
    <col min="5635" max="5879" width="9.140625" style="17"/>
    <col min="5880" max="5880" width="8.7109375" style="17" customWidth="1"/>
    <col min="5881" max="5881" width="9.85546875" style="17" customWidth="1"/>
    <col min="5882" max="5882" width="14.42578125" style="17" customWidth="1"/>
    <col min="5883" max="5883" width="7.28515625" style="17" customWidth="1"/>
    <col min="5884" max="5884" width="5.5703125" style="17" customWidth="1"/>
    <col min="5885" max="5885" width="9" style="17" customWidth="1"/>
    <col min="5886" max="5887" width="9.85546875" style="17" customWidth="1"/>
    <col min="5888" max="5888" width="11.140625" style="17" customWidth="1"/>
    <col min="5889" max="5889" width="2.85546875" style="17" customWidth="1"/>
    <col min="5890" max="5890" width="3.5703125" style="17" customWidth="1"/>
    <col min="5891" max="6135" width="9.140625" style="17"/>
    <col min="6136" max="6136" width="8.7109375" style="17" customWidth="1"/>
    <col min="6137" max="6137" width="9.85546875" style="17" customWidth="1"/>
    <col min="6138" max="6138" width="14.42578125" style="17" customWidth="1"/>
    <col min="6139" max="6139" width="7.28515625" style="17" customWidth="1"/>
    <col min="6140" max="6140" width="5.5703125" style="17" customWidth="1"/>
    <col min="6141" max="6141" width="9" style="17" customWidth="1"/>
    <col min="6142" max="6143" width="9.85546875" style="17" customWidth="1"/>
    <col min="6144" max="6144" width="11.140625" style="17" customWidth="1"/>
    <col min="6145" max="6145" width="2.85546875" style="17" customWidth="1"/>
    <col min="6146" max="6146" width="3.5703125" style="17" customWidth="1"/>
    <col min="6147" max="6391" width="9.140625" style="17"/>
    <col min="6392" max="6392" width="8.7109375" style="17" customWidth="1"/>
    <col min="6393" max="6393" width="9.85546875" style="17" customWidth="1"/>
    <col min="6394" max="6394" width="14.42578125" style="17" customWidth="1"/>
    <col min="6395" max="6395" width="7.28515625" style="17" customWidth="1"/>
    <col min="6396" max="6396" width="5.5703125" style="17" customWidth="1"/>
    <col min="6397" max="6397" width="9" style="17" customWidth="1"/>
    <col min="6398" max="6399" width="9.85546875" style="17" customWidth="1"/>
    <col min="6400" max="6400" width="11.140625" style="17" customWidth="1"/>
    <col min="6401" max="6401" width="2.85546875" style="17" customWidth="1"/>
    <col min="6402" max="6402" width="3.5703125" style="17" customWidth="1"/>
    <col min="6403" max="6647" width="9.140625" style="17"/>
    <col min="6648" max="6648" width="8.7109375" style="17" customWidth="1"/>
    <col min="6649" max="6649" width="9.85546875" style="17" customWidth="1"/>
    <col min="6650" max="6650" width="14.42578125" style="17" customWidth="1"/>
    <col min="6651" max="6651" width="7.28515625" style="17" customWidth="1"/>
    <col min="6652" max="6652" width="5.5703125" style="17" customWidth="1"/>
    <col min="6653" max="6653" width="9" style="17" customWidth="1"/>
    <col min="6654" max="6655" width="9.85546875" style="17" customWidth="1"/>
    <col min="6656" max="6656" width="11.140625" style="17" customWidth="1"/>
    <col min="6657" max="6657" width="2.85546875" style="17" customWidth="1"/>
    <col min="6658" max="6658" width="3.5703125" style="17" customWidth="1"/>
    <col min="6659" max="6903" width="9.140625" style="17"/>
    <col min="6904" max="6904" width="8.7109375" style="17" customWidth="1"/>
    <col min="6905" max="6905" width="9.85546875" style="17" customWidth="1"/>
    <col min="6906" max="6906" width="14.42578125" style="17" customWidth="1"/>
    <col min="6907" max="6907" width="7.28515625" style="17" customWidth="1"/>
    <col min="6908" max="6908" width="5.5703125" style="17" customWidth="1"/>
    <col min="6909" max="6909" width="9" style="17" customWidth="1"/>
    <col min="6910" max="6911" width="9.85546875" style="17" customWidth="1"/>
    <col min="6912" max="6912" width="11.140625" style="17" customWidth="1"/>
    <col min="6913" max="6913" width="2.85546875" style="17" customWidth="1"/>
    <col min="6914" max="6914" width="3.5703125" style="17" customWidth="1"/>
    <col min="6915" max="7159" width="9.140625" style="17"/>
    <col min="7160" max="7160" width="8.7109375" style="17" customWidth="1"/>
    <col min="7161" max="7161" width="9.85546875" style="17" customWidth="1"/>
    <col min="7162" max="7162" width="14.42578125" style="17" customWidth="1"/>
    <col min="7163" max="7163" width="7.28515625" style="17" customWidth="1"/>
    <col min="7164" max="7164" width="5.5703125" style="17" customWidth="1"/>
    <col min="7165" max="7165" width="9" style="17" customWidth="1"/>
    <col min="7166" max="7167" width="9.85546875" style="17" customWidth="1"/>
    <col min="7168" max="7168" width="11.140625" style="17" customWidth="1"/>
    <col min="7169" max="7169" width="2.85546875" style="17" customWidth="1"/>
    <col min="7170" max="7170" width="3.5703125" style="17" customWidth="1"/>
    <col min="7171" max="7415" width="9.140625" style="17"/>
    <col min="7416" max="7416" width="8.7109375" style="17" customWidth="1"/>
    <col min="7417" max="7417" width="9.85546875" style="17" customWidth="1"/>
    <col min="7418" max="7418" width="14.42578125" style="17" customWidth="1"/>
    <col min="7419" max="7419" width="7.28515625" style="17" customWidth="1"/>
    <col min="7420" max="7420" width="5.5703125" style="17" customWidth="1"/>
    <col min="7421" max="7421" width="9" style="17" customWidth="1"/>
    <col min="7422" max="7423" width="9.85546875" style="17" customWidth="1"/>
    <col min="7424" max="7424" width="11.140625" style="17" customWidth="1"/>
    <col min="7425" max="7425" width="2.85546875" style="17" customWidth="1"/>
    <col min="7426" max="7426" width="3.5703125" style="17" customWidth="1"/>
    <col min="7427" max="7671" width="9.140625" style="17"/>
    <col min="7672" max="7672" width="8.7109375" style="17" customWidth="1"/>
    <col min="7673" max="7673" width="9.85546875" style="17" customWidth="1"/>
    <col min="7674" max="7674" width="14.42578125" style="17" customWidth="1"/>
    <col min="7675" max="7675" width="7.28515625" style="17" customWidth="1"/>
    <col min="7676" max="7676" width="5.5703125" style="17" customWidth="1"/>
    <col min="7677" max="7677" width="9" style="17" customWidth="1"/>
    <col min="7678" max="7679" width="9.85546875" style="17" customWidth="1"/>
    <col min="7680" max="7680" width="11.140625" style="17" customWidth="1"/>
    <col min="7681" max="7681" width="2.85546875" style="17" customWidth="1"/>
    <col min="7682" max="7682" width="3.5703125" style="17" customWidth="1"/>
    <col min="7683" max="7927" width="9.140625" style="17"/>
    <col min="7928" max="7928" width="8.7109375" style="17" customWidth="1"/>
    <col min="7929" max="7929" width="9.85546875" style="17" customWidth="1"/>
    <col min="7930" max="7930" width="14.42578125" style="17" customWidth="1"/>
    <col min="7931" max="7931" width="7.28515625" style="17" customWidth="1"/>
    <col min="7932" max="7932" width="5.5703125" style="17" customWidth="1"/>
    <col min="7933" max="7933" width="9" style="17" customWidth="1"/>
    <col min="7934" max="7935" width="9.85546875" style="17" customWidth="1"/>
    <col min="7936" max="7936" width="11.140625" style="17" customWidth="1"/>
    <col min="7937" max="7937" width="2.85546875" style="17" customWidth="1"/>
    <col min="7938" max="7938" width="3.5703125" style="17" customWidth="1"/>
    <col min="7939" max="8183" width="9.140625" style="17"/>
    <col min="8184" max="8184" width="8.7109375" style="17" customWidth="1"/>
    <col min="8185" max="8185" width="9.85546875" style="17" customWidth="1"/>
    <col min="8186" max="8186" width="14.42578125" style="17" customWidth="1"/>
    <col min="8187" max="8187" width="7.28515625" style="17" customWidth="1"/>
    <col min="8188" max="8188" width="5.5703125" style="17" customWidth="1"/>
    <col min="8189" max="8189" width="9" style="17" customWidth="1"/>
    <col min="8190" max="8191" width="9.85546875" style="17" customWidth="1"/>
    <col min="8192" max="8192" width="11.140625" style="17" customWidth="1"/>
    <col min="8193" max="8193" width="2.85546875" style="17" customWidth="1"/>
    <col min="8194" max="8194" width="3.5703125" style="17" customWidth="1"/>
    <col min="8195" max="8439" width="9.140625" style="17"/>
    <col min="8440" max="8440" width="8.7109375" style="17" customWidth="1"/>
    <col min="8441" max="8441" width="9.85546875" style="17" customWidth="1"/>
    <col min="8442" max="8442" width="14.42578125" style="17" customWidth="1"/>
    <col min="8443" max="8443" width="7.28515625" style="17" customWidth="1"/>
    <col min="8444" max="8444" width="5.5703125" style="17" customWidth="1"/>
    <col min="8445" max="8445" width="9" style="17" customWidth="1"/>
    <col min="8446" max="8447" width="9.85546875" style="17" customWidth="1"/>
    <col min="8448" max="8448" width="11.140625" style="17" customWidth="1"/>
    <col min="8449" max="8449" width="2.85546875" style="17" customWidth="1"/>
    <col min="8450" max="8450" width="3.5703125" style="17" customWidth="1"/>
    <col min="8451" max="8695" width="9.140625" style="17"/>
    <col min="8696" max="8696" width="8.7109375" style="17" customWidth="1"/>
    <col min="8697" max="8697" width="9.85546875" style="17" customWidth="1"/>
    <col min="8698" max="8698" width="14.42578125" style="17" customWidth="1"/>
    <col min="8699" max="8699" width="7.28515625" style="17" customWidth="1"/>
    <col min="8700" max="8700" width="5.5703125" style="17" customWidth="1"/>
    <col min="8701" max="8701" width="9" style="17" customWidth="1"/>
    <col min="8702" max="8703" width="9.85546875" style="17" customWidth="1"/>
    <col min="8704" max="8704" width="11.140625" style="17" customWidth="1"/>
    <col min="8705" max="8705" width="2.85546875" style="17" customWidth="1"/>
    <col min="8706" max="8706" width="3.5703125" style="17" customWidth="1"/>
    <col min="8707" max="8951" width="9.140625" style="17"/>
    <col min="8952" max="8952" width="8.7109375" style="17" customWidth="1"/>
    <col min="8953" max="8953" width="9.85546875" style="17" customWidth="1"/>
    <col min="8954" max="8954" width="14.42578125" style="17" customWidth="1"/>
    <col min="8955" max="8955" width="7.28515625" style="17" customWidth="1"/>
    <col min="8956" max="8956" width="5.5703125" style="17" customWidth="1"/>
    <col min="8957" max="8957" width="9" style="17" customWidth="1"/>
    <col min="8958" max="8959" width="9.85546875" style="17" customWidth="1"/>
    <col min="8960" max="8960" width="11.140625" style="17" customWidth="1"/>
    <col min="8961" max="8961" width="2.85546875" style="17" customWidth="1"/>
    <col min="8962" max="8962" width="3.5703125" style="17" customWidth="1"/>
    <col min="8963" max="9207" width="9.140625" style="17"/>
    <col min="9208" max="9208" width="8.7109375" style="17" customWidth="1"/>
    <col min="9209" max="9209" width="9.85546875" style="17" customWidth="1"/>
    <col min="9210" max="9210" width="14.42578125" style="17" customWidth="1"/>
    <col min="9211" max="9211" width="7.28515625" style="17" customWidth="1"/>
    <col min="9212" max="9212" width="5.5703125" style="17" customWidth="1"/>
    <col min="9213" max="9213" width="9" style="17" customWidth="1"/>
    <col min="9214" max="9215" width="9.85546875" style="17" customWidth="1"/>
    <col min="9216" max="9216" width="11.140625" style="17" customWidth="1"/>
    <col min="9217" max="9217" width="2.85546875" style="17" customWidth="1"/>
    <col min="9218" max="9218" width="3.5703125" style="17" customWidth="1"/>
    <col min="9219" max="9463" width="9.140625" style="17"/>
    <col min="9464" max="9464" width="8.7109375" style="17" customWidth="1"/>
    <col min="9465" max="9465" width="9.85546875" style="17" customWidth="1"/>
    <col min="9466" max="9466" width="14.42578125" style="17" customWidth="1"/>
    <col min="9467" max="9467" width="7.28515625" style="17" customWidth="1"/>
    <col min="9468" max="9468" width="5.5703125" style="17" customWidth="1"/>
    <col min="9469" max="9469" width="9" style="17" customWidth="1"/>
    <col min="9470" max="9471" width="9.85546875" style="17" customWidth="1"/>
    <col min="9472" max="9472" width="11.140625" style="17" customWidth="1"/>
    <col min="9473" max="9473" width="2.85546875" style="17" customWidth="1"/>
    <col min="9474" max="9474" width="3.5703125" style="17" customWidth="1"/>
    <col min="9475" max="9719" width="9.140625" style="17"/>
    <col min="9720" max="9720" width="8.7109375" style="17" customWidth="1"/>
    <col min="9721" max="9721" width="9.85546875" style="17" customWidth="1"/>
    <col min="9722" max="9722" width="14.42578125" style="17" customWidth="1"/>
    <col min="9723" max="9723" width="7.28515625" style="17" customWidth="1"/>
    <col min="9724" max="9724" width="5.5703125" style="17" customWidth="1"/>
    <col min="9725" max="9725" width="9" style="17" customWidth="1"/>
    <col min="9726" max="9727" width="9.85546875" style="17" customWidth="1"/>
    <col min="9728" max="9728" width="11.140625" style="17" customWidth="1"/>
    <col min="9729" max="9729" width="2.85546875" style="17" customWidth="1"/>
    <col min="9730" max="9730" width="3.5703125" style="17" customWidth="1"/>
    <col min="9731" max="9975" width="9.140625" style="17"/>
    <col min="9976" max="9976" width="8.7109375" style="17" customWidth="1"/>
    <col min="9977" max="9977" width="9.85546875" style="17" customWidth="1"/>
    <col min="9978" max="9978" width="14.42578125" style="17" customWidth="1"/>
    <col min="9979" max="9979" width="7.28515625" style="17" customWidth="1"/>
    <col min="9980" max="9980" width="5.5703125" style="17" customWidth="1"/>
    <col min="9981" max="9981" width="9" style="17" customWidth="1"/>
    <col min="9982" max="9983" width="9.85546875" style="17" customWidth="1"/>
    <col min="9984" max="9984" width="11.140625" style="17" customWidth="1"/>
    <col min="9985" max="9985" width="2.85546875" style="17" customWidth="1"/>
    <col min="9986" max="9986" width="3.5703125" style="17" customWidth="1"/>
    <col min="9987" max="10231" width="9.140625" style="17"/>
    <col min="10232" max="10232" width="8.7109375" style="17" customWidth="1"/>
    <col min="10233" max="10233" width="9.85546875" style="17" customWidth="1"/>
    <col min="10234" max="10234" width="14.42578125" style="17" customWidth="1"/>
    <col min="10235" max="10235" width="7.28515625" style="17" customWidth="1"/>
    <col min="10236" max="10236" width="5.5703125" style="17" customWidth="1"/>
    <col min="10237" max="10237" width="9" style="17" customWidth="1"/>
    <col min="10238" max="10239" width="9.85546875" style="17" customWidth="1"/>
    <col min="10240" max="10240" width="11.140625" style="17" customWidth="1"/>
    <col min="10241" max="10241" width="2.85546875" style="17" customWidth="1"/>
    <col min="10242" max="10242" width="3.5703125" style="17" customWidth="1"/>
    <col min="10243" max="10487" width="9.140625" style="17"/>
    <col min="10488" max="10488" width="8.7109375" style="17" customWidth="1"/>
    <col min="10489" max="10489" width="9.85546875" style="17" customWidth="1"/>
    <col min="10490" max="10490" width="14.42578125" style="17" customWidth="1"/>
    <col min="10491" max="10491" width="7.28515625" style="17" customWidth="1"/>
    <col min="10492" max="10492" width="5.5703125" style="17" customWidth="1"/>
    <col min="10493" max="10493" width="9" style="17" customWidth="1"/>
    <col min="10494" max="10495" width="9.85546875" style="17" customWidth="1"/>
    <col min="10496" max="10496" width="11.140625" style="17" customWidth="1"/>
    <col min="10497" max="10497" width="2.85546875" style="17" customWidth="1"/>
    <col min="10498" max="10498" width="3.5703125" style="17" customWidth="1"/>
    <col min="10499" max="10743" width="9.140625" style="17"/>
    <col min="10744" max="10744" width="8.7109375" style="17" customWidth="1"/>
    <col min="10745" max="10745" width="9.85546875" style="17" customWidth="1"/>
    <col min="10746" max="10746" width="14.42578125" style="17" customWidth="1"/>
    <col min="10747" max="10747" width="7.28515625" style="17" customWidth="1"/>
    <col min="10748" max="10748" width="5.5703125" style="17" customWidth="1"/>
    <col min="10749" max="10749" width="9" style="17" customWidth="1"/>
    <col min="10750" max="10751" width="9.85546875" style="17" customWidth="1"/>
    <col min="10752" max="10752" width="11.140625" style="17" customWidth="1"/>
    <col min="10753" max="10753" width="2.85546875" style="17" customWidth="1"/>
    <col min="10754" max="10754" width="3.5703125" style="17" customWidth="1"/>
    <col min="10755" max="10999" width="9.140625" style="17"/>
    <col min="11000" max="11000" width="8.7109375" style="17" customWidth="1"/>
    <col min="11001" max="11001" width="9.85546875" style="17" customWidth="1"/>
    <col min="11002" max="11002" width="14.42578125" style="17" customWidth="1"/>
    <col min="11003" max="11003" width="7.28515625" style="17" customWidth="1"/>
    <col min="11004" max="11004" width="5.5703125" style="17" customWidth="1"/>
    <col min="11005" max="11005" width="9" style="17" customWidth="1"/>
    <col min="11006" max="11007" width="9.85546875" style="17" customWidth="1"/>
    <col min="11008" max="11008" width="11.140625" style="17" customWidth="1"/>
    <col min="11009" max="11009" width="2.85546875" style="17" customWidth="1"/>
    <col min="11010" max="11010" width="3.5703125" style="17" customWidth="1"/>
    <col min="11011" max="11255" width="9.140625" style="17"/>
    <col min="11256" max="11256" width="8.7109375" style="17" customWidth="1"/>
    <col min="11257" max="11257" width="9.85546875" style="17" customWidth="1"/>
    <col min="11258" max="11258" width="14.42578125" style="17" customWidth="1"/>
    <col min="11259" max="11259" width="7.28515625" style="17" customWidth="1"/>
    <col min="11260" max="11260" width="5.5703125" style="17" customWidth="1"/>
    <col min="11261" max="11261" width="9" style="17" customWidth="1"/>
    <col min="11262" max="11263" width="9.85546875" style="17" customWidth="1"/>
    <col min="11264" max="11264" width="11.140625" style="17" customWidth="1"/>
    <col min="11265" max="11265" width="2.85546875" style="17" customWidth="1"/>
    <col min="11266" max="11266" width="3.5703125" style="17" customWidth="1"/>
    <col min="11267" max="11511" width="9.140625" style="17"/>
    <col min="11512" max="11512" width="8.7109375" style="17" customWidth="1"/>
    <col min="11513" max="11513" width="9.85546875" style="17" customWidth="1"/>
    <col min="11514" max="11514" width="14.42578125" style="17" customWidth="1"/>
    <col min="11515" max="11515" width="7.28515625" style="17" customWidth="1"/>
    <col min="11516" max="11516" width="5.5703125" style="17" customWidth="1"/>
    <col min="11517" max="11517" width="9" style="17" customWidth="1"/>
    <col min="11518" max="11519" width="9.85546875" style="17" customWidth="1"/>
    <col min="11520" max="11520" width="11.140625" style="17" customWidth="1"/>
    <col min="11521" max="11521" width="2.85546875" style="17" customWidth="1"/>
    <col min="11522" max="11522" width="3.5703125" style="17" customWidth="1"/>
    <col min="11523" max="11767" width="9.140625" style="17"/>
    <col min="11768" max="11768" width="8.7109375" style="17" customWidth="1"/>
    <col min="11769" max="11769" width="9.85546875" style="17" customWidth="1"/>
    <col min="11770" max="11770" width="14.42578125" style="17" customWidth="1"/>
    <col min="11771" max="11771" width="7.28515625" style="17" customWidth="1"/>
    <col min="11772" max="11772" width="5.5703125" style="17" customWidth="1"/>
    <col min="11773" max="11773" width="9" style="17" customWidth="1"/>
    <col min="11774" max="11775" width="9.85546875" style="17" customWidth="1"/>
    <col min="11776" max="11776" width="11.140625" style="17" customWidth="1"/>
    <col min="11777" max="11777" width="2.85546875" style="17" customWidth="1"/>
    <col min="11778" max="11778" width="3.5703125" style="17" customWidth="1"/>
    <col min="11779" max="12023" width="9.140625" style="17"/>
    <col min="12024" max="12024" width="8.7109375" style="17" customWidth="1"/>
    <col min="12025" max="12025" width="9.85546875" style="17" customWidth="1"/>
    <col min="12026" max="12026" width="14.42578125" style="17" customWidth="1"/>
    <col min="12027" max="12027" width="7.28515625" style="17" customWidth="1"/>
    <col min="12028" max="12028" width="5.5703125" style="17" customWidth="1"/>
    <col min="12029" max="12029" width="9" style="17" customWidth="1"/>
    <col min="12030" max="12031" width="9.85546875" style="17" customWidth="1"/>
    <col min="12032" max="12032" width="11.140625" style="17" customWidth="1"/>
    <col min="12033" max="12033" width="2.85546875" style="17" customWidth="1"/>
    <col min="12034" max="12034" width="3.5703125" style="17" customWidth="1"/>
    <col min="12035" max="12279" width="9.140625" style="17"/>
    <col min="12280" max="12280" width="8.7109375" style="17" customWidth="1"/>
    <col min="12281" max="12281" width="9.85546875" style="17" customWidth="1"/>
    <col min="12282" max="12282" width="14.42578125" style="17" customWidth="1"/>
    <col min="12283" max="12283" width="7.28515625" style="17" customWidth="1"/>
    <col min="12284" max="12284" width="5.5703125" style="17" customWidth="1"/>
    <col min="12285" max="12285" width="9" style="17" customWidth="1"/>
    <col min="12286" max="12287" width="9.85546875" style="17" customWidth="1"/>
    <col min="12288" max="12288" width="11.140625" style="17" customWidth="1"/>
    <col min="12289" max="12289" width="2.85546875" style="17" customWidth="1"/>
    <col min="12290" max="12290" width="3.5703125" style="17" customWidth="1"/>
    <col min="12291" max="12535" width="9.140625" style="17"/>
    <col min="12536" max="12536" width="8.7109375" style="17" customWidth="1"/>
    <col min="12537" max="12537" width="9.85546875" style="17" customWidth="1"/>
    <col min="12538" max="12538" width="14.42578125" style="17" customWidth="1"/>
    <col min="12539" max="12539" width="7.28515625" style="17" customWidth="1"/>
    <col min="12540" max="12540" width="5.5703125" style="17" customWidth="1"/>
    <col min="12541" max="12541" width="9" style="17" customWidth="1"/>
    <col min="12542" max="12543" width="9.85546875" style="17" customWidth="1"/>
    <col min="12544" max="12544" width="11.140625" style="17" customWidth="1"/>
    <col min="12545" max="12545" width="2.85546875" style="17" customWidth="1"/>
    <col min="12546" max="12546" width="3.5703125" style="17" customWidth="1"/>
    <col min="12547" max="12791" width="9.140625" style="17"/>
    <col min="12792" max="12792" width="8.7109375" style="17" customWidth="1"/>
    <col min="12793" max="12793" width="9.85546875" style="17" customWidth="1"/>
    <col min="12794" max="12794" width="14.42578125" style="17" customWidth="1"/>
    <col min="12795" max="12795" width="7.28515625" style="17" customWidth="1"/>
    <col min="12796" max="12796" width="5.5703125" style="17" customWidth="1"/>
    <col min="12797" max="12797" width="9" style="17" customWidth="1"/>
    <col min="12798" max="12799" width="9.85546875" style="17" customWidth="1"/>
    <col min="12800" max="12800" width="11.140625" style="17" customWidth="1"/>
    <col min="12801" max="12801" width="2.85546875" style="17" customWidth="1"/>
    <col min="12802" max="12802" width="3.5703125" style="17" customWidth="1"/>
    <col min="12803" max="13047" width="9.140625" style="17"/>
    <col min="13048" max="13048" width="8.7109375" style="17" customWidth="1"/>
    <col min="13049" max="13049" width="9.85546875" style="17" customWidth="1"/>
    <col min="13050" max="13050" width="14.42578125" style="17" customWidth="1"/>
    <col min="13051" max="13051" width="7.28515625" style="17" customWidth="1"/>
    <col min="13052" max="13052" width="5.5703125" style="17" customWidth="1"/>
    <col min="13053" max="13053" width="9" style="17" customWidth="1"/>
    <col min="13054" max="13055" width="9.85546875" style="17" customWidth="1"/>
    <col min="13056" max="13056" width="11.140625" style="17" customWidth="1"/>
    <col min="13057" max="13057" width="2.85546875" style="17" customWidth="1"/>
    <col min="13058" max="13058" width="3.5703125" style="17" customWidth="1"/>
    <col min="13059" max="13303" width="9.140625" style="17"/>
    <col min="13304" max="13304" width="8.7109375" style="17" customWidth="1"/>
    <col min="13305" max="13305" width="9.85546875" style="17" customWidth="1"/>
    <col min="13306" max="13306" width="14.42578125" style="17" customWidth="1"/>
    <col min="13307" max="13307" width="7.28515625" style="17" customWidth="1"/>
    <col min="13308" max="13308" width="5.5703125" style="17" customWidth="1"/>
    <col min="13309" max="13309" width="9" style="17" customWidth="1"/>
    <col min="13310" max="13311" width="9.85546875" style="17" customWidth="1"/>
    <col min="13312" max="13312" width="11.140625" style="17" customWidth="1"/>
    <col min="13313" max="13313" width="2.85546875" style="17" customWidth="1"/>
    <col min="13314" max="13314" width="3.5703125" style="17" customWidth="1"/>
    <col min="13315" max="13559" width="9.140625" style="17"/>
    <col min="13560" max="13560" width="8.7109375" style="17" customWidth="1"/>
    <col min="13561" max="13561" width="9.85546875" style="17" customWidth="1"/>
    <col min="13562" max="13562" width="14.42578125" style="17" customWidth="1"/>
    <col min="13563" max="13563" width="7.28515625" style="17" customWidth="1"/>
    <col min="13564" max="13564" width="5.5703125" style="17" customWidth="1"/>
    <col min="13565" max="13565" width="9" style="17" customWidth="1"/>
    <col min="13566" max="13567" width="9.85546875" style="17" customWidth="1"/>
    <col min="13568" max="13568" width="11.140625" style="17" customWidth="1"/>
    <col min="13569" max="13569" width="2.85546875" style="17" customWidth="1"/>
    <col min="13570" max="13570" width="3.5703125" style="17" customWidth="1"/>
    <col min="13571" max="13815" width="9.140625" style="17"/>
    <col min="13816" max="13816" width="8.7109375" style="17" customWidth="1"/>
    <col min="13817" max="13817" width="9.85546875" style="17" customWidth="1"/>
    <col min="13818" max="13818" width="14.42578125" style="17" customWidth="1"/>
    <col min="13819" max="13819" width="7.28515625" style="17" customWidth="1"/>
    <col min="13820" max="13820" width="5.5703125" style="17" customWidth="1"/>
    <col min="13821" max="13821" width="9" style="17" customWidth="1"/>
    <col min="13822" max="13823" width="9.85546875" style="17" customWidth="1"/>
    <col min="13824" max="13824" width="11.140625" style="17" customWidth="1"/>
    <col min="13825" max="13825" width="2.85546875" style="17" customWidth="1"/>
    <col min="13826" max="13826" width="3.5703125" style="17" customWidth="1"/>
    <col min="13827" max="14071" width="9.140625" style="17"/>
    <col min="14072" max="14072" width="8.7109375" style="17" customWidth="1"/>
    <col min="14073" max="14073" width="9.85546875" style="17" customWidth="1"/>
    <col min="14074" max="14074" width="14.42578125" style="17" customWidth="1"/>
    <col min="14075" max="14075" width="7.28515625" style="17" customWidth="1"/>
    <col min="14076" max="14076" width="5.5703125" style="17" customWidth="1"/>
    <col min="14077" max="14077" width="9" style="17" customWidth="1"/>
    <col min="14078" max="14079" width="9.85546875" style="17" customWidth="1"/>
    <col min="14080" max="14080" width="11.140625" style="17" customWidth="1"/>
    <col min="14081" max="14081" width="2.85546875" style="17" customWidth="1"/>
    <col min="14082" max="14082" width="3.5703125" style="17" customWidth="1"/>
    <col min="14083" max="14327" width="9.140625" style="17"/>
    <col min="14328" max="14328" width="8.7109375" style="17" customWidth="1"/>
    <col min="14329" max="14329" width="9.85546875" style="17" customWidth="1"/>
    <col min="14330" max="14330" width="14.42578125" style="17" customWidth="1"/>
    <col min="14331" max="14331" width="7.28515625" style="17" customWidth="1"/>
    <col min="14332" max="14332" width="5.5703125" style="17" customWidth="1"/>
    <col min="14333" max="14333" width="9" style="17" customWidth="1"/>
    <col min="14334" max="14335" width="9.85546875" style="17" customWidth="1"/>
    <col min="14336" max="14336" width="11.140625" style="17" customWidth="1"/>
    <col min="14337" max="14337" width="2.85546875" style="17" customWidth="1"/>
    <col min="14338" max="14338" width="3.5703125" style="17" customWidth="1"/>
    <col min="14339" max="14583" width="9.140625" style="17"/>
    <col min="14584" max="14584" width="8.7109375" style="17" customWidth="1"/>
    <col min="14585" max="14585" width="9.85546875" style="17" customWidth="1"/>
    <col min="14586" max="14586" width="14.42578125" style="17" customWidth="1"/>
    <col min="14587" max="14587" width="7.28515625" style="17" customWidth="1"/>
    <col min="14588" max="14588" width="5.5703125" style="17" customWidth="1"/>
    <col min="14589" max="14589" width="9" style="17" customWidth="1"/>
    <col min="14590" max="14591" width="9.85546875" style="17" customWidth="1"/>
    <col min="14592" max="14592" width="11.140625" style="17" customWidth="1"/>
    <col min="14593" max="14593" width="2.85546875" style="17" customWidth="1"/>
    <col min="14594" max="14594" width="3.5703125" style="17" customWidth="1"/>
    <col min="14595" max="14839" width="9.140625" style="17"/>
    <col min="14840" max="14840" width="8.7109375" style="17" customWidth="1"/>
    <col min="14841" max="14841" width="9.85546875" style="17" customWidth="1"/>
    <col min="14842" max="14842" width="14.42578125" style="17" customWidth="1"/>
    <col min="14843" max="14843" width="7.28515625" style="17" customWidth="1"/>
    <col min="14844" max="14844" width="5.5703125" style="17" customWidth="1"/>
    <col min="14845" max="14845" width="9" style="17" customWidth="1"/>
    <col min="14846" max="14847" width="9.85546875" style="17" customWidth="1"/>
    <col min="14848" max="14848" width="11.140625" style="17" customWidth="1"/>
    <col min="14849" max="14849" width="2.85546875" style="17" customWidth="1"/>
    <col min="14850" max="14850" width="3.5703125" style="17" customWidth="1"/>
    <col min="14851" max="15095" width="9.140625" style="17"/>
    <col min="15096" max="15096" width="8.7109375" style="17" customWidth="1"/>
    <col min="15097" max="15097" width="9.85546875" style="17" customWidth="1"/>
    <col min="15098" max="15098" width="14.42578125" style="17" customWidth="1"/>
    <col min="15099" max="15099" width="7.28515625" style="17" customWidth="1"/>
    <col min="15100" max="15100" width="5.5703125" style="17" customWidth="1"/>
    <col min="15101" max="15101" width="9" style="17" customWidth="1"/>
    <col min="15102" max="15103" width="9.85546875" style="17" customWidth="1"/>
    <col min="15104" max="15104" width="11.140625" style="17" customWidth="1"/>
    <col min="15105" max="15105" width="2.85546875" style="17" customWidth="1"/>
    <col min="15106" max="15106" width="3.5703125" style="17" customWidth="1"/>
    <col min="15107" max="15351" width="9.140625" style="17"/>
    <col min="15352" max="15352" width="8.7109375" style="17" customWidth="1"/>
    <col min="15353" max="15353" width="9.85546875" style="17" customWidth="1"/>
    <col min="15354" max="15354" width="14.42578125" style="17" customWidth="1"/>
    <col min="15355" max="15355" width="7.28515625" style="17" customWidth="1"/>
    <col min="15356" max="15356" width="5.5703125" style="17" customWidth="1"/>
    <col min="15357" max="15357" width="9" style="17" customWidth="1"/>
    <col min="15358" max="15359" width="9.85546875" style="17" customWidth="1"/>
    <col min="15360" max="15360" width="11.140625" style="17" customWidth="1"/>
    <col min="15361" max="15361" width="2.85546875" style="17" customWidth="1"/>
    <col min="15362" max="15362" width="3.5703125" style="17" customWidth="1"/>
    <col min="15363" max="15607" width="9.140625" style="17"/>
    <col min="15608" max="15608" width="8.7109375" style="17" customWidth="1"/>
    <col min="15609" max="15609" width="9.85546875" style="17" customWidth="1"/>
    <col min="15610" max="15610" width="14.42578125" style="17" customWidth="1"/>
    <col min="15611" max="15611" width="7.28515625" style="17" customWidth="1"/>
    <col min="15612" max="15612" width="5.5703125" style="17" customWidth="1"/>
    <col min="15613" max="15613" width="9" style="17" customWidth="1"/>
    <col min="15614" max="15615" width="9.85546875" style="17" customWidth="1"/>
    <col min="15616" max="15616" width="11.140625" style="17" customWidth="1"/>
    <col min="15617" max="15617" width="2.85546875" style="17" customWidth="1"/>
    <col min="15618" max="15618" width="3.5703125" style="17" customWidth="1"/>
    <col min="15619" max="15863" width="9.140625" style="17"/>
    <col min="15864" max="15864" width="8.7109375" style="17" customWidth="1"/>
    <col min="15865" max="15865" width="9.85546875" style="17" customWidth="1"/>
    <col min="15866" max="15866" width="14.42578125" style="17" customWidth="1"/>
    <col min="15867" max="15867" width="7.28515625" style="17" customWidth="1"/>
    <col min="15868" max="15868" width="5.5703125" style="17" customWidth="1"/>
    <col min="15869" max="15869" width="9" style="17" customWidth="1"/>
    <col min="15870" max="15871" width="9.85546875" style="17" customWidth="1"/>
    <col min="15872" max="15872" width="11.140625" style="17" customWidth="1"/>
    <col min="15873" max="15873" width="2.85546875" style="17" customWidth="1"/>
    <col min="15874" max="15874" width="3.5703125" style="17" customWidth="1"/>
    <col min="15875" max="16119" width="9.140625" style="17"/>
    <col min="16120" max="16120" width="8.7109375" style="17" customWidth="1"/>
    <col min="16121" max="16121" width="9.85546875" style="17" customWidth="1"/>
    <col min="16122" max="16122" width="14.42578125" style="17" customWidth="1"/>
    <col min="16123" max="16123" width="7.28515625" style="17" customWidth="1"/>
    <col min="16124" max="16124" width="5.5703125" style="17" customWidth="1"/>
    <col min="16125" max="16125" width="9" style="17" customWidth="1"/>
    <col min="16126" max="16127" width="9.85546875" style="17" customWidth="1"/>
    <col min="16128" max="16128" width="11.140625" style="17" customWidth="1"/>
    <col min="16129" max="16129" width="2.85546875" style="17" customWidth="1"/>
    <col min="16130" max="16130" width="3.5703125" style="17" customWidth="1"/>
    <col min="16131" max="16384" width="9.140625" style="17"/>
  </cols>
  <sheetData>
    <row r="1" spans="1:8" ht="46.5" customHeight="1" x14ac:dyDescent="0.25">
      <c r="A1" s="132" t="s">
        <v>208</v>
      </c>
      <c r="B1" s="132"/>
      <c r="C1" s="132"/>
      <c r="D1" s="132"/>
      <c r="E1" s="132"/>
      <c r="F1" s="132"/>
      <c r="G1" s="132"/>
      <c r="H1" s="132"/>
    </row>
    <row r="2" spans="1:8" ht="16.5" customHeight="1" x14ac:dyDescent="0.25">
      <c r="A2" s="127" t="s">
        <v>0</v>
      </c>
      <c r="B2" s="127"/>
      <c r="C2" s="127"/>
      <c r="D2" s="127"/>
      <c r="E2" s="127"/>
      <c r="F2" s="127"/>
      <c r="G2" s="127"/>
      <c r="H2" s="127"/>
    </row>
    <row r="3" spans="1:8" x14ac:dyDescent="0.25">
      <c r="A3" s="89" t="s">
        <v>1</v>
      </c>
      <c r="B3" s="89"/>
      <c r="C3" s="89"/>
      <c r="D3" s="89"/>
      <c r="E3" s="89" t="str">
        <f ca="1">TEXT(TODAY(),"DD/MM/YYYY")</f>
        <v>10/07/2025</v>
      </c>
      <c r="F3" s="89"/>
      <c r="G3" s="89"/>
      <c r="H3" s="89"/>
    </row>
    <row r="4" spans="1:8" ht="15" customHeight="1" x14ac:dyDescent="0.25">
      <c r="A4" s="89" t="s">
        <v>2</v>
      </c>
      <c r="B4" s="89"/>
      <c r="C4" s="89"/>
      <c r="D4" s="89"/>
      <c r="E4" s="89" t="s">
        <v>172</v>
      </c>
      <c r="F4" s="89"/>
      <c r="G4" s="89"/>
      <c r="H4" s="89"/>
    </row>
    <row r="5" spans="1:8" x14ac:dyDescent="0.25">
      <c r="A5" s="89" t="s">
        <v>3</v>
      </c>
      <c r="B5" s="89"/>
      <c r="C5" s="89"/>
      <c r="D5" s="89"/>
      <c r="E5" s="133">
        <v>45847</v>
      </c>
      <c r="F5" s="89"/>
      <c r="G5" s="89"/>
      <c r="H5" s="89"/>
    </row>
    <row r="6" spans="1:8" ht="16.5" customHeight="1" x14ac:dyDescent="0.25">
      <c r="A6" s="89" t="s">
        <v>4</v>
      </c>
      <c r="B6" s="89"/>
      <c r="C6" s="89"/>
      <c r="D6" s="89"/>
      <c r="E6" s="89" t="s">
        <v>173</v>
      </c>
      <c r="F6" s="89"/>
      <c r="G6" s="89"/>
      <c r="H6" s="89"/>
    </row>
    <row r="7" spans="1:8" ht="15" customHeight="1" x14ac:dyDescent="0.25">
      <c r="A7" s="89" t="s">
        <v>5</v>
      </c>
      <c r="B7" s="89"/>
      <c r="C7" s="89"/>
      <c r="D7" s="89"/>
      <c r="E7" s="89" t="str">
        <f>E6</f>
        <v>M/s. Today Royal Infra</v>
      </c>
      <c r="F7" s="89"/>
      <c r="G7" s="89"/>
      <c r="H7" s="89"/>
    </row>
    <row r="8" spans="1:8" x14ac:dyDescent="0.25">
      <c r="A8" s="89" t="s">
        <v>6</v>
      </c>
      <c r="B8" s="89"/>
      <c r="C8" s="89"/>
      <c r="D8" s="89"/>
      <c r="E8" s="110" t="s">
        <v>174</v>
      </c>
      <c r="F8" s="110"/>
      <c r="G8" s="110"/>
      <c r="H8" s="110"/>
    </row>
    <row r="9" spans="1:8" x14ac:dyDescent="0.25">
      <c r="A9" s="89" t="s">
        <v>121</v>
      </c>
      <c r="B9" s="89"/>
      <c r="C9" s="89"/>
      <c r="D9" s="89"/>
      <c r="E9" s="89">
        <v>97680008000</v>
      </c>
      <c r="F9" s="89"/>
      <c r="G9" s="89"/>
      <c r="H9" s="89"/>
    </row>
    <row r="10" spans="1:8" x14ac:dyDescent="0.25">
      <c r="A10" s="89" t="s">
        <v>206</v>
      </c>
      <c r="B10" s="89"/>
      <c r="C10" s="89"/>
      <c r="D10" s="89"/>
      <c r="E10" s="89" t="s">
        <v>210</v>
      </c>
      <c r="F10" s="89"/>
      <c r="G10" s="89"/>
      <c r="H10" s="89"/>
    </row>
    <row r="11" spans="1:8" x14ac:dyDescent="0.25">
      <c r="A11" s="89" t="s">
        <v>7</v>
      </c>
      <c r="B11" s="89"/>
      <c r="C11" s="89"/>
      <c r="D11" s="89"/>
      <c r="E11" s="89" t="s">
        <v>175</v>
      </c>
      <c r="F11" s="89"/>
      <c r="G11" s="89"/>
      <c r="H11" s="89"/>
    </row>
    <row r="12" spans="1:8" ht="32.25" customHeight="1" x14ac:dyDescent="0.25">
      <c r="A12" s="89" t="s">
        <v>8</v>
      </c>
      <c r="B12" s="89"/>
      <c r="C12" s="89"/>
      <c r="D12" s="89"/>
      <c r="E12" s="106" t="s">
        <v>104</v>
      </c>
      <c r="F12" s="106"/>
      <c r="G12" s="106"/>
      <c r="H12" s="106"/>
    </row>
    <row r="13" spans="1:8" x14ac:dyDescent="0.25">
      <c r="A13" s="89" t="s">
        <v>9</v>
      </c>
      <c r="B13" s="89"/>
      <c r="C13" s="89"/>
      <c r="D13" s="89"/>
      <c r="E13" s="106" t="s">
        <v>176</v>
      </c>
      <c r="F13" s="89"/>
      <c r="G13" s="89"/>
      <c r="H13" s="89"/>
    </row>
    <row r="14" spans="1:8" ht="31.5" customHeight="1" x14ac:dyDescent="0.25">
      <c r="A14" s="106" t="s">
        <v>10</v>
      </c>
      <c r="B14" s="106"/>
      <c r="C14" s="106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Belantara Phase III, Plot No.3 of Gut No. 128/1, 128/4,….,132/9, 135/2., near Titan Crushing, Internal road, Rasayani, Karade, Rasayani, Panvel , Raigad - 410207.</v>
      </c>
      <c r="D14" s="106"/>
      <c r="E14" s="106"/>
      <c r="F14" s="106"/>
      <c r="G14" s="106"/>
      <c r="H14" s="106"/>
    </row>
    <row r="15" spans="1:8" x14ac:dyDescent="0.25">
      <c r="A15" s="106" t="s">
        <v>177</v>
      </c>
      <c r="B15" s="106"/>
      <c r="C15" s="106" t="s">
        <v>178</v>
      </c>
      <c r="D15" s="106"/>
      <c r="E15" s="106"/>
      <c r="F15" s="106"/>
      <c r="G15" s="106"/>
      <c r="H15" s="106"/>
    </row>
    <row r="16" spans="1:8" ht="15.75" customHeight="1" x14ac:dyDescent="0.25">
      <c r="A16" s="84" t="s">
        <v>163</v>
      </c>
      <c r="B16" s="85"/>
      <c r="C16" s="84" t="s">
        <v>182</v>
      </c>
      <c r="D16" s="86"/>
      <c r="E16" s="86"/>
      <c r="F16" s="86"/>
      <c r="G16" s="86"/>
      <c r="H16" s="85"/>
    </row>
    <row r="17" spans="1:8" ht="15.75" customHeight="1" x14ac:dyDescent="0.25">
      <c r="A17" s="106" t="s">
        <v>11</v>
      </c>
      <c r="B17" s="106"/>
      <c r="C17" s="89" t="s">
        <v>184</v>
      </c>
      <c r="D17" s="89"/>
      <c r="E17" s="106" t="s">
        <v>164</v>
      </c>
      <c r="F17" s="106"/>
      <c r="G17" s="106" t="s">
        <v>179</v>
      </c>
      <c r="H17" s="106"/>
    </row>
    <row r="18" spans="1:8" x14ac:dyDescent="0.25">
      <c r="A18" s="89" t="s">
        <v>13</v>
      </c>
      <c r="B18" s="89"/>
      <c r="C18" s="106" t="s">
        <v>182</v>
      </c>
      <c r="D18" s="106"/>
      <c r="E18" s="106" t="s">
        <v>12</v>
      </c>
      <c r="F18" s="106"/>
      <c r="G18" s="134" t="s">
        <v>181</v>
      </c>
      <c r="H18" s="134"/>
    </row>
    <row r="19" spans="1:8" x14ac:dyDescent="0.25">
      <c r="A19" s="89" t="s">
        <v>75</v>
      </c>
      <c r="B19" s="89"/>
      <c r="C19" s="106" t="s">
        <v>180</v>
      </c>
      <c r="D19" s="106"/>
      <c r="E19" s="106" t="s">
        <v>14</v>
      </c>
      <c r="F19" s="106"/>
      <c r="G19" s="106">
        <v>410207</v>
      </c>
      <c r="H19" s="106"/>
    </row>
    <row r="20" spans="1:8" ht="32.25" customHeight="1" x14ac:dyDescent="0.25">
      <c r="A20" s="89" t="s">
        <v>122</v>
      </c>
      <c r="B20" s="89"/>
      <c r="C20" s="106" t="s">
        <v>185</v>
      </c>
      <c r="D20" s="106"/>
      <c r="E20" s="106" t="s">
        <v>15</v>
      </c>
      <c r="F20" s="106"/>
      <c r="G20" s="106" t="s">
        <v>183</v>
      </c>
      <c r="H20" s="106"/>
    </row>
    <row r="21" spans="1:8" ht="15" customHeight="1" x14ac:dyDescent="0.25">
      <c r="A21" s="105" t="s">
        <v>77</v>
      </c>
      <c r="B21" s="105"/>
      <c r="C21" s="105"/>
      <c r="D21" s="105"/>
      <c r="E21" s="89" t="s">
        <v>16</v>
      </c>
      <c r="F21" s="89"/>
      <c r="G21" s="89"/>
      <c r="H21" s="89"/>
    </row>
    <row r="22" spans="1:8" ht="18.75" customHeight="1" x14ac:dyDescent="0.25">
      <c r="A22" s="105"/>
      <c r="B22" s="105"/>
      <c r="C22" s="105"/>
      <c r="D22" s="105"/>
      <c r="E22" s="89"/>
      <c r="F22" s="89"/>
      <c r="G22" s="89"/>
      <c r="H22" s="89"/>
    </row>
    <row r="23" spans="1:8" ht="15" customHeight="1" x14ac:dyDescent="0.25">
      <c r="A23" s="105" t="s">
        <v>17</v>
      </c>
      <c r="B23" s="105"/>
      <c r="C23" s="105"/>
      <c r="D23" s="105"/>
      <c r="E23" s="106" t="s">
        <v>18</v>
      </c>
      <c r="F23" s="106"/>
      <c r="G23" s="106"/>
      <c r="H23" s="106"/>
    </row>
    <row r="24" spans="1:8" ht="15" customHeight="1" x14ac:dyDescent="0.25">
      <c r="A24" s="70" t="s">
        <v>19</v>
      </c>
      <c r="B24" s="70"/>
      <c r="C24" s="70"/>
      <c r="D24" s="70"/>
      <c r="E24" s="106" t="str">
        <f>IF(AND(G18="Mumbai"),"Upper Class","Middle Class")</f>
        <v>Middle Class</v>
      </c>
      <c r="F24" s="106"/>
      <c r="G24" s="106"/>
      <c r="H24" s="106"/>
    </row>
    <row r="25" spans="1:8" x14ac:dyDescent="0.25">
      <c r="A25" s="70" t="s">
        <v>20</v>
      </c>
      <c r="B25" s="70"/>
      <c r="C25" s="70"/>
      <c r="D25" s="70"/>
      <c r="E25" s="106" t="s">
        <v>21</v>
      </c>
      <c r="F25" s="106"/>
      <c r="G25" s="106"/>
      <c r="H25" s="106"/>
    </row>
    <row r="26" spans="1:8" ht="15.75" customHeight="1" x14ac:dyDescent="0.25">
      <c r="A26" s="70" t="s">
        <v>22</v>
      </c>
      <c r="B26" s="70"/>
      <c r="C26" s="70"/>
      <c r="D26" s="70"/>
      <c r="E26" s="106" t="str">
        <f>IF(AND(G18="Mumbai"),"Developed","Developing")</f>
        <v>Developing</v>
      </c>
      <c r="F26" s="106"/>
      <c r="G26" s="106"/>
      <c r="H26" s="106"/>
    </row>
    <row r="27" spans="1:8" x14ac:dyDescent="0.25">
      <c r="A27" s="70" t="s">
        <v>23</v>
      </c>
      <c r="B27" s="70"/>
      <c r="C27" s="70"/>
      <c r="D27" s="70"/>
      <c r="E27" s="106" t="s">
        <v>24</v>
      </c>
      <c r="F27" s="106"/>
      <c r="G27" s="106"/>
      <c r="H27" s="106"/>
    </row>
    <row r="28" spans="1:8" ht="15.75" customHeight="1" x14ac:dyDescent="0.25">
      <c r="A28" s="70" t="s">
        <v>82</v>
      </c>
      <c r="B28" s="70"/>
      <c r="C28" s="70"/>
      <c r="D28" s="70"/>
      <c r="E28" s="106" t="s">
        <v>83</v>
      </c>
      <c r="F28" s="106"/>
      <c r="G28" s="106"/>
      <c r="H28" s="106"/>
    </row>
    <row r="29" spans="1:8" ht="15" customHeight="1" x14ac:dyDescent="0.25">
      <c r="A29" s="70" t="s">
        <v>33</v>
      </c>
      <c r="B29" s="70"/>
      <c r="C29" s="70"/>
      <c r="D29" s="70"/>
      <c r="E29" s="106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06"/>
      <c r="G29" s="106"/>
      <c r="H29" s="106"/>
    </row>
    <row r="30" spans="1:8" ht="15.75" customHeight="1" x14ac:dyDescent="0.25">
      <c r="A30" s="70" t="s">
        <v>94</v>
      </c>
      <c r="B30" s="70"/>
      <c r="C30" s="70"/>
      <c r="D30" s="70"/>
      <c r="E30" s="106" t="s">
        <v>34</v>
      </c>
      <c r="F30" s="106"/>
      <c r="G30" s="106"/>
      <c r="H30" s="106"/>
    </row>
    <row r="31" spans="1:8" s="18" customFormat="1" x14ac:dyDescent="0.25">
      <c r="A31" s="138" t="s">
        <v>95</v>
      </c>
      <c r="B31" s="138"/>
      <c r="C31" s="137" t="s">
        <v>29</v>
      </c>
      <c r="D31" s="137"/>
      <c r="E31" s="137"/>
      <c r="F31" s="137" t="s">
        <v>31</v>
      </c>
      <c r="G31" s="137"/>
      <c r="H31" s="137"/>
    </row>
    <row r="32" spans="1:8" s="18" customFormat="1" x14ac:dyDescent="0.25">
      <c r="A32" s="135" t="s">
        <v>25</v>
      </c>
      <c r="B32" s="135" t="s">
        <v>30</v>
      </c>
      <c r="C32" s="136" t="s">
        <v>30</v>
      </c>
      <c r="D32" s="136"/>
      <c r="E32" s="136"/>
      <c r="F32" s="136" t="s">
        <v>184</v>
      </c>
      <c r="G32" s="136"/>
      <c r="H32" s="136"/>
    </row>
    <row r="33" spans="1:8" x14ac:dyDescent="0.25">
      <c r="A33" s="135" t="s">
        <v>26</v>
      </c>
      <c r="B33" s="135" t="s">
        <v>30</v>
      </c>
      <c r="C33" s="136" t="s">
        <v>30</v>
      </c>
      <c r="D33" s="136"/>
      <c r="E33" s="136"/>
      <c r="F33" s="136" t="s">
        <v>186</v>
      </c>
      <c r="G33" s="136"/>
      <c r="H33" s="136"/>
    </row>
    <row r="34" spans="1:8" s="18" customFormat="1" x14ac:dyDescent="0.25">
      <c r="A34" s="135" t="s">
        <v>28</v>
      </c>
      <c r="B34" s="135" t="s">
        <v>30</v>
      </c>
      <c r="C34" s="136" t="s">
        <v>30</v>
      </c>
      <c r="D34" s="136"/>
      <c r="E34" s="136"/>
      <c r="F34" s="136" t="s">
        <v>186</v>
      </c>
      <c r="G34" s="136"/>
      <c r="H34" s="136"/>
    </row>
    <row r="35" spans="1:8" x14ac:dyDescent="0.25">
      <c r="A35" s="135" t="s">
        <v>27</v>
      </c>
      <c r="B35" s="135" t="s">
        <v>30</v>
      </c>
      <c r="C35" s="136" t="s">
        <v>30</v>
      </c>
      <c r="D35" s="136"/>
      <c r="E35" s="136"/>
      <c r="F35" s="136" t="s">
        <v>187</v>
      </c>
      <c r="G35" s="136"/>
      <c r="H35" s="136"/>
    </row>
    <row r="36" spans="1:8" x14ac:dyDescent="0.25">
      <c r="A36" s="70" t="s">
        <v>32</v>
      </c>
      <c r="B36" s="70"/>
      <c r="C36" s="70"/>
      <c r="D36" s="70"/>
      <c r="E36" s="70"/>
      <c r="F36" s="70"/>
      <c r="G36" s="70"/>
      <c r="H36" s="70"/>
    </row>
    <row r="37" spans="1:8" ht="15.75" customHeight="1" x14ac:dyDescent="0.25">
      <c r="A37" s="70" t="s">
        <v>214</v>
      </c>
      <c r="B37" s="70"/>
      <c r="C37" s="139" t="s">
        <v>215</v>
      </c>
      <c r="D37" s="140"/>
      <c r="E37" s="140"/>
      <c r="F37" s="140"/>
      <c r="G37" s="140"/>
      <c r="H37" s="141"/>
    </row>
    <row r="38" spans="1:8" x14ac:dyDescent="0.25">
      <c r="A38" s="70" t="s">
        <v>162</v>
      </c>
      <c r="B38" s="70"/>
      <c r="C38" s="163" t="s">
        <v>188</v>
      </c>
      <c r="D38" s="106"/>
      <c r="E38" s="106"/>
      <c r="F38" s="106"/>
      <c r="G38" s="106"/>
      <c r="H38" s="106"/>
    </row>
    <row r="39" spans="1:8" x14ac:dyDescent="0.25">
      <c r="A39" s="122" t="s">
        <v>35</v>
      </c>
      <c r="B39" s="122"/>
      <c r="C39" s="122"/>
      <c r="D39" s="122"/>
      <c r="E39" s="122"/>
      <c r="F39" s="122"/>
      <c r="G39" s="122"/>
      <c r="H39" s="122"/>
    </row>
    <row r="40" spans="1:8" x14ac:dyDescent="0.25">
      <c r="A40" s="70" t="s">
        <v>36</v>
      </c>
      <c r="B40" s="70"/>
      <c r="C40" s="70"/>
      <c r="D40" s="70"/>
      <c r="E40" s="142">
        <v>8319.2099999999991</v>
      </c>
      <c r="F40" s="142"/>
      <c r="G40" s="142"/>
      <c r="H40" s="142"/>
    </row>
    <row r="41" spans="1:8" x14ac:dyDescent="0.25">
      <c r="A41" s="70" t="s">
        <v>37</v>
      </c>
      <c r="B41" s="70"/>
      <c r="C41" s="70"/>
      <c r="D41" s="70"/>
      <c r="E41" s="69">
        <v>1.1000000000000001</v>
      </c>
      <c r="F41" s="69"/>
      <c r="G41" s="69"/>
      <c r="H41" s="69"/>
    </row>
    <row r="42" spans="1:8" x14ac:dyDescent="0.25">
      <c r="A42" s="70" t="s">
        <v>38</v>
      </c>
      <c r="B42" s="70"/>
      <c r="C42" s="70"/>
      <c r="D42" s="70"/>
      <c r="E42" s="69">
        <f>E44/E40-E41</f>
        <v>0.97387595697187601</v>
      </c>
      <c r="F42" s="69"/>
      <c r="G42" s="69"/>
      <c r="H42" s="69"/>
    </row>
    <row r="43" spans="1:8" x14ac:dyDescent="0.25">
      <c r="A43" s="70" t="s">
        <v>39</v>
      </c>
      <c r="B43" s="70"/>
      <c r="C43" s="70"/>
      <c r="D43" s="70"/>
      <c r="E43" s="69">
        <f>E41+E42</f>
        <v>2.0738759569718761</v>
      </c>
      <c r="F43" s="69"/>
      <c r="G43" s="69"/>
      <c r="H43" s="69"/>
    </row>
    <row r="44" spans="1:8" x14ac:dyDescent="0.25">
      <c r="A44" s="70" t="s">
        <v>93</v>
      </c>
      <c r="B44" s="70"/>
      <c r="C44" s="70"/>
      <c r="D44" s="70"/>
      <c r="E44" s="155">
        <v>17253.009600000001</v>
      </c>
      <c r="F44" s="155"/>
      <c r="G44" s="155"/>
      <c r="H44" s="155"/>
    </row>
    <row r="45" spans="1:8" x14ac:dyDescent="0.25">
      <c r="A45" s="89" t="s">
        <v>40</v>
      </c>
      <c r="B45" s="89"/>
      <c r="C45" s="89"/>
      <c r="D45" s="89"/>
      <c r="E45" s="89" t="s">
        <v>189</v>
      </c>
      <c r="F45" s="89"/>
      <c r="G45" s="89"/>
      <c r="H45" s="89"/>
    </row>
    <row r="46" spans="1:8" x14ac:dyDescent="0.25">
      <c r="A46" s="110" t="s">
        <v>41</v>
      </c>
      <c r="B46" s="110"/>
      <c r="C46" s="110"/>
      <c r="D46" s="110"/>
      <c r="E46" s="110"/>
      <c r="F46" s="110"/>
      <c r="G46" s="110"/>
      <c r="H46" s="110"/>
    </row>
    <row r="47" spans="1:8" ht="33.75" customHeight="1" x14ac:dyDescent="0.25">
      <c r="A47" s="84" t="s">
        <v>150</v>
      </c>
      <c r="B47" s="85"/>
      <c r="C47" s="107" t="s">
        <v>190</v>
      </c>
      <c r="D47" s="164"/>
      <c r="E47" s="164"/>
      <c r="F47" s="164"/>
      <c r="G47" s="164"/>
      <c r="H47" s="108"/>
    </row>
    <row r="48" spans="1:8" ht="15.75" customHeight="1" x14ac:dyDescent="0.25">
      <c r="A48" s="84" t="s">
        <v>42</v>
      </c>
      <c r="B48" s="85"/>
      <c r="C48" s="84" t="s">
        <v>191</v>
      </c>
      <c r="D48" s="86"/>
      <c r="E48" s="85"/>
      <c r="F48" s="44" t="s">
        <v>43</v>
      </c>
      <c r="G48" s="87">
        <v>44641</v>
      </c>
      <c r="H48" s="85"/>
    </row>
    <row r="49" spans="1:14" x14ac:dyDescent="0.25">
      <c r="A49" s="84" t="s">
        <v>44</v>
      </c>
      <c r="B49" s="85"/>
      <c r="C49" s="84" t="str">
        <f>C48</f>
        <v>MS/LNA-1/S.R/11/2019</v>
      </c>
      <c r="D49" s="86"/>
      <c r="E49" s="85"/>
      <c r="F49" s="44" t="s">
        <v>43</v>
      </c>
      <c r="G49" s="87">
        <f>G48</f>
        <v>44641</v>
      </c>
      <c r="H49" s="88"/>
    </row>
    <row r="50" spans="1:14" s="19" customFormat="1" ht="15.75" customHeight="1" x14ac:dyDescent="0.25">
      <c r="A50" s="90" t="s">
        <v>154</v>
      </c>
      <c r="B50" s="157"/>
      <c r="C50" s="84" t="s">
        <v>192</v>
      </c>
      <c r="D50" s="86"/>
      <c r="E50" s="85"/>
      <c r="F50" s="44" t="s">
        <v>43</v>
      </c>
      <c r="G50" s="87">
        <f>G49</f>
        <v>44641</v>
      </c>
      <c r="H50" s="88"/>
    </row>
    <row r="51" spans="1:14" s="19" customFormat="1" ht="33.75" customHeight="1" x14ac:dyDescent="0.25">
      <c r="A51" s="158"/>
      <c r="B51" s="159"/>
      <c r="C51" s="84" t="s">
        <v>193</v>
      </c>
      <c r="D51" s="86"/>
      <c r="E51" s="86"/>
      <c r="F51" s="86"/>
      <c r="G51" s="86"/>
      <c r="H51" s="85"/>
    </row>
    <row r="52" spans="1:14" x14ac:dyDescent="0.25">
      <c r="A52" s="101" t="s">
        <v>45</v>
      </c>
      <c r="B52" s="102"/>
      <c r="C52" s="101" t="s">
        <v>105</v>
      </c>
      <c r="D52" s="103"/>
      <c r="E52" s="102"/>
      <c r="F52" s="45" t="s">
        <v>43</v>
      </c>
      <c r="G52" s="107" t="s">
        <v>30</v>
      </c>
      <c r="H52" s="108"/>
    </row>
    <row r="53" spans="1:14" x14ac:dyDescent="0.25">
      <c r="A53" s="104" t="s">
        <v>47</v>
      </c>
      <c r="B53" s="104"/>
      <c r="C53" s="104"/>
      <c r="D53" s="104"/>
      <c r="E53" s="104"/>
      <c r="F53" s="104"/>
      <c r="G53" s="104"/>
      <c r="H53" s="104"/>
    </row>
    <row r="54" spans="1:14" x14ac:dyDescent="0.25">
      <c r="A54" s="105" t="s">
        <v>92</v>
      </c>
      <c r="B54" s="105"/>
      <c r="C54" s="105"/>
      <c r="D54" s="89">
        <f>E44</f>
        <v>17253.009600000001</v>
      </c>
      <c r="E54" s="89"/>
      <c r="F54" s="89"/>
      <c r="G54" s="89"/>
      <c r="H54" s="89"/>
    </row>
    <row r="55" spans="1:14" x14ac:dyDescent="0.25">
      <c r="A55" s="106" t="s">
        <v>48</v>
      </c>
      <c r="B55" s="89"/>
      <c r="C55" s="89"/>
      <c r="D55" s="89" t="s">
        <v>207</v>
      </c>
      <c r="E55" s="89"/>
      <c r="F55" s="89"/>
      <c r="G55" s="89"/>
      <c r="H55" s="89"/>
      <c r="I55" s="20"/>
    </row>
    <row r="56" spans="1:14" ht="34.5" customHeight="1" x14ac:dyDescent="0.25">
      <c r="A56" s="90" t="s">
        <v>49</v>
      </c>
      <c r="B56" s="91"/>
      <c r="C56" s="157"/>
      <c r="D56" s="129" t="s">
        <v>193</v>
      </c>
      <c r="E56" s="156"/>
      <c r="F56" s="156"/>
      <c r="G56" s="156"/>
      <c r="H56" s="156"/>
    </row>
    <row r="57" spans="1:14" ht="15.75" customHeight="1" x14ac:dyDescent="0.25">
      <c r="A57" s="90" t="s">
        <v>90</v>
      </c>
      <c r="B57" s="91"/>
      <c r="C57" s="91"/>
      <c r="D57" s="94" t="s">
        <v>194</v>
      </c>
      <c r="E57" s="95"/>
      <c r="F57" s="95"/>
      <c r="G57" s="95"/>
      <c r="H57" s="96"/>
    </row>
    <row r="58" spans="1:14" ht="15.75" customHeight="1" x14ac:dyDescent="0.25">
      <c r="A58" s="92"/>
      <c r="B58" s="93"/>
      <c r="C58" s="93"/>
      <c r="D58" s="97" t="s">
        <v>195</v>
      </c>
      <c r="E58" s="98"/>
      <c r="F58" s="98"/>
      <c r="G58" s="98"/>
      <c r="H58" s="99"/>
    </row>
    <row r="59" spans="1:14" ht="15.75" customHeight="1" x14ac:dyDescent="0.25">
      <c r="A59" s="70" t="s">
        <v>46</v>
      </c>
      <c r="B59" s="70"/>
      <c r="C59" s="70"/>
      <c r="D59" s="106" t="s">
        <v>196</v>
      </c>
      <c r="E59" s="106"/>
      <c r="F59" s="106"/>
      <c r="G59" s="106"/>
      <c r="H59" s="106"/>
      <c r="J59" s="21"/>
      <c r="K59" s="20"/>
      <c r="N59" s="20"/>
    </row>
    <row r="60" spans="1:14" ht="15.75" customHeight="1" x14ac:dyDescent="0.25">
      <c r="A60" s="70" t="s">
        <v>88</v>
      </c>
      <c r="B60" s="70"/>
      <c r="C60" s="70"/>
      <c r="D60" s="154" t="str">
        <f>(IF(G52="NA","60 Years After Completion",IF(G52&lt;&gt;"NA",""&amp;60-ROUNDDOWN((E3-G52)/360,0)&amp;" Years"," ")))</f>
        <v>60 Years After Completion</v>
      </c>
      <c r="E60" s="154"/>
      <c r="F60" s="154"/>
      <c r="G60" s="154"/>
      <c r="H60" s="154"/>
      <c r="N60" s="20"/>
    </row>
    <row r="61" spans="1:14" ht="15.75" customHeight="1" x14ac:dyDescent="0.25">
      <c r="A61" s="70" t="s">
        <v>89</v>
      </c>
      <c r="B61" s="70"/>
      <c r="C61" s="70"/>
      <c r="D61" s="106" t="s">
        <v>24</v>
      </c>
      <c r="E61" s="106"/>
      <c r="F61" s="106"/>
      <c r="G61" s="106"/>
      <c r="H61" s="106"/>
      <c r="J61" s="22"/>
      <c r="K61" s="22"/>
    </row>
    <row r="62" spans="1:14" ht="30" customHeight="1" x14ac:dyDescent="0.25">
      <c r="A62" s="70" t="s">
        <v>76</v>
      </c>
      <c r="B62" s="70"/>
      <c r="C62" s="70"/>
      <c r="D62" s="106" t="s">
        <v>205</v>
      </c>
      <c r="E62" s="105"/>
      <c r="F62" s="105"/>
      <c r="G62" s="105"/>
      <c r="H62" s="105"/>
    </row>
    <row r="63" spans="1:14" x14ac:dyDescent="0.25">
      <c r="A63" s="105" t="s">
        <v>148</v>
      </c>
      <c r="B63" s="105"/>
      <c r="C63" s="105"/>
      <c r="D63" s="105" t="s">
        <v>30</v>
      </c>
      <c r="E63" s="105"/>
      <c r="F63" s="105"/>
      <c r="G63" s="105"/>
      <c r="H63" s="105"/>
      <c r="I63" s="23"/>
      <c r="J63" s="23"/>
      <c r="K63" s="23"/>
      <c r="L63" s="23"/>
      <c r="M63" s="23"/>
      <c r="N63" s="23"/>
    </row>
    <row r="64" spans="1:14" ht="15.75" customHeight="1" x14ac:dyDescent="0.25">
      <c r="A64" s="130" t="s">
        <v>87</v>
      </c>
      <c r="B64" s="130"/>
      <c r="C64" s="130"/>
      <c r="D64" s="129" t="str">
        <f ca="1">(IF(G70&gt;95%,"Nothing",IF(G70&gt;0%,"Cement, Aggregate, Steel, etc",IF(G70=0%,"Work not yet Started"))))</f>
        <v>Nothing</v>
      </c>
      <c r="E64" s="129"/>
      <c r="F64" s="129"/>
      <c r="G64" s="129"/>
      <c r="H64" s="129"/>
      <c r="J64" s="22"/>
    </row>
    <row r="65" spans="1:11" ht="33.75" customHeight="1" thickBot="1" x14ac:dyDescent="0.3">
      <c r="A65" s="128" t="s">
        <v>118</v>
      </c>
      <c r="B65" s="128"/>
      <c r="C65" s="128"/>
      <c r="D65" s="129" t="str">
        <f ca="1">(IF(D64="Nothing","Yes",IF(D64="Cement, Aggregate, Steel, etc","Under Construction",IF(D64="Work not yet Started","Work not yet Started"))))</f>
        <v>Yes</v>
      </c>
      <c r="E65" s="129"/>
      <c r="F65" s="129" t="str">
        <f ca="1">(IF(D64="Nothing","Yes",IF(D64="Cement, Aggregate, Steel, etc","Under Construction",IF(D64="Work not yet Started","Work not yet Started"))))</f>
        <v>Yes</v>
      </c>
      <c r="G65" s="129"/>
      <c r="H65" s="129"/>
    </row>
    <row r="66" spans="1:11" ht="15.75" customHeight="1" x14ac:dyDescent="0.25">
      <c r="A66" s="77" t="s">
        <v>140</v>
      </c>
      <c r="B66" s="78"/>
      <c r="C66" s="79" t="str">
        <f>D57</f>
        <v>Wing 3A = G/St + 1st to 12th Floor</v>
      </c>
      <c r="D66" s="80"/>
      <c r="E66" s="80"/>
      <c r="F66" s="80"/>
      <c r="G66" s="80"/>
      <c r="H66" s="81"/>
      <c r="I66" s="51" t="str">
        <f ca="1">IF(D79=100%,"All work Completed. Possession granted to the Building.",IF(D78=100%,"All work Completed, Waiting for OC",I67&amp;""&amp;I68&amp;""&amp;J67&amp;""&amp;J66&amp;" "&amp;J68))</f>
        <v>All work Completed. Possession granted to the Building.</v>
      </c>
      <c r="J66" s="38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/>
      </c>
    </row>
    <row r="67" spans="1:11" x14ac:dyDescent="0.25">
      <c r="A67" s="15" t="s">
        <v>142</v>
      </c>
      <c r="B67" s="55">
        <v>0</v>
      </c>
      <c r="C67" s="55" t="s">
        <v>74</v>
      </c>
      <c r="D67" s="55">
        <v>1</v>
      </c>
      <c r="E67" s="55" t="s">
        <v>73</v>
      </c>
      <c r="F67" s="55">
        <v>0</v>
      </c>
      <c r="G67" s="55" t="s">
        <v>81</v>
      </c>
      <c r="H67" s="16">
        <f ca="1">--TRIM(RIGHT(SUBSTITUTE(LEFT(C66,_xlfn.AGGREGATE(16,6,FIND({0,1,2,3,4,5,6,7,8,9},C66,ROW(INDIRECT("1:"&amp;LEN(C66)))),1))," ",REPT(" ",LEN(C66))),LEN(C66)))</f>
        <v>12</v>
      </c>
      <c r="I67" s="39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Flooring, Painting, Building common Amenities</v>
      </c>
      <c r="J67" s="40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  <c r="K67" s="17" t="s">
        <v>221</v>
      </c>
    </row>
    <row r="68" spans="1:11" x14ac:dyDescent="0.25">
      <c r="A68" s="109" t="s">
        <v>91</v>
      </c>
      <c r="B68" s="110"/>
      <c r="C68" s="111" t="str">
        <f>K67</f>
        <v>All work Completed, Provide OC</v>
      </c>
      <c r="D68" s="111"/>
      <c r="E68" s="111"/>
      <c r="F68" s="111"/>
      <c r="G68" s="111"/>
      <c r="H68" s="112"/>
      <c r="I68" s="39" t="str">
        <f ca="1">IF(I67&lt;&gt;""," Completed","")</f>
        <v xml:space="preserve"> Completed</v>
      </c>
      <c r="J68" s="40" t="str">
        <f ca="1">IF(J66&lt;&gt;"","Completed","")</f>
        <v/>
      </c>
    </row>
    <row r="69" spans="1:11" ht="15.75" customHeight="1" x14ac:dyDescent="0.25">
      <c r="A69" s="75" t="s">
        <v>50</v>
      </c>
      <c r="B69" s="76"/>
      <c r="C69" s="53" t="s">
        <v>139</v>
      </c>
      <c r="D69" s="53" t="s">
        <v>84</v>
      </c>
      <c r="E69" s="76" t="s">
        <v>86</v>
      </c>
      <c r="F69" s="76"/>
      <c r="G69" s="76" t="s">
        <v>85</v>
      </c>
      <c r="H69" s="131"/>
      <c r="I69" s="13" t="s">
        <v>141</v>
      </c>
      <c r="J69" s="24">
        <f ca="1">H67*25%</f>
        <v>3</v>
      </c>
    </row>
    <row r="70" spans="1:11" x14ac:dyDescent="0.25">
      <c r="A70" s="75" t="s">
        <v>128</v>
      </c>
      <c r="B70" s="76"/>
      <c r="C70" s="53">
        <f ca="1">J71</f>
        <v>12</v>
      </c>
      <c r="D70" s="46">
        <f ca="1">((100/H67)*C70)/100</f>
        <v>1</v>
      </c>
      <c r="E70" s="143">
        <f ca="1">(((C71/H67*10)+(40/(D67+F67+H67)*C72)+(7.5/(H67)*C73)+(7.5/(H67)*C74)+(10/H67*C75)+(10/H67*C76)+(5/H67*C77)+(5/H67*C78)+(5/H67*C79))/100)</f>
        <v>1</v>
      </c>
      <c r="F70" s="144"/>
      <c r="G70" s="143">
        <f ca="1">((((C70/H67)*20)+((C71/H67)*25)+(30/(H67+F67+D67)*C72)+(5/H67*C73)+(5/H67*C74)+(5/H67*C75)+(5/H67*C76)+(0/H67*C77)+(0/H67*C78)+(5/H67*C79))/100)</f>
        <v>1</v>
      </c>
      <c r="H70" s="149"/>
      <c r="I70" s="13" t="s">
        <v>99</v>
      </c>
      <c r="J70" s="25">
        <f ca="1">H67*50%</f>
        <v>6</v>
      </c>
    </row>
    <row r="71" spans="1:11" x14ac:dyDescent="0.25">
      <c r="A71" s="75" t="s">
        <v>51</v>
      </c>
      <c r="B71" s="76"/>
      <c r="C71" s="53">
        <v>12</v>
      </c>
      <c r="D71" s="46">
        <f ca="1">((100/H67)*C71)/100</f>
        <v>1</v>
      </c>
      <c r="E71" s="145"/>
      <c r="F71" s="146"/>
      <c r="G71" s="145"/>
      <c r="H71" s="150"/>
      <c r="I71" s="13" t="s">
        <v>100</v>
      </c>
      <c r="J71" s="25">
        <f ca="1">H67</f>
        <v>12</v>
      </c>
    </row>
    <row r="72" spans="1:11" ht="15.75" customHeight="1" x14ac:dyDescent="0.25">
      <c r="A72" s="75" t="s">
        <v>129</v>
      </c>
      <c r="B72" s="76"/>
      <c r="C72" s="53">
        <v>13</v>
      </c>
      <c r="D72" s="46">
        <f ca="1">((100/(D67+F67+H67))*C72)/100</f>
        <v>1</v>
      </c>
      <c r="E72" s="145"/>
      <c r="F72" s="146"/>
      <c r="G72" s="145"/>
      <c r="H72" s="150"/>
      <c r="I72" s="13" t="s">
        <v>101</v>
      </c>
      <c r="J72" s="26">
        <f ca="1">(IF(B67&gt;1,(H67/(B67+2)),H67/4))</f>
        <v>3</v>
      </c>
    </row>
    <row r="73" spans="1:11" ht="15.75" customHeight="1" x14ac:dyDescent="0.25">
      <c r="A73" s="75" t="s">
        <v>136</v>
      </c>
      <c r="B73" s="76" t="s">
        <v>130</v>
      </c>
      <c r="C73" s="53">
        <v>12</v>
      </c>
      <c r="D73" s="46">
        <f ca="1">((100/H67)*C73)/100</f>
        <v>1</v>
      </c>
      <c r="E73" s="145"/>
      <c r="F73" s="146"/>
      <c r="G73" s="145"/>
      <c r="H73" s="150"/>
      <c r="I73" s="13" t="s">
        <v>102</v>
      </c>
      <c r="J73" s="26">
        <f ca="1">(IF(B67&gt;1,(H67/(B67+2)+J72),H67/4+J72))</f>
        <v>6</v>
      </c>
    </row>
    <row r="74" spans="1:11" ht="15.75" customHeight="1" x14ac:dyDescent="0.25">
      <c r="A74" s="75" t="s">
        <v>137</v>
      </c>
      <c r="B74" s="76" t="s">
        <v>130</v>
      </c>
      <c r="C74" s="53">
        <v>12</v>
      </c>
      <c r="D74" s="46">
        <f ca="1">((100/H67)*C74)/100</f>
        <v>1</v>
      </c>
      <c r="E74" s="145"/>
      <c r="F74" s="146"/>
      <c r="G74" s="145"/>
      <c r="H74" s="150"/>
      <c r="I74" s="13" t="s">
        <v>146</v>
      </c>
      <c r="J74" s="26">
        <f>(IF(B67&gt;1,(H67/(B67+2)+J73),0))</f>
        <v>0</v>
      </c>
    </row>
    <row r="75" spans="1:11" ht="15" customHeight="1" x14ac:dyDescent="0.25">
      <c r="A75" s="75" t="s">
        <v>135</v>
      </c>
      <c r="B75" s="76" t="s">
        <v>132</v>
      </c>
      <c r="C75" s="53">
        <v>12</v>
      </c>
      <c r="D75" s="46">
        <f ca="1">((100/(H67))*C75)/100</f>
        <v>1</v>
      </c>
      <c r="E75" s="145"/>
      <c r="F75" s="146"/>
      <c r="G75" s="145"/>
      <c r="H75" s="150"/>
      <c r="I75" s="13" t="s">
        <v>143</v>
      </c>
      <c r="J75" s="26">
        <f>(IF(B67&gt;2,(H67/(B67+2)+J74),0))</f>
        <v>0</v>
      </c>
    </row>
    <row r="76" spans="1:11" ht="15.75" customHeight="1" x14ac:dyDescent="0.25">
      <c r="A76" s="75" t="s">
        <v>131</v>
      </c>
      <c r="B76" s="76" t="s">
        <v>131</v>
      </c>
      <c r="C76" s="53">
        <v>12</v>
      </c>
      <c r="D76" s="46">
        <f ca="1">((100/H67)*C76)/100</f>
        <v>1</v>
      </c>
      <c r="E76" s="145"/>
      <c r="F76" s="146"/>
      <c r="G76" s="145"/>
      <c r="H76" s="150"/>
      <c r="I76" s="13" t="s">
        <v>144</v>
      </c>
      <c r="J76" s="27">
        <f>(IF(B67&gt;3,(H67/(B67+2)+J75),0))</f>
        <v>0</v>
      </c>
    </row>
    <row r="77" spans="1:11" ht="15.75" customHeight="1" x14ac:dyDescent="0.25">
      <c r="A77" s="75" t="s">
        <v>138</v>
      </c>
      <c r="B77" s="76"/>
      <c r="C77" s="53">
        <v>12</v>
      </c>
      <c r="D77" s="46">
        <f ca="1">((100/H67)*C77)/100</f>
        <v>1</v>
      </c>
      <c r="E77" s="145"/>
      <c r="F77" s="146"/>
      <c r="G77" s="145"/>
      <c r="H77" s="150"/>
      <c r="I77" s="13" t="s">
        <v>145</v>
      </c>
      <c r="J77" s="26">
        <f>(IF(B67&gt;4,(H67/(B67+2)+J76),0))</f>
        <v>0</v>
      </c>
    </row>
    <row r="78" spans="1:11" ht="15.75" customHeight="1" x14ac:dyDescent="0.25">
      <c r="A78" s="75" t="s">
        <v>133</v>
      </c>
      <c r="B78" s="76" t="s">
        <v>133</v>
      </c>
      <c r="C78" s="53">
        <v>12</v>
      </c>
      <c r="D78" s="46">
        <f ca="1">((100/(H67))*C78)/100</f>
        <v>1</v>
      </c>
      <c r="E78" s="145"/>
      <c r="F78" s="146"/>
      <c r="G78" s="145"/>
      <c r="H78" s="150"/>
      <c r="I78" s="13" t="s">
        <v>147</v>
      </c>
      <c r="J78" s="26">
        <f ca="1">(IF(B67=1,(H67/(B67+3)+J73),IF(B67=0,(H67/4+J73),IF(B67&gt;1,0))))</f>
        <v>9</v>
      </c>
    </row>
    <row r="79" spans="1:11" ht="16.5" thickBot="1" x14ac:dyDescent="0.3">
      <c r="A79" s="152" t="s">
        <v>134</v>
      </c>
      <c r="B79" s="153"/>
      <c r="C79" s="56">
        <v>12</v>
      </c>
      <c r="D79" s="48">
        <f ca="1">((100/(H67))*C79)/100</f>
        <v>1</v>
      </c>
      <c r="E79" s="147"/>
      <c r="F79" s="148"/>
      <c r="G79" s="147"/>
      <c r="H79" s="151"/>
      <c r="I79" s="14" t="s">
        <v>103</v>
      </c>
      <c r="J79" s="28">
        <f ca="1">(IF(B67&gt;1.5,(H67/(B67+2)+J73+MAX(0,J74-J73)+MAX(0,J75-J74)+MAX(0,J76-J75)+MAX(0,J77-J76)+MAX(0,J78-J77)),IF(B67=1,(H67/(B67+3)+J78),IF(B67=0,H67/4+J78))))</f>
        <v>12</v>
      </c>
    </row>
    <row r="80" spans="1:11" ht="15.75" customHeight="1" x14ac:dyDescent="0.25">
      <c r="A80" s="77" t="s">
        <v>140</v>
      </c>
      <c r="B80" s="78"/>
      <c r="C80" s="79" t="str">
        <f>D58</f>
        <v>Wing 3B = G/St + 1st to 12th Floor</v>
      </c>
      <c r="D80" s="80"/>
      <c r="E80" s="80"/>
      <c r="F80" s="80"/>
      <c r="G80" s="80"/>
      <c r="H80" s="81"/>
      <c r="I80" s="51" t="str">
        <f ca="1">IF(D93=100%,"All work Completed. Possession granted to the Building.",IF(D92=100%,"All work Completed, Waiting for OC",I81&amp;""&amp;I82&amp;""&amp;J81&amp;""&amp;J80&amp;" "&amp;J82))</f>
        <v>Excavation, Plinth, RCC Slab, Brickwork, Internal Plaster, External Plaster, Flooring Completed, Painting upto 11 Floor, Finishing upto 9 Floor Completed</v>
      </c>
      <c r="J80" s="38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Painting upto 11 Floor, Finishing upto 9 Floor</v>
      </c>
    </row>
    <row r="81" spans="1:12" x14ac:dyDescent="0.25">
      <c r="A81" s="15" t="s">
        <v>142</v>
      </c>
      <c r="B81" s="55">
        <v>0</v>
      </c>
      <c r="C81" s="55" t="s">
        <v>74</v>
      </c>
      <c r="D81" s="55">
        <v>1</v>
      </c>
      <c r="E81" s="55" t="s">
        <v>73</v>
      </c>
      <c r="F81" s="55">
        <v>0</v>
      </c>
      <c r="G81" s="55" t="s">
        <v>81</v>
      </c>
      <c r="H81" s="16">
        <f ca="1">--TRIM(RIGHT(SUBSTITUTE(LEFT(C80,_xlfn.AGGREGATE(16,6,FIND({0,1,2,3,4,5,6,7,8,9},C80,ROW(INDIRECT("1:"&amp;LEN(C80)))),1))," ",REPT(" ",LEN(C80))),LEN(C80)))</f>
        <v>12</v>
      </c>
      <c r="I81" s="39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Brickwork, Internal Plaster, External Plaster, Flooring</v>
      </c>
      <c r="J81" s="40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2" ht="51.6" customHeight="1" x14ac:dyDescent="0.25">
      <c r="A82" s="109" t="s">
        <v>91</v>
      </c>
      <c r="B82" s="110"/>
      <c r="C82" s="111" t="str">
        <f ca="1">(IF($G$52="NA",I80,"All work Completed. OC Received."))</f>
        <v>Excavation, Plinth, RCC Slab, Brickwork, Internal Plaster, External Plaster, Flooring Completed, Painting upto 11 Floor, Finishing upto 9 Floor Completed</v>
      </c>
      <c r="D82" s="111"/>
      <c r="E82" s="111"/>
      <c r="F82" s="111"/>
      <c r="G82" s="111"/>
      <c r="H82" s="112"/>
      <c r="I82" s="39" t="str">
        <f ca="1">IF(I81&lt;&gt;""," Completed","")</f>
        <v xml:space="preserve"> Completed</v>
      </c>
      <c r="J82" s="40" t="str">
        <f ca="1">IF(J80&lt;&gt;"","Completed","")</f>
        <v>Completed</v>
      </c>
    </row>
    <row r="83" spans="1:12" ht="15.75" customHeight="1" x14ac:dyDescent="0.25">
      <c r="A83" s="75" t="s">
        <v>50</v>
      </c>
      <c r="B83" s="76"/>
      <c r="C83" s="53" t="s">
        <v>139</v>
      </c>
      <c r="D83" s="53" t="s">
        <v>84</v>
      </c>
      <c r="E83" s="76" t="s">
        <v>86</v>
      </c>
      <c r="F83" s="76"/>
      <c r="G83" s="76" t="s">
        <v>85</v>
      </c>
      <c r="H83" s="131"/>
      <c r="I83" s="13" t="s">
        <v>141</v>
      </c>
      <c r="J83" s="24">
        <f ca="1">H81*25%</f>
        <v>3</v>
      </c>
    </row>
    <row r="84" spans="1:12" x14ac:dyDescent="0.25">
      <c r="A84" s="75" t="s">
        <v>128</v>
      </c>
      <c r="B84" s="76"/>
      <c r="C84" s="53">
        <f ca="1">J85</f>
        <v>12</v>
      </c>
      <c r="D84" s="46">
        <f ca="1">((100/H81)*C84)/100</f>
        <v>1</v>
      </c>
      <c r="E84" s="143">
        <f ca="1">(((C85/H81*10)+(40/(D81+F81+H81)*C86)+(7.5/(H81)*C87)+(7.5/(H81)*C88)+(10/H81*C89)+(10/H81*C90)+(5/H81*C91)+(5/H81*C92)+(5/H81*C93))/100)</f>
        <v>0.93333333333333324</v>
      </c>
      <c r="F84" s="144"/>
      <c r="G84" s="143">
        <f ca="1">((((C84/H81)*20)+((C85/H81)*25)+(30/(H81+F81+D81)*C86)+(5/H81*C87)+(5/H81*C88)+(5/H81*C89)+(5/H81*C90)+(0/H81*C91)+(0/H81*C92)+(5/H81*C93))/100)</f>
        <v>0.95</v>
      </c>
      <c r="H84" s="149"/>
      <c r="I84" s="13" t="s">
        <v>99</v>
      </c>
      <c r="J84" s="25">
        <f ca="1">H81*50%</f>
        <v>6</v>
      </c>
    </row>
    <row r="85" spans="1:12" x14ac:dyDescent="0.25">
      <c r="A85" s="75" t="s">
        <v>51</v>
      </c>
      <c r="B85" s="76"/>
      <c r="C85" s="47">
        <v>12</v>
      </c>
      <c r="D85" s="46">
        <f ca="1">((100/H81)*C85)/100</f>
        <v>1</v>
      </c>
      <c r="E85" s="145"/>
      <c r="F85" s="146"/>
      <c r="G85" s="145"/>
      <c r="H85" s="150"/>
      <c r="I85" s="13" t="s">
        <v>100</v>
      </c>
      <c r="J85" s="25">
        <f ca="1">H81</f>
        <v>12</v>
      </c>
    </row>
    <row r="86" spans="1:12" ht="15.75" customHeight="1" x14ac:dyDescent="0.25">
      <c r="A86" s="75" t="s">
        <v>129</v>
      </c>
      <c r="B86" s="76"/>
      <c r="C86" s="53">
        <v>13</v>
      </c>
      <c r="D86" s="46">
        <f ca="1">((100/(D81+F81+H81))*C86)/100</f>
        <v>1</v>
      </c>
      <c r="E86" s="145"/>
      <c r="F86" s="146"/>
      <c r="G86" s="145"/>
      <c r="H86" s="150"/>
      <c r="I86" s="13" t="s">
        <v>101</v>
      </c>
      <c r="J86" s="26">
        <f ca="1">(IF(B81&gt;1,(H81/(B81+2)),H81/4))</f>
        <v>3</v>
      </c>
    </row>
    <row r="87" spans="1:12" ht="15.75" customHeight="1" x14ac:dyDescent="0.25">
      <c r="A87" s="75" t="s">
        <v>136</v>
      </c>
      <c r="B87" s="76" t="s">
        <v>130</v>
      </c>
      <c r="C87" s="53">
        <v>12</v>
      </c>
      <c r="D87" s="46">
        <f ca="1">((100/H81)*C87)/100</f>
        <v>1</v>
      </c>
      <c r="E87" s="145"/>
      <c r="F87" s="146"/>
      <c r="G87" s="145"/>
      <c r="H87" s="150"/>
      <c r="I87" s="13" t="s">
        <v>102</v>
      </c>
      <c r="J87" s="26">
        <f ca="1">(IF(B81&gt;1,(H81/(B81+2)+J86),H81/4+J86))</f>
        <v>6</v>
      </c>
    </row>
    <row r="88" spans="1:12" ht="15.75" customHeight="1" x14ac:dyDescent="0.25">
      <c r="A88" s="75" t="s">
        <v>137</v>
      </c>
      <c r="B88" s="76" t="s">
        <v>130</v>
      </c>
      <c r="C88" s="53">
        <v>12</v>
      </c>
      <c r="D88" s="46">
        <f ca="1">((100/H81)*C88)/100</f>
        <v>1</v>
      </c>
      <c r="E88" s="145"/>
      <c r="F88" s="146"/>
      <c r="G88" s="145"/>
      <c r="H88" s="150"/>
      <c r="I88" s="13" t="s">
        <v>146</v>
      </c>
      <c r="J88" s="26">
        <f>(IF(B81&gt;1,(H81/(B81+2)+J87),0))</f>
        <v>0</v>
      </c>
    </row>
    <row r="89" spans="1:12" ht="15" customHeight="1" x14ac:dyDescent="0.25">
      <c r="A89" s="75" t="s">
        <v>135</v>
      </c>
      <c r="B89" s="76" t="s">
        <v>132</v>
      </c>
      <c r="C89" s="53">
        <v>12</v>
      </c>
      <c r="D89" s="46">
        <f ca="1">((100/(H81))*C89)/100</f>
        <v>1</v>
      </c>
      <c r="E89" s="145"/>
      <c r="F89" s="146"/>
      <c r="G89" s="145"/>
      <c r="H89" s="150"/>
      <c r="I89" s="13" t="s">
        <v>143</v>
      </c>
      <c r="J89" s="26">
        <f>(IF(B81&gt;2,(H81/(B81+2)+J88),0))</f>
        <v>0</v>
      </c>
    </row>
    <row r="90" spans="1:12" ht="15.75" customHeight="1" x14ac:dyDescent="0.25">
      <c r="A90" s="75" t="s">
        <v>131</v>
      </c>
      <c r="B90" s="76" t="s">
        <v>131</v>
      </c>
      <c r="C90" s="53">
        <v>12</v>
      </c>
      <c r="D90" s="46">
        <f ca="1">((100/H81)*C90)/100</f>
        <v>1</v>
      </c>
      <c r="E90" s="145"/>
      <c r="F90" s="146"/>
      <c r="G90" s="145"/>
      <c r="H90" s="150"/>
      <c r="I90" s="13" t="s">
        <v>144</v>
      </c>
      <c r="J90" s="27">
        <f>(IF(B81&gt;3,(H81/(B81+2)+J89),0))</f>
        <v>0</v>
      </c>
      <c r="K90" s="17" t="s">
        <v>200</v>
      </c>
    </row>
    <row r="91" spans="1:12" ht="15.75" customHeight="1" x14ac:dyDescent="0.25">
      <c r="A91" s="75" t="s">
        <v>138</v>
      </c>
      <c r="B91" s="76"/>
      <c r="C91" s="53">
        <v>11</v>
      </c>
      <c r="D91" s="46">
        <f ca="1">((100/H81)*C91)/100</f>
        <v>0.91666666666666674</v>
      </c>
      <c r="E91" s="145"/>
      <c r="F91" s="146"/>
      <c r="G91" s="145"/>
      <c r="H91" s="150"/>
      <c r="I91" s="13" t="s">
        <v>145</v>
      </c>
      <c r="J91" s="26">
        <f>(IF(B81&gt;4,(H81/(B81+2)+J90),0))</f>
        <v>0</v>
      </c>
      <c r="K91" s="17" t="s">
        <v>201</v>
      </c>
      <c r="L91" s="17" t="s">
        <v>204</v>
      </c>
    </row>
    <row r="92" spans="1:12" ht="15.75" customHeight="1" x14ac:dyDescent="0.25">
      <c r="A92" s="75" t="s">
        <v>133</v>
      </c>
      <c r="B92" s="76" t="s">
        <v>133</v>
      </c>
      <c r="C92" s="53">
        <v>9</v>
      </c>
      <c r="D92" s="46">
        <f ca="1">((100/(H81))*C92)/100</f>
        <v>0.75</v>
      </c>
      <c r="E92" s="145"/>
      <c r="F92" s="146"/>
      <c r="G92" s="145"/>
      <c r="H92" s="150"/>
      <c r="I92" s="13" t="s">
        <v>147</v>
      </c>
      <c r="J92" s="26">
        <f ca="1">(IF(B81=1,(H81/(B81+3)+J87),IF(B81=0,(H81/4+J87),IF(B81&gt;1,0))))</f>
        <v>9</v>
      </c>
      <c r="K92" s="17">
        <v>4500</v>
      </c>
      <c r="L92" s="17">
        <v>3500</v>
      </c>
    </row>
    <row r="93" spans="1:12" ht="16.5" thickBot="1" x14ac:dyDescent="0.3">
      <c r="A93" s="152" t="s">
        <v>134</v>
      </c>
      <c r="B93" s="153"/>
      <c r="C93" s="56">
        <v>0</v>
      </c>
      <c r="D93" s="48">
        <f ca="1">((100/(H81))*C93)/100</f>
        <v>0</v>
      </c>
      <c r="E93" s="147"/>
      <c r="F93" s="148"/>
      <c r="G93" s="147"/>
      <c r="H93" s="151"/>
      <c r="I93" s="14" t="s">
        <v>103</v>
      </c>
      <c r="J93" s="28">
        <f ca="1">(IF(B81&gt;1.5,(H81/(B81+2)+J87+MAX(0,J88-J87)+MAX(0,J89-J88)+MAX(0,J90-J89)+MAX(0,J91-J90)+MAX(0,J92-J91)),IF(B81=1,(H81/(B81+3)+J92),IF(B81=0,H81/4+J92))))</f>
        <v>12</v>
      </c>
    </row>
    <row r="94" spans="1:12" x14ac:dyDescent="0.25">
      <c r="A94" s="162" t="s">
        <v>155</v>
      </c>
      <c r="B94" s="162"/>
      <c r="C94" s="162"/>
      <c r="D94" s="162"/>
      <c r="E94" s="162"/>
      <c r="F94" s="161" t="s">
        <v>160</v>
      </c>
      <c r="G94" s="161"/>
      <c r="H94" s="161"/>
    </row>
    <row r="95" spans="1:12" x14ac:dyDescent="0.25">
      <c r="A95" s="70" t="s">
        <v>158</v>
      </c>
      <c r="B95" s="70"/>
      <c r="C95" s="70"/>
      <c r="D95" s="70"/>
      <c r="E95" s="70"/>
      <c r="F95" s="82">
        <v>4400</v>
      </c>
      <c r="G95" s="82"/>
      <c r="H95" s="82"/>
      <c r="I95" s="17" t="s">
        <v>211</v>
      </c>
      <c r="J95" s="17" t="s">
        <v>212</v>
      </c>
      <c r="K95" s="21">
        <v>45321</v>
      </c>
    </row>
    <row r="96" spans="1:12" hidden="1" x14ac:dyDescent="0.25">
      <c r="A96" s="70" t="s">
        <v>157</v>
      </c>
      <c r="B96" s="70"/>
      <c r="C96" s="70"/>
      <c r="D96" s="70"/>
      <c r="E96" s="70"/>
      <c r="F96" s="82"/>
      <c r="G96" s="82"/>
      <c r="H96" s="82"/>
    </row>
    <row r="97" spans="1:11" hidden="1" x14ac:dyDescent="0.25">
      <c r="A97" s="70" t="s">
        <v>159</v>
      </c>
      <c r="B97" s="70"/>
      <c r="C97" s="70"/>
      <c r="D97" s="70"/>
      <c r="E97" s="70"/>
      <c r="F97" s="82"/>
      <c r="G97" s="82"/>
      <c r="H97" s="82"/>
    </row>
    <row r="98" spans="1:11" s="29" customFormat="1" hidden="1" x14ac:dyDescent="0.25">
      <c r="A98" s="70" t="s">
        <v>156</v>
      </c>
      <c r="B98" s="70"/>
      <c r="C98" s="70"/>
      <c r="D98" s="70"/>
      <c r="E98" s="70"/>
      <c r="F98" s="82"/>
      <c r="G98" s="82"/>
      <c r="H98" s="82"/>
    </row>
    <row r="99" spans="1:11" s="29" customFormat="1" x14ac:dyDescent="0.25">
      <c r="A99" s="70" t="s">
        <v>197</v>
      </c>
      <c r="B99" s="70"/>
      <c r="C99" s="70"/>
      <c r="D99" s="70"/>
      <c r="E99" s="70"/>
      <c r="F99" s="82">
        <v>175000</v>
      </c>
      <c r="G99" s="82"/>
      <c r="H99" s="82"/>
      <c r="I99" s="29" t="s">
        <v>217</v>
      </c>
      <c r="J99" s="57">
        <v>45594</v>
      </c>
      <c r="K99" s="29" t="s">
        <v>218</v>
      </c>
    </row>
    <row r="100" spans="1:11" s="29" customFormat="1" x14ac:dyDescent="0.25">
      <c r="A100" s="70" t="s">
        <v>198</v>
      </c>
      <c r="B100" s="70"/>
      <c r="C100" s="70"/>
      <c r="D100" s="70"/>
      <c r="E100" s="70"/>
      <c r="F100" s="82">
        <v>100000</v>
      </c>
      <c r="G100" s="82"/>
      <c r="H100" s="82"/>
    </row>
    <row r="101" spans="1:11" s="29" customFormat="1" hidden="1" x14ac:dyDescent="0.25">
      <c r="A101" s="70" t="s">
        <v>161</v>
      </c>
      <c r="B101" s="70"/>
      <c r="C101" s="70"/>
      <c r="D101" s="70"/>
      <c r="E101" s="70"/>
      <c r="F101" s="82"/>
      <c r="G101" s="82"/>
      <c r="H101" s="82"/>
    </row>
    <row r="102" spans="1:11" s="29" customFormat="1" hidden="1" x14ac:dyDescent="0.25">
      <c r="A102" s="70" t="s">
        <v>96</v>
      </c>
      <c r="B102" s="70"/>
      <c r="C102" s="70"/>
      <c r="D102" s="70"/>
      <c r="E102" s="70"/>
      <c r="F102" s="82"/>
      <c r="G102" s="82"/>
      <c r="H102" s="82"/>
    </row>
    <row r="103" spans="1:11" s="29" customFormat="1" hidden="1" x14ac:dyDescent="0.25">
      <c r="A103" s="70" t="s">
        <v>97</v>
      </c>
      <c r="B103" s="70"/>
      <c r="C103" s="70"/>
      <c r="D103" s="70"/>
      <c r="E103" s="70"/>
      <c r="F103" s="82"/>
      <c r="G103" s="82"/>
      <c r="H103" s="82"/>
    </row>
    <row r="104" spans="1:11" s="29" customFormat="1" x14ac:dyDescent="0.25">
      <c r="A104" s="70" t="s">
        <v>199</v>
      </c>
      <c r="B104" s="70"/>
      <c r="C104" s="70"/>
      <c r="D104" s="70"/>
      <c r="E104" s="70"/>
      <c r="F104" s="82">
        <v>50000</v>
      </c>
      <c r="G104" s="82"/>
      <c r="H104" s="82"/>
    </row>
    <row r="105" spans="1:11" s="29" customFormat="1" hidden="1" x14ac:dyDescent="0.25">
      <c r="A105" s="70" t="s">
        <v>98</v>
      </c>
      <c r="B105" s="70"/>
      <c r="C105" s="70"/>
      <c r="D105" s="70"/>
      <c r="E105" s="70"/>
      <c r="F105" s="82"/>
      <c r="G105" s="82"/>
      <c r="H105" s="82"/>
    </row>
    <row r="106" spans="1:11" x14ac:dyDescent="0.25">
      <c r="A106" s="70" t="s">
        <v>52</v>
      </c>
      <c r="B106" s="70"/>
      <c r="C106" s="70"/>
      <c r="D106" s="70"/>
      <c r="E106" s="70"/>
      <c r="F106" s="82">
        <v>150000</v>
      </c>
      <c r="G106" s="82"/>
      <c r="H106" s="82"/>
    </row>
    <row r="107" spans="1:11" s="30" customFormat="1" x14ac:dyDescent="0.25">
      <c r="A107" s="122" t="s">
        <v>53</v>
      </c>
      <c r="B107" s="122"/>
      <c r="C107" s="122"/>
      <c r="D107" s="122"/>
      <c r="E107" s="122"/>
      <c r="F107" s="82">
        <f>F95*0.8</f>
        <v>3520</v>
      </c>
      <c r="G107" s="82"/>
      <c r="H107" s="82"/>
    </row>
    <row r="108" spans="1:11" s="31" customFormat="1" x14ac:dyDescent="0.25">
      <c r="A108" s="124" t="s">
        <v>72</v>
      </c>
      <c r="B108" s="124"/>
      <c r="C108" s="124"/>
      <c r="D108" s="124"/>
      <c r="E108" s="124"/>
      <c r="F108" s="124"/>
      <c r="G108" s="124"/>
      <c r="H108" s="124"/>
    </row>
    <row r="109" spans="1:11" s="31" customFormat="1" ht="15.75" customHeight="1" x14ac:dyDescent="0.25">
      <c r="A109" s="72" t="s">
        <v>54</v>
      </c>
      <c r="B109" s="72"/>
      <c r="C109" s="100" t="s">
        <v>79</v>
      </c>
      <c r="D109" s="100"/>
      <c r="E109" s="126" t="s">
        <v>55</v>
      </c>
      <c r="F109" s="126"/>
      <c r="G109" s="72" t="s">
        <v>56</v>
      </c>
      <c r="H109" s="72"/>
    </row>
    <row r="110" spans="1:11" s="31" customFormat="1" x14ac:dyDescent="0.25">
      <c r="A110" s="123" t="s">
        <v>165</v>
      </c>
      <c r="B110" s="123"/>
      <c r="C110" s="125">
        <f>COUNT(D119:D128)*12</f>
        <v>120</v>
      </c>
      <c r="D110" s="125"/>
      <c r="E110" s="83">
        <f>SUM(D119:D128)*12</f>
        <v>75228.476543999976</v>
      </c>
      <c r="F110" s="83"/>
      <c r="G110" s="83">
        <f>SUM(F119:F128)*12</f>
        <v>114240</v>
      </c>
      <c r="H110" s="83"/>
    </row>
    <row r="111" spans="1:11" s="31" customFormat="1" x14ac:dyDescent="0.25">
      <c r="A111" s="123" t="s">
        <v>166</v>
      </c>
      <c r="B111" s="123"/>
      <c r="C111" s="125">
        <f>COUNT(D132:D141)*12</f>
        <v>120</v>
      </c>
      <c r="D111" s="125"/>
      <c r="E111" s="83">
        <f>SUM(D132:D141)*12</f>
        <v>75015.607679999986</v>
      </c>
      <c r="F111" s="83"/>
      <c r="G111" s="83">
        <f>SUM(F132:F141)*12</f>
        <v>114240</v>
      </c>
      <c r="H111" s="83"/>
    </row>
    <row r="112" spans="1:11" s="31" customFormat="1" x14ac:dyDescent="0.25">
      <c r="A112" s="124" t="s">
        <v>149</v>
      </c>
      <c r="B112" s="124"/>
      <c r="C112" s="100">
        <f>SUM(C110:C111)</f>
        <v>240</v>
      </c>
      <c r="D112" s="100"/>
      <c r="E112" s="160">
        <f>SUM(E110:E111)</f>
        <v>150244.08422399996</v>
      </c>
      <c r="F112" s="126"/>
      <c r="G112" s="72">
        <f>SUM(G110:G111)</f>
        <v>228480</v>
      </c>
      <c r="H112" s="72"/>
    </row>
    <row r="113" spans="1:11" s="30" customFormat="1" x14ac:dyDescent="0.25">
      <c r="A113" s="127" t="s">
        <v>57</v>
      </c>
      <c r="B113" s="127"/>
      <c r="C113" s="127"/>
      <c r="D113" s="127"/>
      <c r="E113" s="127"/>
      <c r="F113" s="127"/>
      <c r="G113" s="127"/>
      <c r="H113" s="127"/>
    </row>
    <row r="114" spans="1:11" x14ac:dyDescent="0.25">
      <c r="A114" s="127" t="s">
        <v>58</v>
      </c>
      <c r="B114" s="127"/>
      <c r="C114" s="127"/>
      <c r="D114" s="127"/>
      <c r="E114" s="127"/>
      <c r="F114" s="127"/>
      <c r="G114" s="127"/>
      <c r="H114" s="127"/>
    </row>
    <row r="115" spans="1:11" ht="47.25" customHeight="1" x14ac:dyDescent="0.25">
      <c r="A115" s="52" t="s">
        <v>119</v>
      </c>
      <c r="B115" s="52" t="s">
        <v>120</v>
      </c>
      <c r="C115" s="42" t="s">
        <v>59</v>
      </c>
      <c r="D115" s="42" t="s">
        <v>60</v>
      </c>
      <c r="E115" s="43" t="s">
        <v>61</v>
      </c>
      <c r="F115" s="42" t="s">
        <v>202</v>
      </c>
      <c r="G115" s="73" t="s">
        <v>62</v>
      </c>
      <c r="H115" s="74"/>
      <c r="I115" s="32"/>
    </row>
    <row r="116" spans="1:11" x14ac:dyDescent="0.25">
      <c r="A116" s="127" t="s">
        <v>165</v>
      </c>
      <c r="B116" s="127"/>
      <c r="C116" s="127"/>
      <c r="D116" s="127"/>
      <c r="E116" s="127"/>
      <c r="F116" s="127"/>
      <c r="G116" s="127"/>
      <c r="H116" s="127"/>
    </row>
    <row r="117" spans="1:11" x14ac:dyDescent="0.25">
      <c r="A117" s="127" t="s">
        <v>167</v>
      </c>
      <c r="B117" s="127"/>
      <c r="C117" s="127"/>
      <c r="D117" s="127"/>
      <c r="E117" s="127"/>
      <c r="F117" s="127"/>
      <c r="G117" s="127"/>
      <c r="H117" s="127"/>
    </row>
    <row r="118" spans="1:11" s="33" customFormat="1" x14ac:dyDescent="0.25">
      <c r="A118" s="66" t="s">
        <v>168</v>
      </c>
      <c r="B118" s="67"/>
      <c r="C118" s="67"/>
      <c r="D118" s="67"/>
      <c r="E118" s="67"/>
      <c r="F118" s="67"/>
      <c r="G118" s="67"/>
      <c r="H118" s="68"/>
      <c r="I118" s="32"/>
    </row>
    <row r="119" spans="1:11" s="33" customFormat="1" ht="15.75" customHeight="1" x14ac:dyDescent="0.25">
      <c r="A119" s="58" t="str">
        <f ca="1">(SUMPRODUCT(MID(0&amp;(LEFT(A118,SUM(LEN(A118)-LEN(SUBSTITUTE(A118,{"0","1","2"},""))))), LARGE(INDEX(ISNUMBER(--MID((LEFT(A118,SUM(LEN(A118)-LEN(SUBSTITUTE(A118,{"0","1","2"},""))))), ROW(INDIRECT("1:"&amp;LEN((LEFT(A118,SUM(LEN(A118)-LEN(SUBSTITUTE(A118,{"0","1","2"},"")))))))), 1)) * ROW(INDIRECT("1:"&amp;LEN((LEFT(A118,SUM(LEN(A118)-LEN(SUBSTITUTE(A118,{"0","1","2"},"")))))))), 0), ROW(INDIRECT("1:"&amp;LEN((LEFT(A118,SUM(LEN(A118)-LEN(SUBSTITUTE(A118,{"0","1","2"},"")))))))))+1, 1) * 10^ROW(INDIRECT("1:"&amp;LEN((LEFT(A118,SUM(LEN(A118)-LEN(SUBSTITUTE(A118,{"0","1","2"},""))))))))/10))*100+1&amp;""&amp;" to "&amp;""&amp;(SUMPRODUCT(MID(0&amp;(--TRIM(RIGHT(SUBSTITUTE(LEFT(A118,_xlfn.AGGREGATE(16,6,FIND({0,1,2,3,4,5,6,7,8,9},A118,ROW(INDIRECT("1:"&amp;LEN(A118)))),1))," ",REPT(" ",LEN(A118))),LEN(A118)))), LARGE(INDEX(ISNUMBER(--MID((--TRIM(RIGHT(SUBSTITUTE(LEFT(A118,_xlfn.AGGREGATE(16,6,FIND({0,1,2,3,4,5,6,7,8,9},A118,ROW(INDIRECT("1:"&amp;LEN(A118)))),1))," ",REPT(" ",LEN(A118))),LEN(A118)))), ROW(INDIRECT("1:"&amp;LEN((--TRIM(RIGHT(SUBSTITUTE(LEFT(A118,_xlfn.AGGREGATE(16,6,FIND({0,1,2,3,4,5,6,7,8,9},A118,ROW(INDIRECT("1:"&amp;LEN(A118)))),1))," ",REPT(" ",LEN(A118))),LEN(A118))))))), 1)) * ROW(INDIRECT("1:"&amp;LEN((--TRIM(RIGHT(SUBSTITUTE(LEFT(A118,_xlfn.AGGREGATE(16,6,FIND({0,1,2,3,4,5,6,7,8,9},A118,ROW(INDIRECT("1:"&amp;LEN(A118)))),1))," ",REPT(" ",LEN(A118))),LEN(A118))))))), 0), ROW(INDIRECT("1:"&amp;LEN((--TRIM(RIGHT(SUBSTITUTE(LEFT(A118,_xlfn.AGGREGATE(16,6,FIND({0,1,2,3,4,5,6,7,8,9},A118,ROW(INDIRECT("1:"&amp;LEN(A118)))),1))," ",REPT(" ",LEN(A118))),LEN(A118))))))))+1, 1) * 10^ROW(INDIRECT("1:"&amp;LEN((--TRIM(RIGHT(SUBSTITUTE(LEFT(A118,_xlfn.AGGREGATE(16,6,FIND({0,1,2,3,4,5,6,7,8,9},A118,ROW(INDIRECT("1:"&amp;LEN(A118)))),1))," ",REPT(" ",LEN(A118))),LEN(A118)))))))/10))*100+1</f>
        <v>101 to 1201</v>
      </c>
      <c r="B119" s="59"/>
      <c r="C119" s="41" t="s">
        <v>169</v>
      </c>
      <c r="D119" s="41">
        <f>(39.672+2.53+0.75*2+0.5*2+0.5*1.5)*10.764</f>
        <v>489.24532799999997</v>
      </c>
      <c r="E119" s="41">
        <v>0</v>
      </c>
      <c r="F119" s="41">
        <v>730</v>
      </c>
      <c r="G119" s="60" t="str">
        <f>A118</f>
        <v>1st to 12th Floor for Residential</v>
      </c>
      <c r="H119" s="61"/>
      <c r="I119" s="32">
        <f>(2.75*4+2.1*2.1+2.45*2.75+3.05*2.8+1.8*1.2+1.8*1.2+0.9*3.2+2.2*1.15)*10.764</f>
        <v>435.05396999999994</v>
      </c>
      <c r="J119" s="33">
        <f>3900*F119</f>
        <v>2847000</v>
      </c>
      <c r="K119" s="50">
        <f>F119/D119</f>
        <v>1.4920939623157732</v>
      </c>
    </row>
    <row r="120" spans="1:11" s="33" customFormat="1" ht="15.75" customHeight="1" x14ac:dyDescent="0.25">
      <c r="A120" s="58" t="str">
        <f ca="1">(SUMPRODUCT(MID(0&amp;(LEFT(A119,SUM(LEN(A119)-LEN(SUBSTITUTE(A119,{"0","1","2"},""))))), LARGE(INDEX(ISNUMBER(--MID((LEFT(A119,SUM(LEN(A119)-LEN(SUBSTITUTE(A119,{"0","1","2"},""))))), ROW(INDIRECT("1:"&amp;LEN((LEFT(A119,SUM(LEN(A119)-LEN(SUBSTITUTE(A119,{"0","1","2"},"")))))))), 1)) * ROW(INDIRECT("1:"&amp;LEN((LEFT(A119,SUM(LEN(A119)-LEN(SUBSTITUTE(A119,{"0","1","2"},"")))))))), 0), ROW(INDIRECT("1:"&amp;LEN((LEFT(A119,SUM(LEN(A119)-LEN(SUBSTITUTE(A119,{"0","1","2"},"")))))))))+1, 1) * 10^ROW(INDIRECT("1:"&amp;LEN((LEFT(A119,SUM(LEN(A119)-LEN(SUBSTITUTE(A119,{"0","1","2"},""))))))))/10))*1+1&amp;""&amp;" to "&amp;""&amp;(SUMPRODUCT(MID(0&amp;(--TRIM(RIGHT(SUBSTITUTE(LEFT(A119,_xlfn.AGGREGATE(16,6,FIND({0,1,2,3,4,5,6,7,8,9},A119,ROW(INDIRECT("1:"&amp;LEN(A119)))),1))," ",REPT(" ",LEN(A119))),LEN(A119)))), LARGE(INDEX(ISNUMBER(--MID((--TRIM(RIGHT(SUBSTITUTE(LEFT(A119,_xlfn.AGGREGATE(16,6,FIND({0,1,2,3,4,5,6,7,8,9},A119,ROW(INDIRECT("1:"&amp;LEN(A119)))),1))," ",REPT(" ",LEN(A119))),LEN(A119)))), ROW(INDIRECT("1:"&amp;LEN((--TRIM(RIGHT(SUBSTITUTE(LEFT(A119,_xlfn.AGGREGATE(16,6,FIND({0,1,2,3,4,5,6,7,8,9},A119,ROW(INDIRECT("1:"&amp;LEN(A119)))),1))," ",REPT(" ",LEN(A119))),LEN(A119))))))), 1)) * ROW(INDIRECT("1:"&amp;LEN((--TRIM(RIGHT(SUBSTITUTE(LEFT(A119,_xlfn.AGGREGATE(16,6,FIND({0,1,2,3,4,5,6,7,8,9},A119,ROW(INDIRECT("1:"&amp;LEN(A119)))),1))," ",REPT(" ",LEN(A119))),LEN(A119))))))), 0), ROW(INDIRECT("1:"&amp;LEN((--TRIM(RIGHT(SUBSTITUTE(LEFT(A119,_xlfn.AGGREGATE(16,6,FIND({0,1,2,3,4,5,6,7,8,9},A119,ROW(INDIRECT("1:"&amp;LEN(A119)))),1))," ",REPT(" ",LEN(A119))),LEN(A119))))))))+1, 1) * 10^ROW(INDIRECT("1:"&amp;LEN((--TRIM(RIGHT(SUBSTITUTE(LEFT(A119,_xlfn.AGGREGATE(16,6,FIND({0,1,2,3,4,5,6,7,8,9},A119,ROW(INDIRECT("1:"&amp;LEN(A119)))),1))," ",REPT(" ",LEN(A119))),LEN(A119)))))))/10))*1+1</f>
        <v>102 to 1202</v>
      </c>
      <c r="B120" s="59"/>
      <c r="C120" s="41" t="s">
        <v>169</v>
      </c>
      <c r="D120" s="41">
        <f>(45.02+2.82+0.6*2.1+0.6*2.2+0.45*2.5)*10.764</f>
        <v>554.83037999999999</v>
      </c>
      <c r="E120" s="41">
        <v>0</v>
      </c>
      <c r="F120" s="41">
        <v>845</v>
      </c>
      <c r="G120" s="62"/>
      <c r="H120" s="63"/>
      <c r="I120" s="32"/>
      <c r="J120" s="33">
        <f t="shared" ref="J120:J141" si="0">3900*F120</f>
        <v>3295500</v>
      </c>
      <c r="K120" s="50">
        <f t="shared" ref="K120:K141" si="1">F120/D120</f>
        <v>1.5229879805788573</v>
      </c>
    </row>
    <row r="121" spans="1:11" s="33" customFormat="1" ht="15.75" customHeight="1" x14ac:dyDescent="0.25">
      <c r="A121" s="58" t="str">
        <f ca="1">(SUMPRODUCT(MID(0&amp;(LEFT(A120,SUM(LEN(A120)-LEN(SUBSTITUTE(A120,{"0","1","2"},""))))), LARGE(INDEX(ISNUMBER(--MID((LEFT(A120,SUM(LEN(A120)-LEN(SUBSTITUTE(A120,{"0","1","2"},""))))), ROW(INDIRECT("1:"&amp;LEN((LEFT(A120,SUM(LEN(A120)-LEN(SUBSTITUTE(A120,{"0","1","2"},"")))))))), 1)) * ROW(INDIRECT("1:"&amp;LEN((LEFT(A120,SUM(LEN(A120)-LEN(SUBSTITUTE(A120,{"0","1","2"},"")))))))), 0), ROW(INDIRECT("1:"&amp;LEN((LEFT(A120,SUM(LEN(A120)-LEN(SUBSTITUTE(A120,{"0","1","2"},"")))))))))+1, 1) * 10^ROW(INDIRECT("1:"&amp;LEN((LEFT(A120,SUM(LEN(A120)-LEN(SUBSTITUTE(A120,{"0","1","2"},""))))))))/10))*1+1&amp;""&amp;" to "&amp;""&amp;(SUMPRODUCT(MID(0&amp;(--TRIM(RIGHT(SUBSTITUTE(LEFT(A120,_xlfn.AGGREGATE(16,6,FIND({0,1,2,3,4,5,6,7,8,9},A120,ROW(INDIRECT("1:"&amp;LEN(A120)))),1))," ",REPT(" ",LEN(A120))),LEN(A120)))), LARGE(INDEX(ISNUMBER(--MID((--TRIM(RIGHT(SUBSTITUTE(LEFT(A120,_xlfn.AGGREGATE(16,6,FIND({0,1,2,3,4,5,6,7,8,9},A120,ROW(INDIRECT("1:"&amp;LEN(A120)))),1))," ",REPT(" ",LEN(A120))),LEN(A120)))), ROW(INDIRECT("1:"&amp;LEN((--TRIM(RIGHT(SUBSTITUTE(LEFT(A120,_xlfn.AGGREGATE(16,6,FIND({0,1,2,3,4,5,6,7,8,9},A120,ROW(INDIRECT("1:"&amp;LEN(A120)))),1))," ",REPT(" ",LEN(A120))),LEN(A120))))))), 1)) * ROW(INDIRECT("1:"&amp;LEN((--TRIM(RIGHT(SUBSTITUTE(LEFT(A120,_xlfn.AGGREGATE(16,6,FIND({0,1,2,3,4,5,6,7,8,9},A120,ROW(INDIRECT("1:"&amp;LEN(A120)))),1))," ",REPT(" ",LEN(A120))),LEN(A120))))))), 0), ROW(INDIRECT("1:"&amp;LEN((--TRIM(RIGHT(SUBSTITUTE(LEFT(A120,_xlfn.AGGREGATE(16,6,FIND({0,1,2,3,4,5,6,7,8,9},A120,ROW(INDIRECT("1:"&amp;LEN(A120)))),1))," ",REPT(" ",LEN(A120))),LEN(A120))))))))+1, 1) * 10^ROW(INDIRECT("1:"&amp;LEN((--TRIM(RIGHT(SUBSTITUTE(LEFT(A120,_xlfn.AGGREGATE(16,6,FIND({0,1,2,3,4,5,6,7,8,9},A120,ROW(INDIRECT("1:"&amp;LEN(A120)))),1))," ",REPT(" ",LEN(A120))),LEN(A120)))))))/10))*1+1</f>
        <v>103 to 1203</v>
      </c>
      <c r="B121" s="59"/>
      <c r="C121" s="41" t="s">
        <v>169</v>
      </c>
      <c r="D121" s="41">
        <f>(49.953+2.76+0.6*1.8+0.7*2.4+0.6*1.5)*10.764</f>
        <v>606.79897199999994</v>
      </c>
      <c r="E121" s="41">
        <v>0</v>
      </c>
      <c r="F121" s="41">
        <v>925</v>
      </c>
      <c r="G121" s="62"/>
      <c r="H121" s="63"/>
      <c r="I121" s="32"/>
      <c r="J121" s="33">
        <f t="shared" si="0"/>
        <v>3607500</v>
      </c>
      <c r="K121" s="50">
        <f t="shared" si="1"/>
        <v>1.5243928264268716</v>
      </c>
    </row>
    <row r="122" spans="1:11" s="33" customFormat="1" ht="15.75" customHeight="1" x14ac:dyDescent="0.25">
      <c r="A122" s="58" t="str">
        <f ca="1">(SUMPRODUCT(MID(0&amp;(LEFT(A121,SUM(LEN(A121)-LEN(SUBSTITUTE(A121,{"0","1","2"},""))))), LARGE(INDEX(ISNUMBER(--MID((LEFT(A121,SUM(LEN(A121)-LEN(SUBSTITUTE(A121,{"0","1","2"},""))))), ROW(INDIRECT("1:"&amp;LEN((LEFT(A121,SUM(LEN(A121)-LEN(SUBSTITUTE(A121,{"0","1","2"},"")))))))), 1)) * ROW(INDIRECT("1:"&amp;LEN((LEFT(A121,SUM(LEN(A121)-LEN(SUBSTITUTE(A121,{"0","1","2"},"")))))))), 0), ROW(INDIRECT("1:"&amp;LEN((LEFT(A121,SUM(LEN(A121)-LEN(SUBSTITUTE(A121,{"0","1","2"},"")))))))))+1, 1) * 10^ROW(INDIRECT("1:"&amp;LEN((LEFT(A121,SUM(LEN(A121)-LEN(SUBSTITUTE(A121,{"0","1","2"},""))))))))/10))*1+1&amp;""&amp;" to "&amp;""&amp;(SUMPRODUCT(MID(0&amp;(--TRIM(RIGHT(SUBSTITUTE(LEFT(A121,_xlfn.AGGREGATE(16,6,FIND({0,1,2,3,4,5,6,7,8,9},A121,ROW(INDIRECT("1:"&amp;LEN(A121)))),1))," ",REPT(" ",LEN(A121))),LEN(A121)))), LARGE(INDEX(ISNUMBER(--MID((--TRIM(RIGHT(SUBSTITUTE(LEFT(A121,_xlfn.AGGREGATE(16,6,FIND({0,1,2,3,4,5,6,7,8,9},A121,ROW(INDIRECT("1:"&amp;LEN(A121)))),1))," ",REPT(" ",LEN(A121))),LEN(A121)))), ROW(INDIRECT("1:"&amp;LEN((--TRIM(RIGHT(SUBSTITUTE(LEFT(A121,_xlfn.AGGREGATE(16,6,FIND({0,1,2,3,4,5,6,7,8,9},A121,ROW(INDIRECT("1:"&amp;LEN(A121)))),1))," ",REPT(" ",LEN(A121))),LEN(A121))))))), 1)) * ROW(INDIRECT("1:"&amp;LEN((--TRIM(RIGHT(SUBSTITUTE(LEFT(A121,_xlfn.AGGREGATE(16,6,FIND({0,1,2,3,4,5,6,7,8,9},A121,ROW(INDIRECT("1:"&amp;LEN(A121)))),1))," ",REPT(" ",LEN(A121))),LEN(A121))))))), 0), ROW(INDIRECT("1:"&amp;LEN((--TRIM(RIGHT(SUBSTITUTE(LEFT(A121,_xlfn.AGGREGATE(16,6,FIND({0,1,2,3,4,5,6,7,8,9},A121,ROW(INDIRECT("1:"&amp;LEN(A121)))),1))," ",REPT(" ",LEN(A121))),LEN(A121))))))))+1, 1) * 10^ROW(INDIRECT("1:"&amp;LEN((--TRIM(RIGHT(SUBSTITUTE(LEFT(A121,_xlfn.AGGREGATE(16,6,FIND({0,1,2,3,4,5,6,7,8,9},A121,ROW(INDIRECT("1:"&amp;LEN(A121)))),1))," ",REPT(" ",LEN(A121))),LEN(A121)))))))/10))*1+1</f>
        <v>104 to 1204</v>
      </c>
      <c r="B122" s="59"/>
      <c r="C122" s="41" t="s">
        <v>170</v>
      </c>
      <c r="D122" s="41">
        <f>(68.404+6.533+0.6*4.7+0.5*2.3)*10.764</f>
        <v>849.35494799999992</v>
      </c>
      <c r="E122" s="41">
        <v>0</v>
      </c>
      <c r="F122" s="41">
        <v>1280</v>
      </c>
      <c r="G122" s="62"/>
      <c r="H122" s="63"/>
      <c r="I122" s="32"/>
      <c r="J122" s="33">
        <f t="shared" si="0"/>
        <v>4992000</v>
      </c>
      <c r="K122" s="50">
        <f t="shared" si="1"/>
        <v>1.5070260119329995</v>
      </c>
    </row>
    <row r="123" spans="1:11" s="33" customFormat="1" ht="15.75" customHeight="1" x14ac:dyDescent="0.25">
      <c r="A123" s="58" t="str">
        <f ca="1">(SUMPRODUCT(MID(0&amp;(LEFT(A122,SUM(LEN(A122)-LEN(SUBSTITUTE(A122,{"0","1","2"},""))))), LARGE(INDEX(ISNUMBER(--MID((LEFT(A122,SUM(LEN(A122)-LEN(SUBSTITUTE(A122,{"0","1","2"},""))))), ROW(INDIRECT("1:"&amp;LEN((LEFT(A122,SUM(LEN(A122)-LEN(SUBSTITUTE(A122,{"0","1","2"},"")))))))), 1)) * ROW(INDIRECT("1:"&amp;LEN((LEFT(A122,SUM(LEN(A122)-LEN(SUBSTITUTE(A122,{"0","1","2"},"")))))))), 0), ROW(INDIRECT("1:"&amp;LEN((LEFT(A122,SUM(LEN(A122)-LEN(SUBSTITUTE(A122,{"0","1","2"},"")))))))))+1, 1) * 10^ROW(INDIRECT("1:"&amp;LEN((LEFT(A122,SUM(LEN(A122)-LEN(SUBSTITUTE(A122,{"0","1","2"},""))))))))/10))*1+1&amp;""&amp;" to "&amp;""&amp;(SUMPRODUCT(MID(0&amp;(--TRIM(RIGHT(SUBSTITUTE(LEFT(A122,_xlfn.AGGREGATE(16,6,FIND({0,1,2,3,4,5,6,7,8,9},A122,ROW(INDIRECT("1:"&amp;LEN(A122)))),1))," ",REPT(" ",LEN(A122))),LEN(A122)))), LARGE(INDEX(ISNUMBER(--MID((--TRIM(RIGHT(SUBSTITUTE(LEFT(A122,_xlfn.AGGREGATE(16,6,FIND({0,1,2,3,4,5,6,7,8,9},A122,ROW(INDIRECT("1:"&amp;LEN(A122)))),1))," ",REPT(" ",LEN(A122))),LEN(A122)))), ROW(INDIRECT("1:"&amp;LEN((--TRIM(RIGHT(SUBSTITUTE(LEFT(A122,_xlfn.AGGREGATE(16,6,FIND({0,1,2,3,4,5,6,7,8,9},A122,ROW(INDIRECT("1:"&amp;LEN(A122)))),1))," ",REPT(" ",LEN(A122))),LEN(A122))))))), 1)) * ROW(INDIRECT("1:"&amp;LEN((--TRIM(RIGHT(SUBSTITUTE(LEFT(A122,_xlfn.AGGREGATE(16,6,FIND({0,1,2,3,4,5,6,7,8,9},A122,ROW(INDIRECT("1:"&amp;LEN(A122)))),1))," ",REPT(" ",LEN(A122))),LEN(A122))))))), 0), ROW(INDIRECT("1:"&amp;LEN((--TRIM(RIGHT(SUBSTITUTE(LEFT(A122,_xlfn.AGGREGATE(16,6,FIND({0,1,2,3,4,5,6,7,8,9},A122,ROW(INDIRECT("1:"&amp;LEN(A122)))),1))," ",REPT(" ",LEN(A122))),LEN(A122))))))))+1, 1) * 10^ROW(INDIRECT("1:"&amp;LEN((--TRIM(RIGHT(SUBSTITUTE(LEFT(A122,_xlfn.AGGREGATE(16,6,FIND({0,1,2,3,4,5,6,7,8,9},A122,ROW(INDIRECT("1:"&amp;LEN(A122)))),1))," ",REPT(" ",LEN(A122))),LEN(A122)))))))/10))*1+1</f>
        <v>105 to 1205</v>
      </c>
      <c r="B123" s="59"/>
      <c r="C123" s="41" t="s">
        <v>169</v>
      </c>
      <c r="D123" s="41">
        <f>(53.985+6.533+0.6*4.6)*10.764</f>
        <v>681.12439199999994</v>
      </c>
      <c r="E123" s="41">
        <v>0</v>
      </c>
      <c r="F123" s="41">
        <v>1050</v>
      </c>
      <c r="G123" s="62"/>
      <c r="H123" s="63"/>
      <c r="I123" s="32"/>
      <c r="J123" s="33">
        <f t="shared" si="0"/>
        <v>4095000</v>
      </c>
      <c r="K123" s="50">
        <f t="shared" si="1"/>
        <v>1.5415686361148553</v>
      </c>
    </row>
    <row r="124" spans="1:11" s="33" customFormat="1" ht="15.75" customHeight="1" x14ac:dyDescent="0.25">
      <c r="A124" s="58" t="str">
        <f ca="1">(SUMPRODUCT(MID(0&amp;(LEFT(A123,SUM(LEN(A123)-LEN(SUBSTITUTE(A123,{"0","1","2"},""))))), LARGE(INDEX(ISNUMBER(--MID((LEFT(A123,SUM(LEN(A123)-LEN(SUBSTITUTE(A123,{"0","1","2"},""))))), ROW(INDIRECT("1:"&amp;LEN((LEFT(A123,SUM(LEN(A123)-LEN(SUBSTITUTE(A123,{"0","1","2"},"")))))))), 1)) * ROW(INDIRECT("1:"&amp;LEN((LEFT(A123,SUM(LEN(A123)-LEN(SUBSTITUTE(A123,{"0","1","2"},"")))))))), 0), ROW(INDIRECT("1:"&amp;LEN((LEFT(A123,SUM(LEN(A123)-LEN(SUBSTITUTE(A123,{"0","1","2"},"")))))))))+1, 1) * 10^ROW(INDIRECT("1:"&amp;LEN((LEFT(A123,SUM(LEN(A123)-LEN(SUBSTITUTE(A123,{"0","1","2"},""))))))))/10))*1+1&amp;""&amp;" to "&amp;""&amp;(SUMPRODUCT(MID(0&amp;(--TRIM(RIGHT(SUBSTITUTE(LEFT(A123,_xlfn.AGGREGATE(16,6,FIND({0,1,2,3,4,5,6,7,8,9},A123,ROW(INDIRECT("1:"&amp;LEN(A123)))),1))," ",REPT(" ",LEN(A123))),LEN(A123)))), LARGE(INDEX(ISNUMBER(--MID((--TRIM(RIGHT(SUBSTITUTE(LEFT(A123,_xlfn.AGGREGATE(16,6,FIND({0,1,2,3,4,5,6,7,8,9},A123,ROW(INDIRECT("1:"&amp;LEN(A123)))),1))," ",REPT(" ",LEN(A123))),LEN(A123)))), ROW(INDIRECT("1:"&amp;LEN((--TRIM(RIGHT(SUBSTITUTE(LEFT(A123,_xlfn.AGGREGATE(16,6,FIND({0,1,2,3,4,5,6,7,8,9},A123,ROW(INDIRECT("1:"&amp;LEN(A123)))),1))," ",REPT(" ",LEN(A123))),LEN(A123))))))), 1)) * ROW(INDIRECT("1:"&amp;LEN((--TRIM(RIGHT(SUBSTITUTE(LEFT(A123,_xlfn.AGGREGATE(16,6,FIND({0,1,2,3,4,5,6,7,8,9},A123,ROW(INDIRECT("1:"&amp;LEN(A123)))),1))," ",REPT(" ",LEN(A123))),LEN(A123))))))), 0), ROW(INDIRECT("1:"&amp;LEN((--TRIM(RIGHT(SUBSTITUTE(LEFT(A123,_xlfn.AGGREGATE(16,6,FIND({0,1,2,3,4,5,6,7,8,9},A123,ROW(INDIRECT("1:"&amp;LEN(A123)))),1))," ",REPT(" ",LEN(A123))),LEN(A123))))))))+1, 1) * 10^ROW(INDIRECT("1:"&amp;LEN((--TRIM(RIGHT(SUBSTITUTE(LEFT(A123,_xlfn.AGGREGATE(16,6,FIND({0,1,2,3,4,5,6,7,8,9},A123,ROW(INDIRECT("1:"&amp;LEN(A123)))),1))," ",REPT(" ",LEN(A123))),LEN(A123)))))))/10))*1+1</f>
        <v>106 to 1206</v>
      </c>
      <c r="B124" s="59"/>
      <c r="C124" s="41" t="s">
        <v>169</v>
      </c>
      <c r="D124" s="41">
        <f>(53.985+6.533+0.6*4.6)*10.764</f>
        <v>681.12439199999994</v>
      </c>
      <c r="E124" s="41">
        <v>0</v>
      </c>
      <c r="F124" s="41">
        <v>1050</v>
      </c>
      <c r="G124" s="62"/>
      <c r="H124" s="63"/>
      <c r="I124" s="32"/>
      <c r="J124" s="33">
        <f t="shared" si="0"/>
        <v>4095000</v>
      </c>
      <c r="K124" s="50">
        <f t="shared" si="1"/>
        <v>1.5415686361148553</v>
      </c>
    </row>
    <row r="125" spans="1:11" s="33" customFormat="1" ht="15.75" customHeight="1" x14ac:dyDescent="0.25">
      <c r="A125" s="58" t="str">
        <f ca="1">(SUMPRODUCT(MID(0&amp;(LEFT(A124,SUM(LEN(A124)-LEN(SUBSTITUTE(A124,{"0","1","2"},""))))), LARGE(INDEX(ISNUMBER(--MID((LEFT(A124,SUM(LEN(A124)-LEN(SUBSTITUTE(A124,{"0","1","2"},""))))), ROW(INDIRECT("1:"&amp;LEN((LEFT(A124,SUM(LEN(A124)-LEN(SUBSTITUTE(A124,{"0","1","2"},"")))))))), 1)) * ROW(INDIRECT("1:"&amp;LEN((LEFT(A124,SUM(LEN(A124)-LEN(SUBSTITUTE(A124,{"0","1","2"},"")))))))), 0), ROW(INDIRECT("1:"&amp;LEN((LEFT(A124,SUM(LEN(A124)-LEN(SUBSTITUTE(A124,{"0","1","2"},"")))))))))+1, 1) * 10^ROW(INDIRECT("1:"&amp;LEN((LEFT(A124,SUM(LEN(A124)-LEN(SUBSTITUTE(A124,{"0","1","2"},""))))))))/10))*1+1&amp;""&amp;" to "&amp;""&amp;(SUMPRODUCT(MID(0&amp;(--TRIM(RIGHT(SUBSTITUTE(LEFT(A124,_xlfn.AGGREGATE(16,6,FIND({0,1,2,3,4,5,6,7,8,9},A124,ROW(INDIRECT("1:"&amp;LEN(A124)))),1))," ",REPT(" ",LEN(A124))),LEN(A124)))), LARGE(INDEX(ISNUMBER(--MID((--TRIM(RIGHT(SUBSTITUTE(LEFT(A124,_xlfn.AGGREGATE(16,6,FIND({0,1,2,3,4,5,6,7,8,9},A124,ROW(INDIRECT("1:"&amp;LEN(A124)))),1))," ",REPT(" ",LEN(A124))),LEN(A124)))), ROW(INDIRECT("1:"&amp;LEN((--TRIM(RIGHT(SUBSTITUTE(LEFT(A124,_xlfn.AGGREGATE(16,6,FIND({0,1,2,3,4,5,6,7,8,9},A124,ROW(INDIRECT("1:"&amp;LEN(A124)))),1))," ",REPT(" ",LEN(A124))),LEN(A124))))))), 1)) * ROW(INDIRECT("1:"&amp;LEN((--TRIM(RIGHT(SUBSTITUTE(LEFT(A124,_xlfn.AGGREGATE(16,6,FIND({0,1,2,3,4,5,6,7,8,9},A124,ROW(INDIRECT("1:"&amp;LEN(A124)))),1))," ",REPT(" ",LEN(A124))),LEN(A124))))))), 0), ROW(INDIRECT("1:"&amp;LEN((--TRIM(RIGHT(SUBSTITUTE(LEFT(A124,_xlfn.AGGREGATE(16,6,FIND({0,1,2,3,4,5,6,7,8,9},A124,ROW(INDIRECT("1:"&amp;LEN(A124)))),1))," ",REPT(" ",LEN(A124))),LEN(A124))))))))+1, 1) * 10^ROW(INDIRECT("1:"&amp;LEN((--TRIM(RIGHT(SUBSTITUTE(LEFT(A124,_xlfn.AGGREGATE(16,6,FIND({0,1,2,3,4,5,6,7,8,9},A124,ROW(INDIRECT("1:"&amp;LEN(A124)))),1))," ",REPT(" ",LEN(A124))),LEN(A124)))))))/10))*1+1</f>
        <v>107 to 1207</v>
      </c>
      <c r="B125" s="59"/>
      <c r="C125" s="41" t="s">
        <v>170</v>
      </c>
      <c r="D125" s="41">
        <f>(68.407+6.533+0.6*4.6+2.4)*10.764</f>
        <v>862.19640000000004</v>
      </c>
      <c r="E125" s="41">
        <v>0</v>
      </c>
      <c r="F125" s="41">
        <v>1280</v>
      </c>
      <c r="G125" s="62"/>
      <c r="H125" s="63"/>
      <c r="I125" s="32"/>
      <c r="J125" s="33">
        <f t="shared" si="0"/>
        <v>4992000</v>
      </c>
      <c r="K125" s="50">
        <f t="shared" si="1"/>
        <v>1.4845805433657575</v>
      </c>
    </row>
    <row r="126" spans="1:11" s="33" customFormat="1" x14ac:dyDescent="0.25">
      <c r="A126" s="58" t="str">
        <f ca="1">(SUMPRODUCT(MID(0&amp;(LEFT(A125,SUM(LEN(A125)-LEN(SUBSTITUTE(A125,{"0","1","2"},""))))), LARGE(INDEX(ISNUMBER(--MID((LEFT(A125,SUM(LEN(A125)-LEN(SUBSTITUTE(A125,{"0","1","2"},""))))), ROW(INDIRECT("1:"&amp;LEN((LEFT(A125,SUM(LEN(A125)-LEN(SUBSTITUTE(A125,{"0","1","2"},"")))))))), 1)) * ROW(INDIRECT("1:"&amp;LEN((LEFT(A125,SUM(LEN(A125)-LEN(SUBSTITUTE(A125,{"0","1","2"},"")))))))), 0), ROW(INDIRECT("1:"&amp;LEN((LEFT(A125,SUM(LEN(A125)-LEN(SUBSTITUTE(A125,{"0","1","2"},"")))))))))+1, 1) * 10^ROW(INDIRECT("1:"&amp;LEN((LEFT(A125,SUM(LEN(A125)-LEN(SUBSTITUTE(A125,{"0","1","2"},""))))))))/10))*1+1&amp;""&amp;" to "&amp;""&amp;(SUMPRODUCT(MID(0&amp;(--TRIM(RIGHT(SUBSTITUTE(LEFT(A125,_xlfn.AGGREGATE(16,6,FIND({0,1,2,3,4,5,6,7,8,9},A125,ROW(INDIRECT("1:"&amp;LEN(A125)))),1))," ",REPT(" ",LEN(A125))),LEN(A125)))), LARGE(INDEX(ISNUMBER(--MID((--TRIM(RIGHT(SUBSTITUTE(LEFT(A125,_xlfn.AGGREGATE(16,6,FIND({0,1,2,3,4,5,6,7,8,9},A125,ROW(INDIRECT("1:"&amp;LEN(A125)))),1))," ",REPT(" ",LEN(A125))),LEN(A125)))), ROW(INDIRECT("1:"&amp;LEN((--TRIM(RIGHT(SUBSTITUTE(LEFT(A125,_xlfn.AGGREGATE(16,6,FIND({0,1,2,3,4,5,6,7,8,9},A125,ROW(INDIRECT("1:"&amp;LEN(A125)))),1))," ",REPT(" ",LEN(A125))),LEN(A125))))))), 1)) * ROW(INDIRECT("1:"&amp;LEN((--TRIM(RIGHT(SUBSTITUTE(LEFT(A125,_xlfn.AGGREGATE(16,6,FIND({0,1,2,3,4,5,6,7,8,9},A125,ROW(INDIRECT("1:"&amp;LEN(A125)))),1))," ",REPT(" ",LEN(A125))),LEN(A125))))))), 0), ROW(INDIRECT("1:"&amp;LEN((--TRIM(RIGHT(SUBSTITUTE(LEFT(A125,_xlfn.AGGREGATE(16,6,FIND({0,1,2,3,4,5,6,7,8,9},A125,ROW(INDIRECT("1:"&amp;LEN(A125)))),1))," ",REPT(" ",LEN(A125))),LEN(A125))))))))+1, 1) * 10^ROW(INDIRECT("1:"&amp;LEN((--TRIM(RIGHT(SUBSTITUTE(LEFT(A125,_xlfn.AGGREGATE(16,6,FIND({0,1,2,3,4,5,6,7,8,9},A125,ROW(INDIRECT("1:"&amp;LEN(A125)))),1))," ",REPT(" ",LEN(A125))),LEN(A125)))))))/10))*1+1</f>
        <v>108 to 1208</v>
      </c>
      <c r="B126" s="59"/>
      <c r="C126" s="41" t="s">
        <v>169</v>
      </c>
      <c r="D126" s="41">
        <f>(49.948+2.76+0.6*2+0.7*2.4+1.4*0.6)*10.764</f>
        <v>607.39099199999998</v>
      </c>
      <c r="E126" s="41">
        <v>0</v>
      </c>
      <c r="F126" s="41">
        <v>925</v>
      </c>
      <c r="G126" s="62"/>
      <c r="H126" s="63"/>
      <c r="I126" s="32"/>
      <c r="J126" s="33">
        <f t="shared" si="0"/>
        <v>3607500</v>
      </c>
      <c r="K126" s="50">
        <f t="shared" si="1"/>
        <v>1.5229070107776641</v>
      </c>
    </row>
    <row r="127" spans="1:11" s="33" customFormat="1" x14ac:dyDescent="0.25">
      <c r="A127" s="58" t="str">
        <f ca="1">(SUMPRODUCT(MID(0&amp;(LEFT(A126,SUM(LEN(A126)-LEN(SUBSTITUTE(A126,{"0","1","2"},""))))), LARGE(INDEX(ISNUMBER(--MID((LEFT(A126,SUM(LEN(A126)-LEN(SUBSTITUTE(A126,{"0","1","2"},""))))), ROW(INDIRECT("1:"&amp;LEN((LEFT(A126,SUM(LEN(A126)-LEN(SUBSTITUTE(A126,{"0","1","2"},"")))))))), 1)) * ROW(INDIRECT("1:"&amp;LEN((LEFT(A126,SUM(LEN(A126)-LEN(SUBSTITUTE(A126,{"0","1","2"},"")))))))), 0), ROW(INDIRECT("1:"&amp;LEN((LEFT(A126,SUM(LEN(A126)-LEN(SUBSTITUTE(A126,{"0","1","2"},"")))))))))+1, 1) * 10^ROW(INDIRECT("1:"&amp;LEN((LEFT(A126,SUM(LEN(A126)-LEN(SUBSTITUTE(A126,{"0","1","2"},""))))))))/10))*1+1&amp;""&amp;" to "&amp;""&amp;(SUMPRODUCT(MID(0&amp;(--TRIM(RIGHT(SUBSTITUTE(LEFT(A126,_xlfn.AGGREGATE(16,6,FIND({0,1,2,3,4,5,6,7,8,9},A126,ROW(INDIRECT("1:"&amp;LEN(A126)))),1))," ",REPT(" ",LEN(A126))),LEN(A126)))), LARGE(INDEX(ISNUMBER(--MID((--TRIM(RIGHT(SUBSTITUTE(LEFT(A126,_xlfn.AGGREGATE(16,6,FIND({0,1,2,3,4,5,6,7,8,9},A126,ROW(INDIRECT("1:"&amp;LEN(A126)))),1))," ",REPT(" ",LEN(A126))),LEN(A126)))), ROW(INDIRECT("1:"&amp;LEN((--TRIM(RIGHT(SUBSTITUTE(LEFT(A126,_xlfn.AGGREGATE(16,6,FIND({0,1,2,3,4,5,6,7,8,9},A126,ROW(INDIRECT("1:"&amp;LEN(A126)))),1))," ",REPT(" ",LEN(A126))),LEN(A126))))))), 1)) * ROW(INDIRECT("1:"&amp;LEN((--TRIM(RIGHT(SUBSTITUTE(LEFT(A126,_xlfn.AGGREGATE(16,6,FIND({0,1,2,3,4,5,6,7,8,9},A126,ROW(INDIRECT("1:"&amp;LEN(A126)))),1))," ",REPT(" ",LEN(A126))),LEN(A126))))))), 0), ROW(INDIRECT("1:"&amp;LEN((--TRIM(RIGHT(SUBSTITUTE(LEFT(A126,_xlfn.AGGREGATE(16,6,FIND({0,1,2,3,4,5,6,7,8,9},A126,ROW(INDIRECT("1:"&amp;LEN(A126)))),1))," ",REPT(" ",LEN(A126))),LEN(A126))))))))+1, 1) * 10^ROW(INDIRECT("1:"&amp;LEN((--TRIM(RIGHT(SUBSTITUTE(LEFT(A126,_xlfn.AGGREGATE(16,6,FIND({0,1,2,3,4,5,6,7,8,9},A126,ROW(INDIRECT("1:"&amp;LEN(A126)))),1))," ",REPT(" ",LEN(A126))),LEN(A126)))))))/10))*1+1</f>
        <v>109 to 1209</v>
      </c>
      <c r="B127" s="59"/>
      <c r="C127" s="41" t="s">
        <v>171</v>
      </c>
      <c r="D127" s="41">
        <f>(36.235+2.76+0.6*2.1+0.6*2.1)*10.764</f>
        <v>446.86745999999988</v>
      </c>
      <c r="E127" s="41">
        <v>0</v>
      </c>
      <c r="F127" s="41">
        <v>705</v>
      </c>
      <c r="G127" s="62"/>
      <c r="H127" s="63"/>
      <c r="I127" s="32">
        <f>2500000/F127</f>
        <v>3546.0992907801419</v>
      </c>
      <c r="J127" s="33">
        <f t="shared" si="0"/>
        <v>2749500</v>
      </c>
      <c r="K127" s="50">
        <f t="shared" si="1"/>
        <v>1.5776489968636342</v>
      </c>
    </row>
    <row r="128" spans="1:11" s="33" customFormat="1" x14ac:dyDescent="0.25">
      <c r="A128" s="58" t="str">
        <f ca="1">(SUMPRODUCT(MID(0&amp;(LEFT(A127,SUM(LEN(A127)-LEN(SUBSTITUTE(A127,{"0","1","2"},""))))), LARGE(INDEX(ISNUMBER(--MID((LEFT(A127,SUM(LEN(A127)-LEN(SUBSTITUTE(A127,{"0","1","2"},""))))), ROW(INDIRECT("1:"&amp;LEN((LEFT(A127,SUM(LEN(A127)-LEN(SUBSTITUTE(A127,{"0","1","2"},"")))))))), 1)) * ROW(INDIRECT("1:"&amp;LEN((LEFT(A127,SUM(LEN(A127)-LEN(SUBSTITUTE(A127,{"0","1","2"},"")))))))), 0), ROW(INDIRECT("1:"&amp;LEN((LEFT(A127,SUM(LEN(A127)-LEN(SUBSTITUTE(A127,{"0","1","2"},"")))))))))+1, 1) * 10^ROW(INDIRECT("1:"&amp;LEN((LEFT(A127,SUM(LEN(A127)-LEN(SUBSTITUTE(A127,{"0","1","2"},""))))))))/10))*1+1&amp;""&amp;" to "&amp;""&amp;(SUMPRODUCT(MID(0&amp;(--TRIM(RIGHT(SUBSTITUTE(LEFT(A127,_xlfn.AGGREGATE(16,6,FIND({0,1,2,3,4,5,6,7,8,9},A127,ROW(INDIRECT("1:"&amp;LEN(A127)))),1))," ",REPT(" ",LEN(A127))),LEN(A127)))), LARGE(INDEX(ISNUMBER(--MID((--TRIM(RIGHT(SUBSTITUTE(LEFT(A127,_xlfn.AGGREGATE(16,6,FIND({0,1,2,3,4,5,6,7,8,9},A127,ROW(INDIRECT("1:"&amp;LEN(A127)))),1))," ",REPT(" ",LEN(A127))),LEN(A127)))), ROW(INDIRECT("1:"&amp;LEN((--TRIM(RIGHT(SUBSTITUTE(LEFT(A127,_xlfn.AGGREGATE(16,6,FIND({0,1,2,3,4,5,6,7,8,9},A127,ROW(INDIRECT("1:"&amp;LEN(A127)))),1))," ",REPT(" ",LEN(A127))),LEN(A127))))))), 1)) * ROW(INDIRECT("1:"&amp;LEN((--TRIM(RIGHT(SUBSTITUTE(LEFT(A127,_xlfn.AGGREGATE(16,6,FIND({0,1,2,3,4,5,6,7,8,9},A127,ROW(INDIRECT("1:"&amp;LEN(A127)))),1))," ",REPT(" ",LEN(A127))),LEN(A127))))))), 0), ROW(INDIRECT("1:"&amp;LEN((--TRIM(RIGHT(SUBSTITUTE(LEFT(A127,_xlfn.AGGREGATE(16,6,FIND({0,1,2,3,4,5,6,7,8,9},A127,ROW(INDIRECT("1:"&amp;LEN(A127)))),1))," ",REPT(" ",LEN(A127))),LEN(A127))))))))+1, 1) * 10^ROW(INDIRECT("1:"&amp;LEN((--TRIM(RIGHT(SUBSTITUTE(LEFT(A127,_xlfn.AGGREGATE(16,6,FIND({0,1,2,3,4,5,6,7,8,9},A127,ROW(INDIRECT("1:"&amp;LEN(A127)))),1))," ",REPT(" ",LEN(A127))),LEN(A127)))))))/10))*1+1</f>
        <v>110 to 1210</v>
      </c>
      <c r="B128" s="59"/>
      <c r="C128" s="41" t="s">
        <v>169</v>
      </c>
      <c r="D128" s="41">
        <f>(39.662+2.53+0.75*2+0.5*2+0.6*1.4)*10.764</f>
        <v>490.106448</v>
      </c>
      <c r="E128" s="41">
        <v>0</v>
      </c>
      <c r="F128" s="41">
        <v>730</v>
      </c>
      <c r="G128" s="64"/>
      <c r="H128" s="65"/>
      <c r="I128" s="32"/>
      <c r="J128" s="33">
        <f t="shared" si="0"/>
        <v>2847000</v>
      </c>
      <c r="K128" s="50">
        <f t="shared" si="1"/>
        <v>1.4894723441794016</v>
      </c>
    </row>
    <row r="129" spans="1:11" x14ac:dyDescent="0.25">
      <c r="A129" s="127" t="s">
        <v>166</v>
      </c>
      <c r="B129" s="127"/>
      <c r="C129" s="127"/>
      <c r="D129" s="127"/>
      <c r="E129" s="127"/>
      <c r="F129" s="127"/>
      <c r="G129" s="127"/>
      <c r="H129" s="127"/>
      <c r="J129" s="33">
        <f t="shared" si="0"/>
        <v>0</v>
      </c>
      <c r="K129" s="50" t="e">
        <f t="shared" si="1"/>
        <v>#DIV/0!</v>
      </c>
    </row>
    <row r="130" spans="1:11" x14ac:dyDescent="0.25">
      <c r="A130" s="127" t="s">
        <v>167</v>
      </c>
      <c r="B130" s="127"/>
      <c r="C130" s="127"/>
      <c r="D130" s="127"/>
      <c r="E130" s="127"/>
      <c r="F130" s="127"/>
      <c r="G130" s="127"/>
      <c r="H130" s="127"/>
      <c r="J130" s="33">
        <f t="shared" si="0"/>
        <v>0</v>
      </c>
      <c r="K130" s="50" t="e">
        <f t="shared" si="1"/>
        <v>#DIV/0!</v>
      </c>
    </row>
    <row r="131" spans="1:11" s="33" customFormat="1" x14ac:dyDescent="0.25">
      <c r="A131" s="66" t="s">
        <v>168</v>
      </c>
      <c r="B131" s="67"/>
      <c r="C131" s="67"/>
      <c r="D131" s="67"/>
      <c r="E131" s="67"/>
      <c r="F131" s="67"/>
      <c r="G131" s="67"/>
      <c r="H131" s="68"/>
      <c r="I131" s="32"/>
      <c r="J131" s="33">
        <f t="shared" si="0"/>
        <v>0</v>
      </c>
      <c r="K131" s="50" t="e">
        <f t="shared" si="1"/>
        <v>#DIV/0!</v>
      </c>
    </row>
    <row r="132" spans="1:11" s="33" customFormat="1" ht="15.75" customHeight="1" x14ac:dyDescent="0.25">
      <c r="A132" s="58" t="str">
        <f ca="1">(SUMPRODUCT(MID(0&amp;(LEFT(A131,SUM(LEN(A131)-LEN(SUBSTITUTE(A131,{"0","1","2"},""))))), LARGE(INDEX(ISNUMBER(--MID((LEFT(A131,SUM(LEN(A131)-LEN(SUBSTITUTE(A131,{"0","1","2"},""))))), ROW(INDIRECT("1:"&amp;LEN((LEFT(A131,SUM(LEN(A131)-LEN(SUBSTITUTE(A131,{"0","1","2"},"")))))))), 1)) * ROW(INDIRECT("1:"&amp;LEN((LEFT(A131,SUM(LEN(A131)-LEN(SUBSTITUTE(A131,{"0","1","2"},"")))))))), 0), ROW(INDIRECT("1:"&amp;LEN((LEFT(A131,SUM(LEN(A131)-LEN(SUBSTITUTE(A131,{"0","1","2"},"")))))))))+1, 1) * 10^ROW(INDIRECT("1:"&amp;LEN((LEFT(A131,SUM(LEN(A131)-LEN(SUBSTITUTE(A131,{"0","1","2"},""))))))))/10))*100+1&amp;""&amp;" to "&amp;""&amp;(SUMPRODUCT(MID(0&amp;(--TRIM(RIGHT(SUBSTITUTE(LEFT(A131,_xlfn.AGGREGATE(16,6,FIND({0,1,2,3,4,5,6,7,8,9},A131,ROW(INDIRECT("1:"&amp;LEN(A131)))),1))," ",REPT(" ",LEN(A131))),LEN(A131)))), LARGE(INDEX(ISNUMBER(--MID((--TRIM(RIGHT(SUBSTITUTE(LEFT(A131,_xlfn.AGGREGATE(16,6,FIND({0,1,2,3,4,5,6,7,8,9},A131,ROW(INDIRECT("1:"&amp;LEN(A131)))),1))," ",REPT(" ",LEN(A131))),LEN(A131)))), ROW(INDIRECT("1:"&amp;LEN((--TRIM(RIGHT(SUBSTITUTE(LEFT(A131,_xlfn.AGGREGATE(16,6,FIND({0,1,2,3,4,5,6,7,8,9},A131,ROW(INDIRECT("1:"&amp;LEN(A131)))),1))," ",REPT(" ",LEN(A131))),LEN(A131))))))), 1)) * ROW(INDIRECT("1:"&amp;LEN((--TRIM(RIGHT(SUBSTITUTE(LEFT(A131,_xlfn.AGGREGATE(16,6,FIND({0,1,2,3,4,5,6,7,8,9},A131,ROW(INDIRECT("1:"&amp;LEN(A131)))),1))," ",REPT(" ",LEN(A131))),LEN(A131))))))), 0), ROW(INDIRECT("1:"&amp;LEN((--TRIM(RIGHT(SUBSTITUTE(LEFT(A131,_xlfn.AGGREGATE(16,6,FIND({0,1,2,3,4,5,6,7,8,9},A131,ROW(INDIRECT("1:"&amp;LEN(A131)))),1))," ",REPT(" ",LEN(A131))),LEN(A131))))))))+1, 1) * 10^ROW(INDIRECT("1:"&amp;LEN((--TRIM(RIGHT(SUBSTITUTE(LEFT(A131,_xlfn.AGGREGATE(16,6,FIND({0,1,2,3,4,5,6,7,8,9},A131,ROW(INDIRECT("1:"&amp;LEN(A131)))),1))," ",REPT(" ",LEN(A131))),LEN(A131)))))))/10))*100+1</f>
        <v>101 to 1201</v>
      </c>
      <c r="B132" s="59"/>
      <c r="C132" s="41" t="s">
        <v>169</v>
      </c>
      <c r="D132" s="41">
        <f>(39.672+2.53+0.75*2.1+0.5*2.1+0.6*1.5)*10.764</f>
        <v>492.20542799999993</v>
      </c>
      <c r="E132" s="41">
        <v>0</v>
      </c>
      <c r="F132" s="41">
        <v>730</v>
      </c>
      <c r="G132" s="60" t="str">
        <f>A131</f>
        <v>1st to 12th Floor for Residential</v>
      </c>
      <c r="H132" s="61"/>
      <c r="I132" s="32">
        <f>2430000/F132</f>
        <v>3328.7671232876714</v>
      </c>
      <c r="J132" s="33">
        <f t="shared" si="0"/>
        <v>2847000</v>
      </c>
      <c r="K132" s="50">
        <f t="shared" si="1"/>
        <v>1.4831205802955918</v>
      </c>
    </row>
    <row r="133" spans="1:11" s="33" customFormat="1" ht="15.75" customHeight="1" x14ac:dyDescent="0.25">
      <c r="A133" s="58" t="str">
        <f ca="1">(SUMPRODUCT(MID(0&amp;(LEFT(A132,SUM(LEN(A132)-LEN(SUBSTITUTE(A132,{"0","1","2"},""))))), LARGE(INDEX(ISNUMBER(--MID((LEFT(A132,SUM(LEN(A132)-LEN(SUBSTITUTE(A132,{"0","1","2"},""))))), ROW(INDIRECT("1:"&amp;LEN((LEFT(A132,SUM(LEN(A132)-LEN(SUBSTITUTE(A132,{"0","1","2"},"")))))))), 1)) * ROW(INDIRECT("1:"&amp;LEN((LEFT(A132,SUM(LEN(A132)-LEN(SUBSTITUTE(A132,{"0","1","2"},"")))))))), 0), ROW(INDIRECT("1:"&amp;LEN((LEFT(A132,SUM(LEN(A132)-LEN(SUBSTITUTE(A132,{"0","1","2"},"")))))))))+1, 1) * 10^ROW(INDIRECT("1:"&amp;LEN((LEFT(A132,SUM(LEN(A132)-LEN(SUBSTITUTE(A132,{"0","1","2"},""))))))))/10))*1+1&amp;""&amp;" to "&amp;""&amp;(SUMPRODUCT(MID(0&amp;(--TRIM(RIGHT(SUBSTITUTE(LEFT(A132,_xlfn.AGGREGATE(16,6,FIND({0,1,2,3,4,5,6,7,8,9},A132,ROW(INDIRECT("1:"&amp;LEN(A132)))),1))," ",REPT(" ",LEN(A132))),LEN(A132)))), LARGE(INDEX(ISNUMBER(--MID((--TRIM(RIGHT(SUBSTITUTE(LEFT(A132,_xlfn.AGGREGATE(16,6,FIND({0,1,2,3,4,5,6,7,8,9},A132,ROW(INDIRECT("1:"&amp;LEN(A132)))),1))," ",REPT(" ",LEN(A132))),LEN(A132)))), ROW(INDIRECT("1:"&amp;LEN((--TRIM(RIGHT(SUBSTITUTE(LEFT(A132,_xlfn.AGGREGATE(16,6,FIND({0,1,2,3,4,5,6,7,8,9},A132,ROW(INDIRECT("1:"&amp;LEN(A132)))),1))," ",REPT(" ",LEN(A132))),LEN(A132))))))), 1)) * ROW(INDIRECT("1:"&amp;LEN((--TRIM(RIGHT(SUBSTITUTE(LEFT(A132,_xlfn.AGGREGATE(16,6,FIND({0,1,2,3,4,5,6,7,8,9},A132,ROW(INDIRECT("1:"&amp;LEN(A132)))),1))," ",REPT(" ",LEN(A132))),LEN(A132))))))), 0), ROW(INDIRECT("1:"&amp;LEN((--TRIM(RIGHT(SUBSTITUTE(LEFT(A132,_xlfn.AGGREGATE(16,6,FIND({0,1,2,3,4,5,6,7,8,9},A132,ROW(INDIRECT("1:"&amp;LEN(A132)))),1))," ",REPT(" ",LEN(A132))),LEN(A132))))))))+1, 1) * 10^ROW(INDIRECT("1:"&amp;LEN((--TRIM(RIGHT(SUBSTITUTE(LEFT(A132,_xlfn.AGGREGATE(16,6,FIND({0,1,2,3,4,5,6,7,8,9},A132,ROW(INDIRECT("1:"&amp;LEN(A132)))),1))," ",REPT(" ",LEN(A132))),LEN(A132)))))))/10))*1+1</f>
        <v>102 to 1202</v>
      </c>
      <c r="B133" s="59"/>
      <c r="C133" s="41" t="s">
        <v>171</v>
      </c>
      <c r="D133" s="41">
        <f>(36.235+2.76+0.6*2.1+0.6*2.1)*10.764</f>
        <v>446.86745999999988</v>
      </c>
      <c r="E133" s="41">
        <v>0</v>
      </c>
      <c r="F133" s="41">
        <v>705</v>
      </c>
      <c r="G133" s="62"/>
      <c r="H133" s="63"/>
      <c r="I133" s="32">
        <f>2600000/F133</f>
        <v>3687.9432624113474</v>
      </c>
      <c r="J133" s="33">
        <f t="shared" si="0"/>
        <v>2749500</v>
      </c>
      <c r="K133" s="50">
        <f t="shared" si="1"/>
        <v>1.5776489968636342</v>
      </c>
    </row>
    <row r="134" spans="1:11" s="33" customFormat="1" ht="15.75" customHeight="1" x14ac:dyDescent="0.25">
      <c r="A134" s="58" t="str">
        <f ca="1">(SUMPRODUCT(MID(0&amp;(LEFT(A133,SUM(LEN(A133)-LEN(SUBSTITUTE(A133,{"0","1","2"},""))))), LARGE(INDEX(ISNUMBER(--MID((LEFT(A133,SUM(LEN(A133)-LEN(SUBSTITUTE(A133,{"0","1","2"},""))))), ROW(INDIRECT("1:"&amp;LEN((LEFT(A133,SUM(LEN(A133)-LEN(SUBSTITUTE(A133,{"0","1","2"},"")))))))), 1)) * ROW(INDIRECT("1:"&amp;LEN((LEFT(A133,SUM(LEN(A133)-LEN(SUBSTITUTE(A133,{"0","1","2"},"")))))))), 0), ROW(INDIRECT("1:"&amp;LEN((LEFT(A133,SUM(LEN(A133)-LEN(SUBSTITUTE(A133,{"0","1","2"},"")))))))))+1, 1) * 10^ROW(INDIRECT("1:"&amp;LEN((LEFT(A133,SUM(LEN(A133)-LEN(SUBSTITUTE(A133,{"0","1","2"},""))))))))/10))*1+1&amp;""&amp;" to "&amp;""&amp;(SUMPRODUCT(MID(0&amp;(--TRIM(RIGHT(SUBSTITUTE(LEFT(A133,_xlfn.AGGREGATE(16,6,FIND({0,1,2,3,4,5,6,7,8,9},A133,ROW(INDIRECT("1:"&amp;LEN(A133)))),1))," ",REPT(" ",LEN(A133))),LEN(A133)))), LARGE(INDEX(ISNUMBER(--MID((--TRIM(RIGHT(SUBSTITUTE(LEFT(A133,_xlfn.AGGREGATE(16,6,FIND({0,1,2,3,4,5,6,7,8,9},A133,ROW(INDIRECT("1:"&amp;LEN(A133)))),1))," ",REPT(" ",LEN(A133))),LEN(A133)))), ROW(INDIRECT("1:"&amp;LEN((--TRIM(RIGHT(SUBSTITUTE(LEFT(A133,_xlfn.AGGREGATE(16,6,FIND({0,1,2,3,4,5,6,7,8,9},A133,ROW(INDIRECT("1:"&amp;LEN(A133)))),1))," ",REPT(" ",LEN(A133))),LEN(A133))))))), 1)) * ROW(INDIRECT("1:"&amp;LEN((--TRIM(RIGHT(SUBSTITUTE(LEFT(A133,_xlfn.AGGREGATE(16,6,FIND({0,1,2,3,4,5,6,7,8,9},A133,ROW(INDIRECT("1:"&amp;LEN(A133)))),1))," ",REPT(" ",LEN(A133))),LEN(A133))))))), 0), ROW(INDIRECT("1:"&amp;LEN((--TRIM(RIGHT(SUBSTITUTE(LEFT(A133,_xlfn.AGGREGATE(16,6,FIND({0,1,2,3,4,5,6,7,8,9},A133,ROW(INDIRECT("1:"&amp;LEN(A133)))),1))," ",REPT(" ",LEN(A133))),LEN(A133))))))))+1, 1) * 10^ROW(INDIRECT("1:"&amp;LEN((--TRIM(RIGHT(SUBSTITUTE(LEFT(A133,_xlfn.AGGREGATE(16,6,FIND({0,1,2,3,4,5,6,7,8,9},A133,ROW(INDIRECT("1:"&amp;LEN(A133)))),1))," ",REPT(" ",LEN(A133))),LEN(A133)))))))/10))*1+1</f>
        <v>103 to 1203</v>
      </c>
      <c r="B134" s="59"/>
      <c r="C134" s="41" t="s">
        <v>169</v>
      </c>
      <c r="D134" s="41">
        <f>(49.948+2.76+0.6*2+0.7*2.5+0.6*1.5)*10.764</f>
        <v>608.79031199999997</v>
      </c>
      <c r="E134" s="41">
        <v>0</v>
      </c>
      <c r="F134" s="41">
        <v>925</v>
      </c>
      <c r="G134" s="62"/>
      <c r="H134" s="63"/>
      <c r="I134" s="32">
        <f>4500000/F134</f>
        <v>4864.864864864865</v>
      </c>
      <c r="J134" s="33">
        <f t="shared" si="0"/>
        <v>3607500</v>
      </c>
      <c r="K134" s="50">
        <f t="shared" si="1"/>
        <v>1.5194065703200612</v>
      </c>
    </row>
    <row r="135" spans="1:11" s="33" customFormat="1" ht="15.75" customHeight="1" x14ac:dyDescent="0.25">
      <c r="A135" s="58" t="str">
        <f ca="1">(SUMPRODUCT(MID(0&amp;(LEFT(A134,SUM(LEN(A134)-LEN(SUBSTITUTE(A134,{"0","1","2"},""))))), LARGE(INDEX(ISNUMBER(--MID((LEFT(A134,SUM(LEN(A134)-LEN(SUBSTITUTE(A134,{"0","1","2"},""))))), ROW(INDIRECT("1:"&amp;LEN((LEFT(A134,SUM(LEN(A134)-LEN(SUBSTITUTE(A134,{"0","1","2"},"")))))))), 1)) * ROW(INDIRECT("1:"&amp;LEN((LEFT(A134,SUM(LEN(A134)-LEN(SUBSTITUTE(A134,{"0","1","2"},"")))))))), 0), ROW(INDIRECT("1:"&amp;LEN((LEFT(A134,SUM(LEN(A134)-LEN(SUBSTITUTE(A134,{"0","1","2"},"")))))))))+1, 1) * 10^ROW(INDIRECT("1:"&amp;LEN((LEFT(A134,SUM(LEN(A134)-LEN(SUBSTITUTE(A134,{"0","1","2"},""))))))))/10))*1+1&amp;""&amp;" to "&amp;""&amp;(SUMPRODUCT(MID(0&amp;(--TRIM(RIGHT(SUBSTITUTE(LEFT(A134,_xlfn.AGGREGATE(16,6,FIND({0,1,2,3,4,5,6,7,8,9},A134,ROW(INDIRECT("1:"&amp;LEN(A134)))),1))," ",REPT(" ",LEN(A134))),LEN(A134)))), LARGE(INDEX(ISNUMBER(--MID((--TRIM(RIGHT(SUBSTITUTE(LEFT(A134,_xlfn.AGGREGATE(16,6,FIND({0,1,2,3,4,5,6,7,8,9},A134,ROW(INDIRECT("1:"&amp;LEN(A134)))),1))," ",REPT(" ",LEN(A134))),LEN(A134)))), ROW(INDIRECT("1:"&amp;LEN((--TRIM(RIGHT(SUBSTITUTE(LEFT(A134,_xlfn.AGGREGATE(16,6,FIND({0,1,2,3,4,5,6,7,8,9},A134,ROW(INDIRECT("1:"&amp;LEN(A134)))),1))," ",REPT(" ",LEN(A134))),LEN(A134))))))), 1)) * ROW(INDIRECT("1:"&amp;LEN((--TRIM(RIGHT(SUBSTITUTE(LEFT(A134,_xlfn.AGGREGATE(16,6,FIND({0,1,2,3,4,5,6,7,8,9},A134,ROW(INDIRECT("1:"&amp;LEN(A134)))),1))," ",REPT(" ",LEN(A134))),LEN(A134))))))), 0), ROW(INDIRECT("1:"&amp;LEN((--TRIM(RIGHT(SUBSTITUTE(LEFT(A134,_xlfn.AGGREGATE(16,6,FIND({0,1,2,3,4,5,6,7,8,9},A134,ROW(INDIRECT("1:"&amp;LEN(A134)))),1))," ",REPT(" ",LEN(A134))),LEN(A134))))))))+1, 1) * 10^ROW(INDIRECT("1:"&amp;LEN((--TRIM(RIGHT(SUBSTITUTE(LEFT(A134,_xlfn.AGGREGATE(16,6,FIND({0,1,2,3,4,5,6,7,8,9},A134,ROW(INDIRECT("1:"&amp;LEN(A134)))),1))," ",REPT(" ",LEN(A134))),LEN(A134)))))))/10))*1+1</f>
        <v>104 to 1204</v>
      </c>
      <c r="B135" s="59"/>
      <c r="C135" s="41" t="s">
        <v>170</v>
      </c>
      <c r="D135" s="41">
        <f>(68.404+6.533+0.6*4.5+0.5*2.4)*10.764</f>
        <v>848.60146799999995</v>
      </c>
      <c r="E135" s="41">
        <v>0</v>
      </c>
      <c r="F135" s="41">
        <v>1280</v>
      </c>
      <c r="G135" s="62"/>
      <c r="H135" s="63"/>
      <c r="I135" s="32"/>
      <c r="J135" s="33">
        <f t="shared" si="0"/>
        <v>4992000</v>
      </c>
      <c r="K135" s="50">
        <f t="shared" si="1"/>
        <v>1.5083641123279321</v>
      </c>
    </row>
    <row r="136" spans="1:11" s="33" customFormat="1" ht="15.75" customHeight="1" x14ac:dyDescent="0.25">
      <c r="A136" s="58" t="str">
        <f ca="1">(SUMPRODUCT(MID(0&amp;(LEFT(A135,SUM(LEN(A135)-LEN(SUBSTITUTE(A135,{"0","1","2"},""))))), LARGE(INDEX(ISNUMBER(--MID((LEFT(A135,SUM(LEN(A135)-LEN(SUBSTITUTE(A135,{"0","1","2"},""))))), ROW(INDIRECT("1:"&amp;LEN((LEFT(A135,SUM(LEN(A135)-LEN(SUBSTITUTE(A135,{"0","1","2"},"")))))))), 1)) * ROW(INDIRECT("1:"&amp;LEN((LEFT(A135,SUM(LEN(A135)-LEN(SUBSTITUTE(A135,{"0","1","2"},"")))))))), 0), ROW(INDIRECT("1:"&amp;LEN((LEFT(A135,SUM(LEN(A135)-LEN(SUBSTITUTE(A135,{"0","1","2"},"")))))))))+1, 1) * 10^ROW(INDIRECT("1:"&amp;LEN((LEFT(A135,SUM(LEN(A135)-LEN(SUBSTITUTE(A135,{"0","1","2"},""))))))))/10))*1+1&amp;""&amp;" to "&amp;""&amp;(SUMPRODUCT(MID(0&amp;(--TRIM(RIGHT(SUBSTITUTE(LEFT(A135,_xlfn.AGGREGATE(16,6,FIND({0,1,2,3,4,5,6,7,8,9},A135,ROW(INDIRECT("1:"&amp;LEN(A135)))),1))," ",REPT(" ",LEN(A135))),LEN(A135)))), LARGE(INDEX(ISNUMBER(--MID((--TRIM(RIGHT(SUBSTITUTE(LEFT(A135,_xlfn.AGGREGATE(16,6,FIND({0,1,2,3,4,5,6,7,8,9},A135,ROW(INDIRECT("1:"&amp;LEN(A135)))),1))," ",REPT(" ",LEN(A135))),LEN(A135)))), ROW(INDIRECT("1:"&amp;LEN((--TRIM(RIGHT(SUBSTITUTE(LEFT(A135,_xlfn.AGGREGATE(16,6,FIND({0,1,2,3,4,5,6,7,8,9},A135,ROW(INDIRECT("1:"&amp;LEN(A135)))),1))," ",REPT(" ",LEN(A135))),LEN(A135))))))), 1)) * ROW(INDIRECT("1:"&amp;LEN((--TRIM(RIGHT(SUBSTITUTE(LEFT(A135,_xlfn.AGGREGATE(16,6,FIND({0,1,2,3,4,5,6,7,8,9},A135,ROW(INDIRECT("1:"&amp;LEN(A135)))),1))," ",REPT(" ",LEN(A135))),LEN(A135))))))), 0), ROW(INDIRECT("1:"&amp;LEN((--TRIM(RIGHT(SUBSTITUTE(LEFT(A135,_xlfn.AGGREGATE(16,6,FIND({0,1,2,3,4,5,6,7,8,9},A135,ROW(INDIRECT("1:"&amp;LEN(A135)))),1))," ",REPT(" ",LEN(A135))),LEN(A135))))))))+1, 1) * 10^ROW(INDIRECT("1:"&amp;LEN((--TRIM(RIGHT(SUBSTITUTE(LEFT(A135,_xlfn.AGGREGATE(16,6,FIND({0,1,2,3,4,5,6,7,8,9},A135,ROW(INDIRECT("1:"&amp;LEN(A135)))),1))," ",REPT(" ",LEN(A135))),LEN(A135)))))))/10))*1+1</f>
        <v>105 to 1205</v>
      </c>
      <c r="B136" s="59"/>
      <c r="C136" s="41" t="s">
        <v>169</v>
      </c>
      <c r="D136" s="41">
        <f>(53.985+6.533+0.6*4.6)*10.764</f>
        <v>681.12439199999994</v>
      </c>
      <c r="E136" s="41">
        <v>0</v>
      </c>
      <c r="F136" s="41">
        <v>1050</v>
      </c>
      <c r="G136" s="62"/>
      <c r="H136" s="63"/>
      <c r="I136" s="32">
        <f>(1.4*1.3+2.65*4.6+1.4*3.1+2.1*2.75+3.05*2.75+2.75*3.75+2.1*1.2+1.8*1.2+0.9*4+2.75*1.35+2.35*1.2+0.6*4.7)*10.764</f>
        <v>650.76453000000004</v>
      </c>
      <c r="J136" s="33">
        <f t="shared" si="0"/>
        <v>4095000</v>
      </c>
      <c r="K136" s="50">
        <f t="shared" si="1"/>
        <v>1.5415686361148553</v>
      </c>
    </row>
    <row r="137" spans="1:11" s="33" customFormat="1" ht="15.75" customHeight="1" x14ac:dyDescent="0.25">
      <c r="A137" s="58" t="str">
        <f ca="1">(SUMPRODUCT(MID(0&amp;(LEFT(A136,SUM(LEN(A136)-LEN(SUBSTITUTE(A136,{"0","1","2"},""))))), LARGE(INDEX(ISNUMBER(--MID((LEFT(A136,SUM(LEN(A136)-LEN(SUBSTITUTE(A136,{"0","1","2"},""))))), ROW(INDIRECT("1:"&amp;LEN((LEFT(A136,SUM(LEN(A136)-LEN(SUBSTITUTE(A136,{"0","1","2"},"")))))))), 1)) * ROW(INDIRECT("1:"&amp;LEN((LEFT(A136,SUM(LEN(A136)-LEN(SUBSTITUTE(A136,{"0","1","2"},"")))))))), 0), ROW(INDIRECT("1:"&amp;LEN((LEFT(A136,SUM(LEN(A136)-LEN(SUBSTITUTE(A136,{"0","1","2"},"")))))))))+1, 1) * 10^ROW(INDIRECT("1:"&amp;LEN((LEFT(A136,SUM(LEN(A136)-LEN(SUBSTITUTE(A136,{"0","1","2"},""))))))))/10))*1+1&amp;""&amp;" to "&amp;""&amp;(SUMPRODUCT(MID(0&amp;(--TRIM(RIGHT(SUBSTITUTE(LEFT(A136,_xlfn.AGGREGATE(16,6,FIND({0,1,2,3,4,5,6,7,8,9},A136,ROW(INDIRECT("1:"&amp;LEN(A136)))),1))," ",REPT(" ",LEN(A136))),LEN(A136)))), LARGE(INDEX(ISNUMBER(--MID((--TRIM(RIGHT(SUBSTITUTE(LEFT(A136,_xlfn.AGGREGATE(16,6,FIND({0,1,2,3,4,5,6,7,8,9},A136,ROW(INDIRECT("1:"&amp;LEN(A136)))),1))," ",REPT(" ",LEN(A136))),LEN(A136)))), ROW(INDIRECT("1:"&amp;LEN((--TRIM(RIGHT(SUBSTITUTE(LEFT(A136,_xlfn.AGGREGATE(16,6,FIND({0,1,2,3,4,5,6,7,8,9},A136,ROW(INDIRECT("1:"&amp;LEN(A136)))),1))," ",REPT(" ",LEN(A136))),LEN(A136))))))), 1)) * ROW(INDIRECT("1:"&amp;LEN((--TRIM(RIGHT(SUBSTITUTE(LEFT(A136,_xlfn.AGGREGATE(16,6,FIND({0,1,2,3,4,5,6,7,8,9},A136,ROW(INDIRECT("1:"&amp;LEN(A136)))),1))," ",REPT(" ",LEN(A136))),LEN(A136))))))), 0), ROW(INDIRECT("1:"&amp;LEN((--TRIM(RIGHT(SUBSTITUTE(LEFT(A136,_xlfn.AGGREGATE(16,6,FIND({0,1,2,3,4,5,6,7,8,9},A136,ROW(INDIRECT("1:"&amp;LEN(A136)))),1))," ",REPT(" ",LEN(A136))),LEN(A136))))))))+1, 1) * 10^ROW(INDIRECT("1:"&amp;LEN((--TRIM(RIGHT(SUBSTITUTE(LEFT(A136,_xlfn.AGGREGATE(16,6,FIND({0,1,2,3,4,5,6,7,8,9},A136,ROW(INDIRECT("1:"&amp;LEN(A136)))),1))," ",REPT(" ",LEN(A136))),LEN(A136)))))))/10))*1+1</f>
        <v>106 to 1206</v>
      </c>
      <c r="B137" s="59"/>
      <c r="C137" s="41" t="s">
        <v>169</v>
      </c>
      <c r="D137" s="41">
        <f>(53.985+6.533+0.6*4.6)*10.764</f>
        <v>681.12439199999994</v>
      </c>
      <c r="E137" s="41">
        <v>0</v>
      </c>
      <c r="F137" s="41">
        <v>1050</v>
      </c>
      <c r="G137" s="62"/>
      <c r="H137" s="63"/>
      <c r="I137" s="32"/>
      <c r="J137" s="33">
        <f t="shared" si="0"/>
        <v>4095000</v>
      </c>
      <c r="K137" s="50">
        <f t="shared" si="1"/>
        <v>1.5415686361148553</v>
      </c>
    </row>
    <row r="138" spans="1:11" s="33" customFormat="1" ht="15.75" customHeight="1" x14ac:dyDescent="0.25">
      <c r="A138" s="58" t="str">
        <f ca="1">(SUMPRODUCT(MID(0&amp;(LEFT(A137,SUM(LEN(A137)-LEN(SUBSTITUTE(A137,{"0","1","2"},""))))), LARGE(INDEX(ISNUMBER(--MID((LEFT(A137,SUM(LEN(A137)-LEN(SUBSTITUTE(A137,{"0","1","2"},""))))), ROW(INDIRECT("1:"&amp;LEN((LEFT(A137,SUM(LEN(A137)-LEN(SUBSTITUTE(A137,{"0","1","2"},"")))))))), 1)) * ROW(INDIRECT("1:"&amp;LEN((LEFT(A137,SUM(LEN(A137)-LEN(SUBSTITUTE(A137,{"0","1","2"},"")))))))), 0), ROW(INDIRECT("1:"&amp;LEN((LEFT(A137,SUM(LEN(A137)-LEN(SUBSTITUTE(A137,{"0","1","2"},"")))))))))+1, 1) * 10^ROW(INDIRECT("1:"&amp;LEN((LEFT(A137,SUM(LEN(A137)-LEN(SUBSTITUTE(A137,{"0","1","2"},""))))))))/10))*1+1&amp;""&amp;" to "&amp;""&amp;(SUMPRODUCT(MID(0&amp;(--TRIM(RIGHT(SUBSTITUTE(LEFT(A137,_xlfn.AGGREGATE(16,6,FIND({0,1,2,3,4,5,6,7,8,9},A137,ROW(INDIRECT("1:"&amp;LEN(A137)))),1))," ",REPT(" ",LEN(A137))),LEN(A137)))), LARGE(INDEX(ISNUMBER(--MID((--TRIM(RIGHT(SUBSTITUTE(LEFT(A137,_xlfn.AGGREGATE(16,6,FIND({0,1,2,3,4,5,6,7,8,9},A137,ROW(INDIRECT("1:"&amp;LEN(A137)))),1))," ",REPT(" ",LEN(A137))),LEN(A137)))), ROW(INDIRECT("1:"&amp;LEN((--TRIM(RIGHT(SUBSTITUTE(LEFT(A137,_xlfn.AGGREGATE(16,6,FIND({0,1,2,3,4,5,6,7,8,9},A137,ROW(INDIRECT("1:"&amp;LEN(A137)))),1))," ",REPT(" ",LEN(A137))),LEN(A137))))))), 1)) * ROW(INDIRECT("1:"&amp;LEN((--TRIM(RIGHT(SUBSTITUTE(LEFT(A137,_xlfn.AGGREGATE(16,6,FIND({0,1,2,3,4,5,6,7,8,9},A137,ROW(INDIRECT("1:"&amp;LEN(A137)))),1))," ",REPT(" ",LEN(A137))),LEN(A137))))))), 0), ROW(INDIRECT("1:"&amp;LEN((--TRIM(RIGHT(SUBSTITUTE(LEFT(A137,_xlfn.AGGREGATE(16,6,FIND({0,1,2,3,4,5,6,7,8,9},A137,ROW(INDIRECT("1:"&amp;LEN(A137)))),1))," ",REPT(" ",LEN(A137))),LEN(A137))))))))+1, 1) * 10^ROW(INDIRECT("1:"&amp;LEN((--TRIM(RIGHT(SUBSTITUTE(LEFT(A137,_xlfn.AGGREGATE(16,6,FIND({0,1,2,3,4,5,6,7,8,9},A137,ROW(INDIRECT("1:"&amp;LEN(A137)))),1))," ",REPT(" ",LEN(A137))),LEN(A137)))))))/10))*1+1</f>
        <v>107 to 1207</v>
      </c>
      <c r="B138" s="59"/>
      <c r="C138" s="41" t="s">
        <v>170</v>
      </c>
      <c r="D138" s="41">
        <f>(68.404+6.533+0.6*4.7+0.5*2.3)*10.764</f>
        <v>849.35494799999992</v>
      </c>
      <c r="E138" s="41">
        <v>0</v>
      </c>
      <c r="F138" s="41">
        <v>1280</v>
      </c>
      <c r="G138" s="62"/>
      <c r="H138" s="63"/>
      <c r="I138" s="32"/>
      <c r="J138" s="33">
        <f t="shared" si="0"/>
        <v>4992000</v>
      </c>
      <c r="K138" s="50">
        <f t="shared" si="1"/>
        <v>1.5070260119329995</v>
      </c>
    </row>
    <row r="139" spans="1:11" s="33" customFormat="1" ht="15.75" customHeight="1" x14ac:dyDescent="0.25">
      <c r="A139" s="58" t="str">
        <f ca="1">(SUMPRODUCT(MID(0&amp;(LEFT(A138,SUM(LEN(A138)-LEN(SUBSTITUTE(A138,{"0","1","2"},""))))), LARGE(INDEX(ISNUMBER(--MID((LEFT(A138,SUM(LEN(A138)-LEN(SUBSTITUTE(A138,{"0","1","2"},""))))), ROW(INDIRECT("1:"&amp;LEN((LEFT(A138,SUM(LEN(A138)-LEN(SUBSTITUTE(A138,{"0","1","2"},"")))))))), 1)) * ROW(INDIRECT("1:"&amp;LEN((LEFT(A138,SUM(LEN(A138)-LEN(SUBSTITUTE(A138,{"0","1","2"},"")))))))), 0), ROW(INDIRECT("1:"&amp;LEN((LEFT(A138,SUM(LEN(A138)-LEN(SUBSTITUTE(A138,{"0","1","2"},"")))))))))+1, 1) * 10^ROW(INDIRECT("1:"&amp;LEN((LEFT(A138,SUM(LEN(A138)-LEN(SUBSTITUTE(A138,{"0","1","2"},""))))))))/10))*1+1&amp;""&amp;" to "&amp;""&amp;(SUMPRODUCT(MID(0&amp;(--TRIM(RIGHT(SUBSTITUTE(LEFT(A138,_xlfn.AGGREGATE(16,6,FIND({0,1,2,3,4,5,6,7,8,9},A138,ROW(INDIRECT("1:"&amp;LEN(A138)))),1))," ",REPT(" ",LEN(A138))),LEN(A138)))), LARGE(INDEX(ISNUMBER(--MID((--TRIM(RIGHT(SUBSTITUTE(LEFT(A138,_xlfn.AGGREGATE(16,6,FIND({0,1,2,3,4,5,6,7,8,9},A138,ROW(INDIRECT("1:"&amp;LEN(A138)))),1))," ",REPT(" ",LEN(A138))),LEN(A138)))), ROW(INDIRECT("1:"&amp;LEN((--TRIM(RIGHT(SUBSTITUTE(LEFT(A138,_xlfn.AGGREGATE(16,6,FIND({0,1,2,3,4,5,6,7,8,9},A138,ROW(INDIRECT("1:"&amp;LEN(A138)))),1))," ",REPT(" ",LEN(A138))),LEN(A138))))))), 1)) * ROW(INDIRECT("1:"&amp;LEN((--TRIM(RIGHT(SUBSTITUTE(LEFT(A138,_xlfn.AGGREGATE(16,6,FIND({0,1,2,3,4,5,6,7,8,9},A138,ROW(INDIRECT("1:"&amp;LEN(A138)))),1))," ",REPT(" ",LEN(A138))),LEN(A138))))))), 0), ROW(INDIRECT("1:"&amp;LEN((--TRIM(RIGHT(SUBSTITUTE(LEFT(A138,_xlfn.AGGREGATE(16,6,FIND({0,1,2,3,4,5,6,7,8,9},A138,ROW(INDIRECT("1:"&amp;LEN(A138)))),1))," ",REPT(" ",LEN(A138))),LEN(A138))))))))+1, 1) * 10^ROW(INDIRECT("1:"&amp;LEN((--TRIM(RIGHT(SUBSTITUTE(LEFT(A138,_xlfn.AGGREGATE(16,6,FIND({0,1,2,3,4,5,6,7,8,9},A138,ROW(INDIRECT("1:"&amp;LEN(A138)))),1))," ",REPT(" ",LEN(A138))),LEN(A138)))))))/10))*1+1</f>
        <v>108 to 1208</v>
      </c>
      <c r="B139" s="59"/>
      <c r="C139" s="41" t="s">
        <v>169</v>
      </c>
      <c r="D139" s="41">
        <f>(49.953+2.76+0.6*1.8+0.7*2.4+0.6*1.4)*10.764</f>
        <v>606.15313200000003</v>
      </c>
      <c r="E139" s="41">
        <v>0</v>
      </c>
      <c r="F139" s="41">
        <v>925</v>
      </c>
      <c r="G139" s="62"/>
      <c r="H139" s="63"/>
      <c r="I139" s="32"/>
      <c r="J139" s="33">
        <f t="shared" si="0"/>
        <v>3607500</v>
      </c>
      <c r="K139" s="50">
        <f t="shared" si="1"/>
        <v>1.5260170263378263</v>
      </c>
    </row>
    <row r="140" spans="1:11" s="33" customFormat="1" ht="15.75" customHeight="1" x14ac:dyDescent="0.25">
      <c r="A140" s="58" t="str">
        <f ca="1">(SUMPRODUCT(MID(0&amp;(LEFT(A139,SUM(LEN(A139)-LEN(SUBSTITUTE(A139,{"0","1","2"},""))))), LARGE(INDEX(ISNUMBER(--MID((LEFT(A139,SUM(LEN(A139)-LEN(SUBSTITUTE(A139,{"0","1","2"},""))))), ROW(INDIRECT("1:"&amp;LEN((LEFT(A139,SUM(LEN(A139)-LEN(SUBSTITUTE(A139,{"0","1","2"},"")))))))), 1)) * ROW(INDIRECT("1:"&amp;LEN((LEFT(A139,SUM(LEN(A139)-LEN(SUBSTITUTE(A139,{"0","1","2"},"")))))))), 0), ROW(INDIRECT("1:"&amp;LEN((LEFT(A139,SUM(LEN(A139)-LEN(SUBSTITUTE(A139,{"0","1","2"},"")))))))))+1, 1) * 10^ROW(INDIRECT("1:"&amp;LEN((LEFT(A139,SUM(LEN(A139)-LEN(SUBSTITUTE(A139,{"0","1","2"},""))))))))/10))*1+1&amp;""&amp;" to "&amp;""&amp;(SUMPRODUCT(MID(0&amp;(--TRIM(RIGHT(SUBSTITUTE(LEFT(A139,_xlfn.AGGREGATE(16,6,FIND({0,1,2,3,4,5,6,7,8,9},A139,ROW(INDIRECT("1:"&amp;LEN(A139)))),1))," ",REPT(" ",LEN(A139))),LEN(A139)))), LARGE(INDEX(ISNUMBER(--MID((--TRIM(RIGHT(SUBSTITUTE(LEFT(A139,_xlfn.AGGREGATE(16,6,FIND({0,1,2,3,4,5,6,7,8,9},A139,ROW(INDIRECT("1:"&amp;LEN(A139)))),1))," ",REPT(" ",LEN(A139))),LEN(A139)))), ROW(INDIRECT("1:"&amp;LEN((--TRIM(RIGHT(SUBSTITUTE(LEFT(A139,_xlfn.AGGREGATE(16,6,FIND({0,1,2,3,4,5,6,7,8,9},A139,ROW(INDIRECT("1:"&amp;LEN(A139)))),1))," ",REPT(" ",LEN(A139))),LEN(A139))))))), 1)) * ROW(INDIRECT("1:"&amp;LEN((--TRIM(RIGHT(SUBSTITUTE(LEFT(A139,_xlfn.AGGREGATE(16,6,FIND({0,1,2,3,4,5,6,7,8,9},A139,ROW(INDIRECT("1:"&amp;LEN(A139)))),1))," ",REPT(" ",LEN(A139))),LEN(A139))))))), 0), ROW(INDIRECT("1:"&amp;LEN((--TRIM(RIGHT(SUBSTITUTE(LEFT(A139,_xlfn.AGGREGATE(16,6,FIND({0,1,2,3,4,5,6,7,8,9},A139,ROW(INDIRECT("1:"&amp;LEN(A139)))),1))," ",REPT(" ",LEN(A139))),LEN(A139))))))))+1, 1) * 10^ROW(INDIRECT("1:"&amp;LEN((--TRIM(RIGHT(SUBSTITUTE(LEFT(A139,_xlfn.AGGREGATE(16,6,FIND({0,1,2,3,4,5,6,7,8,9},A139,ROW(INDIRECT("1:"&amp;LEN(A139)))),1))," ",REPT(" ",LEN(A139))),LEN(A139)))))))/10))*1+1</f>
        <v>109 to 1209</v>
      </c>
      <c r="B140" s="59"/>
      <c r="C140" s="41" t="s">
        <v>169</v>
      </c>
      <c r="D140" s="41">
        <f>(45.015+2.82+0.6*1.8+0.6*2.2+0.45*2)*10.764</f>
        <v>550.4171399999999</v>
      </c>
      <c r="E140" s="41">
        <v>0</v>
      </c>
      <c r="F140" s="41">
        <v>845</v>
      </c>
      <c r="G140" s="62"/>
      <c r="H140" s="63"/>
      <c r="I140" s="32">
        <f>3480000/F140</f>
        <v>4118.3431952662722</v>
      </c>
      <c r="J140" s="33">
        <f t="shared" si="0"/>
        <v>3295500</v>
      </c>
      <c r="K140" s="50">
        <f t="shared" si="1"/>
        <v>1.5351992854001606</v>
      </c>
    </row>
    <row r="141" spans="1:11" s="33" customFormat="1" ht="15.75" customHeight="1" x14ac:dyDescent="0.25">
      <c r="A141" s="58" t="str">
        <f ca="1">(SUMPRODUCT(MID(0&amp;(LEFT(A140,SUM(LEN(A140)-LEN(SUBSTITUTE(A140,{"0","1","2"},""))))), LARGE(INDEX(ISNUMBER(--MID((LEFT(A140,SUM(LEN(A140)-LEN(SUBSTITUTE(A140,{"0","1","2"},""))))), ROW(INDIRECT("1:"&amp;LEN((LEFT(A140,SUM(LEN(A140)-LEN(SUBSTITUTE(A140,{"0","1","2"},"")))))))), 1)) * ROW(INDIRECT("1:"&amp;LEN((LEFT(A140,SUM(LEN(A140)-LEN(SUBSTITUTE(A140,{"0","1","2"},"")))))))), 0), ROW(INDIRECT("1:"&amp;LEN((LEFT(A140,SUM(LEN(A140)-LEN(SUBSTITUTE(A140,{"0","1","2"},"")))))))))+1, 1) * 10^ROW(INDIRECT("1:"&amp;LEN((LEFT(A140,SUM(LEN(A140)-LEN(SUBSTITUTE(A140,{"0","1","2"},""))))))))/10))*1+1&amp;""&amp;" to "&amp;""&amp;(SUMPRODUCT(MID(0&amp;(--TRIM(RIGHT(SUBSTITUTE(LEFT(A140,_xlfn.AGGREGATE(16,6,FIND({0,1,2,3,4,5,6,7,8,9},A140,ROW(INDIRECT("1:"&amp;LEN(A140)))),1))," ",REPT(" ",LEN(A140))),LEN(A140)))), LARGE(INDEX(ISNUMBER(--MID((--TRIM(RIGHT(SUBSTITUTE(LEFT(A140,_xlfn.AGGREGATE(16,6,FIND({0,1,2,3,4,5,6,7,8,9},A140,ROW(INDIRECT("1:"&amp;LEN(A140)))),1))," ",REPT(" ",LEN(A140))),LEN(A140)))), ROW(INDIRECT("1:"&amp;LEN((--TRIM(RIGHT(SUBSTITUTE(LEFT(A140,_xlfn.AGGREGATE(16,6,FIND({0,1,2,3,4,5,6,7,8,9},A140,ROW(INDIRECT("1:"&amp;LEN(A140)))),1))," ",REPT(" ",LEN(A140))),LEN(A140))))))), 1)) * ROW(INDIRECT("1:"&amp;LEN((--TRIM(RIGHT(SUBSTITUTE(LEFT(A140,_xlfn.AGGREGATE(16,6,FIND({0,1,2,3,4,5,6,7,8,9},A140,ROW(INDIRECT("1:"&amp;LEN(A140)))),1))," ",REPT(" ",LEN(A140))),LEN(A140))))))), 0), ROW(INDIRECT("1:"&amp;LEN((--TRIM(RIGHT(SUBSTITUTE(LEFT(A140,_xlfn.AGGREGATE(16,6,FIND({0,1,2,3,4,5,6,7,8,9},A140,ROW(INDIRECT("1:"&amp;LEN(A140)))),1))," ",REPT(" ",LEN(A140))),LEN(A140))))))))+1, 1) * 10^ROW(INDIRECT("1:"&amp;LEN((--TRIM(RIGHT(SUBSTITUTE(LEFT(A140,_xlfn.AGGREGATE(16,6,FIND({0,1,2,3,4,5,6,7,8,9},A140,ROW(INDIRECT("1:"&amp;LEN(A140)))),1))," ",REPT(" ",LEN(A140))),LEN(A140)))))))/10))*1+1</f>
        <v>110 to 1210</v>
      </c>
      <c r="B141" s="59"/>
      <c r="C141" s="41" t="s">
        <v>169</v>
      </c>
      <c r="D141" s="41">
        <f>(39.672+2.53+0.75*2.2+0.5*2+0.6*0.6)*10.764</f>
        <v>486.66196799999994</v>
      </c>
      <c r="E141" s="41">
        <v>0</v>
      </c>
      <c r="F141" s="41">
        <v>730</v>
      </c>
      <c r="G141" s="64"/>
      <c r="H141" s="65"/>
      <c r="I141" s="32"/>
      <c r="J141" s="33">
        <f t="shared" si="0"/>
        <v>2847000</v>
      </c>
      <c r="K141" s="50">
        <f t="shared" si="1"/>
        <v>1.5000144823316048</v>
      </c>
    </row>
    <row r="142" spans="1:11" s="31" customFormat="1" x14ac:dyDescent="0.25">
      <c r="A142" s="119" t="s">
        <v>70</v>
      </c>
      <c r="B142" s="119"/>
      <c r="C142" s="119"/>
      <c r="D142" s="119"/>
      <c r="E142" s="119"/>
      <c r="F142" s="119"/>
      <c r="G142" s="119"/>
      <c r="H142" s="119"/>
    </row>
    <row r="143" spans="1:11" s="31" customFormat="1" ht="34.5" customHeight="1" x14ac:dyDescent="0.25">
      <c r="A143" s="49" t="s">
        <v>152</v>
      </c>
      <c r="B143" s="113" t="s">
        <v>222</v>
      </c>
      <c r="C143" s="114"/>
      <c r="D143" s="114"/>
      <c r="E143" s="114"/>
      <c r="F143" s="114"/>
      <c r="G143" s="114"/>
      <c r="H143" s="115"/>
    </row>
    <row r="144" spans="1:11" s="31" customFormat="1" x14ac:dyDescent="0.25">
      <c r="A144" s="49" t="s">
        <v>152</v>
      </c>
      <c r="B144" s="113" t="str">
        <f>(IF(F115="Saleable area Loading :","We have considered Saleable area of Flats as per our Calculation.","We considered Saleable area of Flat as per Builder area Sheet."))</f>
        <v>We considered Saleable area of Flat as per Builder area Sheet.</v>
      </c>
      <c r="C144" s="114"/>
      <c r="D144" s="114"/>
      <c r="E144" s="114"/>
      <c r="F144" s="114"/>
      <c r="G144" s="114"/>
      <c r="H144" s="115"/>
    </row>
    <row r="145" spans="1:15" s="31" customFormat="1" x14ac:dyDescent="0.25">
      <c r="A145" s="54" t="s">
        <v>152</v>
      </c>
      <c r="B145" s="116" t="s">
        <v>123</v>
      </c>
      <c r="C145" s="117"/>
      <c r="D145" s="117"/>
      <c r="E145" s="117"/>
      <c r="F145" s="117"/>
      <c r="G145" s="117"/>
      <c r="H145" s="118"/>
    </row>
    <row r="146" spans="1:15" s="31" customFormat="1" x14ac:dyDescent="0.25">
      <c r="A146" s="54" t="s">
        <v>152</v>
      </c>
      <c r="B146" s="116" t="s">
        <v>203</v>
      </c>
      <c r="C146" s="117"/>
      <c r="D146" s="117"/>
      <c r="E146" s="117"/>
      <c r="F146" s="117"/>
      <c r="G146" s="117"/>
      <c r="H146" s="118"/>
    </row>
    <row r="147" spans="1:15" s="31" customFormat="1" x14ac:dyDescent="0.25">
      <c r="A147" s="54" t="s">
        <v>152</v>
      </c>
      <c r="B147" s="116" t="s">
        <v>151</v>
      </c>
      <c r="C147" s="117"/>
      <c r="D147" s="117"/>
      <c r="E147" s="117"/>
      <c r="F147" s="117"/>
      <c r="G147" s="117"/>
      <c r="H147" s="118"/>
    </row>
    <row r="148" spans="1:15" s="31" customFormat="1" x14ac:dyDescent="0.25">
      <c r="A148" s="54" t="s">
        <v>152</v>
      </c>
      <c r="B148" s="116" t="s">
        <v>124</v>
      </c>
      <c r="C148" s="117"/>
      <c r="D148" s="117"/>
      <c r="E148" s="117"/>
      <c r="F148" s="117"/>
      <c r="G148" s="117"/>
      <c r="H148" s="118"/>
    </row>
    <row r="149" spans="1:15" s="31" customFormat="1" ht="34.5" customHeight="1" x14ac:dyDescent="0.25">
      <c r="A149" s="54" t="s">
        <v>152</v>
      </c>
      <c r="B149" s="116" t="s">
        <v>153</v>
      </c>
      <c r="C149" s="117"/>
      <c r="D149" s="117"/>
      <c r="E149" s="117"/>
      <c r="F149" s="117"/>
      <c r="G149" s="117"/>
      <c r="H149" s="118"/>
    </row>
    <row r="150" spans="1:15" s="31" customFormat="1" x14ac:dyDescent="0.25">
      <c r="A150" s="54" t="s">
        <v>152</v>
      </c>
      <c r="B150" s="116" t="s">
        <v>125</v>
      </c>
      <c r="C150" s="117"/>
      <c r="D150" s="117"/>
      <c r="E150" s="117"/>
      <c r="F150" s="117"/>
      <c r="G150" s="117"/>
      <c r="H150" s="118"/>
    </row>
    <row r="151" spans="1:15" s="31" customFormat="1" ht="33" customHeight="1" x14ac:dyDescent="0.25">
      <c r="A151" s="54" t="s">
        <v>152</v>
      </c>
      <c r="B151" s="116" t="s">
        <v>216</v>
      </c>
      <c r="C151" s="117"/>
      <c r="D151" s="117"/>
      <c r="E151" s="117"/>
      <c r="F151" s="117"/>
      <c r="G151" s="117"/>
      <c r="H151" s="118"/>
      <c r="I151" s="113" t="s">
        <v>209</v>
      </c>
      <c r="J151" s="114"/>
      <c r="K151" s="114"/>
      <c r="L151" s="114"/>
      <c r="M151" s="114"/>
      <c r="N151" s="114"/>
      <c r="O151" s="115"/>
    </row>
    <row r="152" spans="1:15" s="31" customFormat="1" ht="32.25" hidden="1" customHeight="1" x14ac:dyDescent="0.25">
      <c r="A152" s="54" t="s">
        <v>152</v>
      </c>
      <c r="B152" s="167" t="s">
        <v>219</v>
      </c>
      <c r="C152" s="168"/>
      <c r="D152" s="168"/>
      <c r="E152" s="168"/>
      <c r="F152" s="168"/>
      <c r="G152" s="168"/>
      <c r="H152" s="169"/>
    </row>
    <row r="153" spans="1:15" x14ac:dyDescent="0.25">
      <c r="A153" s="104" t="s">
        <v>63</v>
      </c>
      <c r="B153" s="104"/>
      <c r="C153" s="104"/>
      <c r="D153" s="104"/>
      <c r="E153" s="104"/>
      <c r="F153" s="104"/>
      <c r="G153" s="104"/>
      <c r="H153" s="104"/>
      <c r="I153" s="166"/>
    </row>
    <row r="154" spans="1:15" x14ac:dyDescent="0.25">
      <c r="A154" s="70" t="s">
        <v>64</v>
      </c>
      <c r="B154" s="70"/>
      <c r="C154" s="70"/>
      <c r="D154" s="70"/>
      <c r="E154" s="70"/>
      <c r="F154" s="70"/>
      <c r="G154" s="70"/>
      <c r="H154" s="70"/>
    </row>
    <row r="155" spans="1:15" ht="15.75" customHeight="1" x14ac:dyDescent="0.25">
      <c r="A155" s="71" t="s">
        <v>65</v>
      </c>
      <c r="B155" s="71"/>
      <c r="C155" s="71"/>
      <c r="D155" s="71"/>
      <c r="E155" s="71"/>
      <c r="F155" s="71"/>
      <c r="G155" s="71"/>
      <c r="H155" s="71"/>
    </row>
    <row r="156" spans="1:15" x14ac:dyDescent="0.25">
      <c r="A156" s="70" t="s">
        <v>66</v>
      </c>
      <c r="B156" s="70"/>
      <c r="C156" s="70"/>
      <c r="D156" s="70"/>
      <c r="E156" s="70"/>
      <c r="F156" s="70"/>
      <c r="G156" s="70"/>
      <c r="H156" s="70"/>
    </row>
    <row r="157" spans="1:15" x14ac:dyDescent="0.25">
      <c r="A157" s="70" t="s">
        <v>67</v>
      </c>
      <c r="B157" s="70"/>
      <c r="C157" s="70"/>
      <c r="D157" s="70"/>
      <c r="E157" s="70"/>
      <c r="F157" s="70"/>
      <c r="G157" s="70"/>
      <c r="H157" s="70"/>
    </row>
    <row r="158" spans="1:15" x14ac:dyDescent="0.25">
      <c r="A158" s="70" t="s">
        <v>126</v>
      </c>
      <c r="B158" s="70"/>
      <c r="C158" s="70"/>
      <c r="D158" s="70"/>
      <c r="E158" s="70"/>
      <c r="F158" s="70"/>
      <c r="G158" s="70"/>
      <c r="H158" s="70"/>
    </row>
    <row r="159" spans="1:15" ht="35.25" customHeight="1" x14ac:dyDescent="0.25">
      <c r="A159" s="105" t="s">
        <v>127</v>
      </c>
      <c r="B159" s="105"/>
      <c r="C159" s="105"/>
      <c r="D159" s="105"/>
      <c r="E159" s="105"/>
      <c r="F159" s="105"/>
      <c r="G159" s="105"/>
      <c r="H159" s="105"/>
    </row>
    <row r="160" spans="1:15" x14ac:dyDescent="0.25">
      <c r="A160" s="121" t="s">
        <v>78</v>
      </c>
      <c r="B160" s="121"/>
      <c r="C160" s="121" t="s">
        <v>213</v>
      </c>
      <c r="D160" s="121"/>
      <c r="E160" s="121" t="s">
        <v>106</v>
      </c>
      <c r="F160" s="121"/>
      <c r="G160" s="121" t="s">
        <v>220</v>
      </c>
      <c r="H160" s="121"/>
    </row>
    <row r="161" spans="1:8" x14ac:dyDescent="0.25">
      <c r="A161" s="120" t="s">
        <v>80</v>
      </c>
      <c r="B161" s="120"/>
      <c r="C161" s="120"/>
      <c r="D161" s="120"/>
      <c r="E161" s="120"/>
      <c r="F161" s="120"/>
      <c r="G161" s="120"/>
      <c r="H161" s="120"/>
    </row>
    <row r="162" spans="1:8" x14ac:dyDescent="0.25">
      <c r="A162" s="120"/>
      <c r="B162" s="120"/>
      <c r="C162" s="120"/>
      <c r="D162" s="120"/>
      <c r="E162" s="120"/>
      <c r="F162" s="120"/>
      <c r="G162" s="120"/>
      <c r="H162" s="120"/>
    </row>
    <row r="163" spans="1:8" x14ac:dyDescent="0.25">
      <c r="A163" s="120"/>
      <c r="B163" s="120"/>
      <c r="C163" s="120"/>
      <c r="D163" s="120"/>
      <c r="E163" s="120"/>
      <c r="F163" s="120"/>
      <c r="G163" s="120"/>
      <c r="H163" s="120"/>
    </row>
    <row r="164" spans="1:8" x14ac:dyDescent="0.25">
      <c r="A164" s="120"/>
      <c r="B164" s="120"/>
      <c r="C164" s="120"/>
      <c r="D164" s="120"/>
      <c r="E164" s="120"/>
      <c r="F164" s="120"/>
      <c r="G164" s="120"/>
      <c r="H164" s="120"/>
    </row>
    <row r="165" spans="1:8" x14ac:dyDescent="0.25">
      <c r="A165" s="34" t="s">
        <v>68</v>
      </c>
      <c r="B165" s="35"/>
      <c r="C165" s="35"/>
      <c r="D165" s="34" t="str">
        <f>E8</f>
        <v>Belantara Phase III</v>
      </c>
      <c r="F165" s="35"/>
      <c r="G165" s="35"/>
      <c r="H165" s="35"/>
    </row>
    <row r="166" spans="1:8" x14ac:dyDescent="0.25">
      <c r="A166" s="35"/>
      <c r="B166" s="35"/>
      <c r="C166" s="35"/>
      <c r="D166" s="35"/>
      <c r="E166" s="35"/>
      <c r="F166" s="35"/>
      <c r="G166" s="35"/>
      <c r="H166" s="35"/>
    </row>
    <row r="167" spans="1:8" x14ac:dyDescent="0.25">
      <c r="A167" s="35"/>
      <c r="B167" s="35"/>
      <c r="C167" s="35"/>
      <c r="D167" s="35"/>
      <c r="E167" s="35"/>
      <c r="F167" s="35"/>
      <c r="G167" s="35"/>
      <c r="H167" s="35"/>
    </row>
    <row r="168" spans="1:8" ht="15" customHeight="1" x14ac:dyDescent="0.25"/>
    <row r="201" spans="1:1" x14ac:dyDescent="0.25">
      <c r="A201" s="37" t="s">
        <v>69</v>
      </c>
    </row>
  </sheetData>
  <mergeCells count="275">
    <mergeCell ref="I151:O151"/>
    <mergeCell ref="B150:H150"/>
    <mergeCell ref="A16:B16"/>
    <mergeCell ref="C16:H16"/>
    <mergeCell ref="A38:B38"/>
    <mergeCell ref="C38:H38"/>
    <mergeCell ref="B149:H149"/>
    <mergeCell ref="A47:B47"/>
    <mergeCell ref="C47:H47"/>
    <mergeCell ref="B147:H147"/>
    <mergeCell ref="G84:H93"/>
    <mergeCell ref="A85:B85"/>
    <mergeCell ref="A86:B86"/>
    <mergeCell ref="A87:B87"/>
    <mergeCell ref="F96:H96"/>
    <mergeCell ref="A96:E96"/>
    <mergeCell ref="A98:E98"/>
    <mergeCell ref="A82:B82"/>
    <mergeCell ref="C82:H82"/>
    <mergeCell ref="A83:B83"/>
    <mergeCell ref="E83:F83"/>
    <mergeCell ref="G83:H83"/>
    <mergeCell ref="A100:E100"/>
    <mergeCell ref="F100:H100"/>
    <mergeCell ref="A101:E101"/>
    <mergeCell ref="F98:H98"/>
    <mergeCell ref="A84:B84"/>
    <mergeCell ref="E84:F93"/>
    <mergeCell ref="A91:B91"/>
    <mergeCell ref="A92:B92"/>
    <mergeCell ref="A93:B93"/>
    <mergeCell ref="F94:H94"/>
    <mergeCell ref="F99:H99"/>
    <mergeCell ref="A97:E97"/>
    <mergeCell ref="A94:E94"/>
    <mergeCell ref="F97:H97"/>
    <mergeCell ref="A95:E95"/>
    <mergeCell ref="A116:H116"/>
    <mergeCell ref="A129:H129"/>
    <mergeCell ref="A117:H117"/>
    <mergeCell ref="A130:H130"/>
    <mergeCell ref="A118:H118"/>
    <mergeCell ref="A119:B119"/>
    <mergeCell ref="A123:B123"/>
    <mergeCell ref="A102:E102"/>
    <mergeCell ref="A99:E99"/>
    <mergeCell ref="F102:H102"/>
    <mergeCell ref="F105:H105"/>
    <mergeCell ref="F103:H103"/>
    <mergeCell ref="A112:B112"/>
    <mergeCell ref="E112:F112"/>
    <mergeCell ref="F104:H104"/>
    <mergeCell ref="A105:E105"/>
    <mergeCell ref="G112:H112"/>
    <mergeCell ref="G111:H111"/>
    <mergeCell ref="A111:B111"/>
    <mergeCell ref="C111:D111"/>
    <mergeCell ref="A104:E104"/>
    <mergeCell ref="A103:E103"/>
    <mergeCell ref="F101:H101"/>
    <mergeCell ref="E111:F111"/>
    <mergeCell ref="A59:C59"/>
    <mergeCell ref="A60:C60"/>
    <mergeCell ref="D59:H59"/>
    <mergeCell ref="E70:F79"/>
    <mergeCell ref="G70:H79"/>
    <mergeCell ref="A78:B78"/>
    <mergeCell ref="A79:B79"/>
    <mergeCell ref="D60:H60"/>
    <mergeCell ref="A42:D42"/>
    <mergeCell ref="E42:H42"/>
    <mergeCell ref="E43:H43"/>
    <mergeCell ref="E44:H44"/>
    <mergeCell ref="E45:H45"/>
    <mergeCell ref="A43:D43"/>
    <mergeCell ref="A77:B77"/>
    <mergeCell ref="A44:D44"/>
    <mergeCell ref="A45:D45"/>
    <mergeCell ref="A46:H46"/>
    <mergeCell ref="D56:H56"/>
    <mergeCell ref="A56:C56"/>
    <mergeCell ref="G49:H49"/>
    <mergeCell ref="A50:B51"/>
    <mergeCell ref="A76:B76"/>
    <mergeCell ref="A69:B69"/>
    <mergeCell ref="A36:H36"/>
    <mergeCell ref="A35:B35"/>
    <mergeCell ref="C35:E35"/>
    <mergeCell ref="C37:H37"/>
    <mergeCell ref="A40:D40"/>
    <mergeCell ref="E40:H40"/>
    <mergeCell ref="F32:H32"/>
    <mergeCell ref="F33:H33"/>
    <mergeCell ref="A39:H39"/>
    <mergeCell ref="F35:H35"/>
    <mergeCell ref="A37:B37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71:B71"/>
    <mergeCell ref="A73:B73"/>
    <mergeCell ref="E69:F69"/>
    <mergeCell ref="A62:C62"/>
    <mergeCell ref="D62:H62"/>
    <mergeCell ref="A65:C65"/>
    <mergeCell ref="D65:H65"/>
    <mergeCell ref="A63:C63"/>
    <mergeCell ref="D63:H63"/>
    <mergeCell ref="A64:C64"/>
    <mergeCell ref="D64:H64"/>
    <mergeCell ref="A70:B70"/>
    <mergeCell ref="G69:H69"/>
    <mergeCell ref="A161:H164"/>
    <mergeCell ref="A160:B160"/>
    <mergeCell ref="E160:F160"/>
    <mergeCell ref="C160:D160"/>
    <mergeCell ref="G160:H160"/>
    <mergeCell ref="A106:E106"/>
    <mergeCell ref="F106:H106"/>
    <mergeCell ref="A107:E107"/>
    <mergeCell ref="F107:H107"/>
    <mergeCell ref="A110:B110"/>
    <mergeCell ref="A156:H156"/>
    <mergeCell ref="A108:H108"/>
    <mergeCell ref="A159:H159"/>
    <mergeCell ref="A157:H157"/>
    <mergeCell ref="C110:D110"/>
    <mergeCell ref="E110:F110"/>
    <mergeCell ref="A153:H153"/>
    <mergeCell ref="A154:H154"/>
    <mergeCell ref="E109:F109"/>
    <mergeCell ref="B151:H151"/>
    <mergeCell ref="B152:H152"/>
    <mergeCell ref="B148:H148"/>
    <mergeCell ref="A113:H113"/>
    <mergeCell ref="A114:H114"/>
    <mergeCell ref="A137:B137"/>
    <mergeCell ref="A134:B134"/>
    <mergeCell ref="B143:H143"/>
    <mergeCell ref="B144:H144"/>
    <mergeCell ref="B145:H145"/>
    <mergeCell ref="B146:H146"/>
    <mergeCell ref="A142:H142"/>
    <mergeCell ref="A135:B135"/>
    <mergeCell ref="A136:B136"/>
    <mergeCell ref="A139:B139"/>
    <mergeCell ref="A140:B140"/>
    <mergeCell ref="A141:B141"/>
    <mergeCell ref="G132:H141"/>
    <mergeCell ref="C109:D109"/>
    <mergeCell ref="G109:H109"/>
    <mergeCell ref="C112:D112"/>
    <mergeCell ref="A120:B120"/>
    <mergeCell ref="A121:B121"/>
    <mergeCell ref="A122:B122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A72:B72"/>
    <mergeCell ref="A68:B68"/>
    <mergeCell ref="A66:B66"/>
    <mergeCell ref="C66:H66"/>
    <mergeCell ref="A74:B74"/>
    <mergeCell ref="A61:C61"/>
    <mergeCell ref="D61:H61"/>
    <mergeCell ref="C68:H68"/>
    <mergeCell ref="E41:H41"/>
    <mergeCell ref="A41:D41"/>
    <mergeCell ref="A158:H158"/>
    <mergeCell ref="A155:H155"/>
    <mergeCell ref="A109:B109"/>
    <mergeCell ref="G115:H115"/>
    <mergeCell ref="A88:B88"/>
    <mergeCell ref="A89:B89"/>
    <mergeCell ref="A90:B90"/>
    <mergeCell ref="A80:B80"/>
    <mergeCell ref="C80:H80"/>
    <mergeCell ref="A75:B75"/>
    <mergeCell ref="F95:H95"/>
    <mergeCell ref="G110:H110"/>
    <mergeCell ref="A48:B48"/>
    <mergeCell ref="C48:E48"/>
    <mergeCell ref="G48:H48"/>
    <mergeCell ref="G50:H50"/>
    <mergeCell ref="D54:H54"/>
    <mergeCell ref="C50:E50"/>
    <mergeCell ref="A57:C58"/>
    <mergeCell ref="D57:H57"/>
    <mergeCell ref="D58:H58"/>
    <mergeCell ref="A138:B138"/>
    <mergeCell ref="A124:B124"/>
    <mergeCell ref="A125:B125"/>
    <mergeCell ref="A126:B126"/>
    <mergeCell ref="A127:B127"/>
    <mergeCell ref="A128:B128"/>
    <mergeCell ref="G119:H128"/>
    <mergeCell ref="A132:B132"/>
    <mergeCell ref="A133:B133"/>
    <mergeCell ref="A131:H131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36" max="7" man="1"/>
    <brk id="65" max="16383" man="1"/>
    <brk id="151" max="7" man="1"/>
    <brk id="164" max="16383" man="1"/>
    <brk id="20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3" zoomScale="85" zoomScaleNormal="85" workbookViewId="0">
      <selection activeCell="B15" sqref="B15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65" t="s">
        <v>107</v>
      </c>
      <c r="C3" s="165"/>
      <c r="D3" s="165"/>
      <c r="E3" s="165"/>
      <c r="F3" s="165"/>
      <c r="G3" s="165"/>
      <c r="H3" s="165"/>
    </row>
    <row r="4" spans="1:9" x14ac:dyDescent="0.25">
      <c r="A4" s="2"/>
      <c r="B4" s="3" t="s">
        <v>108</v>
      </c>
      <c r="C4" s="3" t="s">
        <v>109</v>
      </c>
      <c r="D4" s="3" t="s">
        <v>71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2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2025-07-10T11:02:11Z</cp:lastPrinted>
  <dcterms:created xsi:type="dcterms:W3CDTF">2019-07-16T09:29:46Z</dcterms:created>
  <dcterms:modified xsi:type="dcterms:W3CDTF">2025-07-10T11:05:30Z</dcterms:modified>
</cp:coreProperties>
</file>