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Pending\"/>
    </mc:Choice>
  </mc:AlternateContent>
  <bookViews>
    <workbookView xWindow="0" yWindow="0" windowWidth="16875" windowHeight="699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1" l="1"/>
  <c r="C109" i="1" s="1"/>
  <c r="C93" i="1"/>
  <c r="C95" i="1" s="1"/>
  <c r="C79" i="1"/>
  <c r="C81" i="1" s="1"/>
  <c r="C80" i="1" l="1"/>
  <c r="C94" i="1"/>
  <c r="C108" i="1"/>
  <c r="D59" i="1"/>
  <c r="D298" i="1"/>
  <c r="E298" i="1"/>
  <c r="D285" i="1"/>
  <c r="G285" i="1"/>
  <c r="E285" i="1"/>
  <c r="D284" i="1"/>
  <c r="F284" i="1" s="1"/>
  <c r="H284" i="1" s="1"/>
  <c r="D283" i="1"/>
  <c r="F283" i="1" s="1"/>
  <c r="H283" i="1" s="1"/>
  <c r="A283" i="1"/>
  <c r="A284" i="1" s="1"/>
  <c r="A285" i="1" s="1"/>
  <c r="E282" i="1"/>
  <c r="D282" i="1"/>
  <c r="G280" i="1"/>
  <c r="G278" i="1"/>
  <c r="G279" i="1"/>
  <c r="G277" i="1"/>
  <c r="G276" i="1"/>
  <c r="D276" i="1"/>
  <c r="D280" i="1"/>
  <c r="F280" i="1" s="1"/>
  <c r="D279" i="1"/>
  <c r="F279" i="1" s="1"/>
  <c r="E276" i="1"/>
  <c r="D275" i="1"/>
  <c r="F275" i="1" s="1"/>
  <c r="H275" i="1" s="1"/>
  <c r="D274" i="1"/>
  <c r="F274" i="1" s="1"/>
  <c r="H274" i="1" s="1"/>
  <c r="A274" i="1"/>
  <c r="A275" i="1" s="1"/>
  <c r="A276" i="1" s="1"/>
  <c r="E273" i="1"/>
  <c r="D273" i="1"/>
  <c r="D271" i="1"/>
  <c r="E271" i="1"/>
  <c r="D270" i="1"/>
  <c r="F270" i="1" s="1"/>
  <c r="H270" i="1" s="1"/>
  <c r="D269" i="1"/>
  <c r="F269" i="1" s="1"/>
  <c r="H269" i="1" s="1"/>
  <c r="A269" i="1"/>
  <c r="A270" i="1" s="1"/>
  <c r="A271" i="1" s="1"/>
  <c r="E268" i="1"/>
  <c r="D268" i="1"/>
  <c r="G325" i="1"/>
  <c r="D325" i="1"/>
  <c r="F325" i="1" s="1"/>
  <c r="G324" i="1"/>
  <c r="D324" i="1"/>
  <c r="F324" i="1" s="1"/>
  <c r="G323" i="1"/>
  <c r="D323" i="1"/>
  <c r="F323" i="1" s="1"/>
  <c r="G322" i="1"/>
  <c r="D322" i="1"/>
  <c r="F322" i="1" s="1"/>
  <c r="G321" i="1"/>
  <c r="D321" i="1"/>
  <c r="F321" i="1" s="1"/>
  <c r="D320" i="1"/>
  <c r="F320" i="1" s="1"/>
  <c r="H320" i="1" s="1"/>
  <c r="D319" i="1"/>
  <c r="F319" i="1" s="1"/>
  <c r="H319" i="1" s="1"/>
  <c r="A319" i="1"/>
  <c r="A320" i="1" s="1"/>
  <c r="A321" i="1" s="1"/>
  <c r="A322" i="1" s="1"/>
  <c r="A323" i="1" s="1"/>
  <c r="A324" i="1" s="1"/>
  <c r="A325" i="1" s="1"/>
  <c r="G318" i="1"/>
  <c r="D318" i="1"/>
  <c r="F318" i="1" s="1"/>
  <c r="E316" i="1"/>
  <c r="D316" i="1"/>
  <c r="G315" i="1"/>
  <c r="E315" i="1"/>
  <c r="D315" i="1"/>
  <c r="E314" i="1"/>
  <c r="D314" i="1"/>
  <c r="E313" i="1"/>
  <c r="D313" i="1"/>
  <c r="E312" i="1"/>
  <c r="D312" i="1"/>
  <c r="D311" i="1"/>
  <c r="F311" i="1" s="1"/>
  <c r="H311" i="1" s="1"/>
  <c r="D310" i="1"/>
  <c r="F310" i="1" s="1"/>
  <c r="H310" i="1" s="1"/>
  <c r="A310" i="1"/>
  <c r="A311" i="1" s="1"/>
  <c r="A312" i="1" s="1"/>
  <c r="A313" i="1" s="1"/>
  <c r="A314" i="1" s="1"/>
  <c r="A315" i="1" s="1"/>
  <c r="A316" i="1" s="1"/>
  <c r="E309" i="1"/>
  <c r="D309" i="1"/>
  <c r="E307" i="1"/>
  <c r="D307" i="1"/>
  <c r="E306" i="1"/>
  <c r="D306" i="1"/>
  <c r="E305" i="1"/>
  <c r="D305" i="1"/>
  <c r="E304" i="1"/>
  <c r="D304" i="1"/>
  <c r="E303" i="1"/>
  <c r="D303" i="1"/>
  <c r="D302" i="1"/>
  <c r="F302" i="1" s="1"/>
  <c r="H302" i="1" s="1"/>
  <c r="D301" i="1"/>
  <c r="F301" i="1" s="1"/>
  <c r="H301" i="1" s="1"/>
  <c r="A301" i="1"/>
  <c r="A302" i="1" s="1"/>
  <c r="A303" i="1" s="1"/>
  <c r="A304" i="1" s="1"/>
  <c r="A305" i="1" s="1"/>
  <c r="A306" i="1" s="1"/>
  <c r="A307" i="1" s="1"/>
  <c r="E300" i="1"/>
  <c r="D300" i="1"/>
  <c r="E296" i="1"/>
  <c r="D296" i="1"/>
  <c r="E295" i="1"/>
  <c r="D295" i="1"/>
  <c r="E294" i="1"/>
  <c r="D294" i="1"/>
  <c r="D293" i="1"/>
  <c r="F293" i="1" s="1"/>
  <c r="H293" i="1" s="1"/>
  <c r="D292" i="1"/>
  <c r="F292" i="1" s="1"/>
  <c r="H292" i="1" s="1"/>
  <c r="A292" i="1"/>
  <c r="A293" i="1" s="1"/>
  <c r="A294" i="1" s="1"/>
  <c r="A296" i="1" s="1"/>
  <c r="A297" i="1" s="1"/>
  <c r="A298" i="1" s="1"/>
  <c r="E291" i="1"/>
  <c r="D291" i="1"/>
  <c r="E289" i="1"/>
  <c r="D289" i="1"/>
  <c r="E288" i="1"/>
  <c r="D288" i="1"/>
  <c r="D287" i="1"/>
  <c r="F287" i="1" s="1"/>
  <c r="H287" i="1" s="1"/>
  <c r="G286" i="1"/>
  <c r="D286" i="1"/>
  <c r="F286" i="1" s="1"/>
  <c r="A287" i="1"/>
  <c r="A288" i="1" s="1"/>
  <c r="A289" i="1" s="1"/>
  <c r="D278" i="1"/>
  <c r="F278" i="1" s="1"/>
  <c r="D277" i="1"/>
  <c r="F277" i="1" s="1"/>
  <c r="A278" i="1"/>
  <c r="A279" i="1" s="1"/>
  <c r="A280" i="1" s="1"/>
  <c r="D236" i="1"/>
  <c r="E236" i="1"/>
  <c r="G225" i="1"/>
  <c r="D225" i="1"/>
  <c r="F225" i="1" s="1"/>
  <c r="D224" i="1"/>
  <c r="F224" i="1" s="1"/>
  <c r="H224" i="1" s="1"/>
  <c r="A224" i="1"/>
  <c r="D223" i="1"/>
  <c r="F223" i="1" s="1"/>
  <c r="H223" i="1" s="1"/>
  <c r="G222" i="1"/>
  <c r="D222" i="1"/>
  <c r="F222" i="1" s="1"/>
  <c r="G215" i="1"/>
  <c r="D215" i="1"/>
  <c r="F215" i="1" s="1"/>
  <c r="D217" i="1"/>
  <c r="F217" i="1" s="1"/>
  <c r="H217" i="1" s="1"/>
  <c r="D216" i="1"/>
  <c r="F216" i="1" s="1"/>
  <c r="H216" i="1" s="1"/>
  <c r="G218" i="1"/>
  <c r="D218" i="1"/>
  <c r="F218" i="1" s="1"/>
  <c r="G220" i="1"/>
  <c r="G219" i="1"/>
  <c r="G263" i="1"/>
  <c r="D263" i="1"/>
  <c r="F263" i="1" s="1"/>
  <c r="G262" i="1"/>
  <c r="D262" i="1"/>
  <c r="F262" i="1" s="1"/>
  <c r="G261" i="1"/>
  <c r="D261" i="1"/>
  <c r="F261" i="1" s="1"/>
  <c r="G260" i="1"/>
  <c r="D260" i="1"/>
  <c r="F260" i="1" s="1"/>
  <c r="G259" i="1"/>
  <c r="D259" i="1"/>
  <c r="F259" i="1" s="1"/>
  <c r="D258" i="1"/>
  <c r="F258" i="1" s="1"/>
  <c r="H258" i="1" s="1"/>
  <c r="D257" i="1"/>
  <c r="F257" i="1" s="1"/>
  <c r="H257" i="1" s="1"/>
  <c r="A257" i="1"/>
  <c r="A258" i="1" s="1"/>
  <c r="A259" i="1" s="1"/>
  <c r="A260" i="1" s="1"/>
  <c r="A261" i="1" s="1"/>
  <c r="A262" i="1" s="1"/>
  <c r="A263" i="1" s="1"/>
  <c r="G256" i="1"/>
  <c r="D256" i="1"/>
  <c r="F256" i="1" s="1"/>
  <c r="E254" i="1"/>
  <c r="D254" i="1"/>
  <c r="G253" i="1"/>
  <c r="E253" i="1"/>
  <c r="D253" i="1"/>
  <c r="E252" i="1"/>
  <c r="D252" i="1"/>
  <c r="E251" i="1"/>
  <c r="D251" i="1"/>
  <c r="E250" i="1"/>
  <c r="D250" i="1"/>
  <c r="D249" i="1"/>
  <c r="F249" i="1" s="1"/>
  <c r="H249" i="1" s="1"/>
  <c r="D248" i="1"/>
  <c r="F248" i="1" s="1"/>
  <c r="H248" i="1" s="1"/>
  <c r="A248" i="1"/>
  <c r="A249" i="1" s="1"/>
  <c r="A250" i="1" s="1"/>
  <c r="A251" i="1" s="1"/>
  <c r="A252" i="1" s="1"/>
  <c r="A253" i="1" s="1"/>
  <c r="A254" i="1" s="1"/>
  <c r="E247" i="1"/>
  <c r="D247" i="1"/>
  <c r="E245" i="1"/>
  <c r="D245" i="1"/>
  <c r="E244" i="1"/>
  <c r="D244" i="1"/>
  <c r="E243" i="1"/>
  <c r="D243" i="1"/>
  <c r="E242" i="1"/>
  <c r="D242" i="1"/>
  <c r="E241" i="1"/>
  <c r="D241" i="1"/>
  <c r="D240" i="1"/>
  <c r="F240" i="1" s="1"/>
  <c r="H240" i="1" s="1"/>
  <c r="D239" i="1"/>
  <c r="F239" i="1" s="1"/>
  <c r="H239" i="1" s="1"/>
  <c r="A239" i="1"/>
  <c r="A240" i="1" s="1"/>
  <c r="A241" i="1" s="1"/>
  <c r="A242" i="1" s="1"/>
  <c r="A243" i="1" s="1"/>
  <c r="A244" i="1" s="1"/>
  <c r="A245" i="1" s="1"/>
  <c r="E238" i="1"/>
  <c r="D238" i="1"/>
  <c r="E234" i="1"/>
  <c r="D234" i="1"/>
  <c r="E233" i="1"/>
  <c r="D233" i="1"/>
  <c r="E232" i="1"/>
  <c r="D232" i="1"/>
  <c r="D231" i="1"/>
  <c r="F231" i="1" s="1"/>
  <c r="H231" i="1" s="1"/>
  <c r="D230" i="1"/>
  <c r="F230" i="1" s="1"/>
  <c r="H230" i="1" s="1"/>
  <c r="A230" i="1"/>
  <c r="A231" i="1" s="1"/>
  <c r="A232" i="1" s="1"/>
  <c r="E229" i="1"/>
  <c r="D229" i="1"/>
  <c r="D227" i="1"/>
  <c r="F227" i="1" s="1"/>
  <c r="H227" i="1" s="1"/>
  <c r="G226" i="1"/>
  <c r="D226" i="1"/>
  <c r="F226" i="1" s="1"/>
  <c r="D220" i="1"/>
  <c r="F220" i="1" s="1"/>
  <c r="D219" i="1"/>
  <c r="F219" i="1" s="1"/>
  <c r="G203" i="1"/>
  <c r="D203" i="1"/>
  <c r="F203" i="1" s="1"/>
  <c r="G206" i="1"/>
  <c r="D206" i="1"/>
  <c r="F206" i="1" s="1"/>
  <c r="G210" i="1"/>
  <c r="D210" i="1"/>
  <c r="F210" i="1" s="1"/>
  <c r="G209" i="1"/>
  <c r="D209" i="1"/>
  <c r="F209" i="1" s="1"/>
  <c r="D208" i="1"/>
  <c r="F208" i="1" s="1"/>
  <c r="G208" i="1"/>
  <c r="G207" i="1"/>
  <c r="D207" i="1"/>
  <c r="F207" i="1" s="1"/>
  <c r="D205" i="1"/>
  <c r="F205" i="1" s="1"/>
  <c r="H205" i="1" s="1"/>
  <c r="D204" i="1"/>
  <c r="F204" i="1" s="1"/>
  <c r="H204" i="1" s="1"/>
  <c r="A204" i="1"/>
  <c r="A205" i="1" s="1"/>
  <c r="A206" i="1" s="1"/>
  <c r="A207" i="1" s="1"/>
  <c r="A208" i="1" s="1"/>
  <c r="A209" i="1" s="1"/>
  <c r="A210" i="1" s="1"/>
  <c r="E200" i="1"/>
  <c r="E201" i="1"/>
  <c r="E199" i="1"/>
  <c r="E198" i="1"/>
  <c r="E197" i="1"/>
  <c r="E185" i="1"/>
  <c r="D198" i="1"/>
  <c r="D197" i="1"/>
  <c r="D194" i="1"/>
  <c r="D201" i="1"/>
  <c r="G200" i="1"/>
  <c r="D200" i="1"/>
  <c r="D199" i="1"/>
  <c r="D196" i="1"/>
  <c r="F196" i="1" s="1"/>
  <c r="H196" i="1" s="1"/>
  <c r="D195" i="1"/>
  <c r="F195" i="1" s="1"/>
  <c r="H195" i="1" s="1"/>
  <c r="A195" i="1"/>
  <c r="A196" i="1" s="1"/>
  <c r="A197" i="1" s="1"/>
  <c r="A198" i="1" s="1"/>
  <c r="A199" i="1" s="1"/>
  <c r="A200" i="1" s="1"/>
  <c r="A201" i="1" s="1"/>
  <c r="E194" i="1"/>
  <c r="E192" i="1"/>
  <c r="E191" i="1"/>
  <c r="E190" i="1"/>
  <c r="E189" i="1"/>
  <c r="E183" i="1"/>
  <c r="E182" i="1"/>
  <c r="E188" i="1"/>
  <c r="D188" i="1"/>
  <c r="D187" i="1"/>
  <c r="F187" i="1" s="1"/>
  <c r="H187" i="1" s="1"/>
  <c r="D186" i="1"/>
  <c r="F186" i="1" s="1"/>
  <c r="H186" i="1" s="1"/>
  <c r="D185" i="1"/>
  <c r="D190" i="1"/>
  <c r="D189" i="1"/>
  <c r="D192" i="1"/>
  <c r="D191" i="1"/>
  <c r="D183" i="1"/>
  <c r="D182" i="1"/>
  <c r="E181" i="1"/>
  <c r="D181" i="1"/>
  <c r="E179" i="1"/>
  <c r="D179" i="1"/>
  <c r="D178" i="1"/>
  <c r="D177" i="1"/>
  <c r="E176" i="1"/>
  <c r="D176" i="1"/>
  <c r="A186" i="1"/>
  <c r="A187" i="1" s="1"/>
  <c r="A188" i="1" s="1"/>
  <c r="A189" i="1" s="1"/>
  <c r="A190" i="1" s="1"/>
  <c r="A191" i="1" s="1"/>
  <c r="A192" i="1" s="1"/>
  <c r="E174" i="1"/>
  <c r="D174" i="1"/>
  <c r="E173" i="1"/>
  <c r="D173" i="1"/>
  <c r="D172" i="1"/>
  <c r="F172" i="1" s="1"/>
  <c r="H172" i="1" s="1"/>
  <c r="G171" i="1"/>
  <c r="D171" i="1"/>
  <c r="F171" i="1" s="1"/>
  <c r="A168" i="1"/>
  <c r="A169" i="1" s="1"/>
  <c r="A170" i="1" s="1"/>
  <c r="A171" i="1" s="1"/>
  <c r="A172" i="1" s="1"/>
  <c r="A173" i="1" s="1"/>
  <c r="A174" i="1" s="1"/>
  <c r="E165" i="1"/>
  <c r="E164" i="1"/>
  <c r="G162" i="1"/>
  <c r="D165" i="1"/>
  <c r="D164" i="1"/>
  <c r="D163" i="1"/>
  <c r="F163" i="1" s="1"/>
  <c r="H163" i="1" s="1"/>
  <c r="J163" i="1" s="1"/>
  <c r="D162" i="1"/>
  <c r="F162" i="1" s="1"/>
  <c r="E156" i="1"/>
  <c r="D156" i="1"/>
  <c r="E155" i="1"/>
  <c r="D155" i="1"/>
  <c r="J155" i="1"/>
  <c r="I155" i="1"/>
  <c r="A150" i="1"/>
  <c r="A151" i="1" s="1"/>
  <c r="A152" i="1" s="1"/>
  <c r="A153" i="1" s="1"/>
  <c r="A154" i="1" s="1"/>
  <c r="A155" i="1" s="1"/>
  <c r="A156" i="1" s="1"/>
  <c r="A159" i="1"/>
  <c r="A160" i="1" s="1"/>
  <c r="A161" i="1" s="1"/>
  <c r="A162" i="1" s="1"/>
  <c r="A163" i="1" s="1"/>
  <c r="A164" i="1" s="1"/>
  <c r="A165" i="1" s="1"/>
  <c r="F201" i="1" l="1"/>
  <c r="H201" i="1" s="1"/>
  <c r="H162" i="1"/>
  <c r="F298" i="1"/>
  <c r="H298" i="1" s="1"/>
  <c r="F307" i="1"/>
  <c r="H307" i="1" s="1"/>
  <c r="H279" i="1"/>
  <c r="F282" i="1"/>
  <c r="H282" i="1" s="1"/>
  <c r="F295" i="1"/>
  <c r="H295" i="1" s="1"/>
  <c r="F288" i="1"/>
  <c r="H288" i="1" s="1"/>
  <c r="F300" i="1"/>
  <c r="H300" i="1" s="1"/>
  <c r="F304" i="1"/>
  <c r="H304" i="1" s="1"/>
  <c r="H280" i="1"/>
  <c r="F276" i="1"/>
  <c r="H276" i="1" s="1"/>
  <c r="F273" i="1"/>
  <c r="H273" i="1" s="1"/>
  <c r="F285" i="1"/>
  <c r="H285" i="1" s="1"/>
  <c r="F309" i="1"/>
  <c r="H309" i="1" s="1"/>
  <c r="H318" i="1"/>
  <c r="H278" i="1"/>
  <c r="F289" i="1"/>
  <c r="H289" i="1" s="1"/>
  <c r="F303" i="1"/>
  <c r="H303" i="1" s="1"/>
  <c r="F305" i="1"/>
  <c r="H305" i="1" s="1"/>
  <c r="H286" i="1"/>
  <c r="F236" i="1"/>
  <c r="H236" i="1" s="1"/>
  <c r="H277" i="1"/>
  <c r="F294" i="1"/>
  <c r="H294" i="1" s="1"/>
  <c r="F315" i="1"/>
  <c r="H315" i="1" s="1"/>
  <c r="H322" i="1"/>
  <c r="H324" i="1"/>
  <c r="F312" i="1"/>
  <c r="H312" i="1" s="1"/>
  <c r="F314" i="1"/>
  <c r="H314" i="1" s="1"/>
  <c r="H323" i="1"/>
  <c r="F268" i="1"/>
  <c r="F271" i="1"/>
  <c r="H271" i="1" s="1"/>
  <c r="F291" i="1"/>
  <c r="H291" i="1" s="1"/>
  <c r="F296" i="1"/>
  <c r="H296" i="1" s="1"/>
  <c r="F306" i="1"/>
  <c r="H306" i="1" s="1"/>
  <c r="F313" i="1"/>
  <c r="H313" i="1" s="1"/>
  <c r="F316" i="1"/>
  <c r="H316" i="1" s="1"/>
  <c r="H321" i="1"/>
  <c r="H325" i="1"/>
  <c r="A234" i="1"/>
  <c r="H225" i="1"/>
  <c r="H260" i="1"/>
  <c r="H262" i="1"/>
  <c r="H222" i="1"/>
  <c r="F183" i="1"/>
  <c r="H183" i="1" s="1"/>
  <c r="H256" i="1"/>
  <c r="H171" i="1"/>
  <c r="H215" i="1"/>
  <c r="F245" i="1"/>
  <c r="H245" i="1" s="1"/>
  <c r="F234" i="1"/>
  <c r="H234" i="1" s="1"/>
  <c r="F253" i="1"/>
  <c r="H253" i="1" s="1"/>
  <c r="H226" i="1"/>
  <c r="F232" i="1"/>
  <c r="H232" i="1" s="1"/>
  <c r="F238" i="1"/>
  <c r="H238" i="1" s="1"/>
  <c r="H209" i="1"/>
  <c r="H206" i="1"/>
  <c r="F247" i="1"/>
  <c r="H247" i="1" s="1"/>
  <c r="F250" i="1"/>
  <c r="H250" i="1" s="1"/>
  <c r="F252" i="1"/>
  <c r="H252" i="1" s="1"/>
  <c r="F182" i="1"/>
  <c r="H182" i="1" s="1"/>
  <c r="H218" i="1"/>
  <c r="A217" i="1"/>
  <c r="H220" i="1"/>
  <c r="F243" i="1"/>
  <c r="H243" i="1" s="1"/>
  <c r="F197" i="1"/>
  <c r="H197" i="1" s="1"/>
  <c r="H210" i="1"/>
  <c r="H203" i="1"/>
  <c r="F251" i="1"/>
  <c r="H251" i="1" s="1"/>
  <c r="F254" i="1"/>
  <c r="H254" i="1" s="1"/>
  <c r="H261" i="1"/>
  <c r="H263" i="1"/>
  <c r="F242" i="1"/>
  <c r="H242" i="1" s="1"/>
  <c r="F244" i="1"/>
  <c r="H244" i="1" s="1"/>
  <c r="F194" i="1"/>
  <c r="H194" i="1" s="1"/>
  <c r="F200" i="1"/>
  <c r="H200" i="1" s="1"/>
  <c r="F229" i="1"/>
  <c r="H229" i="1" s="1"/>
  <c r="F241" i="1"/>
  <c r="H241" i="1" s="1"/>
  <c r="H259" i="1"/>
  <c r="I156" i="1"/>
  <c r="H219" i="1"/>
  <c r="F233" i="1"/>
  <c r="H233" i="1" s="1"/>
  <c r="F156" i="1"/>
  <c r="H156" i="1" s="1"/>
  <c r="F174" i="1"/>
  <c r="F188" i="1"/>
  <c r="H188" i="1" s="1"/>
  <c r="F190" i="1"/>
  <c r="H190" i="1" s="1"/>
  <c r="H207" i="1"/>
  <c r="F185" i="1"/>
  <c r="H185" i="1" s="1"/>
  <c r="H208" i="1"/>
  <c r="F173" i="1"/>
  <c r="H173" i="1" s="1"/>
  <c r="F192" i="1"/>
  <c r="H192" i="1" s="1"/>
  <c r="F181" i="1"/>
  <c r="H181" i="1" s="1"/>
  <c r="F191" i="1"/>
  <c r="H191" i="1" s="1"/>
  <c r="F164" i="1"/>
  <c r="F199" i="1"/>
  <c r="H199" i="1" s="1"/>
  <c r="F198" i="1"/>
  <c r="H198" i="1" s="1"/>
  <c r="F189" i="1"/>
  <c r="H189" i="1" s="1"/>
  <c r="F165" i="1"/>
  <c r="H165" i="1" s="1"/>
  <c r="F155" i="1"/>
  <c r="H155" i="1" s="1"/>
  <c r="K155" i="1" s="1"/>
  <c r="H138" i="1"/>
  <c r="F139" i="1"/>
  <c r="F140" i="1"/>
  <c r="F141" i="1"/>
  <c r="F138" i="1"/>
  <c r="H139" i="1"/>
  <c r="H140" i="1"/>
  <c r="H141" i="1"/>
  <c r="F179" i="1"/>
  <c r="H179" i="1" s="1"/>
  <c r="F178" i="1"/>
  <c r="H178" i="1" s="1"/>
  <c r="F177" i="1"/>
  <c r="H177" i="1" s="1"/>
  <c r="F176" i="1"/>
  <c r="H176" i="1" s="1"/>
  <c r="B329" i="1"/>
  <c r="B328" i="1"/>
  <c r="H268" i="1" l="1"/>
  <c r="G131" i="1" s="1"/>
  <c r="E131" i="1"/>
  <c r="C131" i="1"/>
  <c r="H164" i="1"/>
  <c r="J164" i="1" s="1"/>
  <c r="E130" i="1"/>
  <c r="C130" i="1"/>
  <c r="G130" i="1"/>
  <c r="H174" i="1"/>
  <c r="E129" i="1"/>
  <c r="C129" i="1"/>
  <c r="C15" i="1"/>
  <c r="E132" i="1" l="1"/>
  <c r="C132" i="1"/>
  <c r="G129" i="1"/>
  <c r="G132" i="1" s="1"/>
  <c r="Z12" i="1"/>
  <c r="I14" i="1"/>
  <c r="E43" i="1" l="1"/>
  <c r="E44" i="1" s="1"/>
  <c r="E30" i="1" l="1"/>
  <c r="F126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51" i="1"/>
  <c r="A177" i="1"/>
  <c r="A178" i="1" s="1"/>
  <c r="A179" i="1" s="1"/>
  <c r="A180" i="1" s="1"/>
  <c r="A181" i="1" s="1"/>
  <c r="A182" i="1" s="1"/>
  <c r="A183" i="1" s="1"/>
  <c r="A139" i="1"/>
  <c r="A140" i="1" s="1"/>
  <c r="A141" i="1" s="1"/>
  <c r="C100" i="1"/>
  <c r="B101" i="1" s="1"/>
  <c r="C86" i="1"/>
  <c r="B87" i="1" s="1"/>
  <c r="C72" i="1"/>
  <c r="B73" i="1" s="1"/>
  <c r="G50" i="1"/>
  <c r="G51" i="1" s="1"/>
  <c r="C50" i="1"/>
  <c r="C51" i="1" s="1"/>
  <c r="E27" i="1"/>
  <c r="E25" i="1"/>
  <c r="E7" i="1"/>
  <c r="E3" i="1"/>
  <c r="H101" i="1"/>
  <c r="D66" i="1" l="1"/>
  <c r="J100" i="1"/>
  <c r="J102" i="1" s="1"/>
  <c r="J104" i="1"/>
  <c r="D113" i="1"/>
  <c r="D111" i="1"/>
  <c r="D109" i="1"/>
  <c r="D107" i="1"/>
  <c r="J105" i="1"/>
  <c r="C104" i="1" s="1"/>
  <c r="J103" i="1"/>
  <c r="J106" i="1"/>
  <c r="J107" i="1" s="1"/>
  <c r="J112" i="1" s="1"/>
  <c r="D112" i="1"/>
  <c r="D110" i="1"/>
  <c r="D108" i="1"/>
  <c r="H87" i="1"/>
  <c r="H73" i="1"/>
  <c r="J91" i="1" l="1"/>
  <c r="C90" i="1" s="1"/>
  <c r="D90" i="1" s="1"/>
  <c r="J89" i="1"/>
  <c r="J92" i="1"/>
  <c r="J86" i="1"/>
  <c r="J88" i="1" s="1"/>
  <c r="D94" i="1"/>
  <c r="D96" i="1"/>
  <c r="D99" i="1"/>
  <c r="D93" i="1"/>
  <c r="D97" i="1"/>
  <c r="D98" i="1"/>
  <c r="D95" i="1"/>
  <c r="J90" i="1"/>
  <c r="D85" i="1"/>
  <c r="D83" i="1"/>
  <c r="D82" i="1"/>
  <c r="D79" i="1"/>
  <c r="D81" i="1"/>
  <c r="J78" i="1"/>
  <c r="D84" i="1"/>
  <c r="J72" i="1"/>
  <c r="J74" i="1" s="1"/>
  <c r="D80" i="1"/>
  <c r="J76" i="1"/>
  <c r="J77" i="1"/>
  <c r="C76" i="1" s="1"/>
  <c r="J75" i="1"/>
  <c r="J108" i="1"/>
  <c r="J109" i="1" s="1"/>
  <c r="J110" i="1" s="1"/>
  <c r="J111" i="1" s="1"/>
  <c r="J113" i="1" s="1"/>
  <c r="C105" i="1" s="1"/>
  <c r="J94" i="1"/>
  <c r="J95" i="1" s="1"/>
  <c r="J96" i="1" s="1"/>
  <c r="J97" i="1" s="1"/>
  <c r="J80" i="1"/>
  <c r="J81" i="1" s="1"/>
  <c r="J82" i="1" s="1"/>
  <c r="J83" i="1" s="1"/>
  <c r="D106" i="1"/>
  <c r="D104" i="1"/>
  <c r="D92" i="1"/>
  <c r="D78" i="1"/>
  <c r="J93" i="1" l="1"/>
  <c r="J79" i="1"/>
  <c r="J84" i="1" s="1"/>
  <c r="J85" i="1" s="1"/>
  <c r="C77" i="1" s="1"/>
  <c r="D76" i="1"/>
  <c r="E104" i="1"/>
  <c r="G104" i="1"/>
  <c r="D105" i="1"/>
  <c r="I101" i="1" s="1"/>
  <c r="J101" i="1"/>
  <c r="J98" i="1" l="1"/>
  <c r="J99" i="1" s="1"/>
  <c r="C91" i="1" s="1"/>
  <c r="J87" i="1" s="1"/>
  <c r="G76" i="1"/>
  <c r="D70" i="1" s="1"/>
  <c r="I102" i="1"/>
  <c r="I100" i="1" s="1"/>
  <c r="C102" i="1" s="1"/>
  <c r="E90" i="1" l="1"/>
  <c r="E76" i="1"/>
  <c r="D77" i="1"/>
  <c r="I73" i="1" s="1"/>
  <c r="I74" i="1" s="1"/>
  <c r="J73" i="1"/>
  <c r="D71" i="1"/>
  <c r="F71" i="1"/>
  <c r="G90" i="1"/>
  <c r="D91" i="1"/>
  <c r="I87" i="1" s="1"/>
  <c r="I88" i="1" s="1"/>
  <c r="I72" i="1" l="1"/>
  <c r="C74" i="1" s="1"/>
  <c r="I86" i="1"/>
  <c r="C8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<sst xmlns="http://schemas.openxmlformats.org/spreadsheetml/2006/main" count="629" uniqueCount="308">
  <si>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</si>
  <si>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</si>
  <si>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</si>
  <si>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</si>
  <si>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</si>
  <si>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</si>
  <si>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</si>
  <si>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</si>
  <si>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</si>
  <si>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</si>
  <si>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</si>
  <si>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</si>
  <si>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</si>
  <si>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</si>
  <si>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</si>
  <si>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</si>
  <si>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</si>
  <si>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</si>
  <si>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</si>
  <si>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</si>
  <si>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</si>
  <si>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</si>
  <si>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</si>
  <si>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</si>
  <si>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</si>
  <si>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</si>
  <si>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</si>
  <si>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</si>
  <si>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</si>
  <si>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</si>
  <si>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</si>
  <si>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</si>
  <si>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</si>
  <si>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</si>
  <si>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</si>
  <si>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</si>
  <si>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</si>
  <si>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</si>
  <si>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</si>
  <si>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</si>
  <si>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</si>
  <si>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</si>
  <si>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</si>
  <si>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</si>
  <si>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</si>
  <si>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</si>
  <si>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</si>
  <si>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</si>
  <si>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</si>
  <si>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</si>
  <si>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</si>
  <si>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</si>
  <si>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</si>
  <si>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</si>
  <si>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</si>
  <si>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</si>
  <si>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</si>
  <si>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</si>
  <si>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</si>
  <si>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</si>
  <si>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</si>
  <si>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</si>
  <si>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</si>
  <si>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</si>
  <si>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</si>
  <si>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</si>
  <si>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</si>
  <si>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</si>
  <si>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</si>
  <si>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</si>
  <si>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</si>
  <si>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</si>
  <si>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</si>
  <si>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</si>
  <si>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</si>
  <si>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</si>
  <si>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</si>
  <si>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</si>
  <si>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</si>
  <si>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</si>
  <si>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</si>
  <si>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</si>
  <si>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</si>
  <si>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</si>
  <si>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</si>
  <si>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</si>
  <si>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</si>
  <si>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</si>
  <si>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</si>
  <si>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</si>
  <si>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</si>
  <si>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</si>
  <si>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</si>
  <si>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</si>
  <si>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</si>
  <si>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</si>
  <si>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</si>
  <si>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</si>
  <si>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</si>
  <si>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</si>
  <si>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</si>
  <si>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</si>
  <si>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</si>
  <si>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</si>
  <si>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</si>
  <si>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</si>
  <si>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</si>
  <si>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</si>
  <si>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</si>
  <si>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</si>
  <si>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</si>
  <si>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</si>
  <si>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</si>
  <si>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</si>
  <si>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</si>
  <si>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</si>
  <si>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</si>
  <si>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</si>
  <si>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</si>
  <si>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</si>
  <si>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</si>
  <si>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</si>
  <si>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</si>
  <si>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</si>
  <si>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</si>
  <si>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</si>
  <si>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</si>
  <si>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</si>
  <si>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</si>
  <si>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</si>
  <si>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</si>
  <si>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</si>
  <si>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</si>
  <si>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</si>
  <si>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</si>
  <si>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</si>
  <si>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</si>
  <si>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</si>
  <si>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</si>
  <si>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</si>
  <si>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</si>
  <si>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</si>
  <si>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</si>
  <si>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</si>
  <si>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</si>
  <si>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</si>
  <si>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</si>
  <si>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</si>
  <si>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</si>
  <si>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</si>
  <si>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</si>
  <si>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</si>
  <si>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</si>
  <si>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</si>
  <si>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</si>
  <si>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</si>
  <si>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</si>
  <si>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</si>
  <si>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</si>
  <si>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</si>
  <si>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</si>
  <si>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</si>
  <si>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</si>
  <si>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</si>
  <si>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</si>
  <si>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</si>
  <si>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</si>
  <si>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</si>
  <si>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</si>
  <si>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</si>
  <si>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>Floor Rise Rate from    Floor</t>
  </si>
  <si>
    <t>CTS No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</si>
  <si>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</si>
  <si>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</si>
  <si>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</si>
  <si>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</si>
  <si>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</si>
  <si>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</si>
  <si>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</si>
  <si>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</si>
  <si>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</si>
  <si>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</si>
  <si>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</si>
  <si>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</si>
  <si>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</si>
  <si>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</si>
  <si>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</si>
  <si>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</si>
  <si>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</si>
  <si>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</si>
  <si>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</si>
  <si>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</si>
  <si>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</si>
  <si>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</si>
  <si>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</si>
  <si>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</si>
  <si>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</si>
  <si>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</si>
  <si>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</si>
  <si>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</si>
  <si>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</si>
  <si>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</si>
  <si>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</si>
  <si>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</si>
  <si>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</si>
  <si>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</si>
  <si>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</si>
  <si>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</si>
  <si>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</si>
  <si>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</si>
  <si>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</si>
  <si>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</si>
  <si>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</si>
  <si>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</si>
  <si>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</si>
  <si>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</si>
  <si>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</si>
  <si>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</si>
  <si>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</si>
  <si>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</si>
  <si>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</si>
  <si>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</si>
  <si>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</si>
  <si>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</si>
  <si>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</si>
  <si>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</si>
  <si>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</si>
  <si>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Fungible area</t>
  </si>
  <si>
    <t>Carpet area</t>
  </si>
  <si>
    <t xml:space="preserve">Please check for Environment Clearance Certificate.
</t>
  </si>
  <si>
    <t>Keyur Jangbari – 9819651321</t>
  </si>
  <si>
    <t>P51700050312</t>
  </si>
  <si>
    <t>As per RERA - 31/12/2029</t>
  </si>
  <si>
    <t>Oberoi Realty Limited</t>
  </si>
  <si>
    <t>Forestville ­ Phase 1</t>
  </si>
  <si>
    <t>8.6 KM from Thane Railway Station</t>
  </si>
  <si>
    <t>Tower A, B &amp; C</t>
  </si>
  <si>
    <t>Kolshet</t>
  </si>
  <si>
    <t>Thane West</t>
  </si>
  <si>
    <t>Kolshet Road</t>
  </si>
  <si>
    <t>Sandoz Baug</t>
  </si>
  <si>
    <t>Lodha Supremus</t>
  </si>
  <si>
    <t xml:space="preserve">Other Plot </t>
  </si>
  <si>
    <t>Open Plot</t>
  </si>
  <si>
    <t>https://maps.app.goo.gl/1GN97tERynKcqrFy9</t>
  </si>
  <si>
    <t>19.236606,72.989338</t>
  </si>
  <si>
    <t>03 Tower</t>
  </si>
  <si>
    <t xml:space="preserve">Thane Municipal Corporation (TMC)
</t>
  </si>
  <si>
    <t>S05/0196/20TMC/TD-DP/TPS/4477/23</t>
  </si>
  <si>
    <t>Tower A = G + 1st to 60th Floor
Tower B = G + 1st to 60th Floor
Tower C = G + 1st to 60th Floor</t>
  </si>
  <si>
    <t>Tower A = G + 1st to 60th Floor</t>
  </si>
  <si>
    <t>Tower B = G + 1st to 60th Floor</t>
  </si>
  <si>
    <t>Tower C = G + 1st to 60th Floor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</si>
  <si>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</si>
  <si>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Mini Theatre, Swimming Pool, Reflexology Park, Golf Course, Salon, High Speed Elevators, Squash Court, Spa, Steam Room, Skating Rink, Other Facilities
</t>
  </si>
  <si>
    <t>Tower A</t>
  </si>
  <si>
    <t>Ground Floor For Parking</t>
  </si>
  <si>
    <t>1st to 3rd Floor For Parking</t>
  </si>
  <si>
    <t>1st to 4th Floor For Parking</t>
  </si>
  <si>
    <t>5th Floor For Residential &amp; Parking</t>
  </si>
  <si>
    <t xml:space="preserve">Details of Residential in Building   </t>
  </si>
  <si>
    <t>3BHK</t>
  </si>
  <si>
    <t>1RK</t>
  </si>
  <si>
    <t>Parking Area</t>
  </si>
  <si>
    <t>6th Floor For Residential &amp; Parking</t>
  </si>
  <si>
    <t>4.5BHK Duplex with 7th Floor</t>
  </si>
  <si>
    <t>7th Floor For Residential &amp; Parking</t>
  </si>
  <si>
    <t>4.5BHK Duplex with 6th Floor</t>
  </si>
  <si>
    <t>8th, 13th, 18th, 23rd, 28th, 33rd, 38th, 43rd, 48th, 53rd &amp; 58th Floor (Part Refuge Area)</t>
  </si>
  <si>
    <t>Refuge Area</t>
  </si>
  <si>
    <t>9th to 12th, 14th to 17th, 19th to 22nd, 24th to 27th, 29th to 32nd, 34th to 37th, 39th to 42nd, 44th to 47th, 49th to 52nd &amp; 54th to 57th Floor</t>
  </si>
  <si>
    <t xml:space="preserve">59th Floor </t>
  </si>
  <si>
    <t>4.5BHK Duplex with 60th Floor</t>
  </si>
  <si>
    <t xml:space="preserve">60th Floor </t>
  </si>
  <si>
    <t>4.5BHK Duplex with 59th Floor</t>
  </si>
  <si>
    <t>Tower B</t>
  </si>
  <si>
    <t>Tower C</t>
  </si>
  <si>
    <t>1st to 5th Floor For Parking</t>
  </si>
  <si>
    <t>4th &amp; 5th Floor For Residential &amp; Parking</t>
  </si>
  <si>
    <t>3.5BHK</t>
  </si>
  <si>
    <t>6th Floor For Residential</t>
  </si>
  <si>
    <t xml:space="preserve">7th Floor </t>
  </si>
  <si>
    <t>4.5BHK</t>
  </si>
  <si>
    <t>Flats - 1257</t>
  </si>
  <si>
    <t>Tower A = G + 1st to 4th Parking + 5th (Part parking/Part Residential) + 6th to 12th Floor
Tower B = G + 1st to 5th Parking + 6th to 60th Floor
Tower C = G + 1st to 3rd Parking + 4th &amp; 5th (Part parking/ Part Residential ) + 6th to 60th Floor</t>
  </si>
  <si>
    <t xml:space="preserve">We considered Gross carpet area = Net carpet + Enclose balcony </t>
  </si>
  <si>
    <t>SNCR/WEST/B/021623/742017</t>
  </si>
  <si>
    <t>Valid Up to Dated</t>
  </si>
  <si>
    <t>329.82M</t>
  </si>
  <si>
    <t xml:space="preserve">Airports Authority of India 
NOC No.  </t>
  </si>
  <si>
    <t>Approved Plans, CC, Airport Noc</t>
  </si>
  <si>
    <t>Development &amp; Infrastructure Charges</t>
  </si>
  <si>
    <t>Club House Charges</t>
  </si>
  <si>
    <t>Corpus Fund</t>
  </si>
  <si>
    <t>14000 to 14500</t>
  </si>
  <si>
    <t>smith Pal</t>
  </si>
  <si>
    <t>cost sheet</t>
  </si>
  <si>
    <t>s</t>
  </si>
  <si>
    <t>Ajay Songare</t>
  </si>
  <si>
    <t xml:space="preserve">Recommended Rates/Other Charges of the Property have been revised on 11/10/2024.
</t>
  </si>
  <si>
    <t>14500 to 15800 Sanjay 11/10/2024 Cost Sheet</t>
  </si>
  <si>
    <t>RCC given as per discussion with sachin sir dated 15/04/2025</t>
  </si>
  <si>
    <t>S05/0196/20TMC/TDD/63</t>
  </si>
  <si>
    <t>Tower A = 13th to 60th Floor</t>
  </si>
  <si>
    <t xml:space="preserve">We have updated revised CC from RERA site (on 15/04/2025).
</t>
  </si>
  <si>
    <t>Pranita Mhatre</t>
  </si>
  <si>
    <t>Secutity</t>
  </si>
  <si>
    <t>Construction work is in process at the time of Visit. (Internal photographs not allowed.)
Construction stage details are taken from Miss. Shreya.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</si>
</sst>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24" fillId="0" borderId="1" xfId="0" applyFont="1" applyBorder="1"/>
    <xf numFmtId="0" fontId="24" fillId="0" borderId="5" xfId="0" applyFont="1" applyBorder="1"/>
    <xf numFmtId="0" fontId="7" fillId="2" borderId="0" xfId="1" applyFont="1" applyFill="1"/>
    <xf numFmtId="14" fontId="7" fillId="2" borderId="0" xfId="1" applyNumberFormat="1" applyFont="1" applyFill="1"/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6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391</xdr:row>
      <xdr:rowOff>0</xdr:rowOff>
    </xdr:from>
    <xdr:to>
      <xdr:col>6</xdr:col>
      <xdr:colOff>461587</xdr:colOff>
      <xdr:row>415</xdr:row>
      <xdr:rowOff>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402" y="94314509"/>
          <a:ext cx="4620270" cy="48965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152421</xdr:colOff>
      <xdr:row>415</xdr:row>
      <xdr:rowOff>156418</xdr:rowOff>
    </xdr:from>
    <xdr:to>
      <xdr:col>6</xdr:col>
      <xdr:colOff>309165</xdr:colOff>
      <xdr:row>431</xdr:row>
      <xdr:rowOff>165101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21" y="94847618"/>
          <a:ext cx="4512844" cy="31582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589979</xdr:colOff>
      <xdr:row>432</xdr:row>
      <xdr:rowOff>76538</xdr:rowOff>
    </xdr:from>
    <xdr:to>
      <xdr:col>6</xdr:col>
      <xdr:colOff>124898</xdr:colOff>
      <xdr:row>453</xdr:row>
      <xdr:rowOff>110288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39" t="15745" r="39471" b="8969"/>
        <a:stretch/>
      </xdr:blipFill>
      <xdr:spPr>
        <a:xfrm>
          <a:off x="1355381" y="103167654"/>
          <a:ext cx="3693602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459242</xdr:colOff>
      <xdr:row>454</xdr:row>
      <xdr:rowOff>17008</xdr:rowOff>
    </xdr:from>
    <xdr:to>
      <xdr:col>7</xdr:col>
      <xdr:colOff>229621</xdr:colOff>
      <xdr:row>471</xdr:row>
      <xdr:rowOff>150584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4454" t="32835" r="33583" b="17907"/>
        <a:stretch/>
      </xdr:blipFill>
      <xdr:spPr>
        <a:xfrm>
          <a:off x="459242" y="107811093"/>
          <a:ext cx="5459866" cy="360339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171178</xdr:colOff>
      <xdr:row>353</xdr:row>
      <xdr:rowOff>122737</xdr:rowOff>
    </xdr:from>
    <xdr:to>
      <xdr:col>15</xdr:col>
      <xdr:colOff>721723</xdr:colOff>
      <xdr:row>382</xdr:row>
      <xdr:rowOff>103958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289F9211-75FC-6D38-E1DD-91B85481A910}"/>
            </a:ext>
          </a:extLst>
        </xdr:cNvPr>
        <xdr:cNvGrpSpPr/>
      </xdr:nvGrpSpPr>
      <xdr:grpSpPr>
        <a:xfrm>
          <a:off x="6638653" y="87428887"/>
          <a:ext cx="6256020" cy="5772421"/>
          <a:chOff x="115105" y="122767"/>
          <a:chExt cx="6135419" cy="5596769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D640A52F-0423-1325-CC0A-12F9D1A76E32}"/>
              </a:ext>
            </a:extLst>
          </xdr:cNvPr>
          <xdr:cNvGrpSpPr/>
        </xdr:nvGrpSpPr>
        <xdr:grpSpPr>
          <a:xfrm>
            <a:off x="489742" y="3199536"/>
            <a:ext cx="5386144" cy="2520000"/>
            <a:chOff x="594661" y="3199536"/>
            <a:chExt cx="5386144" cy="2520000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B10C7276-17D4-5EC2-B23B-FA22371E19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92774" y="3199536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17977F7A-384D-5B5E-857B-B229B42892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94661" y="3199536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5B8BDEE2-5720-B640-A8A4-BF142AEFD840}"/>
              </a:ext>
            </a:extLst>
          </xdr:cNvPr>
          <xdr:cNvGrpSpPr/>
        </xdr:nvGrpSpPr>
        <xdr:grpSpPr>
          <a:xfrm>
            <a:off x="115105" y="122767"/>
            <a:ext cx="6135419" cy="2880000"/>
            <a:chOff x="115105" y="122767"/>
            <a:chExt cx="6135419" cy="288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82FE9915-BCDB-88E9-BC5F-83C3C05C4BC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92774" y="122767"/>
              <a:ext cx="2157750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DBAF7960-68E0-5342-F1EF-37C2AC930E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5105" y="122767"/>
              <a:ext cx="3836445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1</xdr:col>
      <xdr:colOff>161925</xdr:colOff>
      <xdr:row>351</xdr:row>
      <xdr:rowOff>142876</xdr:rowOff>
    </xdr:from>
    <xdr:to>
      <xdr:col>6</xdr:col>
      <xdr:colOff>657225</xdr:colOff>
      <xdr:row>389</xdr:row>
      <xdr:rowOff>1</xdr:rowOff>
    </xdr:to>
    <xdr:grpSp>
      <xdr:nvGrpSpPr>
        <xdr:cNvPr id="20" name="Group 19"/>
        <xdr:cNvGrpSpPr/>
      </xdr:nvGrpSpPr>
      <xdr:grpSpPr>
        <a:xfrm>
          <a:off x="923925" y="87048976"/>
          <a:ext cx="4648200" cy="7448550"/>
          <a:chOff x="923925" y="87990590"/>
          <a:chExt cx="4631871" cy="7599590"/>
        </a:xfrm>
      </xdr:grpSpPr>
      <xdr:grpSp>
        <xdr:nvGrpSpPr>
          <xdr:cNvPr id="13" name="Group 12"/>
          <xdr:cNvGrpSpPr/>
        </xdr:nvGrpSpPr>
        <xdr:grpSpPr>
          <a:xfrm>
            <a:off x="923925" y="87990590"/>
            <a:ext cx="4631871" cy="7599590"/>
            <a:chOff x="1162050" y="568324"/>
            <a:chExt cx="4669488" cy="8167101"/>
          </a:xfrm>
        </xdr:grpSpPr>
        <xdr:pic>
          <xdr:nvPicPr>
            <xdr:cNvPr id="14" name="Picture 13" descr="https://vsjcllp.vsjadon.com/upload/insp-239701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213225" y="657542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Picture 15" descr="https://vsjcllp.vsjadon.com/upload/insp-239701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62050" y="6575425"/>
              <a:ext cx="287733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6" descr="https://vsjcllp.vsjadon.com/upload/insp-239701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04925" y="568324"/>
              <a:ext cx="4384074" cy="585152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2" name="TextBox 11"/>
          <xdr:cNvSpPr txBox="1"/>
        </xdr:nvSpPr>
        <xdr:spPr>
          <a:xfrm>
            <a:off x="1038224" y="90990964"/>
            <a:ext cx="1174296" cy="4558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Tower A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2012495" y="89533640"/>
            <a:ext cx="1167493" cy="3510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Tower B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3756931" y="88541680"/>
            <a:ext cx="1160689" cy="3510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Tower 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1GN97tERynKcqrFy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433"/>
  <sheetViews>
    <sheetView tabSelected="1" view="pageBreakPreview" topLeftCell="A329" zoomScaleNormal="100" zoomScaleSheetLayoutView="100" zoomScalePageLayoutView="85" workbookViewId="0">
      <selection activeCell="I338" sqref="I338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.42578125" style="40" customWidth="1"/>
    <col min="8" max="8" width="11.85546875" style="40" customWidth="1"/>
    <col min="9" max="9" width="17.42578125" style="21" customWidth="1"/>
    <col min="10" max="10" width="11.42578125" style="21" customWidth="1"/>
    <col min="11" max="11" width="11.8554687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49" t="s">
        <v>161</v>
      </c>
      <c r="B1" s="149"/>
      <c r="C1" s="149"/>
      <c r="D1" s="149"/>
      <c r="E1" s="149"/>
      <c r="F1" s="149"/>
      <c r="G1" s="149"/>
      <c r="H1" s="149"/>
    </row>
    <row r="2" spans="1:26" ht="16.5" customHeight="1" x14ac:dyDescent="0.25">
      <c r="A2" s="150" t="s">
        <v>0</v>
      </c>
      <c r="B2" s="150"/>
      <c r="C2" s="150"/>
      <c r="D2" s="150"/>
      <c r="E2" s="150"/>
      <c r="F2" s="150"/>
      <c r="G2" s="150"/>
      <c r="H2" s="150"/>
    </row>
    <row r="3" spans="1:26" x14ac:dyDescent="0.25">
      <c r="A3" s="113" t="s">
        <v>1</v>
      </c>
      <c r="B3" s="113"/>
      <c r="C3" s="113"/>
      <c r="D3" s="113"/>
      <c r="E3" s="113" t="str">
        <f ca="1">TEXT(TODAY(),"DD/MM/YYYY")</f>
        <v>10/07/2025</v>
      </c>
      <c r="F3" s="113"/>
      <c r="G3" s="113"/>
      <c r="H3" s="113"/>
    </row>
    <row r="4" spans="1:26" ht="15" customHeight="1" x14ac:dyDescent="0.25">
      <c r="A4" s="113" t="s">
        <v>2</v>
      </c>
      <c r="B4" s="113"/>
      <c r="C4" s="113"/>
      <c r="D4" s="113"/>
      <c r="E4" s="113" t="s">
        <v>166</v>
      </c>
      <c r="F4" s="113"/>
      <c r="G4" s="113"/>
      <c r="H4" s="113"/>
    </row>
    <row r="5" spans="1:26" x14ac:dyDescent="0.25">
      <c r="A5" s="113" t="s">
        <v>3</v>
      </c>
      <c r="B5" s="113"/>
      <c r="C5" s="113"/>
      <c r="D5" s="113"/>
      <c r="E5" s="151">
        <v>45846</v>
      </c>
      <c r="F5" s="113"/>
      <c r="G5" s="113"/>
      <c r="H5" s="113"/>
    </row>
    <row r="6" spans="1:26" ht="16.5" customHeight="1" x14ac:dyDescent="0.25">
      <c r="A6" s="113" t="s">
        <v>4</v>
      </c>
      <c r="B6" s="113"/>
      <c r="C6" s="113"/>
      <c r="D6" s="113"/>
      <c r="E6" s="113" t="s">
        <v>233</v>
      </c>
      <c r="F6" s="113"/>
      <c r="G6" s="113"/>
      <c r="H6" s="113"/>
    </row>
    <row r="7" spans="1:26" ht="15" customHeight="1" x14ac:dyDescent="0.25">
      <c r="A7" s="113" t="s">
        <v>5</v>
      </c>
      <c r="B7" s="113"/>
      <c r="C7" s="113"/>
      <c r="D7" s="113"/>
      <c r="E7" s="113" t="str">
        <f>E6</f>
        <v>Oberoi Realty Limited</v>
      </c>
      <c r="F7" s="113"/>
      <c r="G7" s="113"/>
      <c r="H7" s="113"/>
    </row>
    <row r="8" spans="1:26" x14ac:dyDescent="0.25">
      <c r="A8" s="113" t="s">
        <v>6</v>
      </c>
      <c r="B8" s="113"/>
      <c r="C8" s="113"/>
      <c r="D8" s="113"/>
      <c r="E8" s="140" t="s">
        <v>234</v>
      </c>
      <c r="F8" s="140"/>
      <c r="G8" s="140"/>
      <c r="H8" s="140"/>
    </row>
    <row r="9" spans="1:26" x14ac:dyDescent="0.25">
      <c r="A9" s="113" t="s">
        <v>163</v>
      </c>
      <c r="B9" s="113"/>
      <c r="C9" s="113"/>
      <c r="D9" s="113"/>
      <c r="E9" s="113" t="s">
        <v>230</v>
      </c>
      <c r="F9" s="113"/>
      <c r="G9" s="113"/>
      <c r="H9" s="113"/>
    </row>
    <row r="10" spans="1:26" x14ac:dyDescent="0.25">
      <c r="A10" s="113" t="s">
        <v>164</v>
      </c>
      <c r="B10" s="113"/>
      <c r="C10" s="113"/>
      <c r="D10" s="113"/>
      <c r="E10" s="113" t="s">
        <v>306</v>
      </c>
      <c r="F10" s="113"/>
      <c r="G10" s="113"/>
      <c r="H10" s="113"/>
    </row>
    <row r="11" spans="1:26" x14ac:dyDescent="0.25">
      <c r="A11" s="113" t="s">
        <v>7</v>
      </c>
      <c r="B11" s="113"/>
      <c r="C11" s="113"/>
      <c r="D11" s="113"/>
      <c r="E11" s="113" t="s">
        <v>236</v>
      </c>
      <c r="F11" s="113"/>
      <c r="G11" s="113"/>
      <c r="H11" s="113"/>
    </row>
    <row r="12" spans="1:26" hidden="1" x14ac:dyDescent="0.25">
      <c r="A12" s="113" t="s">
        <v>167</v>
      </c>
      <c r="B12" s="113"/>
      <c r="C12" s="113"/>
      <c r="D12" s="113"/>
      <c r="E12" s="113"/>
      <c r="F12" s="113"/>
      <c r="G12" s="113"/>
      <c r="H12" s="113"/>
      <c r="S12" s="54" t="s">
        <v>174</v>
      </c>
      <c r="T12" s="54" t="s">
        <v>184</v>
      </c>
      <c r="U12" s="54" t="s">
        <v>168</v>
      </c>
      <c r="V12" s="54" t="s">
        <v>189</v>
      </c>
      <c r="W12" s="54" t="s">
        <v>207</v>
      </c>
      <c r="X12"/>
      <c r="Y12" t="s">
        <v>189</v>
      </c>
      <c r="Z12" t="e">
        <f ca="1">OFFSET($S$12,1,MATCH($G19,$S$12:$W$12,0)-1,15,1)</f>
        <v>#VALUE!</v>
      </c>
    </row>
    <row r="13" spans="1:26" x14ac:dyDescent="0.25">
      <c r="A13" s="81" t="s">
        <v>8</v>
      </c>
      <c r="B13" s="81"/>
      <c r="C13" s="81"/>
      <c r="D13" s="81"/>
      <c r="E13" s="90" t="s">
        <v>290</v>
      </c>
      <c r="F13" s="90"/>
      <c r="G13" s="90"/>
      <c r="H13" s="90"/>
      <c r="S13" s="54" t="s">
        <v>175</v>
      </c>
      <c r="T13" s="54" t="s">
        <v>182</v>
      </c>
      <c r="U13" s="54" t="s">
        <v>204</v>
      </c>
      <c r="V13" s="54" t="s">
        <v>190</v>
      </c>
      <c r="W13" s="54" t="s">
        <v>208</v>
      </c>
      <c r="X13"/>
      <c r="Y13"/>
      <c r="Z13"/>
    </row>
    <row r="14" spans="1:26" x14ac:dyDescent="0.25">
      <c r="A14" s="81" t="s">
        <v>9</v>
      </c>
      <c r="B14" s="81"/>
      <c r="C14" s="81"/>
      <c r="D14" s="81"/>
      <c r="E14" s="90" t="s">
        <v>231</v>
      </c>
      <c r="F14" s="113"/>
      <c r="G14" s="113"/>
      <c r="H14" s="113"/>
      <c r="I14" s="190" t="e">
        <f ca="1">OFFSET($D$4,1,MATCH($J12,$D$4:$H$4,0)-1,15,1)</f>
        <v>#N/A</v>
      </c>
      <c r="J14" s="191"/>
      <c r="K14" s="191"/>
      <c r="L14" s="191"/>
      <c r="M14" s="191"/>
      <c r="N14" s="191"/>
      <c r="O14" s="191"/>
      <c r="P14" s="191"/>
      <c r="S14" s="54" t="s">
        <v>176</v>
      </c>
      <c r="T14" s="54" t="s">
        <v>183</v>
      </c>
      <c r="U14" s="54" t="s">
        <v>205</v>
      </c>
      <c r="V14" s="54" t="s">
        <v>191</v>
      </c>
      <c r="W14" s="54" t="s">
        <v>221</v>
      </c>
      <c r="X14"/>
      <c r="Y14"/>
      <c r="Z14"/>
    </row>
    <row r="15" spans="1:26" ht="34.5" customHeight="1" x14ac:dyDescent="0.25">
      <c r="A15" s="147" t="s">
        <v>10</v>
      </c>
      <c r="B15" s="147"/>
      <c r="C15" s="14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Forestville ­ Phase 1, CTS No.1141, near Lodha Supremus, Kolshet Road, Sandoz Baug, Kolshet, Thane West, Thane, Thane  - 400607.</v>
      </c>
      <c r="D15" s="147"/>
      <c r="E15" s="147"/>
      <c r="F15" s="147"/>
      <c r="G15" s="147"/>
      <c r="H15" s="147"/>
      <c r="S15" s="54" t="s">
        <v>177</v>
      </c>
      <c r="T15" s="54" t="s">
        <v>185</v>
      </c>
      <c r="U15" s="54" t="s">
        <v>206</v>
      </c>
      <c r="V15" s="54" t="s">
        <v>192</v>
      </c>
      <c r="W15" s="54" t="s">
        <v>209</v>
      </c>
      <c r="X15"/>
      <c r="Y15"/>
      <c r="Z15"/>
    </row>
    <row r="16" spans="1:26" x14ac:dyDescent="0.25">
      <c r="A16" s="90" t="s">
        <v>171</v>
      </c>
      <c r="B16" s="90"/>
      <c r="C16" s="90">
        <v>1141</v>
      </c>
      <c r="D16" s="90"/>
      <c r="E16" s="90"/>
      <c r="F16" s="90"/>
      <c r="G16" s="90"/>
      <c r="H16" s="90"/>
      <c r="S16" s="54" t="s">
        <v>178</v>
      </c>
      <c r="T16" s="54" t="s">
        <v>186</v>
      </c>
      <c r="U16" s="54" t="s">
        <v>168</v>
      </c>
      <c r="V16" s="54" t="s">
        <v>193</v>
      </c>
      <c r="W16" s="54" t="s">
        <v>210</v>
      </c>
      <c r="X16"/>
      <c r="Y16"/>
      <c r="Z16"/>
    </row>
    <row r="17" spans="1:26" ht="15.75" customHeight="1" x14ac:dyDescent="0.25">
      <c r="A17" s="90" t="s">
        <v>159</v>
      </c>
      <c r="B17" s="90"/>
      <c r="C17" s="90" t="s">
        <v>240</v>
      </c>
      <c r="D17" s="90"/>
      <c r="E17" s="90"/>
      <c r="F17" s="90"/>
      <c r="G17" s="90"/>
      <c r="H17" s="90"/>
      <c r="S17" s="54" t="s">
        <v>179</v>
      </c>
      <c r="T17" s="54" t="s">
        <v>184</v>
      </c>
      <c r="U17" s="54"/>
      <c r="V17" s="54" t="s">
        <v>194</v>
      </c>
      <c r="W17" s="54" t="s">
        <v>211</v>
      </c>
      <c r="X17"/>
      <c r="Y17"/>
      <c r="Z17"/>
    </row>
    <row r="18" spans="1:26" ht="15.75" customHeight="1" x14ac:dyDescent="0.25">
      <c r="A18" s="147" t="s">
        <v>11</v>
      </c>
      <c r="B18" s="147"/>
      <c r="C18" s="113" t="s">
        <v>239</v>
      </c>
      <c r="D18" s="113"/>
      <c r="E18" s="147" t="s">
        <v>72</v>
      </c>
      <c r="F18" s="147"/>
      <c r="G18" s="90" t="s">
        <v>237</v>
      </c>
      <c r="H18" s="90"/>
      <c r="S18" s="54" t="s">
        <v>180</v>
      </c>
      <c r="T18" s="54" t="s">
        <v>187</v>
      </c>
      <c r="U18" s="54"/>
      <c r="V18" s="54" t="s">
        <v>195</v>
      </c>
      <c r="W18" s="54" t="s">
        <v>212</v>
      </c>
      <c r="X18"/>
      <c r="Y18"/>
      <c r="Z18"/>
    </row>
    <row r="19" spans="1:26" x14ac:dyDescent="0.25">
      <c r="A19" s="81" t="s">
        <v>13</v>
      </c>
      <c r="B19" s="81"/>
      <c r="C19" s="90" t="s">
        <v>238</v>
      </c>
      <c r="D19" s="90"/>
      <c r="E19" s="147" t="s">
        <v>12</v>
      </c>
      <c r="F19" s="147"/>
      <c r="G19" s="148" t="s">
        <v>174</v>
      </c>
      <c r="H19" s="148"/>
      <c r="S19" s="54" t="s">
        <v>181</v>
      </c>
      <c r="T19" s="54" t="s">
        <v>188</v>
      </c>
      <c r="U19" s="54"/>
      <c r="V19" s="54" t="s">
        <v>196</v>
      </c>
      <c r="W19" s="54" t="s">
        <v>213</v>
      </c>
      <c r="X19"/>
      <c r="Y19"/>
      <c r="Z19"/>
    </row>
    <row r="20" spans="1:26" x14ac:dyDescent="0.25">
      <c r="A20" s="81" t="s">
        <v>73</v>
      </c>
      <c r="B20" s="81"/>
      <c r="C20" s="90" t="s">
        <v>175</v>
      </c>
      <c r="D20" s="90"/>
      <c r="E20" s="147" t="s">
        <v>14</v>
      </c>
      <c r="F20" s="147"/>
      <c r="G20" s="90">
        <v>400607</v>
      </c>
      <c r="H20" s="90"/>
      <c r="S20" s="54"/>
      <c r="T20" s="54"/>
      <c r="U20" s="54"/>
      <c r="V20" s="54" t="s">
        <v>197</v>
      </c>
      <c r="W20" s="54" t="s">
        <v>214</v>
      </c>
      <c r="X20"/>
      <c r="Y20"/>
      <c r="Z20"/>
    </row>
    <row r="21" spans="1:26" ht="32.25" customHeight="1" x14ac:dyDescent="0.25">
      <c r="A21" s="81" t="s">
        <v>118</v>
      </c>
      <c r="B21" s="81"/>
      <c r="C21" s="90" t="s">
        <v>241</v>
      </c>
      <c r="D21" s="90"/>
      <c r="E21" s="147" t="s">
        <v>15</v>
      </c>
      <c r="F21" s="147"/>
      <c r="G21" s="90" t="s">
        <v>235</v>
      </c>
      <c r="H21" s="90"/>
      <c r="S21" s="54"/>
      <c r="T21" s="54"/>
      <c r="U21" s="54"/>
      <c r="V21" s="54" t="s">
        <v>198</v>
      </c>
      <c r="W21" s="54" t="s">
        <v>215</v>
      </c>
      <c r="X21"/>
      <c r="Y21"/>
      <c r="Z21"/>
    </row>
    <row r="22" spans="1:26" ht="15" customHeight="1" x14ac:dyDescent="0.25">
      <c r="A22" s="147" t="s">
        <v>74</v>
      </c>
      <c r="B22" s="147"/>
      <c r="C22" s="147"/>
      <c r="D22" s="147"/>
      <c r="E22" s="113" t="s">
        <v>16</v>
      </c>
      <c r="F22" s="113"/>
      <c r="G22" s="113"/>
      <c r="H22" s="113"/>
      <c r="S22" s="54"/>
      <c r="T22" s="54"/>
      <c r="U22" s="54"/>
      <c r="V22" s="54" t="s">
        <v>199</v>
      </c>
      <c r="W22" s="54" t="s">
        <v>216</v>
      </c>
      <c r="X22"/>
      <c r="Y22"/>
      <c r="Z22"/>
    </row>
    <row r="23" spans="1:26" ht="18.75" customHeight="1" x14ac:dyDescent="0.25">
      <c r="A23" s="147"/>
      <c r="B23" s="147"/>
      <c r="C23" s="147"/>
      <c r="D23" s="147"/>
      <c r="E23" s="113"/>
      <c r="F23" s="113"/>
      <c r="G23" s="113"/>
      <c r="H23" s="113"/>
      <c r="S23" s="54"/>
      <c r="T23" s="54"/>
      <c r="U23" s="54"/>
      <c r="V23" s="54" t="s">
        <v>200</v>
      </c>
      <c r="W23" s="54" t="s">
        <v>217</v>
      </c>
      <c r="X23"/>
      <c r="Y23"/>
      <c r="Z23"/>
    </row>
    <row r="24" spans="1:26" ht="15" customHeight="1" x14ac:dyDescent="0.25">
      <c r="A24" s="147" t="s">
        <v>17</v>
      </c>
      <c r="B24" s="147"/>
      <c r="C24" s="147"/>
      <c r="D24" s="147"/>
      <c r="E24" s="90" t="s">
        <v>18</v>
      </c>
      <c r="F24" s="90"/>
      <c r="G24" s="90"/>
      <c r="H24" s="90"/>
      <c r="S24" s="54"/>
      <c r="T24" s="54"/>
      <c r="U24" s="54"/>
      <c r="V24" s="54" t="s">
        <v>201</v>
      </c>
      <c r="W24" s="54" t="s">
        <v>218</v>
      </c>
      <c r="X24"/>
      <c r="Y24"/>
      <c r="Z24"/>
    </row>
    <row r="25" spans="1:26" ht="15" customHeight="1" x14ac:dyDescent="0.25">
      <c r="A25" s="81" t="s">
        <v>19</v>
      </c>
      <c r="B25" s="81"/>
      <c r="C25" s="81"/>
      <c r="D25" s="81"/>
      <c r="E25" s="90" t="str">
        <f>IF(AND(G19="Mumbai"),"Upper Class","Middle Class")</f>
        <v>Middle Class</v>
      </c>
      <c r="F25" s="90"/>
      <c r="G25" s="90"/>
      <c r="H25" s="90"/>
      <c r="S25" s="54"/>
      <c r="T25" s="54"/>
      <c r="U25" s="54"/>
      <c r="V25" s="54" t="s">
        <v>202</v>
      </c>
      <c r="W25" s="54" t="s">
        <v>219</v>
      </c>
      <c r="X25"/>
      <c r="Y25"/>
      <c r="Z25"/>
    </row>
    <row r="26" spans="1:26" x14ac:dyDescent="0.25">
      <c r="A26" s="81" t="s">
        <v>20</v>
      </c>
      <c r="B26" s="81"/>
      <c r="C26" s="81"/>
      <c r="D26" s="81"/>
      <c r="E26" s="90" t="s">
        <v>21</v>
      </c>
      <c r="F26" s="90"/>
      <c r="G26" s="90"/>
      <c r="H26" s="90"/>
      <c r="S26" s="54"/>
      <c r="T26" s="54"/>
      <c r="U26" s="54"/>
      <c r="V26" s="54" t="s">
        <v>203</v>
      </c>
      <c r="W26" s="54" t="s">
        <v>220</v>
      </c>
      <c r="X26"/>
      <c r="Y26"/>
      <c r="Z26"/>
    </row>
    <row r="27" spans="1:26" ht="15.75" customHeight="1" x14ac:dyDescent="0.25">
      <c r="A27" s="81" t="s">
        <v>22</v>
      </c>
      <c r="B27" s="81"/>
      <c r="C27" s="81"/>
      <c r="D27" s="81"/>
      <c r="E27" s="90" t="str">
        <f>IF(AND(G19="Mumbai"),"Developed","Developing")</f>
        <v>Developing</v>
      </c>
      <c r="F27" s="90"/>
      <c r="G27" s="90"/>
      <c r="H27" s="90"/>
    </row>
    <row r="28" spans="1:26" x14ac:dyDescent="0.25">
      <c r="A28" s="81" t="s">
        <v>23</v>
      </c>
      <c r="B28" s="81"/>
      <c r="C28" s="81"/>
      <c r="D28" s="81"/>
      <c r="E28" s="90" t="s">
        <v>24</v>
      </c>
      <c r="F28" s="90"/>
      <c r="G28" s="90"/>
      <c r="H28" s="90"/>
    </row>
    <row r="29" spans="1:26" ht="15.75" customHeight="1" x14ac:dyDescent="0.25">
      <c r="A29" s="81" t="s">
        <v>79</v>
      </c>
      <c r="B29" s="81"/>
      <c r="C29" s="81"/>
      <c r="D29" s="81"/>
      <c r="E29" s="90" t="s">
        <v>80</v>
      </c>
      <c r="F29" s="90"/>
      <c r="G29" s="90"/>
      <c r="H29" s="90"/>
    </row>
    <row r="30" spans="1:26" ht="15" customHeight="1" x14ac:dyDescent="0.25">
      <c r="A30" s="81" t="s">
        <v>32</v>
      </c>
      <c r="B30" s="81"/>
      <c r="C30" s="81"/>
      <c r="D30" s="81"/>
      <c r="E30" s="90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</v>
      </c>
      <c r="F30" s="90"/>
      <c r="G30" s="90"/>
      <c r="H30" s="90"/>
    </row>
    <row r="31" spans="1:26" ht="15.75" customHeight="1" x14ac:dyDescent="0.25">
      <c r="A31" s="81" t="s">
        <v>91</v>
      </c>
      <c r="B31" s="81"/>
      <c r="C31" s="81"/>
      <c r="D31" s="81"/>
      <c r="E31" s="90" t="s">
        <v>33</v>
      </c>
      <c r="F31" s="90"/>
      <c r="G31" s="90"/>
      <c r="H31" s="90"/>
    </row>
    <row r="32" spans="1:26" s="22" customFormat="1" x14ac:dyDescent="0.25">
      <c r="A32" s="146" t="s">
        <v>92</v>
      </c>
      <c r="B32" s="146"/>
      <c r="C32" s="143" t="s">
        <v>169</v>
      </c>
      <c r="D32" s="144"/>
      <c r="E32" s="145"/>
      <c r="F32" s="143" t="s">
        <v>30</v>
      </c>
      <c r="G32" s="144"/>
      <c r="H32" s="145"/>
    </row>
    <row r="33" spans="1:8" s="22" customFormat="1" x14ac:dyDescent="0.25">
      <c r="A33" s="125" t="s">
        <v>25</v>
      </c>
      <c r="B33" s="125" t="s">
        <v>29</v>
      </c>
      <c r="C33" s="126" t="s">
        <v>239</v>
      </c>
      <c r="D33" s="127"/>
      <c r="E33" s="128"/>
      <c r="F33" s="126" t="s">
        <v>239</v>
      </c>
      <c r="G33" s="127"/>
      <c r="H33" s="128"/>
    </row>
    <row r="34" spans="1:8" x14ac:dyDescent="0.25">
      <c r="A34" s="125" t="s">
        <v>26</v>
      </c>
      <c r="B34" s="125" t="s">
        <v>29</v>
      </c>
      <c r="C34" s="126" t="s">
        <v>242</v>
      </c>
      <c r="D34" s="127"/>
      <c r="E34" s="128"/>
      <c r="F34" s="126" t="s">
        <v>243</v>
      </c>
      <c r="G34" s="127"/>
      <c r="H34" s="128"/>
    </row>
    <row r="35" spans="1:8" s="22" customFormat="1" x14ac:dyDescent="0.25">
      <c r="A35" s="125" t="s">
        <v>28</v>
      </c>
      <c r="B35" s="125" t="s">
        <v>29</v>
      </c>
      <c r="C35" s="126" t="s">
        <v>242</v>
      </c>
      <c r="D35" s="127"/>
      <c r="E35" s="128"/>
      <c r="F35" s="126" t="s">
        <v>243</v>
      </c>
      <c r="G35" s="127"/>
      <c r="H35" s="128"/>
    </row>
    <row r="36" spans="1:8" x14ac:dyDescent="0.25">
      <c r="A36" s="125" t="s">
        <v>27</v>
      </c>
      <c r="B36" s="125" t="s">
        <v>29</v>
      </c>
      <c r="C36" s="126" t="s">
        <v>242</v>
      </c>
      <c r="D36" s="127"/>
      <c r="E36" s="128"/>
      <c r="F36" s="126" t="s">
        <v>243</v>
      </c>
      <c r="G36" s="127"/>
      <c r="H36" s="128"/>
    </row>
    <row r="37" spans="1:8" x14ac:dyDescent="0.25">
      <c r="A37" s="81" t="s">
        <v>31</v>
      </c>
      <c r="B37" s="81"/>
      <c r="C37" s="81"/>
      <c r="D37" s="81"/>
      <c r="E37" s="81"/>
      <c r="F37" s="81"/>
      <c r="G37" s="81"/>
      <c r="H37" s="81"/>
    </row>
    <row r="38" spans="1:8" ht="15.75" customHeight="1" x14ac:dyDescent="0.25">
      <c r="A38" s="81" t="s">
        <v>162</v>
      </c>
      <c r="B38" s="81"/>
      <c r="C38" s="107" t="s">
        <v>245</v>
      </c>
      <c r="D38" s="107"/>
      <c r="E38" s="107"/>
      <c r="F38" s="107"/>
      <c r="G38" s="107"/>
      <c r="H38" s="107"/>
    </row>
    <row r="39" spans="1:8" x14ac:dyDescent="0.25">
      <c r="A39" s="81" t="s">
        <v>158</v>
      </c>
      <c r="B39" s="81"/>
      <c r="C39" s="89" t="s">
        <v>244</v>
      </c>
      <c r="D39" s="90"/>
      <c r="E39" s="90"/>
      <c r="F39" s="90"/>
      <c r="G39" s="90"/>
      <c r="H39" s="90"/>
    </row>
    <row r="40" spans="1:8" x14ac:dyDescent="0.25">
      <c r="A40" s="107" t="s">
        <v>34</v>
      </c>
      <c r="B40" s="107"/>
      <c r="C40" s="107"/>
      <c r="D40" s="107"/>
      <c r="E40" s="107"/>
      <c r="F40" s="107"/>
      <c r="G40" s="107"/>
      <c r="H40" s="107"/>
    </row>
    <row r="41" spans="1:8" x14ac:dyDescent="0.25">
      <c r="A41" s="81" t="s">
        <v>35</v>
      </c>
      <c r="B41" s="81"/>
      <c r="C41" s="81"/>
      <c r="D41" s="81"/>
      <c r="E41" s="129">
        <v>47465.47</v>
      </c>
      <c r="F41" s="129"/>
      <c r="G41" s="129"/>
      <c r="H41" s="129"/>
    </row>
    <row r="42" spans="1:8" x14ac:dyDescent="0.25">
      <c r="A42" s="81" t="s">
        <v>36</v>
      </c>
      <c r="B42" s="81"/>
      <c r="C42" s="81"/>
      <c r="D42" s="81"/>
      <c r="E42" s="137">
        <v>1.1000000000000001</v>
      </c>
      <c r="F42" s="137"/>
      <c r="G42" s="137"/>
      <c r="H42" s="137"/>
    </row>
    <row r="43" spans="1:8" x14ac:dyDescent="0.25">
      <c r="A43" s="81" t="s">
        <v>37</v>
      </c>
      <c r="B43" s="81"/>
      <c r="C43" s="81"/>
      <c r="D43" s="81"/>
      <c r="E43" s="137">
        <f>E45/E41-E42</f>
        <v>3.1436048773982432</v>
      </c>
      <c r="F43" s="137"/>
      <c r="G43" s="137"/>
      <c r="H43" s="137"/>
    </row>
    <row r="44" spans="1:8" x14ac:dyDescent="0.25">
      <c r="A44" s="81" t="s">
        <v>38</v>
      </c>
      <c r="B44" s="81"/>
      <c r="C44" s="81"/>
      <c r="D44" s="81"/>
      <c r="E44" s="137">
        <f>E42+E43</f>
        <v>4.2436048773982433</v>
      </c>
      <c r="F44" s="137"/>
      <c r="G44" s="137"/>
      <c r="H44" s="137"/>
    </row>
    <row r="45" spans="1:8" x14ac:dyDescent="0.25">
      <c r="A45" s="81" t="s">
        <v>90</v>
      </c>
      <c r="B45" s="81"/>
      <c r="C45" s="81"/>
      <c r="D45" s="81"/>
      <c r="E45" s="138">
        <v>201424.7</v>
      </c>
      <c r="F45" s="138"/>
      <c r="G45" s="138"/>
      <c r="H45" s="138"/>
    </row>
    <row r="46" spans="1:8" x14ac:dyDescent="0.25">
      <c r="A46" s="113" t="s">
        <v>39</v>
      </c>
      <c r="B46" s="113"/>
      <c r="C46" s="113"/>
      <c r="D46" s="113"/>
      <c r="E46" s="113" t="s">
        <v>246</v>
      </c>
      <c r="F46" s="113"/>
      <c r="G46" s="113"/>
      <c r="H46" s="113"/>
    </row>
    <row r="47" spans="1:8" x14ac:dyDescent="0.25">
      <c r="A47" s="107" t="s">
        <v>40</v>
      </c>
      <c r="B47" s="107"/>
      <c r="C47" s="107"/>
      <c r="D47" s="107"/>
      <c r="E47" s="107"/>
      <c r="F47" s="107"/>
      <c r="G47" s="107"/>
      <c r="H47" s="107"/>
    </row>
    <row r="48" spans="1:8" ht="33.75" customHeight="1" x14ac:dyDescent="0.25">
      <c r="A48" s="96" t="s">
        <v>147</v>
      </c>
      <c r="B48" s="97"/>
      <c r="C48" s="98" t="s">
        <v>247</v>
      </c>
      <c r="D48" s="99"/>
      <c r="E48" s="99"/>
      <c r="F48" s="99"/>
      <c r="G48" s="99"/>
      <c r="H48" s="100"/>
    </row>
    <row r="49" spans="1:9" ht="18" customHeight="1" x14ac:dyDescent="0.25">
      <c r="A49" s="96" t="s">
        <v>41</v>
      </c>
      <c r="B49" s="97"/>
      <c r="C49" s="96" t="s">
        <v>248</v>
      </c>
      <c r="D49" s="175"/>
      <c r="E49" s="97"/>
      <c r="F49" s="18" t="s">
        <v>42</v>
      </c>
      <c r="G49" s="119">
        <v>45219</v>
      </c>
      <c r="H49" s="97"/>
    </row>
    <row r="50" spans="1:9" x14ac:dyDescent="0.25">
      <c r="A50" s="96" t="s">
        <v>43</v>
      </c>
      <c r="B50" s="97"/>
      <c r="C50" s="96" t="str">
        <f>C49</f>
        <v>S05/0196/20TMC/TD-DP/TPS/4477/23</v>
      </c>
      <c r="D50" s="175"/>
      <c r="E50" s="97"/>
      <c r="F50" s="18" t="s">
        <v>42</v>
      </c>
      <c r="G50" s="119">
        <f>G49</f>
        <v>45219</v>
      </c>
      <c r="H50" s="120"/>
    </row>
    <row r="51" spans="1:9" s="23" customFormat="1" ht="30.75" customHeight="1" x14ac:dyDescent="0.25">
      <c r="A51" s="121" t="s">
        <v>151</v>
      </c>
      <c r="B51" s="122"/>
      <c r="C51" s="96" t="str">
        <f>C50</f>
        <v>S05/0196/20TMC/TD-DP/TPS/4477/23</v>
      </c>
      <c r="D51" s="175"/>
      <c r="E51" s="97"/>
      <c r="F51" s="18" t="s">
        <v>42</v>
      </c>
      <c r="G51" s="119">
        <f>G50</f>
        <v>45219</v>
      </c>
      <c r="H51" s="120"/>
    </row>
    <row r="52" spans="1:9" s="23" customFormat="1" ht="80.25" customHeight="1" x14ac:dyDescent="0.25">
      <c r="A52" s="123"/>
      <c r="B52" s="124"/>
      <c r="C52" s="96" t="s">
        <v>284</v>
      </c>
      <c r="D52" s="175"/>
      <c r="E52" s="175"/>
      <c r="F52" s="175"/>
      <c r="G52" s="175"/>
      <c r="H52" s="97"/>
    </row>
    <row r="53" spans="1:9" s="23" customFormat="1" ht="30.75" customHeight="1" x14ac:dyDescent="0.25">
      <c r="A53" s="121" t="s">
        <v>151</v>
      </c>
      <c r="B53" s="122"/>
      <c r="C53" s="96" t="s">
        <v>302</v>
      </c>
      <c r="D53" s="175"/>
      <c r="E53" s="97"/>
      <c r="F53" s="18" t="s">
        <v>42</v>
      </c>
      <c r="G53" s="119">
        <v>45657</v>
      </c>
      <c r="H53" s="120"/>
    </row>
    <row r="54" spans="1:9" s="23" customFormat="1" x14ac:dyDescent="0.25">
      <c r="A54" s="123"/>
      <c r="B54" s="124"/>
      <c r="C54" s="96" t="s">
        <v>303</v>
      </c>
      <c r="D54" s="175"/>
      <c r="E54" s="175"/>
      <c r="F54" s="175"/>
      <c r="G54" s="175"/>
      <c r="H54" s="97"/>
    </row>
    <row r="55" spans="1:9" s="23" customFormat="1" ht="30.75" customHeight="1" x14ac:dyDescent="0.25">
      <c r="A55" s="121" t="s">
        <v>289</v>
      </c>
      <c r="B55" s="122"/>
      <c r="C55" s="96" t="s">
        <v>286</v>
      </c>
      <c r="D55" s="175"/>
      <c r="E55" s="97"/>
      <c r="F55" s="18" t="s">
        <v>42</v>
      </c>
      <c r="G55" s="119">
        <v>44981</v>
      </c>
      <c r="H55" s="120"/>
    </row>
    <row r="56" spans="1:9" s="23" customFormat="1" ht="30.75" customHeight="1" x14ac:dyDescent="0.25">
      <c r="A56" s="123"/>
      <c r="B56" s="124"/>
      <c r="C56" s="96" t="s">
        <v>288</v>
      </c>
      <c r="D56" s="175"/>
      <c r="E56" s="97"/>
      <c r="F56" s="18" t="s">
        <v>287</v>
      </c>
      <c r="G56" s="119">
        <v>47902</v>
      </c>
      <c r="H56" s="120"/>
    </row>
    <row r="57" spans="1:9" x14ac:dyDescent="0.25">
      <c r="A57" s="193" t="s">
        <v>44</v>
      </c>
      <c r="B57" s="194"/>
      <c r="C57" s="193" t="s">
        <v>101</v>
      </c>
      <c r="D57" s="195"/>
      <c r="E57" s="194"/>
      <c r="F57" s="45" t="s">
        <v>42</v>
      </c>
      <c r="G57" s="188" t="s">
        <v>29</v>
      </c>
      <c r="H57" s="189"/>
    </row>
    <row r="58" spans="1:9" x14ac:dyDescent="0.25">
      <c r="A58" s="156" t="s">
        <v>46</v>
      </c>
      <c r="B58" s="156"/>
      <c r="C58" s="156"/>
      <c r="D58" s="156"/>
      <c r="E58" s="156"/>
      <c r="F58" s="156"/>
      <c r="G58" s="156"/>
      <c r="H58" s="156"/>
    </row>
    <row r="59" spans="1:9" x14ac:dyDescent="0.25">
      <c r="A59" s="147" t="s">
        <v>89</v>
      </c>
      <c r="B59" s="147"/>
      <c r="C59" s="147"/>
      <c r="D59" s="81">
        <f>47353.15+47301.69+48595.69</f>
        <v>143250.53</v>
      </c>
      <c r="E59" s="81"/>
      <c r="F59" s="81"/>
      <c r="G59" s="81"/>
      <c r="H59" s="81"/>
    </row>
    <row r="60" spans="1:9" x14ac:dyDescent="0.25">
      <c r="A60" s="90" t="s">
        <v>47</v>
      </c>
      <c r="B60" s="113"/>
      <c r="C60" s="113"/>
      <c r="D60" s="113" t="s">
        <v>283</v>
      </c>
      <c r="E60" s="113"/>
      <c r="F60" s="113"/>
      <c r="G60" s="113"/>
      <c r="H60" s="113"/>
      <c r="I60" s="24"/>
    </row>
    <row r="61" spans="1:9" ht="48.75" customHeight="1" x14ac:dyDescent="0.25">
      <c r="A61" s="116" t="s">
        <v>48</v>
      </c>
      <c r="B61" s="117"/>
      <c r="C61" s="118"/>
      <c r="D61" s="114" t="s">
        <v>249</v>
      </c>
      <c r="E61" s="115"/>
      <c r="F61" s="115"/>
      <c r="G61" s="115"/>
      <c r="H61" s="115"/>
    </row>
    <row r="62" spans="1:9" ht="15.75" customHeight="1" x14ac:dyDescent="0.25">
      <c r="A62" s="116" t="s">
        <v>87</v>
      </c>
      <c r="B62" s="117"/>
      <c r="C62" s="117"/>
      <c r="D62" s="180" t="s">
        <v>250</v>
      </c>
      <c r="E62" s="181"/>
      <c r="F62" s="181"/>
      <c r="G62" s="181"/>
      <c r="H62" s="182"/>
    </row>
    <row r="63" spans="1:9" ht="15.75" customHeight="1" x14ac:dyDescent="0.25">
      <c r="A63" s="176"/>
      <c r="B63" s="177"/>
      <c r="C63" s="177"/>
      <c r="D63" s="183" t="s">
        <v>251</v>
      </c>
      <c r="E63" s="184"/>
      <c r="F63" s="184"/>
      <c r="G63" s="184"/>
      <c r="H63" s="185"/>
    </row>
    <row r="64" spans="1:9" ht="15.75" customHeight="1" x14ac:dyDescent="0.25">
      <c r="A64" s="178"/>
      <c r="B64" s="179"/>
      <c r="C64" s="179"/>
      <c r="D64" s="172" t="s">
        <v>252</v>
      </c>
      <c r="E64" s="173"/>
      <c r="F64" s="173"/>
      <c r="G64" s="173"/>
      <c r="H64" s="174"/>
    </row>
    <row r="65" spans="1:14" ht="15.75" customHeight="1" x14ac:dyDescent="0.25">
      <c r="A65" s="81" t="s">
        <v>45</v>
      </c>
      <c r="B65" s="81"/>
      <c r="C65" s="81"/>
      <c r="D65" s="130" t="s">
        <v>232</v>
      </c>
      <c r="E65" s="130"/>
      <c r="F65" s="130"/>
      <c r="G65" s="130"/>
      <c r="H65" s="130"/>
      <c r="J65" s="25"/>
      <c r="K65" s="24"/>
      <c r="N65" s="24"/>
    </row>
    <row r="66" spans="1:14" ht="15.75" customHeight="1" x14ac:dyDescent="0.25">
      <c r="A66" s="81" t="s">
        <v>85</v>
      </c>
      <c r="B66" s="81"/>
      <c r="C66" s="81"/>
      <c r="D66" s="136" t="str">
        <f>(IF(G57="NA","60 Years After Completion",IF(G57&lt;&gt;"NA",""&amp;60-ROUNDDOWN((E3-G57)/360,0)&amp;" Years"," ")))</f>
        <v>60 Years After Completion</v>
      </c>
      <c r="E66" s="136"/>
      <c r="F66" s="136"/>
      <c r="G66" s="136"/>
      <c r="H66" s="136"/>
      <c r="N66" s="24"/>
    </row>
    <row r="67" spans="1:14" ht="15.75" customHeight="1" x14ac:dyDescent="0.25">
      <c r="A67" s="81" t="s">
        <v>86</v>
      </c>
      <c r="B67" s="81"/>
      <c r="C67" s="81"/>
      <c r="D67" s="147" t="s">
        <v>24</v>
      </c>
      <c r="E67" s="147"/>
      <c r="F67" s="147"/>
      <c r="G67" s="147"/>
      <c r="H67" s="147"/>
      <c r="J67" s="26"/>
      <c r="K67" s="26"/>
    </row>
    <row r="68" spans="1:14" ht="49.5" customHeight="1" x14ac:dyDescent="0.25">
      <c r="A68" s="113" t="s">
        <v>253</v>
      </c>
      <c r="B68" s="113"/>
      <c r="C68" s="113"/>
      <c r="D68" s="90" t="s">
        <v>254</v>
      </c>
      <c r="E68" s="147"/>
      <c r="F68" s="147"/>
      <c r="G68" s="147"/>
      <c r="H68" s="147"/>
    </row>
    <row r="69" spans="1:14" x14ac:dyDescent="0.25">
      <c r="A69" s="147" t="s">
        <v>144</v>
      </c>
      <c r="B69" s="147"/>
      <c r="C69" s="147"/>
      <c r="D69" s="147" t="s">
        <v>29</v>
      </c>
      <c r="E69" s="147"/>
      <c r="F69" s="147"/>
      <c r="G69" s="147"/>
      <c r="H69" s="147"/>
      <c r="I69" s="27"/>
      <c r="J69" s="27"/>
      <c r="K69" s="27"/>
      <c r="L69" s="27"/>
      <c r="M69" s="27"/>
      <c r="N69" s="27"/>
    </row>
    <row r="70" spans="1:14" ht="15.75" customHeight="1" x14ac:dyDescent="0.25">
      <c r="A70" s="197" t="s">
        <v>84</v>
      </c>
      <c r="B70" s="197"/>
      <c r="C70" s="197"/>
      <c r="D70" s="114" t="str">
        <f ca="1">(IF(G76&gt;95%,"Nothing",IF(G76&gt;0%,"Cement, Aggregate, Steel, etc",IF(G76=0%,"Work not yet Started"))))</f>
        <v>Cement, Aggregate, Steel, etc</v>
      </c>
      <c r="E70" s="114"/>
      <c r="F70" s="114"/>
      <c r="G70" s="114"/>
      <c r="H70" s="114"/>
      <c r="J70" s="26"/>
    </row>
    <row r="71" spans="1:14" ht="33.75" customHeight="1" thickBot="1" x14ac:dyDescent="0.3">
      <c r="A71" s="152" t="s">
        <v>114</v>
      </c>
      <c r="B71" s="152"/>
      <c r="C71" s="152"/>
      <c r="D71" s="114" t="str">
        <f ca="1">(IF(D70="Nothing","Yes",IF(D70="Cement, Aggregate, Steel, etc","Under Construction",IF(D70="Work not yet Started","Work not yet Started"))))</f>
        <v>Under Construction</v>
      </c>
      <c r="E71" s="114"/>
      <c r="F71" s="114" t="str">
        <f ca="1">(IF(D70="Nothing","Yes",IF(D70="Cement, Aggregate, Steel, etc","Under Construction",IF(D70="Work not yet Started","Work not yet Started"))))</f>
        <v>Under Construction</v>
      </c>
      <c r="G71" s="114"/>
      <c r="H71" s="114"/>
    </row>
    <row r="72" spans="1:14" ht="15.75" customHeight="1" x14ac:dyDescent="0.25">
      <c r="A72" s="108" t="s">
        <v>136</v>
      </c>
      <c r="B72" s="109"/>
      <c r="C72" s="110" t="str">
        <f>D62</f>
        <v>Tower A = G + 1st to 60th Floor</v>
      </c>
      <c r="D72" s="111"/>
      <c r="E72" s="111"/>
      <c r="F72" s="111"/>
      <c r="G72" s="111"/>
      <c r="H72" s="112"/>
      <c r="I72" s="47" t="str">
        <f ca="1">IF(D85=100%,"All work Completed. Possession granted to the Building.",IF(D84=100%,"All work Completed, Waiting for OC",I73&amp;""&amp;I74&amp;""&amp;J73&amp;""&amp;J72&amp;" "&amp;J74))</f>
        <v>Excavation, Plinth Completed, RCC upto 17 Slab, Brickwork upto 13 Floor, Internal Plaster upto 9.75 Floor, External Plaster upto 8.45 Floor Completed</v>
      </c>
      <c r="J72" s="48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>, RCC upto 17 Slab, Brickwork upto 13 Floor, Internal Plaster upto 9.75 Floor, External Plaster upto 8.45 Floor</v>
      </c>
    </row>
    <row r="73" spans="1:14" s="23" customFormat="1" x14ac:dyDescent="0.25">
      <c r="A73" s="16" t="s">
        <v>138</v>
      </c>
      <c r="B73" s="51">
        <f>IF(AND(ISNUMBER(SEARCH("1B",C72))),1,IF(AND(ISNUMBER(SEARCH("2B",C72))),2,IF(AND(ISNUMBER(SEARCH("3B",C72))),3,IF(AND(ISNUMBER(SEARCH("4B",C72))),4,IF(ISNUMBER(SEARCH("5B",C72)),5,0)))))</f>
        <v>0</v>
      </c>
      <c r="C73" s="51" t="s">
        <v>71</v>
      </c>
      <c r="D73" s="51">
        <v>1</v>
      </c>
      <c r="E73" s="51" t="s">
        <v>70</v>
      </c>
      <c r="F73" s="51">
        <v>0</v>
      </c>
      <c r="G73" s="51" t="s">
        <v>78</v>
      </c>
      <c r="H73" s="17">
        <f ca="1">--TRIM(RIGHT(SUBSTITUTE(LEFT(C72,_xlfn.AGGREGATE(16,6,FIND({0,1,2,3,4,5,6,7,8,9},C72,ROW(INDIRECT("1:"&amp;LEN(C72)))),1))," ",REPT(" ",LEN(C72))),LEN(C72)))</f>
        <v>60</v>
      </c>
      <c r="I73" s="56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</v>
      </c>
      <c r="J73" s="57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ht="33" customHeight="1" x14ac:dyDescent="0.25">
      <c r="A74" s="139" t="s">
        <v>88</v>
      </c>
      <c r="B74" s="140"/>
      <c r="C74" s="141" t="str">
        <f ca="1">I72</f>
        <v>Excavation, Plinth Completed, RCC upto 17 Slab, Brickwork upto 13 Floor, Internal Plaster upto 9.75 Floor, External Plaster upto 8.45 Floor Completed</v>
      </c>
      <c r="D74" s="141"/>
      <c r="E74" s="141"/>
      <c r="F74" s="141"/>
      <c r="G74" s="141"/>
      <c r="H74" s="142"/>
      <c r="I74" s="49" t="str">
        <f ca="1">IF(I73&lt;&gt;""," Completed","")</f>
        <v xml:space="preserve"> Completed</v>
      </c>
      <c r="J74" s="50" t="str">
        <f ca="1">IF(J72&lt;&gt;"","Completed","")</f>
        <v>Completed</v>
      </c>
    </row>
    <row r="75" spans="1:14" ht="15.75" customHeight="1" x14ac:dyDescent="0.25">
      <c r="A75" s="79" t="s">
        <v>49</v>
      </c>
      <c r="B75" s="80"/>
      <c r="C75" s="43" t="s">
        <v>135</v>
      </c>
      <c r="D75" s="43" t="s">
        <v>81</v>
      </c>
      <c r="E75" s="80" t="s">
        <v>83</v>
      </c>
      <c r="F75" s="80"/>
      <c r="G75" s="80" t="s">
        <v>82</v>
      </c>
      <c r="H75" s="86"/>
      <c r="I75" s="14" t="s">
        <v>137</v>
      </c>
      <c r="J75" s="28">
        <f ca="1">H73*25%</f>
        <v>15</v>
      </c>
    </row>
    <row r="76" spans="1:14" x14ac:dyDescent="0.25">
      <c r="A76" s="79" t="s">
        <v>124</v>
      </c>
      <c r="B76" s="80"/>
      <c r="C76" s="43">
        <f ca="1">J77</f>
        <v>60</v>
      </c>
      <c r="D76" s="19">
        <f ca="1">((100/H73)*C76)/100</f>
        <v>1</v>
      </c>
      <c r="E76" s="101">
        <f ca="1">(((C77/H73*10)+(40/(D73+F73+H73)*C78)+(7.5/(H73)*C79)+(7.5/(H73)*C80)+(10/H73*C81)+(10/H73*C82)+(5/H73*C83)+(5/H73*C84)+(5/H73*C85))/100)</f>
        <v>0.25399624316939895</v>
      </c>
      <c r="F76" s="131"/>
      <c r="G76" s="101">
        <f ca="1">((((C76/H73)*20)+((C77/H73)*25)+(30/(H73+F73+D73)*C78)+(5/H73*C79)+(5/H73*C80)+(5/H73*C81)+(5/H73*C82)+(0/H73*C83)+(0/H73*C84)+(5/H73*C85))/100)</f>
        <v>0.55960655737704923</v>
      </c>
      <c r="H76" s="102"/>
      <c r="I76" s="14" t="s">
        <v>96</v>
      </c>
      <c r="J76" s="29">
        <f ca="1">H73*50%</f>
        <v>30</v>
      </c>
    </row>
    <row r="77" spans="1:14" x14ac:dyDescent="0.25">
      <c r="A77" s="79" t="s">
        <v>50</v>
      </c>
      <c r="B77" s="80"/>
      <c r="C77" s="52">
        <f ca="1">J85</f>
        <v>60</v>
      </c>
      <c r="D77" s="19">
        <f ca="1">((100/H73)*C77)/100</f>
        <v>1</v>
      </c>
      <c r="E77" s="103"/>
      <c r="F77" s="132"/>
      <c r="G77" s="103"/>
      <c r="H77" s="104"/>
      <c r="I77" s="14" t="s">
        <v>97</v>
      </c>
      <c r="J77" s="29">
        <f ca="1">H73</f>
        <v>60</v>
      </c>
    </row>
    <row r="78" spans="1:14" ht="15.75" customHeight="1" x14ac:dyDescent="0.25">
      <c r="A78" s="79" t="s">
        <v>125</v>
      </c>
      <c r="B78" s="80"/>
      <c r="C78" s="43">
        <v>17</v>
      </c>
      <c r="D78" s="19">
        <f ca="1">((100/(D73+F73+H73))*C78)/100</f>
        <v>0.27868852459016397</v>
      </c>
      <c r="E78" s="103"/>
      <c r="F78" s="132"/>
      <c r="G78" s="103"/>
      <c r="H78" s="104"/>
      <c r="I78" s="14" t="s">
        <v>98</v>
      </c>
      <c r="J78" s="30">
        <f ca="1">(IF(B73&gt;1,(H73/(B73+2)),H73/4))</f>
        <v>15</v>
      </c>
    </row>
    <row r="79" spans="1:14" ht="15.75" customHeight="1" x14ac:dyDescent="0.25">
      <c r="A79" s="79" t="s">
        <v>132</v>
      </c>
      <c r="B79" s="80" t="s">
        <v>126</v>
      </c>
      <c r="C79" s="43">
        <f>C78-4</f>
        <v>13</v>
      </c>
      <c r="D79" s="19">
        <f ca="1">((100/H73)*C79)/100</f>
        <v>0.21666666666666667</v>
      </c>
      <c r="E79" s="103"/>
      <c r="F79" s="132"/>
      <c r="G79" s="103"/>
      <c r="H79" s="104"/>
      <c r="I79" s="14" t="s">
        <v>99</v>
      </c>
      <c r="J79" s="30">
        <f ca="1">(IF(B73&gt;1,(H73/(B73+2)+J78),H73/4+J78))</f>
        <v>30</v>
      </c>
    </row>
    <row r="80" spans="1:14" ht="15.75" customHeight="1" x14ac:dyDescent="0.25">
      <c r="A80" s="79" t="s">
        <v>133</v>
      </c>
      <c r="B80" s="80" t="s">
        <v>126</v>
      </c>
      <c r="C80" s="52">
        <f>C79*0.75</f>
        <v>9.75</v>
      </c>
      <c r="D80" s="19">
        <f ca="1">((100/H73)*C80)/100</f>
        <v>0.16250000000000001</v>
      </c>
      <c r="E80" s="103"/>
      <c r="F80" s="132"/>
      <c r="G80" s="103"/>
      <c r="H80" s="104"/>
      <c r="I80" s="14" t="s">
        <v>142</v>
      </c>
      <c r="J80" s="30">
        <f>(IF(B73&gt;1,(H73/(B73+2)+J79),0))</f>
        <v>0</v>
      </c>
    </row>
    <row r="81" spans="1:12" ht="15" customHeight="1" x14ac:dyDescent="0.25">
      <c r="A81" s="79" t="s">
        <v>131</v>
      </c>
      <c r="B81" s="80" t="s">
        <v>128</v>
      </c>
      <c r="C81" s="52">
        <f>C79*0.65</f>
        <v>8.4500000000000011</v>
      </c>
      <c r="D81" s="19">
        <f ca="1">((100/(H73))*C81)/100</f>
        <v>0.14083333333333337</v>
      </c>
      <c r="E81" s="103"/>
      <c r="F81" s="132"/>
      <c r="G81" s="103"/>
      <c r="H81" s="104"/>
      <c r="I81" s="14" t="s">
        <v>139</v>
      </c>
      <c r="J81" s="30">
        <f>(IF(B73&gt;2,(H73/(B73+2)+J80),0))</f>
        <v>0</v>
      </c>
      <c r="L81" s="21" t="s">
        <v>297</v>
      </c>
    </row>
    <row r="82" spans="1:12" ht="15.75" customHeight="1" x14ac:dyDescent="0.25">
      <c r="A82" s="79" t="s">
        <v>127</v>
      </c>
      <c r="B82" s="80" t="s">
        <v>127</v>
      </c>
      <c r="C82" s="43">
        <v>0</v>
      </c>
      <c r="D82" s="19">
        <f ca="1">((100/H73)*C82)/100</f>
        <v>0</v>
      </c>
      <c r="E82" s="103"/>
      <c r="F82" s="132"/>
      <c r="G82" s="103"/>
      <c r="H82" s="104"/>
      <c r="I82" s="14" t="s">
        <v>140</v>
      </c>
      <c r="J82" s="31">
        <f>(IF(B73&gt;3,(H73/(B73+2)+J81),0))</f>
        <v>0</v>
      </c>
    </row>
    <row r="83" spans="1:12" ht="15.75" customHeight="1" x14ac:dyDescent="0.25">
      <c r="A83" s="79" t="s">
        <v>134</v>
      </c>
      <c r="B83" s="80"/>
      <c r="C83" s="43">
        <v>0</v>
      </c>
      <c r="D83" s="19">
        <f ca="1">((100/H73)*C83)/100</f>
        <v>0</v>
      </c>
      <c r="E83" s="103"/>
      <c r="F83" s="132"/>
      <c r="G83" s="103"/>
      <c r="H83" s="104"/>
      <c r="I83" s="14" t="s">
        <v>141</v>
      </c>
      <c r="J83" s="30">
        <f>(IF(B73&gt;4,(H73/(B73+2)+J82),0))</f>
        <v>0</v>
      </c>
    </row>
    <row r="84" spans="1:12" ht="15.75" customHeight="1" x14ac:dyDescent="0.25">
      <c r="A84" s="79" t="s">
        <v>129</v>
      </c>
      <c r="B84" s="80" t="s">
        <v>129</v>
      </c>
      <c r="C84" s="43">
        <v>0</v>
      </c>
      <c r="D84" s="19">
        <f ca="1">((100/(H73))*C84)/100</f>
        <v>0</v>
      </c>
      <c r="E84" s="103"/>
      <c r="F84" s="132"/>
      <c r="G84" s="103"/>
      <c r="H84" s="104"/>
      <c r="I84" s="14" t="s">
        <v>143</v>
      </c>
      <c r="J84" s="30">
        <f ca="1">(IF(B73=1,(H73/(B73+3)+J79),IF(B73=0,(H73/4+J79),IF(B73&gt;1,0))))</f>
        <v>45</v>
      </c>
    </row>
    <row r="85" spans="1:12" ht="16.5" thickBot="1" x14ac:dyDescent="0.3">
      <c r="A85" s="134" t="s">
        <v>130</v>
      </c>
      <c r="B85" s="135"/>
      <c r="C85" s="44">
        <v>0</v>
      </c>
      <c r="D85" s="20">
        <f ca="1">((100/(H73))*C85)/100</f>
        <v>0</v>
      </c>
      <c r="E85" s="105"/>
      <c r="F85" s="133"/>
      <c r="G85" s="105"/>
      <c r="H85" s="106"/>
      <c r="I85" s="15" t="s">
        <v>100</v>
      </c>
      <c r="J85" s="32">
        <f ca="1">(IF(B73&gt;1.5,(H73/(B73+2)+J79+MAX(0,J80-J79)+MAX(0,J81-J80)+MAX(0,J82-J81)+MAX(0,J83-J82)+MAX(0,J84-J83)),IF(B73=1,(H73/(B73+3)+J84),IF(B73=0,H73/4+J84))))</f>
        <v>60</v>
      </c>
    </row>
    <row r="86" spans="1:12" ht="15.75" customHeight="1" x14ac:dyDescent="0.25">
      <c r="A86" s="108" t="s">
        <v>136</v>
      </c>
      <c r="B86" s="109"/>
      <c r="C86" s="110" t="str">
        <f>D63</f>
        <v>Tower B = G + 1st to 60th Floor</v>
      </c>
      <c r="D86" s="111"/>
      <c r="E86" s="111"/>
      <c r="F86" s="111"/>
      <c r="G86" s="111"/>
      <c r="H86" s="112"/>
      <c r="I86" s="47" t="str">
        <f ca="1">IF(D99=100%,"All work Completed. Possession granted to the Building.",IF(D98=100%,"All work Completed, Waiting for OC",I87&amp;""&amp;I88&amp;""&amp;J87&amp;""&amp;J86&amp;" "&amp;J88))</f>
        <v>Excavation, Plinth Completed, RCC upto 34 Slab, Brickwork upto 29 Floor, Internal Plaster upto 21.75 Floor, External Plaster upto 18.85 Floor Completed</v>
      </c>
      <c r="J86" s="48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>, RCC upto 34 Slab, Brickwork upto 29 Floor, Internal Plaster upto 21.75 Floor, External Plaster upto 18.85 Floor</v>
      </c>
    </row>
    <row r="87" spans="1:12" s="23" customFormat="1" x14ac:dyDescent="0.25">
      <c r="A87" s="16" t="s">
        <v>138</v>
      </c>
      <c r="B87" s="51">
        <f>IF(AND(ISNUMBER(SEARCH("1B",C86))),1,IF(AND(ISNUMBER(SEARCH("2B",C86))),2,IF(AND(ISNUMBER(SEARCH("3B",C86))),3,IF(AND(ISNUMBER(SEARCH("4B",C86))),4,IF(ISNUMBER(SEARCH("5B",C86)),5,0)))))</f>
        <v>0</v>
      </c>
      <c r="C87" s="51" t="s">
        <v>71</v>
      </c>
      <c r="D87" s="51">
        <v>1</v>
      </c>
      <c r="E87" s="51" t="s">
        <v>70</v>
      </c>
      <c r="F87" s="51">
        <v>0</v>
      </c>
      <c r="G87" s="51" t="s">
        <v>78</v>
      </c>
      <c r="H87" s="17">
        <f ca="1">--TRIM(RIGHT(SUBSTITUTE(LEFT(C86,_xlfn.AGGREGATE(16,6,FIND({0,1,2,3,4,5,6,7,8,9},C86,ROW(INDIRECT("1:"&amp;LEN(C86)))),1))," ",REPT(" ",LEN(C86))),LEN(C86)))</f>
        <v>60</v>
      </c>
      <c r="I87" s="56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</v>
      </c>
      <c r="J87" s="57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2" ht="34.9" customHeight="1" x14ac:dyDescent="0.25">
      <c r="A88" s="139" t="s">
        <v>88</v>
      </c>
      <c r="B88" s="140"/>
      <c r="C88" s="141" t="str">
        <f ca="1">(IF($G$57="NA",I86,"All work Completed. OC Received."))</f>
        <v>Excavation, Plinth Completed, RCC upto 34 Slab, Brickwork upto 29 Floor, Internal Plaster upto 21.75 Floor, External Plaster upto 18.85 Floor Completed</v>
      </c>
      <c r="D88" s="141"/>
      <c r="E88" s="141"/>
      <c r="F88" s="141"/>
      <c r="G88" s="141"/>
      <c r="H88" s="142"/>
      <c r="I88" s="49" t="str">
        <f ca="1">IF(I87&lt;&gt;""," Completed","")</f>
        <v xml:space="preserve"> Completed</v>
      </c>
      <c r="J88" s="50" t="str">
        <f ca="1">IF(J86&lt;&gt;"","Completed","")</f>
        <v>Completed</v>
      </c>
    </row>
    <row r="89" spans="1:12" ht="15.75" customHeight="1" x14ac:dyDescent="0.25">
      <c r="A89" s="79" t="s">
        <v>49</v>
      </c>
      <c r="B89" s="80"/>
      <c r="C89" s="43" t="s">
        <v>135</v>
      </c>
      <c r="D89" s="43" t="s">
        <v>81</v>
      </c>
      <c r="E89" s="80" t="s">
        <v>83</v>
      </c>
      <c r="F89" s="80"/>
      <c r="G89" s="80" t="s">
        <v>82</v>
      </c>
      <c r="H89" s="86"/>
      <c r="I89" s="14" t="s">
        <v>137</v>
      </c>
      <c r="J89" s="28">
        <f ca="1">H87*25%</f>
        <v>15</v>
      </c>
    </row>
    <row r="90" spans="1:12" x14ac:dyDescent="0.25">
      <c r="A90" s="79" t="s">
        <v>124</v>
      </c>
      <c r="B90" s="80"/>
      <c r="C90" s="43">
        <f ca="1">J91</f>
        <v>60</v>
      </c>
      <c r="D90" s="19">
        <f ca="1">((100/H87)*C90)/100</f>
        <v>1</v>
      </c>
      <c r="E90" s="101">
        <f ca="1">(((C91/H87*10)+(40/(D87+F87+H87)*C92)+(7.5/(H87)*C93)+(7.5/(H87)*C94)+(10/H87*C95)+(10/H87*C96)+(5/H87*C97)+(5/H87*C98)+(5/H87*C99))/100)</f>
        <v>0.41780498633879781</v>
      </c>
      <c r="F90" s="131"/>
      <c r="G90" s="101">
        <f ca="1">((((C90/H87)*20)+((C91/H87)*25)+(30/(H87+F87+D87)*C92)+(5/H87*C93)+(5/H87*C94)+(5/H87*C95)+(5/H87*C96)+(0/H87*C97)+(0/H87*C98)+(5/H87*C99))/100)</f>
        <v>0.67521311475409851</v>
      </c>
      <c r="H90" s="102"/>
      <c r="I90" s="14" t="s">
        <v>96</v>
      </c>
      <c r="J90" s="29">
        <f ca="1">H87*50%</f>
        <v>30</v>
      </c>
    </row>
    <row r="91" spans="1:12" x14ac:dyDescent="0.25">
      <c r="A91" s="79" t="s">
        <v>50</v>
      </c>
      <c r="B91" s="80"/>
      <c r="C91" s="52">
        <f ca="1">J99</f>
        <v>60</v>
      </c>
      <c r="D91" s="19">
        <f ca="1">((100/H87)*C91)/100</f>
        <v>1</v>
      </c>
      <c r="E91" s="103"/>
      <c r="F91" s="132"/>
      <c r="G91" s="103"/>
      <c r="H91" s="104"/>
      <c r="I91" s="14" t="s">
        <v>97</v>
      </c>
      <c r="J91" s="29">
        <f ca="1">H87</f>
        <v>60</v>
      </c>
    </row>
    <row r="92" spans="1:12" ht="15.75" customHeight="1" x14ac:dyDescent="0.25">
      <c r="A92" s="79" t="s">
        <v>125</v>
      </c>
      <c r="B92" s="80"/>
      <c r="C92" s="43">
        <v>34</v>
      </c>
      <c r="D92" s="19">
        <f ca="1">((100/(D87+F87+H87))*C92)/100</f>
        <v>0.55737704918032793</v>
      </c>
      <c r="E92" s="103"/>
      <c r="F92" s="132"/>
      <c r="G92" s="103"/>
      <c r="H92" s="104"/>
      <c r="I92" s="14" t="s">
        <v>98</v>
      </c>
      <c r="J92" s="30">
        <f ca="1">(IF(B87&gt;1,(H87/(B87+2)),H87/4))</f>
        <v>15</v>
      </c>
    </row>
    <row r="93" spans="1:12" ht="15.75" customHeight="1" x14ac:dyDescent="0.25">
      <c r="A93" s="79" t="s">
        <v>132</v>
      </c>
      <c r="B93" s="80" t="s">
        <v>126</v>
      </c>
      <c r="C93" s="43">
        <f>C92-5</f>
        <v>29</v>
      </c>
      <c r="D93" s="19">
        <f ca="1">((100/H87)*C93)/100</f>
        <v>0.48333333333333334</v>
      </c>
      <c r="E93" s="103"/>
      <c r="F93" s="132"/>
      <c r="G93" s="103"/>
      <c r="H93" s="104"/>
      <c r="I93" s="14" t="s">
        <v>99</v>
      </c>
      <c r="J93" s="30">
        <f ca="1">(IF(B87&gt;1,(H87/(B87+2)+J92),H87/4+J92))</f>
        <v>30</v>
      </c>
    </row>
    <row r="94" spans="1:12" ht="15.75" customHeight="1" x14ac:dyDescent="0.25">
      <c r="A94" s="79" t="s">
        <v>133</v>
      </c>
      <c r="B94" s="80" t="s">
        <v>126</v>
      </c>
      <c r="C94" s="52">
        <f>C93*0.75</f>
        <v>21.75</v>
      </c>
      <c r="D94" s="19">
        <f ca="1">((100/H87)*C94)/100</f>
        <v>0.36249999999999999</v>
      </c>
      <c r="E94" s="103"/>
      <c r="F94" s="132"/>
      <c r="G94" s="103"/>
      <c r="H94" s="104"/>
      <c r="I94" s="14" t="s">
        <v>142</v>
      </c>
      <c r="J94" s="30">
        <f>(IF(B87&gt;1,(H87/(B87+2)+J93),0))</f>
        <v>0</v>
      </c>
    </row>
    <row r="95" spans="1:12" ht="15" customHeight="1" x14ac:dyDescent="0.25">
      <c r="A95" s="79" t="s">
        <v>131</v>
      </c>
      <c r="B95" s="80" t="s">
        <v>128</v>
      </c>
      <c r="C95" s="52">
        <f>C93*0.65</f>
        <v>18.850000000000001</v>
      </c>
      <c r="D95" s="19">
        <f ca="1">((100/(H87))*C95)/100</f>
        <v>0.31416666666666671</v>
      </c>
      <c r="E95" s="103"/>
      <c r="F95" s="132"/>
      <c r="G95" s="103"/>
      <c r="H95" s="104"/>
      <c r="I95" s="14" t="s">
        <v>139</v>
      </c>
      <c r="J95" s="30">
        <f>(IF(B87&gt;2,(H87/(B87+2)+J94),0))</f>
        <v>0</v>
      </c>
    </row>
    <row r="96" spans="1:12" ht="15.75" customHeight="1" x14ac:dyDescent="0.25">
      <c r="A96" s="79" t="s">
        <v>127</v>
      </c>
      <c r="B96" s="80" t="s">
        <v>127</v>
      </c>
      <c r="C96" s="43">
        <v>0</v>
      </c>
      <c r="D96" s="19">
        <f ca="1">((100/H87)*C96)/100</f>
        <v>0</v>
      </c>
      <c r="E96" s="103"/>
      <c r="F96" s="132"/>
      <c r="G96" s="103"/>
      <c r="H96" s="104"/>
      <c r="I96" s="14" t="s">
        <v>140</v>
      </c>
      <c r="J96" s="31">
        <f>(IF(B87&gt;3,(H87/(B87+2)+J95),0))</f>
        <v>0</v>
      </c>
    </row>
    <row r="97" spans="1:11" ht="15.75" customHeight="1" x14ac:dyDescent="0.25">
      <c r="A97" s="79" t="s">
        <v>134</v>
      </c>
      <c r="B97" s="80"/>
      <c r="C97" s="43">
        <v>0</v>
      </c>
      <c r="D97" s="19">
        <f ca="1">((100/H87)*C97)/100</f>
        <v>0</v>
      </c>
      <c r="E97" s="103"/>
      <c r="F97" s="132"/>
      <c r="G97" s="103"/>
      <c r="H97" s="104"/>
      <c r="I97" s="14" t="s">
        <v>141</v>
      </c>
      <c r="J97" s="30">
        <f>(IF(B87&gt;4,(H87/(B87+2)+J96),0))</f>
        <v>0</v>
      </c>
    </row>
    <row r="98" spans="1:11" ht="15.75" customHeight="1" x14ac:dyDescent="0.25">
      <c r="A98" s="79" t="s">
        <v>129</v>
      </c>
      <c r="B98" s="80" t="s">
        <v>129</v>
      </c>
      <c r="C98" s="43">
        <v>0</v>
      </c>
      <c r="D98" s="19">
        <f ca="1">((100/(H87))*C98)/100</f>
        <v>0</v>
      </c>
      <c r="E98" s="103"/>
      <c r="F98" s="132"/>
      <c r="G98" s="103"/>
      <c r="H98" s="104"/>
      <c r="I98" s="14" t="s">
        <v>143</v>
      </c>
      <c r="J98" s="30">
        <f ca="1">(IF(B87=1,(H87/(B87+3)+J93),IF(B87=0,(H87/4+J93),IF(B87&gt;1,0))))</f>
        <v>45</v>
      </c>
    </row>
    <row r="99" spans="1:11" ht="16.5" thickBot="1" x14ac:dyDescent="0.3">
      <c r="A99" s="134" t="s">
        <v>130</v>
      </c>
      <c r="B99" s="135"/>
      <c r="C99" s="44">
        <v>0</v>
      </c>
      <c r="D99" s="20">
        <f ca="1">((100/(H87))*C99)/100</f>
        <v>0</v>
      </c>
      <c r="E99" s="105"/>
      <c r="F99" s="133"/>
      <c r="G99" s="105"/>
      <c r="H99" s="106"/>
      <c r="I99" s="15" t="s">
        <v>100</v>
      </c>
      <c r="J99" s="32">
        <f ca="1">(IF(B87&gt;1.5,(H87/(B87+2)+J93+MAX(0,J94-J93)+MAX(0,J95-J94)+MAX(0,J96-J95)+MAX(0,J97-J96)+MAX(0,J98-J97)),IF(B87=1,(H87/(B87+3)+J98),IF(B87=0,H87/4+J98))))</f>
        <v>60</v>
      </c>
    </row>
    <row r="100" spans="1:11" ht="15.75" customHeight="1" x14ac:dyDescent="0.25">
      <c r="A100" s="108" t="s">
        <v>136</v>
      </c>
      <c r="B100" s="109"/>
      <c r="C100" s="110" t="str">
        <f>D64</f>
        <v>Tower C = G + 1st to 60th Floor</v>
      </c>
      <c r="D100" s="111"/>
      <c r="E100" s="111"/>
      <c r="F100" s="111"/>
      <c r="G100" s="111"/>
      <c r="H100" s="112"/>
      <c r="I100" s="47" t="str">
        <f ca="1">IF(D113=100%,"All work Completed. Possession granted to the Building.",IF(D112=100%,"All work Completed, Waiting for OC",I101&amp;""&amp;I102&amp;""&amp;J101&amp;""&amp;J100&amp;" "&amp;J102))</f>
        <v>Excavation, Plinth Completed, RCC upto 35 Slab, Brickwork upto 32 Floor, Internal Plaster upto 24 Floor, External Plaster upto 20.8 Floor Completed</v>
      </c>
      <c r="J100" s="48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>, RCC upto 35 Slab, Brickwork upto 32 Floor, Internal Plaster upto 24 Floor, External Plaster upto 20.8 Floor</v>
      </c>
    </row>
    <row r="101" spans="1:11" s="23" customFormat="1" x14ac:dyDescent="0.25">
      <c r="A101" s="16" t="s">
        <v>138</v>
      </c>
      <c r="B101" s="51">
        <f>IF(AND(ISNUMBER(SEARCH("1B",C100))),1,IF(AND(ISNUMBER(SEARCH("2B",C100))),2,IF(AND(ISNUMBER(SEARCH("3B",C100))),3,IF(AND(ISNUMBER(SEARCH("4B",C100))),4,IF(ISNUMBER(SEARCH("5B",C100)),5,0)))))</f>
        <v>0</v>
      </c>
      <c r="C101" s="51" t="s">
        <v>71</v>
      </c>
      <c r="D101" s="51">
        <v>1</v>
      </c>
      <c r="E101" s="51" t="s">
        <v>70</v>
      </c>
      <c r="F101" s="51">
        <v>0</v>
      </c>
      <c r="G101" s="51" t="s">
        <v>78</v>
      </c>
      <c r="H101" s="17">
        <f ca="1">--TRIM(RIGHT(SUBSTITUTE(LEFT(C100,_xlfn.AGGREGATE(16,6,FIND({0,1,2,3,4,5,6,7,8,9},C100,ROW(INDIRECT("1:"&amp;LEN(C100)))),1))," ",REPT(" ",LEN(C100))),LEN(C100)))</f>
        <v>60</v>
      </c>
      <c r="I101" s="56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</v>
      </c>
      <c r="J101" s="57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2" spans="1:11" ht="33.6" customHeight="1" x14ac:dyDescent="0.25">
      <c r="A102" s="139" t="s">
        <v>88</v>
      </c>
      <c r="B102" s="140"/>
      <c r="C102" s="141" t="str">
        <f ca="1">(IF($G$57="NA",I100,"All work Completed. OC Received."))</f>
        <v>Excavation, Plinth Completed, RCC upto 35 Slab, Brickwork upto 32 Floor, Internal Plaster upto 24 Floor, External Plaster upto 20.8 Floor Completed</v>
      </c>
      <c r="D102" s="141"/>
      <c r="E102" s="141"/>
      <c r="F102" s="141"/>
      <c r="G102" s="141"/>
      <c r="H102" s="142"/>
      <c r="I102" s="49" t="str">
        <f ca="1">IF(I101&lt;&gt;""," Completed","")</f>
        <v xml:space="preserve"> Completed</v>
      </c>
      <c r="J102" s="50" t="str">
        <f ca="1">IF(J100&lt;&gt;"","Completed","")</f>
        <v>Completed</v>
      </c>
    </row>
    <row r="103" spans="1:11" ht="15.75" customHeight="1" x14ac:dyDescent="0.25">
      <c r="A103" s="79" t="s">
        <v>49</v>
      </c>
      <c r="B103" s="80"/>
      <c r="C103" s="43" t="s">
        <v>135</v>
      </c>
      <c r="D103" s="43" t="s">
        <v>81</v>
      </c>
      <c r="E103" s="80" t="s">
        <v>83</v>
      </c>
      <c r="F103" s="80"/>
      <c r="G103" s="80" t="s">
        <v>82</v>
      </c>
      <c r="H103" s="86"/>
      <c r="I103" s="14" t="s">
        <v>137</v>
      </c>
      <c r="J103" s="28">
        <f ca="1">H101*25%</f>
        <v>15</v>
      </c>
    </row>
    <row r="104" spans="1:11" x14ac:dyDescent="0.25">
      <c r="A104" s="79" t="s">
        <v>124</v>
      </c>
      <c r="B104" s="80"/>
      <c r="C104" s="43">
        <f ca="1">J105</f>
        <v>60</v>
      </c>
      <c r="D104" s="19">
        <f ca="1">((100/H101)*C104)/100</f>
        <v>1</v>
      </c>
      <c r="E104" s="101">
        <f ca="1">(((C105/H101*10)+(40/(D101+F101+H101)*C106)+(7.5/(H101)*C107)+(7.5/(H101)*C108)+(10/H101*C109)+(10/H101*C110)+(5/H101*C111)+(5/H101*C112)+(5/H101*C113))/100)</f>
        <v>0.43417486338797817</v>
      </c>
      <c r="F104" s="131"/>
      <c r="G104" s="101">
        <f ca="1">((((C104/H101)*20)+((C105/H101)*25)+(30/(H101+F101+D101)*C106)+(5/H101*C107)+(5/H101*C108)+(5/H101*C109)+(5/H101*C110)+(0/H101*C111)+(0/H101*C112)+(5/H101*C113))/100)</f>
        <v>0.68613114754098359</v>
      </c>
      <c r="H104" s="102"/>
      <c r="I104" s="14" t="s">
        <v>96</v>
      </c>
      <c r="J104" s="29">
        <f ca="1">H101*50%</f>
        <v>30</v>
      </c>
    </row>
    <row r="105" spans="1:11" x14ac:dyDescent="0.25">
      <c r="A105" s="79" t="s">
        <v>50</v>
      </c>
      <c r="B105" s="80"/>
      <c r="C105" s="43">
        <f ca="1">J113</f>
        <v>60</v>
      </c>
      <c r="D105" s="19">
        <f ca="1">((100/H101)*C105)/100</f>
        <v>1</v>
      </c>
      <c r="E105" s="103"/>
      <c r="F105" s="132"/>
      <c r="G105" s="103"/>
      <c r="H105" s="104"/>
      <c r="I105" s="14" t="s">
        <v>97</v>
      </c>
      <c r="J105" s="29">
        <f ca="1">H101</f>
        <v>60</v>
      </c>
    </row>
    <row r="106" spans="1:11" ht="15.75" customHeight="1" x14ac:dyDescent="0.25">
      <c r="A106" s="79" t="s">
        <v>125</v>
      </c>
      <c r="B106" s="80"/>
      <c r="C106" s="43">
        <v>35</v>
      </c>
      <c r="D106" s="19">
        <f ca="1">((100/(D101+F101+H101))*C106)/100</f>
        <v>0.57377049180327877</v>
      </c>
      <c r="E106" s="103"/>
      <c r="F106" s="132"/>
      <c r="G106" s="103"/>
      <c r="H106" s="104"/>
      <c r="I106" s="14" t="s">
        <v>98</v>
      </c>
      <c r="J106" s="30">
        <f ca="1">(IF(B101&gt;1,(H101/(B101+2)),H101/4))</f>
        <v>15</v>
      </c>
      <c r="K106" s="21" t="s">
        <v>301</v>
      </c>
    </row>
    <row r="107" spans="1:11" ht="15.75" customHeight="1" x14ac:dyDescent="0.25">
      <c r="A107" s="79" t="s">
        <v>132</v>
      </c>
      <c r="B107" s="80" t="s">
        <v>126</v>
      </c>
      <c r="C107" s="43">
        <f>C106-3</f>
        <v>32</v>
      </c>
      <c r="D107" s="19">
        <f ca="1">((100/H101)*C107)/100</f>
        <v>0.53333333333333333</v>
      </c>
      <c r="E107" s="103"/>
      <c r="F107" s="132"/>
      <c r="G107" s="103"/>
      <c r="H107" s="104"/>
      <c r="I107" s="14" t="s">
        <v>99</v>
      </c>
      <c r="J107" s="30">
        <f ca="1">(IF(B101&gt;1,(H101/(B101+2)+J106),H101/4+J106))</f>
        <v>30</v>
      </c>
    </row>
    <row r="108" spans="1:11" ht="15.75" customHeight="1" x14ac:dyDescent="0.25">
      <c r="A108" s="79" t="s">
        <v>133</v>
      </c>
      <c r="B108" s="80" t="s">
        <v>126</v>
      </c>
      <c r="C108" s="52">
        <f>C107*0.75</f>
        <v>24</v>
      </c>
      <c r="D108" s="19">
        <f ca="1">((100/H101)*C108)/100</f>
        <v>0.4</v>
      </c>
      <c r="E108" s="103"/>
      <c r="F108" s="132"/>
      <c r="G108" s="103"/>
      <c r="H108" s="104"/>
      <c r="I108" s="14" t="s">
        <v>142</v>
      </c>
      <c r="J108" s="30">
        <f>(IF(B101&gt;1,(H101/(B101+2)+J107),0))</f>
        <v>0</v>
      </c>
    </row>
    <row r="109" spans="1:11" ht="15" customHeight="1" x14ac:dyDescent="0.25">
      <c r="A109" s="79" t="s">
        <v>131</v>
      </c>
      <c r="B109" s="80" t="s">
        <v>128</v>
      </c>
      <c r="C109" s="52">
        <f>C107*0.65</f>
        <v>20.8</v>
      </c>
      <c r="D109" s="19">
        <f ca="1">((100/(H101))*C109)/100</f>
        <v>0.34666666666666673</v>
      </c>
      <c r="E109" s="103"/>
      <c r="F109" s="132"/>
      <c r="G109" s="103"/>
      <c r="H109" s="104"/>
      <c r="I109" s="14" t="s">
        <v>139</v>
      </c>
      <c r="J109" s="30">
        <f>(IF(B101&gt;2,(H101/(B101+2)+J108),0))</f>
        <v>0</v>
      </c>
    </row>
    <row r="110" spans="1:11" ht="15.75" customHeight="1" x14ac:dyDescent="0.25">
      <c r="A110" s="79" t="s">
        <v>127</v>
      </c>
      <c r="B110" s="80" t="s">
        <v>127</v>
      </c>
      <c r="C110" s="43">
        <v>0</v>
      </c>
      <c r="D110" s="19">
        <f ca="1">((100/H101)*C110)/100</f>
        <v>0</v>
      </c>
      <c r="E110" s="103"/>
      <c r="F110" s="132"/>
      <c r="G110" s="103"/>
      <c r="H110" s="104"/>
      <c r="I110" s="14" t="s">
        <v>140</v>
      </c>
      <c r="J110" s="31">
        <f>(IF(B101&gt;3,(H101/(B101+2)+J109),0))</f>
        <v>0</v>
      </c>
    </row>
    <row r="111" spans="1:11" ht="15.75" customHeight="1" x14ac:dyDescent="0.25">
      <c r="A111" s="79" t="s">
        <v>134</v>
      </c>
      <c r="B111" s="80"/>
      <c r="C111" s="43">
        <v>0</v>
      </c>
      <c r="D111" s="19">
        <f ca="1">((100/H101)*C111)/100</f>
        <v>0</v>
      </c>
      <c r="E111" s="103"/>
      <c r="F111" s="132"/>
      <c r="G111" s="103"/>
      <c r="H111" s="104"/>
      <c r="I111" s="14" t="s">
        <v>141</v>
      </c>
      <c r="J111" s="30">
        <f>(IF(B101&gt;4,(H101/(B101+2)+J110),0))</f>
        <v>0</v>
      </c>
    </row>
    <row r="112" spans="1:11" ht="15.75" customHeight="1" x14ac:dyDescent="0.25">
      <c r="A112" s="79" t="s">
        <v>129</v>
      </c>
      <c r="B112" s="80" t="s">
        <v>129</v>
      </c>
      <c r="C112" s="43">
        <v>0</v>
      </c>
      <c r="D112" s="19">
        <f ca="1">((100/(H101))*C112)/100</f>
        <v>0</v>
      </c>
      <c r="E112" s="103"/>
      <c r="F112" s="132"/>
      <c r="G112" s="103"/>
      <c r="H112" s="104"/>
      <c r="I112" s="14" t="s">
        <v>143</v>
      </c>
      <c r="J112" s="30">
        <f ca="1">(IF(B101=1,(H101/(B101+3)+J107),IF(B101=0,(H101/4+J107),IF(B101&gt;1,0))))</f>
        <v>45</v>
      </c>
    </row>
    <row r="113" spans="1:13" ht="16.5" thickBot="1" x14ac:dyDescent="0.3">
      <c r="A113" s="134" t="s">
        <v>130</v>
      </c>
      <c r="B113" s="135"/>
      <c r="C113" s="44">
        <v>0</v>
      </c>
      <c r="D113" s="20">
        <f ca="1">((100/(H101))*C113)/100</f>
        <v>0</v>
      </c>
      <c r="E113" s="105"/>
      <c r="F113" s="133"/>
      <c r="G113" s="105"/>
      <c r="H113" s="106"/>
      <c r="I113" s="15" t="s">
        <v>100</v>
      </c>
      <c r="J113" s="32">
        <f ca="1">(IF(B101&gt;1.5,(H101/(B101+2)+J107+MAX(0,J108-J107)+MAX(0,J109-J108)+MAX(0,J110-J109)+MAX(0,J111-J110)+MAX(0,J112-J111)),IF(B101=1,(H101/(B101+3)+J112),IF(B101=0,H101/4+J112))))</f>
        <v>60</v>
      </c>
    </row>
    <row r="114" spans="1:13" x14ac:dyDescent="0.25">
      <c r="A114" s="87" t="s">
        <v>153</v>
      </c>
      <c r="B114" s="87"/>
      <c r="C114" s="87"/>
      <c r="D114" s="87"/>
      <c r="E114" s="87"/>
      <c r="F114" s="161" t="s">
        <v>157</v>
      </c>
      <c r="G114" s="161"/>
      <c r="H114" s="161"/>
      <c r="J114" s="58" t="s">
        <v>294</v>
      </c>
      <c r="K114" s="59">
        <v>45338</v>
      </c>
      <c r="L114" s="58" t="s">
        <v>295</v>
      </c>
      <c r="M114" s="58" t="s">
        <v>296</v>
      </c>
    </row>
    <row r="115" spans="1:13" x14ac:dyDescent="0.25">
      <c r="A115" s="81" t="s">
        <v>155</v>
      </c>
      <c r="B115" s="81"/>
      <c r="C115" s="81"/>
      <c r="D115" s="81"/>
      <c r="E115" s="81"/>
      <c r="F115" s="88">
        <v>15800</v>
      </c>
      <c r="G115" s="88"/>
      <c r="H115" s="88"/>
      <c r="I115" s="21" t="s">
        <v>300</v>
      </c>
    </row>
    <row r="116" spans="1:13" hidden="1" x14ac:dyDescent="0.25">
      <c r="A116" s="81" t="s">
        <v>154</v>
      </c>
      <c r="B116" s="81"/>
      <c r="C116" s="81"/>
      <c r="D116" s="81"/>
      <c r="E116" s="81"/>
      <c r="F116" s="88"/>
      <c r="G116" s="88"/>
      <c r="H116" s="88"/>
    </row>
    <row r="117" spans="1:13" hidden="1" x14ac:dyDescent="0.25">
      <c r="A117" s="81" t="s">
        <v>156</v>
      </c>
      <c r="B117" s="81"/>
      <c r="C117" s="81"/>
      <c r="D117" s="81"/>
      <c r="E117" s="81"/>
      <c r="F117" s="88"/>
      <c r="G117" s="88"/>
      <c r="H117" s="88"/>
    </row>
    <row r="118" spans="1:13" s="33" customFormat="1" hidden="1" x14ac:dyDescent="0.25">
      <c r="A118" s="81" t="s">
        <v>170</v>
      </c>
      <c r="B118" s="81"/>
      <c r="C118" s="81"/>
      <c r="D118" s="81"/>
      <c r="E118" s="81"/>
      <c r="F118" s="88"/>
      <c r="G118" s="88"/>
      <c r="H118" s="88"/>
    </row>
    <row r="119" spans="1:13" s="33" customFormat="1" x14ac:dyDescent="0.25">
      <c r="A119" s="81" t="s">
        <v>94</v>
      </c>
      <c r="B119" s="81"/>
      <c r="C119" s="81"/>
      <c r="D119" s="81"/>
      <c r="E119" s="81"/>
      <c r="F119" s="88">
        <v>25000</v>
      </c>
      <c r="G119" s="88"/>
      <c r="H119" s="88"/>
    </row>
    <row r="120" spans="1:13" s="33" customFormat="1" x14ac:dyDescent="0.25">
      <c r="A120" s="81" t="s">
        <v>291</v>
      </c>
      <c r="B120" s="81"/>
      <c r="C120" s="81"/>
      <c r="D120" s="81"/>
      <c r="E120" s="81"/>
      <c r="F120" s="88">
        <v>109000</v>
      </c>
      <c r="G120" s="88"/>
      <c r="H120" s="88"/>
    </row>
    <row r="121" spans="1:13" s="33" customFormat="1" x14ac:dyDescent="0.25">
      <c r="A121" s="81" t="s">
        <v>292</v>
      </c>
      <c r="B121" s="81"/>
      <c r="C121" s="81"/>
      <c r="D121" s="81"/>
      <c r="E121" s="81"/>
      <c r="F121" s="88">
        <v>300000</v>
      </c>
      <c r="G121" s="88"/>
      <c r="H121" s="88"/>
    </row>
    <row r="122" spans="1:13" s="33" customFormat="1" x14ac:dyDescent="0.25">
      <c r="A122" s="81" t="s">
        <v>293</v>
      </c>
      <c r="B122" s="81"/>
      <c r="C122" s="81"/>
      <c r="D122" s="81"/>
      <c r="E122" s="81"/>
      <c r="F122" s="88">
        <v>81800</v>
      </c>
      <c r="G122" s="88"/>
      <c r="H122" s="88"/>
    </row>
    <row r="123" spans="1:13" s="33" customFormat="1" hidden="1" x14ac:dyDescent="0.25">
      <c r="A123" s="81" t="s">
        <v>93</v>
      </c>
      <c r="B123" s="81"/>
      <c r="C123" s="81"/>
      <c r="D123" s="81"/>
      <c r="E123" s="81"/>
      <c r="F123" s="88"/>
      <c r="G123" s="88"/>
      <c r="H123" s="88"/>
    </row>
    <row r="124" spans="1:13" s="33" customFormat="1" hidden="1" x14ac:dyDescent="0.25">
      <c r="A124" s="81" t="s">
        <v>95</v>
      </c>
      <c r="B124" s="81"/>
      <c r="C124" s="81"/>
      <c r="D124" s="81"/>
      <c r="E124" s="81"/>
      <c r="F124" s="88"/>
      <c r="G124" s="88"/>
      <c r="H124" s="88"/>
    </row>
    <row r="125" spans="1:13" x14ac:dyDescent="0.25">
      <c r="A125" s="81" t="s">
        <v>51</v>
      </c>
      <c r="B125" s="81"/>
      <c r="C125" s="81"/>
      <c r="D125" s="81"/>
      <c r="E125" s="81"/>
      <c r="F125" s="88">
        <v>600000</v>
      </c>
      <c r="G125" s="88"/>
      <c r="H125" s="88"/>
    </row>
    <row r="126" spans="1:13" s="34" customFormat="1" x14ac:dyDescent="0.25">
      <c r="A126" s="107" t="s">
        <v>52</v>
      </c>
      <c r="B126" s="107"/>
      <c r="C126" s="107"/>
      <c r="D126" s="107"/>
      <c r="E126" s="107"/>
      <c r="F126" s="88">
        <f>F115*0.8</f>
        <v>12640</v>
      </c>
      <c r="G126" s="88"/>
      <c r="H126" s="88"/>
    </row>
    <row r="127" spans="1:13" s="35" customFormat="1" x14ac:dyDescent="0.25">
      <c r="A127" s="155" t="s">
        <v>69</v>
      </c>
      <c r="B127" s="155"/>
      <c r="C127" s="155"/>
      <c r="D127" s="155"/>
      <c r="E127" s="155"/>
      <c r="F127" s="155"/>
      <c r="G127" s="155"/>
      <c r="H127" s="155"/>
    </row>
    <row r="128" spans="1:13" s="35" customFormat="1" ht="15.75" customHeight="1" x14ac:dyDescent="0.25">
      <c r="A128" s="157" t="s">
        <v>53</v>
      </c>
      <c r="B128" s="157"/>
      <c r="C128" s="196" t="s">
        <v>76</v>
      </c>
      <c r="D128" s="196"/>
      <c r="E128" s="162" t="s">
        <v>54</v>
      </c>
      <c r="F128" s="162"/>
      <c r="G128" s="157" t="s">
        <v>55</v>
      </c>
      <c r="H128" s="157"/>
    </row>
    <row r="129" spans="1:14" s="35" customFormat="1" x14ac:dyDescent="0.25">
      <c r="A129" s="84" t="s">
        <v>255</v>
      </c>
      <c r="B129" s="84"/>
      <c r="C129" s="85">
        <f>COUNT(F155:F156)+COUNT(F162:F165)+COUNT(F173:F174)+COUNT(F176:F179,F181:F183)*11+COUNT(F185:F192)*40+COUNT(F194:F201)+COUNT(F204:F205)</f>
        <v>415</v>
      </c>
      <c r="D129" s="85"/>
      <c r="E129" s="83">
        <f>SUM(F155:F156)+SUM(F162:F165)+SUM(F173:F174)+SUM(F176:F179,F181:F183)*11+SUM(F185:F192)*40+SUM(F194:F201)+SUM(F204:F205)</f>
        <v>367613.20439999993</v>
      </c>
      <c r="F129" s="83"/>
      <c r="G129" s="83">
        <f>SUM(H155:H156)+SUM(H162:H165)+SUM(H173:H174)+SUM(H176:H179,H181:H183)*11+SUM(H185:H192)*40+SUM(H194:H201)+SUM(H204:H205)</f>
        <v>551799.12996000005</v>
      </c>
      <c r="H129" s="83"/>
    </row>
    <row r="130" spans="1:14" s="35" customFormat="1" x14ac:dyDescent="0.25">
      <c r="A130" s="84" t="s">
        <v>275</v>
      </c>
      <c r="B130" s="84"/>
      <c r="C130" s="85">
        <f>COUNT(F215:F220)+COUNT(F223:F224)+COUNT(F229:F234,F236)*11+COUNT(F238:F245)*40+COUNT(F247:F254)+COUNT(F257:F258)</f>
        <v>415</v>
      </c>
      <c r="D130" s="85"/>
      <c r="E130" s="83">
        <f>SUM(F215:F220)+SUM(F223:F224)+SUM(F229:F234,F236)*11+SUM(F238:F245)*40+SUM(F247:F254)+SUM(F257:F258)</f>
        <v>366153.60599999997</v>
      </c>
      <c r="F130" s="83"/>
      <c r="G130" s="83">
        <f>SUM(H215:H220)+SUM(H223:H224)+SUM(H229:H234,H236)*11+SUM(H238:H245)*40+SUM(H247:H254)+SUM(H257:H258)</f>
        <v>550243.3014</v>
      </c>
      <c r="H130" s="83"/>
    </row>
    <row r="131" spans="1:14" s="35" customFormat="1" x14ac:dyDescent="0.25">
      <c r="A131" s="84" t="s">
        <v>276</v>
      </c>
      <c r="B131" s="84"/>
      <c r="C131" s="85">
        <f>COUNT(F268:F271)*2+COUNT(F273:F280)+COUNT(F282:F285)+COUNT(F291:F296,F298)*11+COUNT(F300:F307)*40+COUNT(F309:F316)+COUNT(F319:F320)</f>
        <v>427</v>
      </c>
      <c r="D131" s="85"/>
      <c r="E131" s="83">
        <f t="shared" ref="E131" si="0">SUM(F268:F271)*2+SUM(F273:F280)+SUM(F282:F285)+SUM(F291:F296,F298)*11+SUM(F300:F307)*40+SUM(F309:F316)+SUM(F319:F320)</f>
        <v>375839.26847999991</v>
      </c>
      <c r="F131" s="83"/>
      <c r="G131" s="83">
        <f>SUM(H268:H271)*2+SUM(H273:H280)+SUM(H282:H285)+SUM(H291:H296,H298)*11+SUM(H300:H307)*40+SUM(H309:H316)+SUM(H319:H320)</f>
        <v>564826.53006000002</v>
      </c>
      <c r="H131" s="83"/>
    </row>
    <row r="132" spans="1:14" s="35" customFormat="1" x14ac:dyDescent="0.25">
      <c r="A132" s="169" t="s">
        <v>146</v>
      </c>
      <c r="B132" s="169"/>
      <c r="C132" s="187">
        <f>SUM(C129:D131)</f>
        <v>1257</v>
      </c>
      <c r="D132" s="187"/>
      <c r="E132" s="170">
        <f>SUM(E129:F131)</f>
        <v>1109606.0788799997</v>
      </c>
      <c r="F132" s="171"/>
      <c r="G132" s="82">
        <f>SUM(G129:H131)</f>
        <v>1666868.9614200001</v>
      </c>
      <c r="H132" s="82"/>
    </row>
    <row r="133" spans="1:14" s="34" customFormat="1" x14ac:dyDescent="0.25">
      <c r="A133" s="150" t="s">
        <v>56</v>
      </c>
      <c r="B133" s="150"/>
      <c r="C133" s="150"/>
      <c r="D133" s="150"/>
      <c r="E133" s="150"/>
      <c r="F133" s="150"/>
      <c r="G133" s="150"/>
      <c r="H133" s="150"/>
    </row>
    <row r="134" spans="1:14" x14ac:dyDescent="0.25">
      <c r="A134" s="192" t="s">
        <v>260</v>
      </c>
      <c r="B134" s="192"/>
      <c r="C134" s="192"/>
      <c r="D134" s="192"/>
      <c r="E134" s="192"/>
      <c r="F134" s="192"/>
      <c r="G134" s="192"/>
      <c r="H134" s="192"/>
    </row>
    <row r="135" spans="1:14" ht="47.25" hidden="1" customHeight="1" x14ac:dyDescent="0.25">
      <c r="A135" s="91" t="s">
        <v>116</v>
      </c>
      <c r="B135" s="91" t="s">
        <v>172</v>
      </c>
      <c r="C135" s="91" t="s">
        <v>57</v>
      </c>
      <c r="D135" s="91" t="s">
        <v>228</v>
      </c>
      <c r="E135" s="93" t="s">
        <v>152</v>
      </c>
      <c r="F135" s="91" t="s">
        <v>58</v>
      </c>
      <c r="G135" s="93" t="s">
        <v>59</v>
      </c>
      <c r="H135" s="55" t="s">
        <v>145</v>
      </c>
    </row>
    <row r="136" spans="1:14" s="37" customFormat="1" hidden="1" x14ac:dyDescent="0.25">
      <c r="A136" s="92"/>
      <c r="B136" s="92"/>
      <c r="C136" s="92"/>
      <c r="D136" s="92"/>
      <c r="E136" s="94"/>
      <c r="F136" s="92"/>
      <c r="G136" s="94"/>
      <c r="H136" s="13">
        <v>0.45</v>
      </c>
    </row>
    <row r="137" spans="1:14" s="37" customFormat="1" hidden="1" x14ac:dyDescent="0.25">
      <c r="A137" s="64" t="s">
        <v>115</v>
      </c>
      <c r="B137" s="65"/>
      <c r="C137" s="65"/>
      <c r="D137" s="65"/>
      <c r="E137" s="65"/>
      <c r="F137" s="65"/>
      <c r="G137" s="65"/>
      <c r="H137" s="66"/>
      <c r="J137" s="36"/>
    </row>
    <row r="138" spans="1:14" s="37" customFormat="1" ht="15.75" hidden="1" customHeight="1" x14ac:dyDescent="0.25">
      <c r="A138" s="67">
        <v>1</v>
      </c>
      <c r="B138" s="68"/>
      <c r="C138" s="42"/>
      <c r="D138" s="42"/>
      <c r="E138" s="42">
        <v>0</v>
      </c>
      <c r="F138" s="42">
        <f>D138+E138</f>
        <v>0</v>
      </c>
      <c r="G138" s="42">
        <v>0</v>
      </c>
      <c r="H138" s="42">
        <f>(D138+E138)*(($H$136)+1)</f>
        <v>0</v>
      </c>
      <c r="I138" s="36"/>
      <c r="L138" s="95"/>
      <c r="M138" s="95"/>
      <c r="N138" s="36"/>
    </row>
    <row r="139" spans="1:14" s="37" customFormat="1" ht="15.75" hidden="1" customHeight="1" x14ac:dyDescent="0.25">
      <c r="A139" s="67">
        <f t="shared" ref="A139:A141" si="1">A138+1</f>
        <v>2</v>
      </c>
      <c r="B139" s="68"/>
      <c r="C139" s="42"/>
      <c r="D139" s="42"/>
      <c r="E139" s="42">
        <v>0</v>
      </c>
      <c r="F139" s="42">
        <f t="shared" ref="F139:F141" si="2">D139+E139</f>
        <v>0</v>
      </c>
      <c r="G139" s="42">
        <v>0</v>
      </c>
      <c r="H139" s="42">
        <f t="shared" ref="H139:H141" si="3">(D139+E139)*(($H$136)+1)</f>
        <v>0</v>
      </c>
      <c r="I139" s="36"/>
      <c r="L139" s="95"/>
      <c r="M139" s="95"/>
      <c r="N139" s="36"/>
    </row>
    <row r="140" spans="1:14" s="37" customFormat="1" ht="15.75" hidden="1" customHeight="1" x14ac:dyDescent="0.25">
      <c r="A140" s="67">
        <f t="shared" si="1"/>
        <v>3</v>
      </c>
      <c r="B140" s="68"/>
      <c r="C140" s="42"/>
      <c r="D140" s="42"/>
      <c r="E140" s="42">
        <v>0</v>
      </c>
      <c r="F140" s="42">
        <f t="shared" si="2"/>
        <v>0</v>
      </c>
      <c r="G140" s="42">
        <v>0</v>
      </c>
      <c r="H140" s="42">
        <f t="shared" si="3"/>
        <v>0</v>
      </c>
      <c r="I140" s="36"/>
      <c r="L140" s="95"/>
      <c r="M140" s="95"/>
      <c r="N140" s="36"/>
    </row>
    <row r="141" spans="1:14" s="37" customFormat="1" ht="15.75" hidden="1" customHeight="1" x14ac:dyDescent="0.25">
      <c r="A141" s="67">
        <f t="shared" si="1"/>
        <v>4</v>
      </c>
      <c r="B141" s="68"/>
      <c r="C141" s="42"/>
      <c r="D141" s="42"/>
      <c r="E141" s="42">
        <v>0</v>
      </c>
      <c r="F141" s="42">
        <f t="shared" si="2"/>
        <v>0</v>
      </c>
      <c r="G141" s="42">
        <v>0</v>
      </c>
      <c r="H141" s="42">
        <f t="shared" si="3"/>
        <v>0</v>
      </c>
      <c r="I141" s="36"/>
      <c r="L141" s="95"/>
      <c r="M141" s="95"/>
      <c r="N141" s="36"/>
    </row>
    <row r="142" spans="1:14" s="37" customFormat="1" hidden="1" x14ac:dyDescent="0.25">
      <c r="A142" s="67"/>
      <c r="B142" s="163"/>
      <c r="C142" s="163"/>
      <c r="D142" s="163"/>
      <c r="E142" s="163"/>
      <c r="F142" s="163"/>
      <c r="G142" s="163"/>
      <c r="H142" s="68"/>
      <c r="I142" s="36"/>
      <c r="N142" s="36"/>
    </row>
    <row r="143" spans="1:14" ht="47.25" customHeight="1" x14ac:dyDescent="0.25">
      <c r="A143" s="164" t="s">
        <v>117</v>
      </c>
      <c r="B143" s="91" t="s">
        <v>173</v>
      </c>
      <c r="C143" s="91" t="s">
        <v>57</v>
      </c>
      <c r="D143" s="91" t="s">
        <v>228</v>
      </c>
      <c r="E143" s="91" t="s">
        <v>227</v>
      </c>
      <c r="F143" s="91" t="s">
        <v>58</v>
      </c>
      <c r="G143" s="93" t="s">
        <v>59</v>
      </c>
      <c r="H143" s="55" t="s">
        <v>145</v>
      </c>
      <c r="I143" s="36"/>
    </row>
    <row r="144" spans="1:14" s="37" customFormat="1" x14ac:dyDescent="0.25">
      <c r="A144" s="165"/>
      <c r="B144" s="92"/>
      <c r="C144" s="92"/>
      <c r="D144" s="92"/>
      <c r="E144" s="92"/>
      <c r="F144" s="92"/>
      <c r="G144" s="94"/>
      <c r="H144" s="13">
        <v>0.5</v>
      </c>
      <c r="I144" s="36"/>
    </row>
    <row r="145" spans="1:14" s="37" customFormat="1" x14ac:dyDescent="0.25">
      <c r="A145" s="166" t="s">
        <v>255</v>
      </c>
      <c r="B145" s="167"/>
      <c r="C145" s="167"/>
      <c r="D145" s="167"/>
      <c r="E145" s="167"/>
      <c r="F145" s="167"/>
      <c r="G145" s="167"/>
      <c r="H145" s="168"/>
      <c r="J145" s="36"/>
    </row>
    <row r="146" spans="1:14" s="37" customFormat="1" x14ac:dyDescent="0.25">
      <c r="A146" s="64" t="s">
        <v>256</v>
      </c>
      <c r="B146" s="65"/>
      <c r="C146" s="65"/>
      <c r="D146" s="65"/>
      <c r="E146" s="65"/>
      <c r="F146" s="65"/>
      <c r="G146" s="65"/>
      <c r="H146" s="66"/>
      <c r="J146" s="36"/>
    </row>
    <row r="147" spans="1:14" s="37" customFormat="1" x14ac:dyDescent="0.25">
      <c r="A147" s="64" t="s">
        <v>258</v>
      </c>
      <c r="B147" s="65"/>
      <c r="C147" s="65"/>
      <c r="D147" s="65"/>
      <c r="E147" s="65"/>
      <c r="F147" s="65"/>
      <c r="G147" s="65"/>
      <c r="H147" s="66"/>
      <c r="J147" s="36"/>
    </row>
    <row r="148" spans="1:14" s="37" customFormat="1" x14ac:dyDescent="0.25">
      <c r="A148" s="64" t="s">
        <v>259</v>
      </c>
      <c r="B148" s="65"/>
      <c r="C148" s="65"/>
      <c r="D148" s="65"/>
      <c r="E148" s="65"/>
      <c r="F148" s="65"/>
      <c r="G148" s="65"/>
      <c r="H148" s="66"/>
      <c r="J148" s="36"/>
    </row>
    <row r="149" spans="1:14" s="37" customFormat="1" ht="15.75" customHeight="1" x14ac:dyDescent="0.25">
      <c r="A149" s="67">
        <v>1</v>
      </c>
      <c r="B149" s="68"/>
      <c r="C149" s="69" t="s">
        <v>263</v>
      </c>
      <c r="D149" s="70"/>
      <c r="E149" s="70"/>
      <c r="F149" s="70"/>
      <c r="G149" s="70"/>
      <c r="H149" s="71"/>
      <c r="I149" s="36"/>
      <c r="L149" s="95"/>
      <c r="M149" s="95"/>
      <c r="N149" s="36"/>
    </row>
    <row r="150" spans="1:14" s="37" customFormat="1" ht="15.75" customHeight="1" x14ac:dyDescent="0.25">
      <c r="A150" s="67">
        <f t="shared" ref="A150:A156" si="4">A149+1</f>
        <v>2</v>
      </c>
      <c r="B150" s="68"/>
      <c r="C150" s="72"/>
      <c r="D150" s="73"/>
      <c r="E150" s="73"/>
      <c r="F150" s="73"/>
      <c r="G150" s="73"/>
      <c r="H150" s="74"/>
      <c r="I150" s="36"/>
      <c r="L150" s="95"/>
      <c r="M150" s="95"/>
      <c r="N150" s="36"/>
    </row>
    <row r="151" spans="1:14" s="37" customFormat="1" ht="16.5" customHeight="1" x14ac:dyDescent="0.25">
      <c r="A151" s="67">
        <f t="shared" si="4"/>
        <v>3</v>
      </c>
      <c r="B151" s="68"/>
      <c r="C151" s="72"/>
      <c r="D151" s="73"/>
      <c r="E151" s="73"/>
      <c r="F151" s="73"/>
      <c r="G151" s="73"/>
      <c r="H151" s="74"/>
      <c r="I151" s="36"/>
      <c r="L151" s="95"/>
      <c r="M151" s="95"/>
      <c r="N151" s="36"/>
    </row>
    <row r="152" spans="1:14" s="37" customFormat="1" ht="16.5" customHeight="1" x14ac:dyDescent="0.25">
      <c r="A152" s="67">
        <f t="shared" si="4"/>
        <v>4</v>
      </c>
      <c r="B152" s="68"/>
      <c r="C152" s="72"/>
      <c r="D152" s="73"/>
      <c r="E152" s="73"/>
      <c r="F152" s="73"/>
      <c r="G152" s="73"/>
      <c r="H152" s="74"/>
      <c r="I152" s="36"/>
      <c r="L152" s="95"/>
      <c r="M152" s="95"/>
      <c r="N152" s="36"/>
    </row>
    <row r="153" spans="1:14" s="37" customFormat="1" ht="16.5" customHeight="1" x14ac:dyDescent="0.25">
      <c r="A153" s="67">
        <f t="shared" si="4"/>
        <v>5</v>
      </c>
      <c r="B153" s="68"/>
      <c r="C153" s="72"/>
      <c r="D153" s="73"/>
      <c r="E153" s="73"/>
      <c r="F153" s="73"/>
      <c r="G153" s="73"/>
      <c r="H153" s="74"/>
      <c r="I153" s="36"/>
      <c r="L153" s="95"/>
      <c r="M153" s="95"/>
      <c r="N153" s="36"/>
    </row>
    <row r="154" spans="1:14" s="37" customFormat="1" ht="16.5" customHeight="1" x14ac:dyDescent="0.25">
      <c r="A154" s="67">
        <f t="shared" si="4"/>
        <v>6</v>
      </c>
      <c r="B154" s="68"/>
      <c r="C154" s="75"/>
      <c r="D154" s="76"/>
      <c r="E154" s="76"/>
      <c r="F154" s="76"/>
      <c r="G154" s="76"/>
      <c r="H154" s="77"/>
      <c r="I154" s="36"/>
      <c r="L154" s="95"/>
      <c r="M154" s="95"/>
      <c r="N154" s="36"/>
    </row>
    <row r="155" spans="1:14" s="37" customFormat="1" ht="16.5" customHeight="1" x14ac:dyDescent="0.25">
      <c r="A155" s="67">
        <f t="shared" si="4"/>
        <v>7</v>
      </c>
      <c r="B155" s="68"/>
      <c r="C155" s="42" t="s">
        <v>261</v>
      </c>
      <c r="D155" s="42">
        <f>(97.69-3.6)*10.764</f>
        <v>1012.78476</v>
      </c>
      <c r="E155" s="42">
        <f>3.6*10.764</f>
        <v>38.750399999999999</v>
      </c>
      <c r="F155" s="42">
        <f t="shared" ref="F155:F156" si="5">D155+E155</f>
        <v>1051.5351599999999</v>
      </c>
      <c r="G155" s="42">
        <v>0</v>
      </c>
      <c r="H155" s="42">
        <f>F155*(($H$144)+1)+(IF(G155&lt;101,G155,IF(G155&lt;201,G155/2,IF(G155&lt;=301,G155/3,G155/4))))</f>
        <v>1577.3027399999999</v>
      </c>
      <c r="I155" s="36">
        <f>0.3*0.87+1.388*1.25+1.225*1.63+0.35*1.7+3.463*2.45+0.9*1.72+1.96*3.05+3.35*6.1+3.05*3.65+1.525*2.375+1.525*2.375+1*1.525+1*1.525+3.65*3.05+1.525*2.45+3.5*4.115</f>
        <v>91.73060000000001</v>
      </c>
      <c r="J155" s="37">
        <f>1.225*3.35</f>
        <v>4.1037500000000007</v>
      </c>
      <c r="K155" s="37">
        <f>18700000/H155</f>
        <v>11855.682188189188</v>
      </c>
      <c r="L155" s="95"/>
      <c r="M155" s="95"/>
      <c r="N155" s="36"/>
    </row>
    <row r="156" spans="1:14" s="37" customFormat="1" ht="16.5" customHeight="1" x14ac:dyDescent="0.25">
      <c r="A156" s="67">
        <f t="shared" si="4"/>
        <v>8</v>
      </c>
      <c r="B156" s="68"/>
      <c r="C156" s="42" t="s">
        <v>261</v>
      </c>
      <c r="D156" s="42">
        <f>(97.69-3.6)*10.764</f>
        <v>1012.78476</v>
      </c>
      <c r="E156" s="42">
        <f>3.6*10.764</f>
        <v>38.750399999999999</v>
      </c>
      <c r="F156" s="42">
        <f t="shared" si="5"/>
        <v>1051.5351599999999</v>
      </c>
      <c r="G156" s="42">
        <v>0</v>
      </c>
      <c r="H156" s="42">
        <f>F156*(($H$144)+1)+(IF(G156&lt;101,G156,IF(G156&lt;201,G156/2,IF(G156&lt;=301,G156/3,G156/4))))</f>
        <v>1577.3027399999999</v>
      </c>
      <c r="I156" s="36">
        <f>I155+J155</f>
        <v>95.834350000000015</v>
      </c>
      <c r="L156" s="95"/>
      <c r="M156" s="95"/>
      <c r="N156" s="36"/>
    </row>
    <row r="157" spans="1:14" s="37" customFormat="1" x14ac:dyDescent="0.25">
      <c r="A157" s="64" t="s">
        <v>264</v>
      </c>
      <c r="B157" s="65"/>
      <c r="C157" s="65"/>
      <c r="D157" s="65"/>
      <c r="E157" s="65"/>
      <c r="F157" s="65"/>
      <c r="G157" s="65"/>
      <c r="H157" s="66"/>
      <c r="J157" s="36"/>
    </row>
    <row r="158" spans="1:14" s="37" customFormat="1" ht="15.75" customHeight="1" x14ac:dyDescent="0.25">
      <c r="A158" s="67">
        <v>1</v>
      </c>
      <c r="B158" s="68"/>
      <c r="C158" s="69" t="s">
        <v>263</v>
      </c>
      <c r="D158" s="70"/>
      <c r="E158" s="70"/>
      <c r="F158" s="70"/>
      <c r="G158" s="70"/>
      <c r="H158" s="71"/>
      <c r="I158" s="36"/>
      <c r="L158" s="95"/>
      <c r="M158" s="95"/>
      <c r="N158" s="36"/>
    </row>
    <row r="159" spans="1:14" s="37" customFormat="1" ht="15.75" customHeight="1" x14ac:dyDescent="0.25">
      <c r="A159" s="67">
        <f t="shared" ref="A159:A165" si="6">A158+1</f>
        <v>2</v>
      </c>
      <c r="B159" s="68"/>
      <c r="C159" s="72"/>
      <c r="D159" s="73"/>
      <c r="E159" s="73"/>
      <c r="F159" s="73"/>
      <c r="G159" s="73"/>
      <c r="H159" s="74"/>
      <c r="I159" s="36"/>
      <c r="L159" s="95"/>
      <c r="M159" s="95"/>
      <c r="N159" s="36"/>
    </row>
    <row r="160" spans="1:14" s="37" customFormat="1" ht="16.5" customHeight="1" x14ac:dyDescent="0.25">
      <c r="A160" s="67">
        <f t="shared" si="6"/>
        <v>3</v>
      </c>
      <c r="B160" s="68"/>
      <c r="C160" s="72"/>
      <c r="D160" s="73"/>
      <c r="E160" s="73"/>
      <c r="F160" s="73"/>
      <c r="G160" s="73"/>
      <c r="H160" s="74"/>
      <c r="I160" s="36"/>
      <c r="L160" s="95"/>
      <c r="M160" s="95"/>
      <c r="N160" s="36"/>
    </row>
    <row r="161" spans="1:14" s="37" customFormat="1" ht="16.5" customHeight="1" x14ac:dyDescent="0.25">
      <c r="A161" s="67">
        <f t="shared" si="6"/>
        <v>4</v>
      </c>
      <c r="B161" s="68"/>
      <c r="C161" s="75"/>
      <c r="D161" s="76"/>
      <c r="E161" s="76"/>
      <c r="F161" s="76"/>
      <c r="G161" s="76"/>
      <c r="H161" s="77"/>
      <c r="I161" s="36"/>
      <c r="L161" s="95"/>
      <c r="M161" s="95"/>
      <c r="N161" s="36"/>
    </row>
    <row r="162" spans="1:14" s="37" customFormat="1" ht="53.25" customHeight="1" x14ac:dyDescent="0.25">
      <c r="A162" s="67">
        <f t="shared" si="6"/>
        <v>5</v>
      </c>
      <c r="B162" s="68"/>
      <c r="C162" s="42" t="s">
        <v>265</v>
      </c>
      <c r="D162" s="42">
        <f>174.19*10.764</f>
        <v>1874.9811599999998</v>
      </c>
      <c r="E162" s="42">
        <v>0</v>
      </c>
      <c r="F162" s="42">
        <f t="shared" ref="F162:F163" si="7">D162+E162</f>
        <v>1874.9811599999998</v>
      </c>
      <c r="G162" s="42">
        <f>70.48*10.764</f>
        <v>758.64671999999996</v>
      </c>
      <c r="H162" s="42">
        <f t="shared" ref="H162:H163" si="8">F162*(($H$144)+1)+(IF(G162&lt;101,G162,IF(G162&lt;201,G162/2,IF(G162&lt;=301,G162/3,G162/4))))</f>
        <v>3002.1334200000001</v>
      </c>
      <c r="I162" s="36"/>
      <c r="L162" s="95"/>
      <c r="M162" s="95"/>
      <c r="N162" s="36"/>
    </row>
    <row r="163" spans="1:14" s="37" customFormat="1" ht="57" customHeight="1" x14ac:dyDescent="0.25">
      <c r="A163" s="67">
        <f t="shared" si="6"/>
        <v>6</v>
      </c>
      <c r="B163" s="68"/>
      <c r="C163" s="42" t="s">
        <v>265</v>
      </c>
      <c r="D163" s="42">
        <f>174.19*10.764</f>
        <v>1874.9811599999998</v>
      </c>
      <c r="E163" s="42">
        <v>0</v>
      </c>
      <c r="F163" s="42">
        <f t="shared" si="7"/>
        <v>1874.9811599999998</v>
      </c>
      <c r="G163" s="42">
        <v>0</v>
      </c>
      <c r="H163" s="42">
        <f t="shared" si="8"/>
        <v>2812.47174</v>
      </c>
      <c r="I163" s="36"/>
      <c r="J163" s="37">
        <f>14000*H163</f>
        <v>39374604.359999999</v>
      </c>
      <c r="L163" s="95"/>
      <c r="M163" s="95"/>
      <c r="N163" s="36"/>
    </row>
    <row r="164" spans="1:14" s="37" customFormat="1" ht="16.5" customHeight="1" x14ac:dyDescent="0.25">
      <c r="A164" s="67">
        <f t="shared" si="6"/>
        <v>7</v>
      </c>
      <c r="B164" s="68"/>
      <c r="C164" s="42" t="s">
        <v>261</v>
      </c>
      <c r="D164" s="42">
        <f>(97.69-3.6)*10.764</f>
        <v>1012.78476</v>
      </c>
      <c r="E164" s="42">
        <f>3.6*10.764</f>
        <v>38.750399999999999</v>
      </c>
      <c r="F164" s="42">
        <f t="shared" ref="F164:F165" si="9">D164+E164</f>
        <v>1051.5351599999999</v>
      </c>
      <c r="G164" s="42">
        <v>0</v>
      </c>
      <c r="H164" s="42">
        <f t="shared" ref="H164:H165" si="10">F164*(($H$144)+1)+(IF(G164&lt;101,G164,IF(G164&lt;201,G164/2,IF(G164&lt;=301,G164/3,G164/4))))</f>
        <v>1577.3027399999999</v>
      </c>
      <c r="I164" s="36"/>
      <c r="J164" s="37">
        <f>14000*H164</f>
        <v>22082238.359999999</v>
      </c>
      <c r="L164" s="95"/>
      <c r="M164" s="95"/>
      <c r="N164" s="36"/>
    </row>
    <row r="165" spans="1:14" s="37" customFormat="1" ht="16.5" customHeight="1" x14ac:dyDescent="0.25">
      <c r="A165" s="67">
        <f t="shared" si="6"/>
        <v>8</v>
      </c>
      <c r="B165" s="68"/>
      <c r="C165" s="42" t="s">
        <v>261</v>
      </c>
      <c r="D165" s="42">
        <f>(97.69-3.6)*10.764</f>
        <v>1012.78476</v>
      </c>
      <c r="E165" s="42">
        <f>3.6*10.764</f>
        <v>38.750399999999999</v>
      </c>
      <c r="F165" s="42">
        <f t="shared" si="9"/>
        <v>1051.5351599999999</v>
      </c>
      <c r="G165" s="42">
        <v>0</v>
      </c>
      <c r="H165" s="42">
        <f t="shared" si="10"/>
        <v>1577.3027399999999</v>
      </c>
      <c r="I165" s="36"/>
      <c r="L165" s="95"/>
      <c r="M165" s="95"/>
      <c r="N165" s="36"/>
    </row>
    <row r="166" spans="1:14" s="37" customFormat="1" x14ac:dyDescent="0.25">
      <c r="A166" s="64" t="s">
        <v>266</v>
      </c>
      <c r="B166" s="65"/>
      <c r="C166" s="65"/>
      <c r="D166" s="65"/>
      <c r="E166" s="65"/>
      <c r="F166" s="65"/>
      <c r="G166" s="65"/>
      <c r="H166" s="66"/>
      <c r="J166" s="36"/>
    </row>
    <row r="167" spans="1:14" s="37" customFormat="1" ht="15.75" customHeight="1" x14ac:dyDescent="0.25">
      <c r="A167" s="67">
        <v>1</v>
      </c>
      <c r="B167" s="68"/>
      <c r="C167" s="69" t="s">
        <v>263</v>
      </c>
      <c r="D167" s="70"/>
      <c r="E167" s="70"/>
      <c r="F167" s="70"/>
      <c r="G167" s="70"/>
      <c r="H167" s="71"/>
      <c r="I167" s="36"/>
      <c r="L167" s="95"/>
      <c r="M167" s="95"/>
      <c r="N167" s="36"/>
    </row>
    <row r="168" spans="1:14" s="37" customFormat="1" ht="15.75" customHeight="1" x14ac:dyDescent="0.25">
      <c r="A168" s="67">
        <f t="shared" ref="A168:A174" si="11">A167+1</f>
        <v>2</v>
      </c>
      <c r="B168" s="68"/>
      <c r="C168" s="72"/>
      <c r="D168" s="73"/>
      <c r="E168" s="73"/>
      <c r="F168" s="73"/>
      <c r="G168" s="73"/>
      <c r="H168" s="74"/>
      <c r="I168" s="36"/>
      <c r="L168" s="95"/>
      <c r="M168" s="95"/>
      <c r="N168" s="36"/>
    </row>
    <row r="169" spans="1:14" s="37" customFormat="1" ht="16.5" customHeight="1" x14ac:dyDescent="0.25">
      <c r="A169" s="67">
        <f t="shared" si="11"/>
        <v>3</v>
      </c>
      <c r="B169" s="68"/>
      <c r="C169" s="72"/>
      <c r="D169" s="73"/>
      <c r="E169" s="73"/>
      <c r="F169" s="73"/>
      <c r="G169" s="73"/>
      <c r="H169" s="74"/>
      <c r="I169" s="36"/>
      <c r="L169" s="95"/>
      <c r="M169" s="95"/>
      <c r="N169" s="36"/>
    </row>
    <row r="170" spans="1:14" s="37" customFormat="1" ht="16.5" customHeight="1" x14ac:dyDescent="0.25">
      <c r="A170" s="67">
        <f t="shared" si="11"/>
        <v>4</v>
      </c>
      <c r="B170" s="68"/>
      <c r="C170" s="75"/>
      <c r="D170" s="76"/>
      <c r="E170" s="76"/>
      <c r="F170" s="76"/>
      <c r="G170" s="76"/>
      <c r="H170" s="77"/>
      <c r="I170" s="36"/>
      <c r="L170" s="95"/>
      <c r="M170" s="95"/>
      <c r="N170" s="36"/>
    </row>
    <row r="171" spans="1:14" s="37" customFormat="1" x14ac:dyDescent="0.25">
      <c r="A171" s="67">
        <f t="shared" si="11"/>
        <v>5</v>
      </c>
      <c r="B171" s="68"/>
      <c r="C171" s="69" t="s">
        <v>267</v>
      </c>
      <c r="D171" s="70">
        <f>174.19*10.764</f>
        <v>1874.9811599999998</v>
      </c>
      <c r="E171" s="70">
        <v>0</v>
      </c>
      <c r="F171" s="70">
        <f t="shared" ref="F171:F174" si="12">D171+E171</f>
        <v>1874.9811599999998</v>
      </c>
      <c r="G171" s="70">
        <f>70.48*10.764</f>
        <v>758.64671999999996</v>
      </c>
      <c r="H171" s="71">
        <f t="shared" ref="H171:H174" si="13">F171*(($H$144)+1)+(IF(G171&lt;101,G171,IF(G171&lt;201,G171/2,IF(G171&lt;=301,G171/3,G171/4))))</f>
        <v>3002.1334200000001</v>
      </c>
      <c r="I171" s="36"/>
      <c r="L171" s="95"/>
      <c r="M171" s="95"/>
      <c r="N171" s="36"/>
    </row>
    <row r="172" spans="1:14" s="37" customFormat="1" x14ac:dyDescent="0.25">
      <c r="A172" s="67">
        <f t="shared" si="11"/>
        <v>6</v>
      </c>
      <c r="B172" s="68"/>
      <c r="C172" s="69" t="s">
        <v>267</v>
      </c>
      <c r="D172" s="70">
        <f>174.19*10.764</f>
        <v>1874.9811599999998</v>
      </c>
      <c r="E172" s="70">
        <v>0</v>
      </c>
      <c r="F172" s="70">
        <f t="shared" si="12"/>
        <v>1874.9811599999998</v>
      </c>
      <c r="G172" s="70">
        <v>0</v>
      </c>
      <c r="H172" s="71">
        <f t="shared" si="13"/>
        <v>2812.47174</v>
      </c>
      <c r="I172" s="36"/>
      <c r="L172" s="95"/>
      <c r="M172" s="95"/>
      <c r="N172" s="36"/>
    </row>
    <row r="173" spans="1:14" s="37" customFormat="1" ht="16.5" customHeight="1" x14ac:dyDescent="0.25">
      <c r="A173" s="67">
        <f t="shared" si="11"/>
        <v>7</v>
      </c>
      <c r="B173" s="68"/>
      <c r="C173" s="42" t="s">
        <v>261</v>
      </c>
      <c r="D173" s="42">
        <f>(97.69-3.6)*10.764</f>
        <v>1012.78476</v>
      </c>
      <c r="E173" s="42">
        <f>3.6*10.764</f>
        <v>38.750399999999999</v>
      </c>
      <c r="F173" s="42">
        <f>D173+E173</f>
        <v>1051.5351599999999</v>
      </c>
      <c r="G173" s="42">
        <v>0</v>
      </c>
      <c r="H173" s="42">
        <f t="shared" si="13"/>
        <v>1577.3027399999999</v>
      </c>
      <c r="I173" s="36"/>
      <c r="L173" s="95"/>
      <c r="M173" s="95"/>
      <c r="N173" s="36"/>
    </row>
    <row r="174" spans="1:14" s="37" customFormat="1" ht="16.5" customHeight="1" x14ac:dyDescent="0.25">
      <c r="A174" s="67">
        <f t="shared" si="11"/>
        <v>8</v>
      </c>
      <c r="B174" s="68"/>
      <c r="C174" s="42" t="s">
        <v>261</v>
      </c>
      <c r="D174" s="42">
        <f>(97.69-3.6)*10.764</f>
        <v>1012.78476</v>
      </c>
      <c r="E174" s="42">
        <f>3.6*10.764</f>
        <v>38.750399999999999</v>
      </c>
      <c r="F174" s="42">
        <f t="shared" si="12"/>
        <v>1051.5351599999999</v>
      </c>
      <c r="G174" s="42">
        <v>0</v>
      </c>
      <c r="H174" s="42">
        <f t="shared" si="13"/>
        <v>1577.3027399999999</v>
      </c>
      <c r="I174" s="36"/>
      <c r="L174" s="95"/>
      <c r="M174" s="95"/>
      <c r="N174" s="36"/>
    </row>
    <row r="175" spans="1:14" s="37" customFormat="1" x14ac:dyDescent="0.25">
      <c r="A175" s="78" t="s">
        <v>268</v>
      </c>
      <c r="B175" s="78"/>
      <c r="C175" s="78"/>
      <c r="D175" s="78"/>
      <c r="E175" s="78"/>
      <c r="F175" s="78"/>
      <c r="G175" s="78"/>
      <c r="H175" s="78"/>
      <c r="I175" s="36"/>
      <c r="L175" s="95"/>
      <c r="M175" s="95"/>
    </row>
    <row r="176" spans="1:14" s="37" customFormat="1" x14ac:dyDescent="0.25">
      <c r="A176" s="63">
        <v>1</v>
      </c>
      <c r="B176" s="63"/>
      <c r="C176" s="42" t="s">
        <v>261</v>
      </c>
      <c r="D176" s="42">
        <f>(97.16-3.89)*10.764</f>
        <v>1003.9582799999999</v>
      </c>
      <c r="E176" s="42">
        <f>3.89*10.764</f>
        <v>41.871960000000001</v>
      </c>
      <c r="F176" s="42">
        <f>D176+E176</f>
        <v>1045.83024</v>
      </c>
      <c r="G176" s="42">
        <v>0</v>
      </c>
      <c r="H176" s="42">
        <f>F176*(($H$144)+1)+(IF(G176&lt;101,G176,IF(G176&lt;201,G176/2,IF(G176&lt;=301,G176/3,G176/4))))</f>
        <v>1568.7453599999999</v>
      </c>
      <c r="I176" s="36"/>
      <c r="N176" s="36"/>
    </row>
    <row r="177" spans="1:14" s="37" customFormat="1" x14ac:dyDescent="0.25">
      <c r="A177" s="63">
        <f t="shared" ref="A177:A183" si="14">A176+1</f>
        <v>2</v>
      </c>
      <c r="B177" s="63"/>
      <c r="C177" s="42" t="s">
        <v>262</v>
      </c>
      <c r="D177" s="42">
        <f>26.07*10.764</f>
        <v>280.61748</v>
      </c>
      <c r="E177" s="42">
        <v>0</v>
      </c>
      <c r="F177" s="42">
        <f t="shared" ref="F177:F179" si="15">D177+E177</f>
        <v>280.61748</v>
      </c>
      <c r="G177" s="42">
        <v>0</v>
      </c>
      <c r="H177" s="42">
        <f t="shared" ref="H177:H179" si="16">F177*(($H$144)+1)+(IF(G177&lt;101,G177,IF(G177&lt;201,G177/2,IF(G177&lt;=301,G177/3,G177/4))))</f>
        <v>420.92622</v>
      </c>
      <c r="I177" s="36"/>
      <c r="N177" s="36"/>
    </row>
    <row r="178" spans="1:14" s="37" customFormat="1" x14ac:dyDescent="0.25">
      <c r="A178" s="63">
        <f t="shared" si="14"/>
        <v>3</v>
      </c>
      <c r="B178" s="63"/>
      <c r="C178" s="42" t="s">
        <v>262</v>
      </c>
      <c r="D178" s="42">
        <f>26.07*10.764</f>
        <v>280.61748</v>
      </c>
      <c r="E178" s="42">
        <v>0</v>
      </c>
      <c r="F178" s="42">
        <f t="shared" si="15"/>
        <v>280.61748</v>
      </c>
      <c r="G178" s="42">
        <v>0</v>
      </c>
      <c r="H178" s="42">
        <f t="shared" si="16"/>
        <v>420.92622</v>
      </c>
      <c r="I178" s="36"/>
      <c r="N178" s="36"/>
    </row>
    <row r="179" spans="1:14" s="37" customFormat="1" x14ac:dyDescent="0.25">
      <c r="A179" s="63">
        <f t="shared" si="14"/>
        <v>4</v>
      </c>
      <c r="B179" s="63"/>
      <c r="C179" s="42" t="s">
        <v>261</v>
      </c>
      <c r="D179" s="42">
        <f>(97.16-3.89)*10.764</f>
        <v>1003.9582799999999</v>
      </c>
      <c r="E179" s="42">
        <f>3.89*10.764</f>
        <v>41.871960000000001</v>
      </c>
      <c r="F179" s="42">
        <f t="shared" si="15"/>
        <v>1045.83024</v>
      </c>
      <c r="G179" s="42">
        <v>0</v>
      </c>
      <c r="H179" s="42">
        <f t="shared" si="16"/>
        <v>1568.7453599999999</v>
      </c>
      <c r="I179" s="36"/>
      <c r="N179" s="36"/>
    </row>
    <row r="180" spans="1:14" s="37" customFormat="1" x14ac:dyDescent="0.25">
      <c r="A180" s="63">
        <f t="shared" si="14"/>
        <v>5</v>
      </c>
      <c r="B180" s="63"/>
      <c r="C180" s="67" t="s">
        <v>269</v>
      </c>
      <c r="D180" s="163"/>
      <c r="E180" s="163"/>
      <c r="F180" s="163"/>
      <c r="G180" s="163"/>
      <c r="H180" s="68"/>
      <c r="I180" s="36"/>
      <c r="N180" s="36"/>
    </row>
    <row r="181" spans="1:14" s="37" customFormat="1" x14ac:dyDescent="0.25">
      <c r="A181" s="63">
        <f t="shared" si="14"/>
        <v>6</v>
      </c>
      <c r="B181" s="63"/>
      <c r="C181" s="42" t="s">
        <v>261</v>
      </c>
      <c r="D181" s="42">
        <f>(154.46-7.2)*10.764</f>
        <v>1585.1066400000002</v>
      </c>
      <c r="E181" s="42">
        <f>7.2*10.764</f>
        <v>77.500799999999998</v>
      </c>
      <c r="F181" s="42">
        <f t="shared" ref="F181:F182" si="17">D181+E181</f>
        <v>1662.6074400000002</v>
      </c>
      <c r="G181" s="42">
        <v>0</v>
      </c>
      <c r="H181" s="42">
        <f t="shared" ref="H181:H182" si="18">F181*(($H$144)+1)+(IF(G181&lt;101,G181,IF(G181&lt;201,G181/2,IF(G181&lt;=301,G181/3,G181/4))))</f>
        <v>2493.9111600000006</v>
      </c>
      <c r="I181" s="36"/>
      <c r="N181" s="36"/>
    </row>
    <row r="182" spans="1:14" s="37" customFormat="1" x14ac:dyDescent="0.25">
      <c r="A182" s="63">
        <f t="shared" si="14"/>
        <v>7</v>
      </c>
      <c r="B182" s="63"/>
      <c r="C182" s="42" t="s">
        <v>261</v>
      </c>
      <c r="D182" s="42">
        <f>(97.69-3.6)*10.764</f>
        <v>1012.78476</v>
      </c>
      <c r="E182" s="42">
        <f>3.6*10.764</f>
        <v>38.750399999999999</v>
      </c>
      <c r="F182" s="42">
        <f t="shared" si="17"/>
        <v>1051.5351599999999</v>
      </c>
      <c r="G182" s="42">
        <v>0</v>
      </c>
      <c r="H182" s="42">
        <f t="shared" si="18"/>
        <v>1577.3027399999999</v>
      </c>
      <c r="I182" s="36"/>
      <c r="N182" s="36"/>
    </row>
    <row r="183" spans="1:14" s="37" customFormat="1" x14ac:dyDescent="0.25">
      <c r="A183" s="63">
        <f t="shared" si="14"/>
        <v>8</v>
      </c>
      <c r="B183" s="63"/>
      <c r="C183" s="42" t="s">
        <v>261</v>
      </c>
      <c r="D183" s="42">
        <f>(97.69-3.6)*10.764</f>
        <v>1012.78476</v>
      </c>
      <c r="E183" s="42">
        <f>3.6*10.764</f>
        <v>38.750399999999999</v>
      </c>
      <c r="F183" s="42">
        <f>D183+E183</f>
        <v>1051.5351599999999</v>
      </c>
      <c r="G183" s="42">
        <v>0</v>
      </c>
      <c r="H183" s="42">
        <f>F183*(($H$144)+1)+(IF(G183&lt;101,G183,IF(G183&lt;201,G183/2,IF(G183&lt;=301,G183/3,G183/4))))</f>
        <v>1577.3027399999999</v>
      </c>
      <c r="I183" s="36"/>
      <c r="N183" s="36"/>
    </row>
    <row r="184" spans="1:14" s="37" customFormat="1" ht="31.5" customHeight="1" x14ac:dyDescent="0.25">
      <c r="A184" s="78" t="s">
        <v>270</v>
      </c>
      <c r="B184" s="78"/>
      <c r="C184" s="78"/>
      <c r="D184" s="78"/>
      <c r="E184" s="78"/>
      <c r="F184" s="78"/>
      <c r="G184" s="78"/>
      <c r="H184" s="78"/>
      <c r="I184" s="36"/>
      <c r="L184" s="95"/>
      <c r="M184" s="95"/>
    </row>
    <row r="185" spans="1:14" s="37" customFormat="1" x14ac:dyDescent="0.25">
      <c r="A185" s="63">
        <v>1</v>
      </c>
      <c r="B185" s="63"/>
      <c r="C185" s="42" t="s">
        <v>261</v>
      </c>
      <c r="D185" s="42">
        <f>(97.16-3.89)*10.764</f>
        <v>1003.9582799999999</v>
      </c>
      <c r="E185" s="42">
        <f>3.89*10.764</f>
        <v>41.871960000000001</v>
      </c>
      <c r="F185" s="42">
        <f>D185+E185</f>
        <v>1045.83024</v>
      </c>
      <c r="G185" s="42">
        <v>0</v>
      </c>
      <c r="H185" s="42">
        <f>F185*(($H$144)+1)+(IF(G185&lt;101,G185,IF(G185&lt;201,G185/2,IF(G185&lt;=301,G185/3,G185/4))))</f>
        <v>1568.7453599999999</v>
      </c>
      <c r="I185" s="36"/>
      <c r="N185" s="36"/>
    </row>
    <row r="186" spans="1:14" s="37" customFormat="1" x14ac:dyDescent="0.25">
      <c r="A186" s="63">
        <f t="shared" ref="A186:A192" si="19">A185+1</f>
        <v>2</v>
      </c>
      <c r="B186" s="63"/>
      <c r="C186" s="42" t="s">
        <v>262</v>
      </c>
      <c r="D186" s="42">
        <f>26.07*10.764</f>
        <v>280.61748</v>
      </c>
      <c r="E186" s="42">
        <v>0</v>
      </c>
      <c r="F186" s="42">
        <f t="shared" ref="F186:F188" si="20">D186+E186</f>
        <v>280.61748</v>
      </c>
      <c r="G186" s="42">
        <v>0</v>
      </c>
      <c r="H186" s="42">
        <f t="shared" ref="H186:H188" si="21">F186*(($H$144)+1)+(IF(G186&lt;101,G186,IF(G186&lt;201,G186/2,IF(G186&lt;=301,G186/3,G186/4))))</f>
        <v>420.92622</v>
      </c>
      <c r="I186" s="36"/>
      <c r="N186" s="36"/>
    </row>
    <row r="187" spans="1:14" s="37" customFormat="1" x14ac:dyDescent="0.25">
      <c r="A187" s="63">
        <f t="shared" si="19"/>
        <v>3</v>
      </c>
      <c r="B187" s="63"/>
      <c r="C187" s="42" t="s">
        <v>262</v>
      </c>
      <c r="D187" s="42">
        <f>26.07*10.764</f>
        <v>280.61748</v>
      </c>
      <c r="E187" s="42">
        <v>0</v>
      </c>
      <c r="F187" s="42">
        <f t="shared" si="20"/>
        <v>280.61748</v>
      </c>
      <c r="G187" s="42">
        <v>0</v>
      </c>
      <c r="H187" s="42">
        <f t="shared" si="21"/>
        <v>420.92622</v>
      </c>
      <c r="I187" s="36"/>
      <c r="N187" s="36"/>
    </row>
    <row r="188" spans="1:14" s="37" customFormat="1" x14ac:dyDescent="0.25">
      <c r="A188" s="63">
        <f t="shared" si="19"/>
        <v>4</v>
      </c>
      <c r="B188" s="63"/>
      <c r="C188" s="42" t="s">
        <v>261</v>
      </c>
      <c r="D188" s="42">
        <f>(97.16-3.89)*10.764</f>
        <v>1003.9582799999999</v>
      </c>
      <c r="E188" s="42">
        <f>3.89*10.764</f>
        <v>41.871960000000001</v>
      </c>
      <c r="F188" s="42">
        <f t="shared" si="20"/>
        <v>1045.83024</v>
      </c>
      <c r="G188" s="42">
        <v>0</v>
      </c>
      <c r="H188" s="42">
        <f t="shared" si="21"/>
        <v>1568.7453599999999</v>
      </c>
      <c r="I188" s="36"/>
      <c r="N188" s="36"/>
    </row>
    <row r="189" spans="1:14" s="37" customFormat="1" x14ac:dyDescent="0.25">
      <c r="A189" s="63">
        <f t="shared" si="19"/>
        <v>5</v>
      </c>
      <c r="B189" s="63"/>
      <c r="C189" s="42" t="s">
        <v>261</v>
      </c>
      <c r="D189" s="42">
        <f>(97.69-3.6)*10.764</f>
        <v>1012.78476</v>
      </c>
      <c r="E189" s="42">
        <f>3.6*10.764</f>
        <v>38.750399999999999</v>
      </c>
      <c r="F189" s="42">
        <f>D189+E189</f>
        <v>1051.5351599999999</v>
      </c>
      <c r="G189" s="42">
        <v>0</v>
      </c>
      <c r="H189" s="42">
        <f>F189*(($H$144)+1)+(IF(G189&lt;101,G189,IF(G189&lt;201,G189/2,IF(G189&lt;=301,G189/3,G189/4))))</f>
        <v>1577.3027399999999</v>
      </c>
      <c r="I189" s="36"/>
      <c r="N189" s="36"/>
    </row>
    <row r="190" spans="1:14" s="37" customFormat="1" x14ac:dyDescent="0.25">
      <c r="A190" s="63">
        <f t="shared" si="19"/>
        <v>6</v>
      </c>
      <c r="B190" s="63"/>
      <c r="C190" s="42" t="s">
        <v>261</v>
      </c>
      <c r="D190" s="42">
        <f>(97.69-3.6)*10.764</f>
        <v>1012.78476</v>
      </c>
      <c r="E190" s="42">
        <f>3.6*10.764</f>
        <v>38.750399999999999</v>
      </c>
      <c r="F190" s="42">
        <f t="shared" ref="F190:F191" si="22">D190+E190</f>
        <v>1051.5351599999999</v>
      </c>
      <c r="G190" s="42">
        <v>0</v>
      </c>
      <c r="H190" s="42">
        <f t="shared" ref="H190:H191" si="23">F190*(($H$144)+1)+(IF(G190&lt;101,G190,IF(G190&lt;201,G190/2,IF(G190&lt;=301,G190/3,G190/4))))</f>
        <v>1577.3027399999999</v>
      </c>
      <c r="I190" s="36"/>
      <c r="N190" s="36"/>
    </row>
    <row r="191" spans="1:14" s="37" customFormat="1" x14ac:dyDescent="0.25">
      <c r="A191" s="63">
        <f t="shared" si="19"/>
        <v>7</v>
      </c>
      <c r="B191" s="63"/>
      <c r="C191" s="42" t="s">
        <v>261</v>
      </c>
      <c r="D191" s="42">
        <f>(97.69-3.6)*10.764</f>
        <v>1012.78476</v>
      </c>
      <c r="E191" s="42">
        <f>3.6*10.764</f>
        <v>38.750399999999999</v>
      </c>
      <c r="F191" s="42">
        <f t="shared" si="22"/>
        <v>1051.5351599999999</v>
      </c>
      <c r="G191" s="42">
        <v>0</v>
      </c>
      <c r="H191" s="42">
        <f t="shared" si="23"/>
        <v>1577.3027399999999</v>
      </c>
      <c r="I191" s="36"/>
      <c r="N191" s="36"/>
    </row>
    <row r="192" spans="1:14" s="37" customFormat="1" x14ac:dyDescent="0.25">
      <c r="A192" s="63">
        <f t="shared" si="19"/>
        <v>8</v>
      </c>
      <c r="B192" s="63"/>
      <c r="C192" s="42" t="s">
        <v>261</v>
      </c>
      <c r="D192" s="42">
        <f>(97.69-3.6)*10.764</f>
        <v>1012.78476</v>
      </c>
      <c r="E192" s="42">
        <f>3.6*10.764</f>
        <v>38.750399999999999</v>
      </c>
      <c r="F192" s="42">
        <f>D192+E192</f>
        <v>1051.5351599999999</v>
      </c>
      <c r="G192" s="42">
        <v>0</v>
      </c>
      <c r="H192" s="42">
        <f>F192*(($H$144)+1)+(IF(G192&lt;101,G192,IF(G192&lt;201,G192/2,IF(G192&lt;=301,G192/3,G192/4))))</f>
        <v>1577.3027399999999</v>
      </c>
      <c r="I192" s="36"/>
      <c r="N192" s="36"/>
    </row>
    <row r="193" spans="1:14" s="37" customFormat="1" x14ac:dyDescent="0.25">
      <c r="A193" s="78" t="s">
        <v>271</v>
      </c>
      <c r="B193" s="78"/>
      <c r="C193" s="78"/>
      <c r="D193" s="78"/>
      <c r="E193" s="78"/>
      <c r="F193" s="78"/>
      <c r="G193" s="78"/>
      <c r="H193" s="78"/>
      <c r="I193" s="36"/>
      <c r="L193" s="95"/>
      <c r="M193" s="95"/>
    </row>
    <row r="194" spans="1:14" s="37" customFormat="1" ht="47.25" x14ac:dyDescent="0.25">
      <c r="A194" s="63">
        <v>1</v>
      </c>
      <c r="B194" s="63"/>
      <c r="C194" s="42" t="s">
        <v>272</v>
      </c>
      <c r="D194" s="42">
        <f>(173.13)*10.764</f>
        <v>1863.5713199999998</v>
      </c>
      <c r="E194" s="42">
        <f>3.89*10.764</f>
        <v>41.871960000000001</v>
      </c>
      <c r="F194" s="42">
        <f>D194+E194</f>
        <v>1905.4432799999997</v>
      </c>
      <c r="G194" s="42">
        <v>0</v>
      </c>
      <c r="H194" s="42">
        <f>F194*(($H$144)+1)+(IF(G194&lt;101,G194,IF(G194&lt;201,G194/2,IF(G194&lt;=301,G194/3,G194/4))))</f>
        <v>2858.1649199999997</v>
      </c>
      <c r="I194" s="36"/>
      <c r="N194" s="36"/>
    </row>
    <row r="195" spans="1:14" s="37" customFormat="1" x14ac:dyDescent="0.25">
      <c r="A195" s="63">
        <f>A194+1</f>
        <v>2</v>
      </c>
      <c r="B195" s="63"/>
      <c r="C195" s="42" t="s">
        <v>262</v>
      </c>
      <c r="D195" s="42">
        <f>26.07*10.764</f>
        <v>280.61748</v>
      </c>
      <c r="E195" s="42">
        <v>0</v>
      </c>
      <c r="F195" s="42">
        <f t="shared" ref="F195:F199" si="24">D195+E195</f>
        <v>280.61748</v>
      </c>
      <c r="G195" s="42">
        <v>0</v>
      </c>
      <c r="H195" s="42">
        <f t="shared" ref="H195:H199" si="25">F195*(($H$144)+1)+(IF(G195&lt;101,G195,IF(G195&lt;201,G195/2,IF(G195&lt;=301,G195/3,G195/4))))</f>
        <v>420.92622</v>
      </c>
      <c r="I195" s="36"/>
      <c r="N195" s="36"/>
    </row>
    <row r="196" spans="1:14" s="37" customFormat="1" x14ac:dyDescent="0.25">
      <c r="A196" s="63">
        <f>A195+1</f>
        <v>3</v>
      </c>
      <c r="B196" s="63"/>
      <c r="C196" s="42" t="s">
        <v>262</v>
      </c>
      <c r="D196" s="42">
        <f>26.07*10.764</f>
        <v>280.61748</v>
      </c>
      <c r="E196" s="42">
        <v>0</v>
      </c>
      <c r="F196" s="42">
        <f t="shared" si="24"/>
        <v>280.61748</v>
      </c>
      <c r="G196" s="42">
        <v>0</v>
      </c>
      <c r="H196" s="42">
        <f t="shared" si="25"/>
        <v>420.92622</v>
      </c>
      <c r="I196" s="36"/>
      <c r="N196" s="36"/>
    </row>
    <row r="197" spans="1:14" s="37" customFormat="1" ht="47.25" x14ac:dyDescent="0.25">
      <c r="A197" s="63">
        <f>A196+1</f>
        <v>4</v>
      </c>
      <c r="B197" s="63"/>
      <c r="C197" s="42" t="s">
        <v>272</v>
      </c>
      <c r="D197" s="42">
        <f>(173.13)*10.764</f>
        <v>1863.5713199999998</v>
      </c>
      <c r="E197" s="42">
        <f>3.89*10.764</f>
        <v>41.871960000000001</v>
      </c>
      <c r="F197" s="42">
        <f t="shared" si="24"/>
        <v>1905.4432799999997</v>
      </c>
      <c r="G197" s="42">
        <v>0</v>
      </c>
      <c r="H197" s="42">
        <f t="shared" si="25"/>
        <v>2858.1649199999997</v>
      </c>
      <c r="I197" s="36"/>
      <c r="N197" s="36"/>
    </row>
    <row r="198" spans="1:14" s="37" customFormat="1" ht="53.25" customHeight="1" x14ac:dyDescent="0.25">
      <c r="A198" s="67">
        <f t="shared" ref="A198:A201" si="26">A197+1</f>
        <v>5</v>
      </c>
      <c r="B198" s="68"/>
      <c r="C198" s="42" t="s">
        <v>272</v>
      </c>
      <c r="D198" s="42">
        <f>174.19*10.764</f>
        <v>1874.9811599999998</v>
      </c>
      <c r="E198" s="42">
        <f>3.6*10.764</f>
        <v>38.750399999999999</v>
      </c>
      <c r="F198" s="42">
        <f t="shared" si="24"/>
        <v>1913.7315599999997</v>
      </c>
      <c r="G198" s="42">
        <v>0</v>
      </c>
      <c r="H198" s="42">
        <f t="shared" si="25"/>
        <v>2870.5973399999993</v>
      </c>
      <c r="I198" s="36"/>
      <c r="L198" s="95"/>
      <c r="M198" s="95"/>
      <c r="N198" s="36"/>
    </row>
    <row r="199" spans="1:14" s="37" customFormat="1" ht="57" customHeight="1" x14ac:dyDescent="0.25">
      <c r="A199" s="67">
        <f t="shared" si="26"/>
        <v>6</v>
      </c>
      <c r="B199" s="68"/>
      <c r="C199" s="42" t="s">
        <v>272</v>
      </c>
      <c r="D199" s="42">
        <f>174.19*10.764</f>
        <v>1874.9811599999998</v>
      </c>
      <c r="E199" s="42">
        <f>3.6*10.764</f>
        <v>38.750399999999999</v>
      </c>
      <c r="F199" s="42">
        <f t="shared" si="24"/>
        <v>1913.7315599999997</v>
      </c>
      <c r="G199" s="42">
        <v>0</v>
      </c>
      <c r="H199" s="42">
        <f t="shared" si="25"/>
        <v>2870.5973399999993</v>
      </c>
      <c r="I199" s="36"/>
      <c r="L199" s="95"/>
      <c r="M199" s="95"/>
      <c r="N199" s="36"/>
    </row>
    <row r="200" spans="1:14" s="37" customFormat="1" ht="53.25" customHeight="1" x14ac:dyDescent="0.25">
      <c r="A200" s="67">
        <f t="shared" si="26"/>
        <v>7</v>
      </c>
      <c r="B200" s="68"/>
      <c r="C200" s="42" t="s">
        <v>272</v>
      </c>
      <c r="D200" s="42">
        <f>174.19*10.764</f>
        <v>1874.9811599999998</v>
      </c>
      <c r="E200" s="42">
        <f>3.6*10.764</f>
        <v>38.750399999999999</v>
      </c>
      <c r="F200" s="42">
        <f t="shared" ref="F200:F201" si="27">D200+E200</f>
        <v>1913.7315599999997</v>
      </c>
      <c r="G200" s="42">
        <f>70.48*10.764</f>
        <v>758.64671999999996</v>
      </c>
      <c r="H200" s="42">
        <f t="shared" ref="H200:H201" si="28">F200*(($H$144)+1)+(IF(G200&lt;101,G200,IF(G200&lt;201,G200/2,IF(G200&lt;=301,G200/3,G200/4))))</f>
        <v>3060.2590199999995</v>
      </c>
      <c r="I200" s="36"/>
      <c r="L200" s="95"/>
      <c r="M200" s="95"/>
      <c r="N200" s="36"/>
    </row>
    <row r="201" spans="1:14" s="37" customFormat="1" ht="57" customHeight="1" x14ac:dyDescent="0.25">
      <c r="A201" s="67">
        <f t="shared" si="26"/>
        <v>8</v>
      </c>
      <c r="B201" s="68"/>
      <c r="C201" s="42" t="s">
        <v>272</v>
      </c>
      <c r="D201" s="42">
        <f>174.19*10.764</f>
        <v>1874.9811599999998</v>
      </c>
      <c r="E201" s="42">
        <f>3.6*10.764</f>
        <v>38.750399999999999</v>
      </c>
      <c r="F201" s="42">
        <f t="shared" si="27"/>
        <v>1913.7315599999997</v>
      </c>
      <c r="G201" s="42">
        <v>0</v>
      </c>
      <c r="H201" s="42">
        <f t="shared" si="28"/>
        <v>2870.5973399999993</v>
      </c>
      <c r="I201" s="36"/>
      <c r="L201" s="95"/>
      <c r="M201" s="95"/>
      <c r="N201" s="36"/>
    </row>
    <row r="202" spans="1:14" s="37" customFormat="1" x14ac:dyDescent="0.25">
      <c r="A202" s="78" t="s">
        <v>273</v>
      </c>
      <c r="B202" s="78"/>
      <c r="C202" s="78"/>
      <c r="D202" s="78"/>
      <c r="E202" s="78"/>
      <c r="F202" s="78"/>
      <c r="G202" s="78"/>
      <c r="H202" s="78"/>
      <c r="I202" s="36"/>
      <c r="L202" s="95"/>
      <c r="M202" s="95"/>
    </row>
    <row r="203" spans="1:14" s="37" customFormat="1" ht="15.75" customHeight="1" x14ac:dyDescent="0.25">
      <c r="A203" s="63">
        <v>1</v>
      </c>
      <c r="B203" s="63"/>
      <c r="C203" s="69" t="s">
        <v>274</v>
      </c>
      <c r="D203" s="70">
        <f>174.19*10.764</f>
        <v>1874.9811599999998</v>
      </c>
      <c r="E203" s="70">
        <v>0</v>
      </c>
      <c r="F203" s="70">
        <f t="shared" ref="F203" si="29">D203+E203</f>
        <v>1874.9811599999998</v>
      </c>
      <c r="G203" s="70">
        <f>70.48*10.764</f>
        <v>758.64671999999996</v>
      </c>
      <c r="H203" s="71">
        <f t="shared" ref="H203" si="30">F203*(($H$144)+1)+(IF(G203&lt;101,G203,IF(G203&lt;201,G203/2,IF(G203&lt;=301,G203/3,G203/4))))</f>
        <v>3002.1334200000001</v>
      </c>
      <c r="I203" s="36"/>
      <c r="N203" s="36"/>
    </row>
    <row r="204" spans="1:14" s="37" customFormat="1" x14ac:dyDescent="0.25">
      <c r="A204" s="63">
        <f>A203+1</f>
        <v>2</v>
      </c>
      <c r="B204" s="63"/>
      <c r="C204" s="42" t="s">
        <v>262</v>
      </c>
      <c r="D204" s="42">
        <f>26.07*10.764</f>
        <v>280.61748</v>
      </c>
      <c r="E204" s="42">
        <v>0</v>
      </c>
      <c r="F204" s="42">
        <f t="shared" ref="F204:F207" si="31">D204+E204</f>
        <v>280.61748</v>
      </c>
      <c r="G204" s="42">
        <v>0</v>
      </c>
      <c r="H204" s="42">
        <f>F204*(($H$144)+1)+(IF(G204&lt;101,G204,IF(G204&lt;201,G204/2,IF(G204&lt;=301,G204/3,G204/4))))</f>
        <v>420.92622</v>
      </c>
      <c r="I204" s="36"/>
      <c r="N204" s="36"/>
    </row>
    <row r="205" spans="1:14" s="37" customFormat="1" x14ac:dyDescent="0.25">
      <c r="A205" s="63">
        <f>A204+1</f>
        <v>3</v>
      </c>
      <c r="B205" s="63"/>
      <c r="C205" s="42" t="s">
        <v>262</v>
      </c>
      <c r="D205" s="42">
        <f>26.07*10.764</f>
        <v>280.61748</v>
      </c>
      <c r="E205" s="42">
        <v>0</v>
      </c>
      <c r="F205" s="42">
        <f t="shared" si="31"/>
        <v>280.61748</v>
      </c>
      <c r="G205" s="42">
        <v>0</v>
      </c>
      <c r="H205" s="42">
        <f>F205*(($H$144)+1)+(IF(G205&lt;101,G205,IF(G205&lt;201,G205/2,IF(G205&lt;=301,G205/3,G205/4))))</f>
        <v>420.92622</v>
      </c>
      <c r="I205" s="36"/>
      <c r="N205" s="36"/>
    </row>
    <row r="206" spans="1:14" s="37" customFormat="1" ht="15.75" customHeight="1" x14ac:dyDescent="0.25">
      <c r="A206" s="63">
        <f>A205+1</f>
        <v>4</v>
      </c>
      <c r="B206" s="63"/>
      <c r="C206" s="69" t="s">
        <v>274</v>
      </c>
      <c r="D206" s="70">
        <f>174.19*10.764</f>
        <v>1874.9811599999998</v>
      </c>
      <c r="E206" s="70">
        <v>0</v>
      </c>
      <c r="F206" s="70">
        <f t="shared" ref="F206" si="32">D206+E206</f>
        <v>1874.9811599999998</v>
      </c>
      <c r="G206" s="70">
        <f>70.48*10.764</f>
        <v>758.64671999999996</v>
      </c>
      <c r="H206" s="71">
        <f t="shared" ref="H206" si="33">F206*(($H$144)+1)+(IF(G206&lt;101,G206,IF(G206&lt;201,G206/2,IF(G206&lt;=301,G206/3,G206/4))))</f>
        <v>3002.1334200000001</v>
      </c>
      <c r="I206" s="36"/>
      <c r="N206" s="36"/>
    </row>
    <row r="207" spans="1:14" s="37" customFormat="1" x14ac:dyDescent="0.25">
      <c r="A207" s="67">
        <f t="shared" ref="A207:A210" si="34">A206+1</f>
        <v>5</v>
      </c>
      <c r="B207" s="68"/>
      <c r="C207" s="69" t="s">
        <v>274</v>
      </c>
      <c r="D207" s="70">
        <f>174.19*10.764</f>
        <v>1874.9811599999998</v>
      </c>
      <c r="E207" s="70">
        <v>0</v>
      </c>
      <c r="F207" s="70">
        <f t="shared" si="31"/>
        <v>1874.9811599999998</v>
      </c>
      <c r="G207" s="70">
        <f>70.48*10.764</f>
        <v>758.64671999999996</v>
      </c>
      <c r="H207" s="71">
        <f>F207*(($H$144)+1)+(IF(G207&lt;101,G207,IF(G207&lt;201,G207/2,IF(G207&lt;=301,G207/3,G207/4))))</f>
        <v>3002.1334200000001</v>
      </c>
      <c r="I207" s="36"/>
      <c r="L207" s="95"/>
      <c r="M207" s="95"/>
      <c r="N207" s="36"/>
    </row>
    <row r="208" spans="1:14" s="37" customFormat="1" ht="15.75" customHeight="1" x14ac:dyDescent="0.25">
      <c r="A208" s="67">
        <f t="shared" si="34"/>
        <v>6</v>
      </c>
      <c r="B208" s="68"/>
      <c r="C208" s="69" t="s">
        <v>274</v>
      </c>
      <c r="D208" s="70">
        <f>174.19*10.764</f>
        <v>1874.9811599999998</v>
      </c>
      <c r="E208" s="70">
        <v>1</v>
      </c>
      <c r="F208" s="70">
        <f t="shared" ref="F208:F209" si="35">D208+E208</f>
        <v>1875.9811599999998</v>
      </c>
      <c r="G208" s="70">
        <f>70.48*10.764</f>
        <v>758.64671999999996</v>
      </c>
      <c r="H208" s="71">
        <f t="shared" ref="H208:H209" si="36">F208*(($H$144)+1)+(IF(G208&lt;101,G208,IF(G208&lt;201,G208/2,IF(G208&lt;=301,G208/3,G208/4))))</f>
        <v>3003.6334200000001</v>
      </c>
      <c r="I208" s="36"/>
      <c r="L208" s="95"/>
      <c r="M208" s="95"/>
      <c r="N208" s="36"/>
    </row>
    <row r="209" spans="1:14" s="37" customFormat="1" x14ac:dyDescent="0.25">
      <c r="A209" s="67">
        <f t="shared" si="34"/>
        <v>7</v>
      </c>
      <c r="B209" s="68"/>
      <c r="C209" s="69" t="s">
        <v>274</v>
      </c>
      <c r="D209" s="70">
        <f>174.19*10.764</f>
        <v>1874.9811599999998</v>
      </c>
      <c r="E209" s="70">
        <v>0</v>
      </c>
      <c r="F209" s="70">
        <f t="shared" si="35"/>
        <v>1874.9811599999998</v>
      </c>
      <c r="G209" s="70">
        <f>70.48*10.764</f>
        <v>758.64671999999996</v>
      </c>
      <c r="H209" s="71">
        <f t="shared" si="36"/>
        <v>3002.1334200000001</v>
      </c>
      <c r="I209" s="36"/>
      <c r="L209" s="95"/>
      <c r="M209" s="95"/>
      <c r="N209" s="36"/>
    </row>
    <row r="210" spans="1:14" s="37" customFormat="1" ht="15.75" customHeight="1" x14ac:dyDescent="0.25">
      <c r="A210" s="67">
        <f t="shared" si="34"/>
        <v>8</v>
      </c>
      <c r="B210" s="68"/>
      <c r="C210" s="69" t="s">
        <v>274</v>
      </c>
      <c r="D210" s="70">
        <f>174.19*10.764</f>
        <v>1874.9811599999998</v>
      </c>
      <c r="E210" s="70">
        <v>1</v>
      </c>
      <c r="F210" s="70">
        <f t="shared" ref="F210" si="37">D210+E210</f>
        <v>1875.9811599999998</v>
      </c>
      <c r="G210" s="70">
        <f>70.48*10.764</f>
        <v>758.64671999999996</v>
      </c>
      <c r="H210" s="71">
        <f t="shared" ref="H210" si="38">F210*(($H$144)+1)+(IF(G210&lt;101,G210,IF(G210&lt;201,G210/2,IF(G210&lt;=301,G210/3,G210/4))))</f>
        <v>3003.6334200000001</v>
      </c>
      <c r="I210" s="36"/>
      <c r="L210" s="95"/>
      <c r="M210" s="95"/>
      <c r="N210" s="36"/>
    </row>
    <row r="211" spans="1:14" s="37" customFormat="1" x14ac:dyDescent="0.25">
      <c r="A211" s="166" t="s">
        <v>275</v>
      </c>
      <c r="B211" s="167"/>
      <c r="C211" s="167"/>
      <c r="D211" s="167"/>
      <c r="E211" s="167"/>
      <c r="F211" s="167"/>
      <c r="G211" s="167"/>
      <c r="H211" s="168"/>
      <c r="J211" s="36"/>
    </row>
    <row r="212" spans="1:14" s="37" customFormat="1" x14ac:dyDescent="0.25">
      <c r="A212" s="64" t="s">
        <v>256</v>
      </c>
      <c r="B212" s="65"/>
      <c r="C212" s="65"/>
      <c r="D212" s="65"/>
      <c r="E212" s="65"/>
      <c r="F212" s="65"/>
      <c r="G212" s="65"/>
      <c r="H212" s="66"/>
      <c r="J212" s="36"/>
    </row>
    <row r="213" spans="1:14" s="37" customFormat="1" x14ac:dyDescent="0.25">
      <c r="A213" s="64" t="s">
        <v>277</v>
      </c>
      <c r="B213" s="65"/>
      <c r="C213" s="65"/>
      <c r="D213" s="65"/>
      <c r="E213" s="65"/>
      <c r="F213" s="65"/>
      <c r="G213" s="65"/>
      <c r="H213" s="66"/>
      <c r="J213" s="36"/>
    </row>
    <row r="214" spans="1:14" s="37" customFormat="1" x14ac:dyDescent="0.25">
      <c r="A214" s="64" t="s">
        <v>264</v>
      </c>
      <c r="B214" s="65"/>
      <c r="C214" s="65"/>
      <c r="D214" s="65"/>
      <c r="E214" s="65"/>
      <c r="F214" s="65"/>
      <c r="G214" s="65"/>
      <c r="H214" s="66"/>
      <c r="J214" s="36"/>
    </row>
    <row r="215" spans="1:14" s="37" customFormat="1" ht="53.25" customHeight="1" x14ac:dyDescent="0.25">
      <c r="A215" s="67">
        <v>1</v>
      </c>
      <c r="B215" s="68"/>
      <c r="C215" s="42" t="s">
        <v>265</v>
      </c>
      <c r="D215" s="42">
        <f>173.13*10.764</f>
        <v>1863.5713199999998</v>
      </c>
      <c r="E215" s="42">
        <v>0</v>
      </c>
      <c r="F215" s="42">
        <f t="shared" ref="F215" si="39">D215+E215</f>
        <v>1863.5713199999998</v>
      </c>
      <c r="G215" s="42">
        <f>83.19*10.764</f>
        <v>895.45715999999993</v>
      </c>
      <c r="H215" s="42">
        <f t="shared" ref="H215" si="40">F215*(($H$144)+1)+(IF(G215&lt;101,G215,IF(G215&lt;201,G215/2,IF(G215&lt;=301,G215/3,G215/4))))</f>
        <v>3019.2212699999995</v>
      </c>
      <c r="I215" s="36"/>
      <c r="L215" s="95"/>
      <c r="M215" s="95"/>
      <c r="N215" s="36"/>
    </row>
    <row r="216" spans="1:14" s="37" customFormat="1" x14ac:dyDescent="0.25">
      <c r="A216" s="63">
        <v>2</v>
      </c>
      <c r="B216" s="63"/>
      <c r="C216" s="42" t="s">
        <v>262</v>
      </c>
      <c r="D216" s="42">
        <f>26.07*10.764</f>
        <v>280.61748</v>
      </c>
      <c r="E216" s="42">
        <v>0</v>
      </c>
      <c r="F216" s="42">
        <f t="shared" ref="F216:F217" si="41">D216+E216</f>
        <v>280.61748</v>
      </c>
      <c r="G216" s="42">
        <v>0</v>
      </c>
      <c r="H216" s="42">
        <f t="shared" ref="H216:H217" si="42">F216*(($H$144)+1)+(IF(G216&lt;101,G216,IF(G216&lt;201,G216/2,IF(G216&lt;=301,G216/3,G216/4))))</f>
        <v>420.92622</v>
      </c>
      <c r="I216" s="36"/>
      <c r="N216" s="36"/>
    </row>
    <row r="217" spans="1:14" s="37" customFormat="1" x14ac:dyDescent="0.25">
      <c r="A217" s="63">
        <f>A216+1</f>
        <v>3</v>
      </c>
      <c r="B217" s="63"/>
      <c r="C217" s="42" t="s">
        <v>262</v>
      </c>
      <c r="D217" s="42">
        <f>26.07*10.764</f>
        <v>280.61748</v>
      </c>
      <c r="E217" s="42">
        <v>0</v>
      </c>
      <c r="F217" s="42">
        <f t="shared" si="41"/>
        <v>280.61748</v>
      </c>
      <c r="G217" s="42">
        <v>0</v>
      </c>
      <c r="H217" s="42">
        <f t="shared" si="42"/>
        <v>420.92622</v>
      </c>
      <c r="I217" s="36"/>
      <c r="N217" s="36"/>
    </row>
    <row r="218" spans="1:14" s="37" customFormat="1" ht="53.25" customHeight="1" x14ac:dyDescent="0.25">
      <c r="A218" s="67">
        <v>4</v>
      </c>
      <c r="B218" s="68"/>
      <c r="C218" s="42" t="s">
        <v>265</v>
      </c>
      <c r="D218" s="42">
        <f>173.13*10.764</f>
        <v>1863.5713199999998</v>
      </c>
      <c r="E218" s="42">
        <v>0</v>
      </c>
      <c r="F218" s="42">
        <f t="shared" ref="F218" si="43">D218+E218</f>
        <v>1863.5713199999998</v>
      </c>
      <c r="G218" s="42">
        <f>83.19*10.764</f>
        <v>895.45715999999993</v>
      </c>
      <c r="H218" s="42">
        <f t="shared" ref="H218" si="44">F218*(($H$144)+1)+(IF(G218&lt;101,G218,IF(G218&lt;201,G218/2,IF(G218&lt;=301,G218/3,G218/4))))</f>
        <v>3019.2212699999995</v>
      </c>
      <c r="I218" s="36"/>
      <c r="L218" s="95"/>
      <c r="M218" s="95"/>
      <c r="N218" s="36"/>
    </row>
    <row r="219" spans="1:14" s="37" customFormat="1" ht="53.25" customHeight="1" x14ac:dyDescent="0.25">
      <c r="A219" s="67">
        <v>5</v>
      </c>
      <c r="B219" s="68"/>
      <c r="C219" s="42" t="s">
        <v>265</v>
      </c>
      <c r="D219" s="42">
        <f>174.19*10.764</f>
        <v>1874.9811599999998</v>
      </c>
      <c r="E219" s="42">
        <v>0</v>
      </c>
      <c r="F219" s="42">
        <f t="shared" ref="F219:F220" si="45">D219+E219</f>
        <v>1874.9811599999998</v>
      </c>
      <c r="G219" s="42">
        <f>69.77*10.764</f>
        <v>751.00427999999988</v>
      </c>
      <c r="H219" s="42">
        <f t="shared" ref="H219:H220" si="46">F219*(($H$144)+1)+(IF(G219&lt;101,G219,IF(G219&lt;201,G219/2,IF(G219&lt;=301,G219/3,G219/4))))</f>
        <v>3000.2228099999998</v>
      </c>
      <c r="I219" s="36"/>
      <c r="L219" s="95"/>
      <c r="M219" s="95"/>
      <c r="N219" s="36"/>
    </row>
    <row r="220" spans="1:14" s="37" customFormat="1" ht="57" customHeight="1" x14ac:dyDescent="0.25">
      <c r="A220" s="67">
        <v>6</v>
      </c>
      <c r="B220" s="68"/>
      <c r="C220" s="42" t="s">
        <v>265</v>
      </c>
      <c r="D220" s="42">
        <f>174.19*10.764</f>
        <v>1874.9811599999998</v>
      </c>
      <c r="E220" s="42">
        <v>0</v>
      </c>
      <c r="F220" s="42">
        <f t="shared" si="45"/>
        <v>1874.9811599999998</v>
      </c>
      <c r="G220" s="42">
        <f>69.77*10.764</f>
        <v>751.00427999999988</v>
      </c>
      <c r="H220" s="42">
        <f t="shared" si="46"/>
        <v>3000.2228099999998</v>
      </c>
      <c r="I220" s="36"/>
      <c r="L220" s="95"/>
      <c r="M220" s="95"/>
      <c r="N220" s="36"/>
    </row>
    <row r="221" spans="1:14" s="37" customFormat="1" x14ac:dyDescent="0.25">
      <c r="A221" s="64" t="s">
        <v>266</v>
      </c>
      <c r="B221" s="65"/>
      <c r="C221" s="65"/>
      <c r="D221" s="65"/>
      <c r="E221" s="65"/>
      <c r="F221" s="65"/>
      <c r="G221" s="65"/>
      <c r="H221" s="66"/>
      <c r="J221" s="36"/>
    </row>
    <row r="222" spans="1:14" s="37" customFormat="1" x14ac:dyDescent="0.25">
      <c r="A222" s="67">
        <v>1</v>
      </c>
      <c r="B222" s="68"/>
      <c r="C222" s="69" t="s">
        <v>267</v>
      </c>
      <c r="D222" s="70">
        <f>173.13*10.764</f>
        <v>1863.5713199999998</v>
      </c>
      <c r="E222" s="70">
        <v>0</v>
      </c>
      <c r="F222" s="70">
        <f t="shared" ref="F222:F225" si="47">D222+E222</f>
        <v>1863.5713199999998</v>
      </c>
      <c r="G222" s="70">
        <f>83.19*10.764</f>
        <v>895.45715999999993</v>
      </c>
      <c r="H222" s="71">
        <f t="shared" ref="H222:H225" si="48">F222*(($H$144)+1)+(IF(G222&lt;101,G222,IF(G222&lt;201,G222/2,IF(G222&lt;=301,G222/3,G222/4))))</f>
        <v>3019.2212699999995</v>
      </c>
      <c r="I222" s="36"/>
      <c r="L222" s="95"/>
      <c r="M222" s="95"/>
      <c r="N222" s="36"/>
    </row>
    <row r="223" spans="1:14" s="37" customFormat="1" x14ac:dyDescent="0.25">
      <c r="A223" s="63">
        <v>2</v>
      </c>
      <c r="B223" s="63"/>
      <c r="C223" s="42" t="s">
        <v>262</v>
      </c>
      <c r="D223" s="42">
        <f>26.07*10.764</f>
        <v>280.61748</v>
      </c>
      <c r="E223" s="42">
        <v>0</v>
      </c>
      <c r="F223" s="42">
        <f t="shared" si="47"/>
        <v>280.61748</v>
      </c>
      <c r="G223" s="42">
        <v>0</v>
      </c>
      <c r="H223" s="42">
        <f t="shared" si="48"/>
        <v>420.92622</v>
      </c>
      <c r="I223" s="36"/>
      <c r="N223" s="36"/>
    </row>
    <row r="224" spans="1:14" s="37" customFormat="1" x14ac:dyDescent="0.25">
      <c r="A224" s="63">
        <f>A223+1</f>
        <v>3</v>
      </c>
      <c r="B224" s="63"/>
      <c r="C224" s="42" t="s">
        <v>262</v>
      </c>
      <c r="D224" s="42">
        <f>26.07*10.764</f>
        <v>280.61748</v>
      </c>
      <c r="E224" s="42">
        <v>0</v>
      </c>
      <c r="F224" s="42">
        <f t="shared" si="47"/>
        <v>280.61748</v>
      </c>
      <c r="G224" s="42">
        <v>0</v>
      </c>
      <c r="H224" s="42">
        <f t="shared" si="48"/>
        <v>420.92622</v>
      </c>
      <c r="I224" s="36"/>
      <c r="N224" s="36"/>
    </row>
    <row r="225" spans="1:14" s="37" customFormat="1" ht="15.75" customHeight="1" x14ac:dyDescent="0.25">
      <c r="A225" s="67">
        <v>4</v>
      </c>
      <c r="B225" s="68"/>
      <c r="C225" s="69" t="s">
        <v>267</v>
      </c>
      <c r="D225" s="70">
        <f>174.19*10.764</f>
        <v>1874.9811599999998</v>
      </c>
      <c r="E225" s="70">
        <v>0</v>
      </c>
      <c r="F225" s="70">
        <f t="shared" si="47"/>
        <v>1874.9811599999998</v>
      </c>
      <c r="G225" s="70">
        <f>70.48*10.764</f>
        <v>758.64671999999996</v>
      </c>
      <c r="H225" s="71">
        <f t="shared" si="48"/>
        <v>3002.1334200000001</v>
      </c>
      <c r="I225" s="36"/>
      <c r="L225" s="95"/>
      <c r="M225" s="95"/>
      <c r="N225" s="36"/>
    </row>
    <row r="226" spans="1:14" s="37" customFormat="1" x14ac:dyDescent="0.25">
      <c r="A226" s="67">
        <v>5</v>
      </c>
      <c r="B226" s="68"/>
      <c r="C226" s="69" t="s">
        <v>267</v>
      </c>
      <c r="D226" s="70">
        <f>174.19*10.764</f>
        <v>1874.9811599999998</v>
      </c>
      <c r="E226" s="70">
        <v>0</v>
      </c>
      <c r="F226" s="70">
        <f t="shared" ref="F226:F227" si="49">D226+E226</f>
        <v>1874.9811599999998</v>
      </c>
      <c r="G226" s="70">
        <f>70.48*10.764</f>
        <v>758.64671999999996</v>
      </c>
      <c r="H226" s="71">
        <f t="shared" ref="H226:H227" si="50">F226*(($H$144)+1)+(IF(G226&lt;101,G226,IF(G226&lt;201,G226/2,IF(G226&lt;=301,G226/3,G226/4))))</f>
        <v>3002.1334200000001</v>
      </c>
      <c r="I226" s="36"/>
      <c r="L226" s="95"/>
      <c r="M226" s="95"/>
      <c r="N226" s="36"/>
    </row>
    <row r="227" spans="1:14" s="37" customFormat="1" x14ac:dyDescent="0.25">
      <c r="A227" s="67">
        <v>6</v>
      </c>
      <c r="B227" s="68"/>
      <c r="C227" s="69" t="s">
        <v>267</v>
      </c>
      <c r="D227" s="70">
        <f>174.19*10.764</f>
        <v>1874.9811599999998</v>
      </c>
      <c r="E227" s="70">
        <v>0</v>
      </c>
      <c r="F227" s="70">
        <f t="shared" si="49"/>
        <v>1874.9811599999998</v>
      </c>
      <c r="G227" s="70">
        <v>0</v>
      </c>
      <c r="H227" s="71">
        <f t="shared" si="50"/>
        <v>2812.47174</v>
      </c>
      <c r="I227" s="36"/>
      <c r="L227" s="95"/>
      <c r="M227" s="95"/>
      <c r="N227" s="36"/>
    </row>
    <row r="228" spans="1:14" s="37" customFormat="1" x14ac:dyDescent="0.25">
      <c r="A228" s="78" t="s">
        <v>268</v>
      </c>
      <c r="B228" s="78"/>
      <c r="C228" s="78"/>
      <c r="D228" s="78"/>
      <c r="E228" s="78"/>
      <c r="F228" s="78"/>
      <c r="G228" s="78"/>
      <c r="H228" s="78"/>
      <c r="I228" s="36"/>
      <c r="L228" s="95"/>
      <c r="M228" s="95"/>
    </row>
    <row r="229" spans="1:14" s="37" customFormat="1" x14ac:dyDescent="0.25">
      <c r="A229" s="63">
        <v>1</v>
      </c>
      <c r="B229" s="63"/>
      <c r="C229" s="42" t="s">
        <v>261</v>
      </c>
      <c r="D229" s="42">
        <f>(97.16-3.89)*10.764</f>
        <v>1003.9582799999999</v>
      </c>
      <c r="E229" s="42">
        <f>3.89*10.764</f>
        <v>41.871960000000001</v>
      </c>
      <c r="F229" s="42">
        <f>D229+E229</f>
        <v>1045.83024</v>
      </c>
      <c r="G229" s="42">
        <v>0</v>
      </c>
      <c r="H229" s="42">
        <f>F229*(($H$144)+1)+(IF(G229&lt;101,G229,IF(G229&lt;201,G229/2,IF(G229&lt;=301,G229/3,G229/4))))</f>
        <v>1568.7453599999999</v>
      </c>
      <c r="I229" s="36"/>
      <c r="N229" s="36"/>
    </row>
    <row r="230" spans="1:14" s="37" customFormat="1" x14ac:dyDescent="0.25">
      <c r="A230" s="63">
        <f>A229+1</f>
        <v>2</v>
      </c>
      <c r="B230" s="63"/>
      <c r="C230" s="42" t="s">
        <v>262</v>
      </c>
      <c r="D230" s="42">
        <f>26.07*10.764</f>
        <v>280.61748</v>
      </c>
      <c r="E230" s="42">
        <v>0</v>
      </c>
      <c r="F230" s="42">
        <f t="shared" ref="F230:F232" si="51">D230+E230</f>
        <v>280.61748</v>
      </c>
      <c r="G230" s="42">
        <v>0</v>
      </c>
      <c r="H230" s="42">
        <f t="shared" ref="H230:H232" si="52">F230*(($H$144)+1)+(IF(G230&lt;101,G230,IF(G230&lt;201,G230/2,IF(G230&lt;=301,G230/3,G230/4))))</f>
        <v>420.92622</v>
      </c>
      <c r="I230" s="36"/>
      <c r="N230" s="36"/>
    </row>
    <row r="231" spans="1:14" s="37" customFormat="1" x14ac:dyDescent="0.25">
      <c r="A231" s="63">
        <f>A230+1</f>
        <v>3</v>
      </c>
      <c r="B231" s="63"/>
      <c r="C231" s="42" t="s">
        <v>262</v>
      </c>
      <c r="D231" s="42">
        <f>26.07*10.764</f>
        <v>280.61748</v>
      </c>
      <c r="E231" s="42">
        <v>0</v>
      </c>
      <c r="F231" s="42">
        <f t="shared" si="51"/>
        <v>280.61748</v>
      </c>
      <c r="G231" s="42">
        <v>0</v>
      </c>
      <c r="H231" s="42">
        <f t="shared" si="52"/>
        <v>420.92622</v>
      </c>
      <c r="I231" s="36"/>
      <c r="N231" s="36"/>
    </row>
    <row r="232" spans="1:14" s="37" customFormat="1" x14ac:dyDescent="0.25">
      <c r="A232" s="63">
        <f>A231+1</f>
        <v>4</v>
      </c>
      <c r="B232" s="63"/>
      <c r="C232" s="42" t="s">
        <v>261</v>
      </c>
      <c r="D232" s="42">
        <f>(97.16-3.89)*10.764</f>
        <v>1003.9582799999999</v>
      </c>
      <c r="E232" s="42">
        <f>3.89*10.764</f>
        <v>41.871960000000001</v>
      </c>
      <c r="F232" s="42">
        <f t="shared" si="51"/>
        <v>1045.83024</v>
      </c>
      <c r="G232" s="42">
        <v>0</v>
      </c>
      <c r="H232" s="42">
        <f t="shared" si="52"/>
        <v>1568.7453599999999</v>
      </c>
      <c r="I232" s="36"/>
      <c r="N232" s="36"/>
    </row>
    <row r="233" spans="1:14" s="37" customFormat="1" x14ac:dyDescent="0.25">
      <c r="A233" s="63">
        <v>5</v>
      </c>
      <c r="B233" s="63"/>
      <c r="C233" s="42" t="s">
        <v>261</v>
      </c>
      <c r="D233" s="42">
        <f>(97.69-3.6)*10.764</f>
        <v>1012.78476</v>
      </c>
      <c r="E233" s="42">
        <f>3.6*10.764</f>
        <v>38.750399999999999</v>
      </c>
      <c r="F233" s="42">
        <f t="shared" ref="F233" si="53">D233+E233</f>
        <v>1051.5351599999999</v>
      </c>
      <c r="G233" s="42">
        <v>0</v>
      </c>
      <c r="H233" s="42">
        <f t="shared" ref="H233" si="54">F233*(($H$144)+1)+(IF(G233&lt;101,G233,IF(G233&lt;201,G233/2,IF(G233&lt;=301,G233/3,G233/4))))</f>
        <v>1577.3027399999999</v>
      </c>
      <c r="I233" s="36"/>
      <c r="N233" s="36"/>
    </row>
    <row r="234" spans="1:14" s="37" customFormat="1" x14ac:dyDescent="0.25">
      <c r="A234" s="63">
        <f>A233+1</f>
        <v>6</v>
      </c>
      <c r="B234" s="63"/>
      <c r="C234" s="42" t="s">
        <v>261</v>
      </c>
      <c r="D234" s="42">
        <f>(97.69-3.6)*10.764</f>
        <v>1012.78476</v>
      </c>
      <c r="E234" s="42">
        <f>3.6*10.764</f>
        <v>38.750399999999999</v>
      </c>
      <c r="F234" s="42">
        <f>D234+E234</f>
        <v>1051.5351599999999</v>
      </c>
      <c r="G234" s="42">
        <v>0</v>
      </c>
      <c r="H234" s="42">
        <f>F234*(($H$144)+1)+(IF(G234&lt;101,G234,IF(G234&lt;201,G234/2,IF(G234&lt;=301,G234/3,G234/4))))</f>
        <v>1577.3027399999999</v>
      </c>
      <c r="I234" s="36"/>
      <c r="N234" s="36"/>
    </row>
    <row r="235" spans="1:14" s="37" customFormat="1" x14ac:dyDescent="0.25">
      <c r="A235" s="67">
        <v>7</v>
      </c>
      <c r="B235" s="68"/>
      <c r="C235" s="67" t="s">
        <v>269</v>
      </c>
      <c r="D235" s="163"/>
      <c r="E235" s="163"/>
      <c r="F235" s="163"/>
      <c r="G235" s="163"/>
      <c r="H235" s="68"/>
      <c r="I235" s="36"/>
      <c r="N235" s="36"/>
    </row>
    <row r="236" spans="1:14" s="37" customFormat="1" x14ac:dyDescent="0.25">
      <c r="A236" s="67">
        <v>8</v>
      </c>
      <c r="B236" s="68"/>
      <c r="C236" s="42" t="s">
        <v>261</v>
      </c>
      <c r="D236" s="42">
        <f>(154.46-7.2)*10.764</f>
        <v>1585.1066400000002</v>
      </c>
      <c r="E236" s="42">
        <f>7.2*10.764</f>
        <v>77.500799999999998</v>
      </c>
      <c r="F236" s="42">
        <f>D236+E236</f>
        <v>1662.6074400000002</v>
      </c>
      <c r="G236" s="42">
        <v>0</v>
      </c>
      <c r="H236" s="42">
        <f>F236*(($H$144)+1)+(IF(G236&lt;101,G236,IF(G236&lt;201,G236/2,IF(G236&lt;=301,G236/3,G236/4))))</f>
        <v>2493.9111600000006</v>
      </c>
      <c r="I236" s="36"/>
      <c r="N236" s="36"/>
    </row>
    <row r="237" spans="1:14" s="37" customFormat="1" ht="31.5" customHeight="1" x14ac:dyDescent="0.25">
      <c r="A237" s="78" t="s">
        <v>270</v>
      </c>
      <c r="B237" s="78"/>
      <c r="C237" s="78"/>
      <c r="D237" s="78"/>
      <c r="E237" s="78"/>
      <c r="F237" s="78"/>
      <c r="G237" s="78"/>
      <c r="H237" s="78"/>
      <c r="I237" s="36"/>
      <c r="L237" s="95"/>
      <c r="M237" s="95"/>
    </row>
    <row r="238" spans="1:14" s="37" customFormat="1" x14ac:dyDescent="0.25">
      <c r="A238" s="63">
        <v>1</v>
      </c>
      <c r="B238" s="63"/>
      <c r="C238" s="42" t="s">
        <v>261</v>
      </c>
      <c r="D238" s="42">
        <f>(97.16-3.89)*10.764</f>
        <v>1003.9582799999999</v>
      </c>
      <c r="E238" s="42">
        <f>3.89*10.764</f>
        <v>41.871960000000001</v>
      </c>
      <c r="F238" s="42">
        <f>D238+E238</f>
        <v>1045.83024</v>
      </c>
      <c r="G238" s="42">
        <v>0</v>
      </c>
      <c r="H238" s="42">
        <f>F238*(($H$144)+1)+(IF(G238&lt;101,G238,IF(G238&lt;201,G238/2,IF(G238&lt;=301,G238/3,G238/4))))</f>
        <v>1568.7453599999999</v>
      </c>
      <c r="I238" s="36"/>
      <c r="N238" s="36"/>
    </row>
    <row r="239" spans="1:14" s="37" customFormat="1" x14ac:dyDescent="0.25">
      <c r="A239" s="63">
        <f t="shared" ref="A239:A245" si="55">A238+1</f>
        <v>2</v>
      </c>
      <c r="B239" s="63"/>
      <c r="C239" s="42" t="s">
        <v>262</v>
      </c>
      <c r="D239" s="42">
        <f>26.07*10.764</f>
        <v>280.61748</v>
      </c>
      <c r="E239" s="42">
        <v>0</v>
      </c>
      <c r="F239" s="42">
        <f t="shared" ref="F239:F241" si="56">D239+E239</f>
        <v>280.61748</v>
      </c>
      <c r="G239" s="42">
        <v>0</v>
      </c>
      <c r="H239" s="42">
        <f t="shared" ref="H239:H241" si="57">F239*(($H$144)+1)+(IF(G239&lt;101,G239,IF(G239&lt;201,G239/2,IF(G239&lt;=301,G239/3,G239/4))))</f>
        <v>420.92622</v>
      </c>
      <c r="I239" s="36"/>
      <c r="N239" s="36"/>
    </row>
    <row r="240" spans="1:14" s="37" customFormat="1" x14ac:dyDescent="0.25">
      <c r="A240" s="63">
        <f t="shared" si="55"/>
        <v>3</v>
      </c>
      <c r="B240" s="63"/>
      <c r="C240" s="42" t="s">
        <v>262</v>
      </c>
      <c r="D240" s="42">
        <f>26.07*10.764</f>
        <v>280.61748</v>
      </c>
      <c r="E240" s="42">
        <v>0</v>
      </c>
      <c r="F240" s="42">
        <f t="shared" si="56"/>
        <v>280.61748</v>
      </c>
      <c r="G240" s="42">
        <v>0</v>
      </c>
      <c r="H240" s="42">
        <f t="shared" si="57"/>
        <v>420.92622</v>
      </c>
      <c r="I240" s="36"/>
      <c r="N240" s="36"/>
    </row>
    <row r="241" spans="1:14" s="37" customFormat="1" x14ac:dyDescent="0.25">
      <c r="A241" s="63">
        <f t="shared" si="55"/>
        <v>4</v>
      </c>
      <c r="B241" s="63"/>
      <c r="C241" s="42" t="s">
        <v>261</v>
      </c>
      <c r="D241" s="42">
        <f>(97.16-3.89)*10.764</f>
        <v>1003.9582799999999</v>
      </c>
      <c r="E241" s="42">
        <f>3.89*10.764</f>
        <v>41.871960000000001</v>
      </c>
      <c r="F241" s="42">
        <f t="shared" si="56"/>
        <v>1045.83024</v>
      </c>
      <c r="G241" s="42">
        <v>0</v>
      </c>
      <c r="H241" s="42">
        <f t="shared" si="57"/>
        <v>1568.7453599999999</v>
      </c>
      <c r="I241" s="36"/>
      <c r="N241" s="36"/>
    </row>
    <row r="242" spans="1:14" s="37" customFormat="1" x14ac:dyDescent="0.25">
      <c r="A242" s="63">
        <f t="shared" si="55"/>
        <v>5</v>
      </c>
      <c r="B242" s="63"/>
      <c r="C242" s="42" t="s">
        <v>261</v>
      </c>
      <c r="D242" s="42">
        <f>(97.69-3.6)*10.764</f>
        <v>1012.78476</v>
      </c>
      <c r="E242" s="42">
        <f>3.6*10.764</f>
        <v>38.750399999999999</v>
      </c>
      <c r="F242" s="42">
        <f>D242+E242</f>
        <v>1051.5351599999999</v>
      </c>
      <c r="G242" s="42">
        <v>0</v>
      </c>
      <c r="H242" s="42">
        <f>F242*(($H$144)+1)+(IF(G242&lt;101,G242,IF(G242&lt;201,G242/2,IF(G242&lt;=301,G242/3,G242/4))))</f>
        <v>1577.3027399999999</v>
      </c>
      <c r="I242" s="36"/>
      <c r="N242" s="36"/>
    </row>
    <row r="243" spans="1:14" s="37" customFormat="1" x14ac:dyDescent="0.25">
      <c r="A243" s="63">
        <f t="shared" si="55"/>
        <v>6</v>
      </c>
      <c r="B243" s="63"/>
      <c r="C243" s="42" t="s">
        <v>261</v>
      </c>
      <c r="D243" s="42">
        <f>(97.69-3.6)*10.764</f>
        <v>1012.78476</v>
      </c>
      <c r="E243" s="42">
        <f>3.6*10.764</f>
        <v>38.750399999999999</v>
      </c>
      <c r="F243" s="42">
        <f t="shared" ref="F243:F244" si="58">D243+E243</f>
        <v>1051.5351599999999</v>
      </c>
      <c r="G243" s="42">
        <v>0</v>
      </c>
      <c r="H243" s="42">
        <f t="shared" ref="H243:H244" si="59">F243*(($H$144)+1)+(IF(G243&lt;101,G243,IF(G243&lt;201,G243/2,IF(G243&lt;=301,G243/3,G243/4))))</f>
        <v>1577.3027399999999</v>
      </c>
      <c r="I243" s="36"/>
      <c r="N243" s="36"/>
    </row>
    <row r="244" spans="1:14" s="37" customFormat="1" x14ac:dyDescent="0.25">
      <c r="A244" s="63">
        <f t="shared" si="55"/>
        <v>7</v>
      </c>
      <c r="B244" s="63"/>
      <c r="C244" s="42" t="s">
        <v>261</v>
      </c>
      <c r="D244" s="42">
        <f>(97.69-3.6)*10.764</f>
        <v>1012.78476</v>
      </c>
      <c r="E244" s="42">
        <f>3.6*10.764</f>
        <v>38.750399999999999</v>
      </c>
      <c r="F244" s="42">
        <f t="shared" si="58"/>
        <v>1051.5351599999999</v>
      </c>
      <c r="G244" s="42">
        <v>0</v>
      </c>
      <c r="H244" s="42">
        <f t="shared" si="59"/>
        <v>1577.3027399999999</v>
      </c>
      <c r="I244" s="36"/>
      <c r="N244" s="36"/>
    </row>
    <row r="245" spans="1:14" s="37" customFormat="1" x14ac:dyDescent="0.25">
      <c r="A245" s="63">
        <f t="shared" si="55"/>
        <v>8</v>
      </c>
      <c r="B245" s="63"/>
      <c r="C245" s="42" t="s">
        <v>261</v>
      </c>
      <c r="D245" s="42">
        <f>(97.69-3.6)*10.764</f>
        <v>1012.78476</v>
      </c>
      <c r="E245" s="42">
        <f>3.6*10.764</f>
        <v>38.750399999999999</v>
      </c>
      <c r="F245" s="42">
        <f>D245+E245</f>
        <v>1051.5351599999999</v>
      </c>
      <c r="G245" s="42">
        <v>0</v>
      </c>
      <c r="H245" s="42">
        <f>F245*(($H$144)+1)+(IF(G245&lt;101,G245,IF(G245&lt;201,G245/2,IF(G245&lt;=301,G245/3,G245/4))))</f>
        <v>1577.3027399999999</v>
      </c>
      <c r="I245" s="36"/>
      <c r="N245" s="36"/>
    </row>
    <row r="246" spans="1:14" s="37" customFormat="1" x14ac:dyDescent="0.25">
      <c r="A246" s="78" t="s">
        <v>271</v>
      </c>
      <c r="B246" s="78"/>
      <c r="C246" s="78"/>
      <c r="D246" s="78"/>
      <c r="E246" s="78"/>
      <c r="F246" s="78"/>
      <c r="G246" s="78"/>
      <c r="H246" s="78"/>
      <c r="I246" s="36"/>
      <c r="L246" s="95"/>
      <c r="M246" s="95"/>
    </row>
    <row r="247" spans="1:14" s="37" customFormat="1" ht="47.25" x14ac:dyDescent="0.25">
      <c r="A247" s="63">
        <v>1</v>
      </c>
      <c r="B247" s="63"/>
      <c r="C247" s="42" t="s">
        <v>272</v>
      </c>
      <c r="D247" s="42">
        <f>(173.13)*10.764</f>
        <v>1863.5713199999998</v>
      </c>
      <c r="E247" s="42">
        <f>3.89*10.764</f>
        <v>41.871960000000001</v>
      </c>
      <c r="F247" s="42">
        <f>D247+E247</f>
        <v>1905.4432799999997</v>
      </c>
      <c r="G247" s="42">
        <v>0</v>
      </c>
      <c r="H247" s="42">
        <f>F247*(($H$144)+1)+(IF(G247&lt;101,G247,IF(G247&lt;201,G247/2,IF(G247&lt;=301,G247/3,G247/4))))</f>
        <v>2858.1649199999997</v>
      </c>
      <c r="I247" s="36"/>
      <c r="N247" s="36"/>
    </row>
    <row r="248" spans="1:14" s="37" customFormat="1" x14ac:dyDescent="0.25">
      <c r="A248" s="63">
        <f>A247+1</f>
        <v>2</v>
      </c>
      <c r="B248" s="63"/>
      <c r="C248" s="42" t="s">
        <v>262</v>
      </c>
      <c r="D248" s="42">
        <f>26.07*10.764</f>
        <v>280.61748</v>
      </c>
      <c r="E248" s="42">
        <v>0</v>
      </c>
      <c r="F248" s="42">
        <f t="shared" ref="F248:F254" si="60">D248+E248</f>
        <v>280.61748</v>
      </c>
      <c r="G248" s="42">
        <v>0</v>
      </c>
      <c r="H248" s="42">
        <f t="shared" ref="H248:H254" si="61">F248*(($H$144)+1)+(IF(G248&lt;101,G248,IF(G248&lt;201,G248/2,IF(G248&lt;=301,G248/3,G248/4))))</f>
        <v>420.92622</v>
      </c>
      <c r="I248" s="36"/>
      <c r="N248" s="36"/>
    </row>
    <row r="249" spans="1:14" s="37" customFormat="1" x14ac:dyDescent="0.25">
      <c r="A249" s="63">
        <f>A248+1</f>
        <v>3</v>
      </c>
      <c r="B249" s="63"/>
      <c r="C249" s="42" t="s">
        <v>262</v>
      </c>
      <c r="D249" s="42">
        <f>26.07*10.764</f>
        <v>280.61748</v>
      </c>
      <c r="E249" s="42">
        <v>0</v>
      </c>
      <c r="F249" s="42">
        <f t="shared" si="60"/>
        <v>280.61748</v>
      </c>
      <c r="G249" s="42">
        <v>0</v>
      </c>
      <c r="H249" s="42">
        <f t="shared" si="61"/>
        <v>420.92622</v>
      </c>
      <c r="I249" s="36"/>
      <c r="N249" s="36"/>
    </row>
    <row r="250" spans="1:14" s="37" customFormat="1" ht="47.25" x14ac:dyDescent="0.25">
      <c r="A250" s="63">
        <f>A249+1</f>
        <v>4</v>
      </c>
      <c r="B250" s="63"/>
      <c r="C250" s="42" t="s">
        <v>272</v>
      </c>
      <c r="D250" s="42">
        <f>(173.13)*10.764</f>
        <v>1863.5713199999998</v>
      </c>
      <c r="E250" s="42">
        <f>3.89*10.764</f>
        <v>41.871960000000001</v>
      </c>
      <c r="F250" s="42">
        <f t="shared" si="60"/>
        <v>1905.4432799999997</v>
      </c>
      <c r="G250" s="42">
        <v>0</v>
      </c>
      <c r="H250" s="42">
        <f t="shared" si="61"/>
        <v>2858.1649199999997</v>
      </c>
      <c r="I250" s="36"/>
      <c r="N250" s="36"/>
    </row>
    <row r="251" spans="1:14" s="37" customFormat="1" ht="53.25" customHeight="1" x14ac:dyDescent="0.25">
      <c r="A251" s="67">
        <f t="shared" ref="A251:A254" si="62">A250+1</f>
        <v>5</v>
      </c>
      <c r="B251" s="68"/>
      <c r="C251" s="42" t="s">
        <v>272</v>
      </c>
      <c r="D251" s="42">
        <f>174.19*10.764</f>
        <v>1874.9811599999998</v>
      </c>
      <c r="E251" s="42">
        <f>3.6*10.764</f>
        <v>38.750399999999999</v>
      </c>
      <c r="F251" s="42">
        <f t="shared" si="60"/>
        <v>1913.7315599999997</v>
      </c>
      <c r="G251" s="42">
        <v>0</v>
      </c>
      <c r="H251" s="42">
        <f t="shared" si="61"/>
        <v>2870.5973399999993</v>
      </c>
      <c r="I251" s="36"/>
      <c r="L251" s="95"/>
      <c r="M251" s="95"/>
      <c r="N251" s="36"/>
    </row>
    <row r="252" spans="1:14" s="37" customFormat="1" ht="57" customHeight="1" x14ac:dyDescent="0.25">
      <c r="A252" s="67">
        <f t="shared" si="62"/>
        <v>6</v>
      </c>
      <c r="B252" s="68"/>
      <c r="C252" s="42" t="s">
        <v>272</v>
      </c>
      <c r="D252" s="42">
        <f>174.19*10.764</f>
        <v>1874.9811599999998</v>
      </c>
      <c r="E252" s="42">
        <f>3.6*10.764</f>
        <v>38.750399999999999</v>
      </c>
      <c r="F252" s="42">
        <f t="shared" si="60"/>
        <v>1913.7315599999997</v>
      </c>
      <c r="G252" s="42">
        <v>0</v>
      </c>
      <c r="H252" s="42">
        <f t="shared" si="61"/>
        <v>2870.5973399999993</v>
      </c>
      <c r="I252" s="36"/>
      <c r="L252" s="95"/>
      <c r="M252" s="95"/>
      <c r="N252" s="36"/>
    </row>
    <row r="253" spans="1:14" s="37" customFormat="1" ht="53.25" customHeight="1" x14ac:dyDescent="0.25">
      <c r="A253" s="67">
        <f t="shared" si="62"/>
        <v>7</v>
      </c>
      <c r="B253" s="68"/>
      <c r="C253" s="42" t="s">
        <v>272</v>
      </c>
      <c r="D253" s="42">
        <f>174.19*10.764</f>
        <v>1874.9811599999998</v>
      </c>
      <c r="E253" s="42">
        <f>3.6*10.764</f>
        <v>38.750399999999999</v>
      </c>
      <c r="F253" s="42">
        <f t="shared" si="60"/>
        <v>1913.7315599999997</v>
      </c>
      <c r="G253" s="42">
        <f>70.48*10.764</f>
        <v>758.64671999999996</v>
      </c>
      <c r="H253" s="42">
        <f t="shared" si="61"/>
        <v>3060.2590199999995</v>
      </c>
      <c r="I253" s="36"/>
      <c r="L253" s="95"/>
      <c r="M253" s="95"/>
      <c r="N253" s="36"/>
    </row>
    <row r="254" spans="1:14" s="37" customFormat="1" ht="57" customHeight="1" x14ac:dyDescent="0.25">
      <c r="A254" s="67">
        <f t="shared" si="62"/>
        <v>8</v>
      </c>
      <c r="B254" s="68"/>
      <c r="C254" s="42" t="s">
        <v>272</v>
      </c>
      <c r="D254" s="42">
        <f>174.19*10.764</f>
        <v>1874.9811599999998</v>
      </c>
      <c r="E254" s="42">
        <f>3.6*10.764</f>
        <v>38.750399999999999</v>
      </c>
      <c r="F254" s="42">
        <f t="shared" si="60"/>
        <v>1913.7315599999997</v>
      </c>
      <c r="G254" s="42">
        <v>0</v>
      </c>
      <c r="H254" s="42">
        <f t="shared" si="61"/>
        <v>2870.5973399999993</v>
      </c>
      <c r="I254" s="36"/>
      <c r="L254" s="95"/>
      <c r="M254" s="95"/>
      <c r="N254" s="36"/>
    </row>
    <row r="255" spans="1:14" s="37" customFormat="1" x14ac:dyDescent="0.25">
      <c r="A255" s="78" t="s">
        <v>273</v>
      </c>
      <c r="B255" s="78"/>
      <c r="C255" s="78"/>
      <c r="D255" s="78"/>
      <c r="E255" s="78"/>
      <c r="F255" s="78"/>
      <c r="G255" s="78"/>
      <c r="H255" s="78"/>
      <c r="I255" s="36"/>
      <c r="L255" s="95"/>
      <c r="M255" s="95"/>
    </row>
    <row r="256" spans="1:14" s="37" customFormat="1" ht="15.75" customHeight="1" x14ac:dyDescent="0.25">
      <c r="A256" s="63">
        <v>1</v>
      </c>
      <c r="B256" s="63"/>
      <c r="C256" s="69" t="s">
        <v>274</v>
      </c>
      <c r="D256" s="70">
        <f>174.19*10.764</f>
        <v>1874.9811599999998</v>
      </c>
      <c r="E256" s="70">
        <v>0</v>
      </c>
      <c r="F256" s="70">
        <f t="shared" ref="F256:F263" si="63">D256+E256</f>
        <v>1874.9811599999998</v>
      </c>
      <c r="G256" s="70">
        <f>70.48*10.764</f>
        <v>758.64671999999996</v>
      </c>
      <c r="H256" s="71">
        <f t="shared" ref="H256" si="64">F256*(($H$144)+1)+(IF(G256&lt;101,G256,IF(G256&lt;201,G256/2,IF(G256&lt;=301,G256/3,G256/4))))</f>
        <v>3002.1334200000001</v>
      </c>
      <c r="I256" s="36"/>
      <c r="N256" s="36"/>
    </row>
    <row r="257" spans="1:14" s="37" customFormat="1" x14ac:dyDescent="0.25">
      <c r="A257" s="63">
        <f>A256+1</f>
        <v>2</v>
      </c>
      <c r="B257" s="63"/>
      <c r="C257" s="42" t="s">
        <v>262</v>
      </c>
      <c r="D257" s="42">
        <f>26.07*10.764</f>
        <v>280.61748</v>
      </c>
      <c r="E257" s="42">
        <v>0</v>
      </c>
      <c r="F257" s="42">
        <f t="shared" si="63"/>
        <v>280.61748</v>
      </c>
      <c r="G257" s="42">
        <v>0</v>
      </c>
      <c r="H257" s="42">
        <f>F257*(($H$144)+1)+(IF(G257&lt;101,G257,IF(G257&lt;201,G257/2,IF(G257&lt;=301,G257/3,G257/4))))</f>
        <v>420.92622</v>
      </c>
      <c r="I257" s="36"/>
      <c r="N257" s="36"/>
    </row>
    <row r="258" spans="1:14" s="37" customFormat="1" x14ac:dyDescent="0.25">
      <c r="A258" s="63">
        <f>A257+1</f>
        <v>3</v>
      </c>
      <c r="B258" s="63"/>
      <c r="C258" s="42" t="s">
        <v>262</v>
      </c>
      <c r="D258" s="42">
        <f>26.07*10.764</f>
        <v>280.61748</v>
      </c>
      <c r="E258" s="42">
        <v>0</v>
      </c>
      <c r="F258" s="42">
        <f t="shared" si="63"/>
        <v>280.61748</v>
      </c>
      <c r="G258" s="42">
        <v>0</v>
      </c>
      <c r="H258" s="42">
        <f>F258*(($H$144)+1)+(IF(G258&lt;101,G258,IF(G258&lt;201,G258/2,IF(G258&lt;=301,G258/3,G258/4))))</f>
        <v>420.92622</v>
      </c>
      <c r="I258" s="36"/>
      <c r="N258" s="36"/>
    </row>
    <row r="259" spans="1:14" s="37" customFormat="1" ht="15.75" customHeight="1" x14ac:dyDescent="0.25">
      <c r="A259" s="63">
        <f>A258+1</f>
        <v>4</v>
      </c>
      <c r="B259" s="63"/>
      <c r="C259" s="69" t="s">
        <v>274</v>
      </c>
      <c r="D259" s="70">
        <f>174.19*10.764</f>
        <v>1874.9811599999998</v>
      </c>
      <c r="E259" s="70">
        <v>0</v>
      </c>
      <c r="F259" s="70">
        <f t="shared" si="63"/>
        <v>1874.9811599999998</v>
      </c>
      <c r="G259" s="70">
        <f>70.48*10.764</f>
        <v>758.64671999999996</v>
      </c>
      <c r="H259" s="71">
        <f t="shared" ref="H259" si="65">F259*(($H$144)+1)+(IF(G259&lt;101,G259,IF(G259&lt;201,G259/2,IF(G259&lt;=301,G259/3,G259/4))))</f>
        <v>3002.1334200000001</v>
      </c>
      <c r="I259" s="36"/>
      <c r="N259" s="36"/>
    </row>
    <row r="260" spans="1:14" s="37" customFormat="1" x14ac:dyDescent="0.25">
      <c r="A260" s="67">
        <f t="shared" ref="A260:A263" si="66">A259+1</f>
        <v>5</v>
      </c>
      <c r="B260" s="68"/>
      <c r="C260" s="69" t="s">
        <v>274</v>
      </c>
      <c r="D260" s="70">
        <f>174.19*10.764</f>
        <v>1874.9811599999998</v>
      </c>
      <c r="E260" s="70">
        <v>0</v>
      </c>
      <c r="F260" s="70">
        <f t="shared" si="63"/>
        <v>1874.9811599999998</v>
      </c>
      <c r="G260" s="70">
        <f>70.48*10.764</f>
        <v>758.64671999999996</v>
      </c>
      <c r="H260" s="71">
        <f>F260*(($H$144)+1)+(IF(G260&lt;101,G260,IF(G260&lt;201,G260/2,IF(G260&lt;=301,G260/3,G260/4))))</f>
        <v>3002.1334200000001</v>
      </c>
      <c r="I260" s="36"/>
      <c r="L260" s="95"/>
      <c r="M260" s="95"/>
      <c r="N260" s="36"/>
    </row>
    <row r="261" spans="1:14" s="37" customFormat="1" ht="15.75" customHeight="1" x14ac:dyDescent="0.25">
      <c r="A261" s="67">
        <f t="shared" si="66"/>
        <v>6</v>
      </c>
      <c r="B261" s="68"/>
      <c r="C261" s="69" t="s">
        <v>274</v>
      </c>
      <c r="D261" s="70">
        <f>174.19*10.764</f>
        <v>1874.9811599999998</v>
      </c>
      <c r="E261" s="70">
        <v>1</v>
      </c>
      <c r="F261" s="70">
        <f t="shared" si="63"/>
        <v>1875.9811599999998</v>
      </c>
      <c r="G261" s="70">
        <f>70.48*10.764</f>
        <v>758.64671999999996</v>
      </c>
      <c r="H261" s="71">
        <f t="shared" ref="H261:H263" si="67">F261*(($H$144)+1)+(IF(G261&lt;101,G261,IF(G261&lt;201,G261/2,IF(G261&lt;=301,G261/3,G261/4))))</f>
        <v>3003.6334200000001</v>
      </c>
      <c r="I261" s="36"/>
      <c r="L261" s="95"/>
      <c r="M261" s="95"/>
      <c r="N261" s="36"/>
    </row>
    <row r="262" spans="1:14" s="37" customFormat="1" x14ac:dyDescent="0.25">
      <c r="A262" s="67">
        <f t="shared" si="66"/>
        <v>7</v>
      </c>
      <c r="B262" s="68"/>
      <c r="C262" s="69" t="s">
        <v>274</v>
      </c>
      <c r="D262" s="70">
        <f>174.19*10.764</f>
        <v>1874.9811599999998</v>
      </c>
      <c r="E262" s="70">
        <v>0</v>
      </c>
      <c r="F262" s="70">
        <f t="shared" si="63"/>
        <v>1874.9811599999998</v>
      </c>
      <c r="G262" s="70">
        <f>70.48*10.764</f>
        <v>758.64671999999996</v>
      </c>
      <c r="H262" s="71">
        <f t="shared" si="67"/>
        <v>3002.1334200000001</v>
      </c>
      <c r="I262" s="36"/>
      <c r="L262" s="95"/>
      <c r="M262" s="95"/>
      <c r="N262" s="36"/>
    </row>
    <row r="263" spans="1:14" s="37" customFormat="1" ht="15.75" customHeight="1" x14ac:dyDescent="0.25">
      <c r="A263" s="67">
        <f t="shared" si="66"/>
        <v>8</v>
      </c>
      <c r="B263" s="68"/>
      <c r="C263" s="69" t="s">
        <v>274</v>
      </c>
      <c r="D263" s="70">
        <f>174.19*10.764</f>
        <v>1874.9811599999998</v>
      </c>
      <c r="E263" s="70">
        <v>1</v>
      </c>
      <c r="F263" s="70">
        <f t="shared" si="63"/>
        <v>1875.9811599999998</v>
      </c>
      <c r="G263" s="70">
        <f>70.48*10.764</f>
        <v>758.64671999999996</v>
      </c>
      <c r="H263" s="71">
        <f t="shared" si="67"/>
        <v>3003.6334200000001</v>
      </c>
      <c r="I263" s="36"/>
      <c r="L263" s="95"/>
      <c r="M263" s="95"/>
      <c r="N263" s="36"/>
    </row>
    <row r="264" spans="1:14" s="37" customFormat="1" x14ac:dyDescent="0.25">
      <c r="A264" s="166" t="s">
        <v>276</v>
      </c>
      <c r="B264" s="167"/>
      <c r="C264" s="167"/>
      <c r="D264" s="167"/>
      <c r="E264" s="167"/>
      <c r="F264" s="167"/>
      <c r="G264" s="167"/>
      <c r="H264" s="168"/>
      <c r="J264" s="36"/>
    </row>
    <row r="265" spans="1:14" s="37" customFormat="1" x14ac:dyDescent="0.25">
      <c r="A265" s="64" t="s">
        <v>256</v>
      </c>
      <c r="B265" s="65"/>
      <c r="C265" s="65"/>
      <c r="D265" s="65"/>
      <c r="E265" s="65"/>
      <c r="F265" s="65"/>
      <c r="G265" s="65"/>
      <c r="H265" s="66"/>
      <c r="J265" s="36"/>
    </row>
    <row r="266" spans="1:14" s="37" customFormat="1" x14ac:dyDescent="0.25">
      <c r="A266" s="64" t="s">
        <v>257</v>
      </c>
      <c r="B266" s="65"/>
      <c r="C266" s="65"/>
      <c r="D266" s="65"/>
      <c r="E266" s="65"/>
      <c r="F266" s="65"/>
      <c r="G266" s="65"/>
      <c r="H266" s="66"/>
      <c r="J266" s="36"/>
    </row>
    <row r="267" spans="1:14" s="37" customFormat="1" x14ac:dyDescent="0.25">
      <c r="A267" s="64" t="s">
        <v>278</v>
      </c>
      <c r="B267" s="65"/>
      <c r="C267" s="65"/>
      <c r="D267" s="65"/>
      <c r="E267" s="65"/>
      <c r="F267" s="65"/>
      <c r="G267" s="65"/>
      <c r="H267" s="66"/>
      <c r="J267" s="36"/>
    </row>
    <row r="268" spans="1:14" s="37" customFormat="1" x14ac:dyDescent="0.25">
      <c r="A268" s="63">
        <v>1</v>
      </c>
      <c r="B268" s="63"/>
      <c r="C268" s="42" t="s">
        <v>261</v>
      </c>
      <c r="D268" s="42">
        <f>(97.16-3.89)*10.764</f>
        <v>1003.9582799999999</v>
      </c>
      <c r="E268" s="42">
        <f>3.89*10.764</f>
        <v>41.871960000000001</v>
      </c>
      <c r="F268" s="42">
        <f>D268+E268</f>
        <v>1045.83024</v>
      </c>
      <c r="G268" s="42">
        <v>0</v>
      </c>
      <c r="H268" s="42">
        <f>F268*(($H$144)+1)+(IF(G268&lt;101,G268,IF(G268&lt;201,G268/2,IF(G268&lt;=301,G268/3,G268/4))))</f>
        <v>1568.7453599999999</v>
      </c>
      <c r="I268" s="36"/>
      <c r="N268" s="36"/>
    </row>
    <row r="269" spans="1:14" s="37" customFormat="1" x14ac:dyDescent="0.25">
      <c r="A269" s="63">
        <f>A268+1</f>
        <v>2</v>
      </c>
      <c r="B269" s="63"/>
      <c r="C269" s="42" t="s">
        <v>262</v>
      </c>
      <c r="D269" s="42">
        <f>26.07*10.764</f>
        <v>280.61748</v>
      </c>
      <c r="E269" s="42">
        <v>0</v>
      </c>
      <c r="F269" s="42">
        <f t="shared" ref="F269:F271" si="68">D269+E269</f>
        <v>280.61748</v>
      </c>
      <c r="G269" s="42">
        <v>0</v>
      </c>
      <c r="H269" s="42">
        <f t="shared" ref="H269:H271" si="69">F269*(($H$144)+1)+(IF(G269&lt;101,G269,IF(G269&lt;201,G269/2,IF(G269&lt;=301,G269/3,G269/4))))</f>
        <v>420.92622</v>
      </c>
      <c r="I269" s="36"/>
      <c r="N269" s="36"/>
    </row>
    <row r="270" spans="1:14" s="37" customFormat="1" x14ac:dyDescent="0.25">
      <c r="A270" s="63">
        <f>A269+1</f>
        <v>3</v>
      </c>
      <c r="B270" s="63"/>
      <c r="C270" s="42" t="s">
        <v>262</v>
      </c>
      <c r="D270" s="42">
        <f>26.07*10.764</f>
        <v>280.61748</v>
      </c>
      <c r="E270" s="42">
        <v>0</v>
      </c>
      <c r="F270" s="42">
        <f t="shared" si="68"/>
        <v>280.61748</v>
      </c>
      <c r="G270" s="42">
        <v>0</v>
      </c>
      <c r="H270" s="42">
        <f t="shared" si="69"/>
        <v>420.92622</v>
      </c>
      <c r="I270" s="36"/>
      <c r="N270" s="36"/>
    </row>
    <row r="271" spans="1:14" s="37" customFormat="1" x14ac:dyDescent="0.25">
      <c r="A271" s="63">
        <f>A270+1</f>
        <v>4</v>
      </c>
      <c r="B271" s="63"/>
      <c r="C271" s="42" t="s">
        <v>279</v>
      </c>
      <c r="D271" s="42">
        <f>(104.98-3.89)*10.764</f>
        <v>1088.13276</v>
      </c>
      <c r="E271" s="42">
        <f>3.89*10.764</f>
        <v>41.871960000000001</v>
      </c>
      <c r="F271" s="42">
        <f t="shared" si="68"/>
        <v>1130.0047199999999</v>
      </c>
      <c r="G271" s="42">
        <v>0</v>
      </c>
      <c r="H271" s="42">
        <f t="shared" si="69"/>
        <v>1695.0070799999999</v>
      </c>
      <c r="I271" s="36"/>
      <c r="N271" s="36"/>
    </row>
    <row r="272" spans="1:14" s="37" customFormat="1" x14ac:dyDescent="0.25">
      <c r="A272" s="64" t="s">
        <v>280</v>
      </c>
      <c r="B272" s="65"/>
      <c r="C272" s="65"/>
      <c r="D272" s="65"/>
      <c r="E272" s="65"/>
      <c r="F272" s="65"/>
      <c r="G272" s="65"/>
      <c r="H272" s="66"/>
      <c r="J272" s="36"/>
    </row>
    <row r="273" spans="1:14" s="37" customFormat="1" x14ac:dyDescent="0.25">
      <c r="A273" s="63">
        <v>1</v>
      </c>
      <c r="B273" s="63"/>
      <c r="C273" s="42" t="s">
        <v>261</v>
      </c>
      <c r="D273" s="42">
        <f>(97.16-3.89)*10.764</f>
        <v>1003.9582799999999</v>
      </c>
      <c r="E273" s="42">
        <f>3.89*10.764</f>
        <v>41.871960000000001</v>
      </c>
      <c r="F273" s="42">
        <f>D273+E273</f>
        <v>1045.83024</v>
      </c>
      <c r="G273" s="42">
        <v>0</v>
      </c>
      <c r="H273" s="42">
        <f>F273*(($H$144)+1)+(IF(G273&lt;101,G273,IF(G273&lt;201,G273/2,IF(G273&lt;=301,G273/3,G273/4))))</f>
        <v>1568.7453599999999</v>
      </c>
      <c r="I273" s="36"/>
      <c r="N273" s="36"/>
    </row>
    <row r="274" spans="1:14" s="37" customFormat="1" x14ac:dyDescent="0.25">
      <c r="A274" s="63">
        <f>A273+1</f>
        <v>2</v>
      </c>
      <c r="B274" s="63"/>
      <c r="C274" s="42" t="s">
        <v>262</v>
      </c>
      <c r="D274" s="42">
        <f>26.07*10.764</f>
        <v>280.61748</v>
      </c>
      <c r="E274" s="42">
        <v>0</v>
      </c>
      <c r="F274" s="42">
        <f t="shared" ref="F274:F276" si="70">D274+E274</f>
        <v>280.61748</v>
      </c>
      <c r="G274" s="42">
        <v>0</v>
      </c>
      <c r="H274" s="42">
        <f t="shared" ref="H274:H276" si="71">F274*(($H$144)+1)+(IF(G274&lt;101,G274,IF(G274&lt;201,G274/2,IF(G274&lt;=301,G274/3,G274/4))))</f>
        <v>420.92622</v>
      </c>
      <c r="I274" s="36"/>
      <c r="N274" s="36"/>
    </row>
    <row r="275" spans="1:14" s="37" customFormat="1" x14ac:dyDescent="0.25">
      <c r="A275" s="63">
        <f>A274+1</f>
        <v>3</v>
      </c>
      <c r="B275" s="63"/>
      <c r="C275" s="42" t="s">
        <v>262</v>
      </c>
      <c r="D275" s="42">
        <f>26.07*10.764</f>
        <v>280.61748</v>
      </c>
      <c r="E275" s="42">
        <v>0</v>
      </c>
      <c r="F275" s="42">
        <f t="shared" si="70"/>
        <v>280.61748</v>
      </c>
      <c r="G275" s="42">
        <v>0</v>
      </c>
      <c r="H275" s="42">
        <f t="shared" si="71"/>
        <v>420.92622</v>
      </c>
      <c r="I275" s="36"/>
      <c r="N275" s="36"/>
    </row>
    <row r="276" spans="1:14" s="37" customFormat="1" x14ac:dyDescent="0.25">
      <c r="A276" s="63">
        <f>A275+1</f>
        <v>4</v>
      </c>
      <c r="B276" s="63"/>
      <c r="C276" s="42" t="s">
        <v>261</v>
      </c>
      <c r="D276" s="42">
        <f>(97.66-3.89)*10.764</f>
        <v>1009.3402799999999</v>
      </c>
      <c r="E276" s="42">
        <f>3.89*10.764</f>
        <v>41.871960000000001</v>
      </c>
      <c r="F276" s="42">
        <f t="shared" si="70"/>
        <v>1051.2122399999998</v>
      </c>
      <c r="G276" s="42">
        <f>8.99*10.764</f>
        <v>96.768360000000001</v>
      </c>
      <c r="H276" s="42">
        <f t="shared" si="71"/>
        <v>1673.5867199999998</v>
      </c>
      <c r="I276" s="36"/>
      <c r="N276" s="36"/>
    </row>
    <row r="277" spans="1:14" s="37" customFormat="1" ht="53.25" customHeight="1" x14ac:dyDescent="0.25">
      <c r="A277" s="67">
        <v>5</v>
      </c>
      <c r="B277" s="68"/>
      <c r="C277" s="42" t="s">
        <v>265</v>
      </c>
      <c r="D277" s="42">
        <f>174.19*10.764</f>
        <v>1874.9811599999998</v>
      </c>
      <c r="E277" s="42">
        <v>0</v>
      </c>
      <c r="F277" s="42">
        <f t="shared" ref="F277:F280" si="72">D277+E277</f>
        <v>1874.9811599999998</v>
      </c>
      <c r="G277" s="42">
        <f>69.77*10.764</f>
        <v>751.00427999999988</v>
      </c>
      <c r="H277" s="42">
        <f t="shared" ref="H277:H280" si="73">F277*(($H$144)+1)+(IF(G277&lt;101,G277,IF(G277&lt;201,G277/2,IF(G277&lt;=301,G277/3,G277/4))))</f>
        <v>3000.2228099999998</v>
      </c>
      <c r="I277" s="36"/>
      <c r="L277" s="95"/>
      <c r="M277" s="95"/>
      <c r="N277" s="36"/>
    </row>
    <row r="278" spans="1:14" s="37" customFormat="1" ht="57" customHeight="1" x14ac:dyDescent="0.25">
      <c r="A278" s="67">
        <f t="shared" ref="A278:A280" si="74">A277+1</f>
        <v>6</v>
      </c>
      <c r="B278" s="68"/>
      <c r="C278" s="42" t="s">
        <v>265</v>
      </c>
      <c r="D278" s="42">
        <f>174.19*10.764</f>
        <v>1874.9811599999998</v>
      </c>
      <c r="E278" s="42">
        <v>0</v>
      </c>
      <c r="F278" s="42">
        <f t="shared" si="72"/>
        <v>1874.9811599999998</v>
      </c>
      <c r="G278" s="42">
        <f t="shared" ref="G278:G279" si="75">69.77*10.764</f>
        <v>751.00427999999988</v>
      </c>
      <c r="H278" s="42">
        <f t="shared" si="73"/>
        <v>3000.2228099999998</v>
      </c>
      <c r="I278" s="36"/>
      <c r="L278" s="95"/>
      <c r="M278" s="95"/>
      <c r="N278" s="36"/>
    </row>
    <row r="279" spans="1:14" s="37" customFormat="1" ht="50.25" customHeight="1" x14ac:dyDescent="0.25">
      <c r="A279" s="67">
        <f t="shared" si="74"/>
        <v>7</v>
      </c>
      <c r="B279" s="68"/>
      <c r="C279" s="42" t="s">
        <v>265</v>
      </c>
      <c r="D279" s="42">
        <f>174.19*10.764</f>
        <v>1874.9811599999998</v>
      </c>
      <c r="E279" s="42">
        <v>0</v>
      </c>
      <c r="F279" s="42">
        <f t="shared" si="72"/>
        <v>1874.9811599999998</v>
      </c>
      <c r="G279" s="42">
        <f t="shared" si="75"/>
        <v>751.00427999999988</v>
      </c>
      <c r="H279" s="42">
        <f t="shared" si="73"/>
        <v>3000.2228099999998</v>
      </c>
      <c r="I279" s="36"/>
      <c r="L279" s="95"/>
      <c r="M279" s="95"/>
      <c r="N279" s="36"/>
    </row>
    <row r="280" spans="1:14" s="37" customFormat="1" ht="50.25" customHeight="1" x14ac:dyDescent="0.25">
      <c r="A280" s="67">
        <f t="shared" si="74"/>
        <v>8</v>
      </c>
      <c r="B280" s="68"/>
      <c r="C280" s="42" t="s">
        <v>265</v>
      </c>
      <c r="D280" s="42">
        <f>174.19*10.764</f>
        <v>1874.9811599999998</v>
      </c>
      <c r="E280" s="42">
        <v>0</v>
      </c>
      <c r="F280" s="42">
        <f t="shared" si="72"/>
        <v>1874.9811599999998</v>
      </c>
      <c r="G280" s="42">
        <f>45.03*10.764</f>
        <v>484.70292000000001</v>
      </c>
      <c r="H280" s="42">
        <f t="shared" si="73"/>
        <v>2933.6474699999999</v>
      </c>
      <c r="I280" s="36"/>
      <c r="L280" s="95"/>
      <c r="M280" s="95"/>
      <c r="N280" s="36"/>
    </row>
    <row r="281" spans="1:14" s="37" customFormat="1" x14ac:dyDescent="0.25">
      <c r="A281" s="64" t="s">
        <v>281</v>
      </c>
      <c r="B281" s="65"/>
      <c r="C281" s="65"/>
      <c r="D281" s="65"/>
      <c r="E281" s="65"/>
      <c r="F281" s="65"/>
      <c r="G281" s="65"/>
      <c r="H281" s="66"/>
      <c r="J281" s="36"/>
    </row>
    <row r="282" spans="1:14" s="37" customFormat="1" x14ac:dyDescent="0.25">
      <c r="A282" s="63">
        <v>1</v>
      </c>
      <c r="B282" s="63"/>
      <c r="C282" s="42" t="s">
        <v>261</v>
      </c>
      <c r="D282" s="42">
        <f>(97.16-3.89)*10.764</f>
        <v>1003.9582799999999</v>
      </c>
      <c r="E282" s="42">
        <f>3.89*10.764</f>
        <v>41.871960000000001</v>
      </c>
      <c r="F282" s="42">
        <f>D282+E282</f>
        <v>1045.83024</v>
      </c>
      <c r="G282" s="42">
        <v>0</v>
      </c>
      <c r="H282" s="42">
        <f>F282*(($H$144)+1)+(IF(G282&lt;101,G282,IF(G282&lt;201,G282/2,IF(G282&lt;=301,G282/3,G282/4))))</f>
        <v>1568.7453599999999</v>
      </c>
      <c r="I282" s="36"/>
      <c r="N282" s="36"/>
    </row>
    <row r="283" spans="1:14" s="37" customFormat="1" x14ac:dyDescent="0.25">
      <c r="A283" s="63">
        <f>A282+1</f>
        <v>2</v>
      </c>
      <c r="B283" s="63"/>
      <c r="C283" s="42" t="s">
        <v>262</v>
      </c>
      <c r="D283" s="42">
        <f>26.07*10.764</f>
        <v>280.61748</v>
      </c>
      <c r="E283" s="42">
        <v>0</v>
      </c>
      <c r="F283" s="42">
        <f t="shared" ref="F283:F285" si="76">D283+E283</f>
        <v>280.61748</v>
      </c>
      <c r="G283" s="42">
        <v>0</v>
      </c>
      <c r="H283" s="42">
        <f t="shared" ref="H283:H285" si="77">F283*(($H$144)+1)+(IF(G283&lt;101,G283,IF(G283&lt;201,G283/2,IF(G283&lt;=301,G283/3,G283/4))))</f>
        <v>420.92622</v>
      </c>
      <c r="I283" s="36"/>
      <c r="N283" s="36"/>
    </row>
    <row r="284" spans="1:14" s="37" customFormat="1" x14ac:dyDescent="0.25">
      <c r="A284" s="63">
        <f>A283+1</f>
        <v>3</v>
      </c>
      <c r="B284" s="63"/>
      <c r="C284" s="42" t="s">
        <v>262</v>
      </c>
      <c r="D284" s="42">
        <f>26.07*10.764</f>
        <v>280.61748</v>
      </c>
      <c r="E284" s="42">
        <v>0</v>
      </c>
      <c r="F284" s="42">
        <f t="shared" si="76"/>
        <v>280.61748</v>
      </c>
      <c r="G284" s="42">
        <v>0</v>
      </c>
      <c r="H284" s="42">
        <f t="shared" si="77"/>
        <v>420.92622</v>
      </c>
      <c r="I284" s="36"/>
      <c r="N284" s="36"/>
    </row>
    <row r="285" spans="1:14" s="37" customFormat="1" x14ac:dyDescent="0.25">
      <c r="A285" s="63">
        <f>A284+1</f>
        <v>4</v>
      </c>
      <c r="B285" s="63"/>
      <c r="C285" s="42" t="s">
        <v>261</v>
      </c>
      <c r="D285" s="42">
        <f>(97.16-3.89)*10.764</f>
        <v>1003.9582799999999</v>
      </c>
      <c r="E285" s="42">
        <f>3.89*10.764</f>
        <v>41.871960000000001</v>
      </c>
      <c r="F285" s="42">
        <f t="shared" si="76"/>
        <v>1045.83024</v>
      </c>
      <c r="G285" s="42">
        <f>8.99*10.764</f>
        <v>96.768360000000001</v>
      </c>
      <c r="H285" s="42">
        <f t="shared" si="77"/>
        <v>1665.5137199999999</v>
      </c>
      <c r="I285" s="36"/>
      <c r="N285" s="36"/>
    </row>
    <row r="286" spans="1:14" s="37" customFormat="1" x14ac:dyDescent="0.25">
      <c r="A286" s="67">
        <v>5</v>
      </c>
      <c r="B286" s="68"/>
      <c r="C286" s="69" t="s">
        <v>267</v>
      </c>
      <c r="D286" s="70">
        <f>174.19*10.764</f>
        <v>1874.9811599999998</v>
      </c>
      <c r="E286" s="70">
        <v>0</v>
      </c>
      <c r="F286" s="70">
        <f t="shared" ref="F286:F287" si="78">D286+E286</f>
        <v>1874.9811599999998</v>
      </c>
      <c r="G286" s="70">
        <f>70.48*10.764</f>
        <v>758.64671999999996</v>
      </c>
      <c r="H286" s="71">
        <f t="shared" ref="H286:H289" si="79">F286*(($H$144)+1)+(IF(G286&lt;101,G286,IF(G286&lt;201,G286/2,IF(G286&lt;=301,G286/3,G286/4))))</f>
        <v>3002.1334200000001</v>
      </c>
      <c r="I286" s="36"/>
      <c r="L286" s="95"/>
      <c r="M286" s="95"/>
      <c r="N286" s="36"/>
    </row>
    <row r="287" spans="1:14" s="37" customFormat="1" x14ac:dyDescent="0.25">
      <c r="A287" s="67">
        <f t="shared" ref="A287:A289" si="80">A286+1</f>
        <v>6</v>
      </c>
      <c r="B287" s="68"/>
      <c r="C287" s="69" t="s">
        <v>267</v>
      </c>
      <c r="D287" s="70">
        <f>174.19*10.764</f>
        <v>1874.9811599999998</v>
      </c>
      <c r="E287" s="70">
        <v>0</v>
      </c>
      <c r="F287" s="70">
        <f t="shared" si="78"/>
        <v>1874.9811599999998</v>
      </c>
      <c r="G287" s="70">
        <v>0</v>
      </c>
      <c r="H287" s="71">
        <f t="shared" si="79"/>
        <v>2812.47174</v>
      </c>
      <c r="I287" s="36"/>
      <c r="L287" s="95"/>
      <c r="M287" s="95"/>
      <c r="N287" s="36"/>
    </row>
    <row r="288" spans="1:14" s="37" customFormat="1" x14ac:dyDescent="0.25">
      <c r="A288" s="67">
        <f t="shared" si="80"/>
        <v>7</v>
      </c>
      <c r="B288" s="68"/>
      <c r="C288" s="69" t="s">
        <v>267</v>
      </c>
      <c r="D288" s="70">
        <f>(97.69-3.6)*10.764</f>
        <v>1012.78476</v>
      </c>
      <c r="E288" s="70">
        <f>3.6*10.764</f>
        <v>38.750399999999999</v>
      </c>
      <c r="F288" s="70">
        <f>D288+E288</f>
        <v>1051.5351599999999</v>
      </c>
      <c r="G288" s="70">
        <v>0</v>
      </c>
      <c r="H288" s="71">
        <f t="shared" si="79"/>
        <v>1577.3027399999999</v>
      </c>
      <c r="I288" s="36"/>
      <c r="L288" s="95"/>
      <c r="M288" s="95"/>
      <c r="N288" s="36"/>
    </row>
    <row r="289" spans="1:14" s="37" customFormat="1" x14ac:dyDescent="0.25">
      <c r="A289" s="67">
        <f t="shared" si="80"/>
        <v>8</v>
      </c>
      <c r="B289" s="68"/>
      <c r="C289" s="69" t="s">
        <v>267</v>
      </c>
      <c r="D289" s="70">
        <f>(97.69-3.6)*10.764</f>
        <v>1012.78476</v>
      </c>
      <c r="E289" s="70">
        <f>3.6*10.764</f>
        <v>38.750399999999999</v>
      </c>
      <c r="F289" s="70">
        <f t="shared" ref="F289" si="81">D289+E289</f>
        <v>1051.5351599999999</v>
      </c>
      <c r="G289" s="70">
        <v>0</v>
      </c>
      <c r="H289" s="71">
        <f t="shared" si="79"/>
        <v>1577.3027399999999</v>
      </c>
      <c r="I289" s="36"/>
      <c r="L289" s="95"/>
      <c r="M289" s="95"/>
      <c r="N289" s="36"/>
    </row>
    <row r="290" spans="1:14" s="37" customFormat="1" x14ac:dyDescent="0.25">
      <c r="A290" s="78" t="s">
        <v>268</v>
      </c>
      <c r="B290" s="78"/>
      <c r="C290" s="78"/>
      <c r="D290" s="78"/>
      <c r="E290" s="78"/>
      <c r="F290" s="78"/>
      <c r="G290" s="78"/>
      <c r="H290" s="78"/>
      <c r="I290" s="36"/>
      <c r="L290" s="95"/>
      <c r="M290" s="95"/>
    </row>
    <row r="291" spans="1:14" s="37" customFormat="1" x14ac:dyDescent="0.25">
      <c r="A291" s="63">
        <v>1</v>
      </c>
      <c r="B291" s="63"/>
      <c r="C291" s="42" t="s">
        <v>261</v>
      </c>
      <c r="D291" s="42">
        <f>(97.16-3.89)*10.764</f>
        <v>1003.9582799999999</v>
      </c>
      <c r="E291" s="42">
        <f>3.89*10.764</f>
        <v>41.871960000000001</v>
      </c>
      <c r="F291" s="42">
        <f>D291+E291</f>
        <v>1045.83024</v>
      </c>
      <c r="G291" s="42">
        <v>0</v>
      </c>
      <c r="H291" s="42">
        <f>F291*(($H$144)+1)+(IF(G291&lt;101,G291,IF(G291&lt;201,G291/2,IF(G291&lt;=301,G291/3,G291/4))))</f>
        <v>1568.7453599999999</v>
      </c>
      <c r="I291" s="36"/>
      <c r="N291" s="36"/>
    </row>
    <row r="292" spans="1:14" s="37" customFormat="1" x14ac:dyDescent="0.25">
      <c r="A292" s="63">
        <f>A291+1</f>
        <v>2</v>
      </c>
      <c r="B292" s="63"/>
      <c r="C292" s="42" t="s">
        <v>262</v>
      </c>
      <c r="D292" s="42">
        <f>26.07*10.764</f>
        <v>280.61748</v>
      </c>
      <c r="E292" s="42">
        <v>0</v>
      </c>
      <c r="F292" s="42">
        <f t="shared" ref="F292:F294" si="82">D292+E292</f>
        <v>280.61748</v>
      </c>
      <c r="G292" s="42">
        <v>0</v>
      </c>
      <c r="H292" s="42">
        <f t="shared" ref="H292:H294" si="83">F292*(($H$144)+1)+(IF(G292&lt;101,G292,IF(G292&lt;201,G292/2,IF(G292&lt;=301,G292/3,G292/4))))</f>
        <v>420.92622</v>
      </c>
      <c r="I292" s="36"/>
      <c r="N292" s="36"/>
    </row>
    <row r="293" spans="1:14" s="37" customFormat="1" x14ac:dyDescent="0.25">
      <c r="A293" s="63">
        <f>A292+1</f>
        <v>3</v>
      </c>
      <c r="B293" s="63"/>
      <c r="C293" s="42" t="s">
        <v>262</v>
      </c>
      <c r="D293" s="42">
        <f>26.07*10.764</f>
        <v>280.61748</v>
      </c>
      <c r="E293" s="42">
        <v>0</v>
      </c>
      <c r="F293" s="42">
        <f t="shared" si="82"/>
        <v>280.61748</v>
      </c>
      <c r="G293" s="42">
        <v>0</v>
      </c>
      <c r="H293" s="42">
        <f t="shared" si="83"/>
        <v>420.92622</v>
      </c>
      <c r="I293" s="36"/>
      <c r="N293" s="36"/>
    </row>
    <row r="294" spans="1:14" s="37" customFormat="1" x14ac:dyDescent="0.25">
      <c r="A294" s="63">
        <f>A293+1</f>
        <v>4</v>
      </c>
      <c r="B294" s="63"/>
      <c r="C294" s="42" t="s">
        <v>261</v>
      </c>
      <c r="D294" s="42">
        <f>(97.16-3.89)*10.764</f>
        <v>1003.9582799999999</v>
      </c>
      <c r="E294" s="42">
        <f>3.89*10.764</f>
        <v>41.871960000000001</v>
      </c>
      <c r="F294" s="42">
        <f t="shared" si="82"/>
        <v>1045.83024</v>
      </c>
      <c r="G294" s="42">
        <v>0</v>
      </c>
      <c r="H294" s="42">
        <f t="shared" si="83"/>
        <v>1568.7453599999999</v>
      </c>
      <c r="I294" s="36"/>
      <c r="N294" s="36"/>
    </row>
    <row r="295" spans="1:14" s="37" customFormat="1" x14ac:dyDescent="0.25">
      <c r="A295" s="63">
        <v>5</v>
      </c>
      <c r="B295" s="63"/>
      <c r="C295" s="42" t="s">
        <v>261</v>
      </c>
      <c r="D295" s="42">
        <f>(97.69-3.6)*10.764</f>
        <v>1012.78476</v>
      </c>
      <c r="E295" s="42">
        <f>3.6*10.764</f>
        <v>38.750399999999999</v>
      </c>
      <c r="F295" s="42">
        <f t="shared" ref="F295" si="84">D295+E295</f>
        <v>1051.5351599999999</v>
      </c>
      <c r="G295" s="42">
        <v>0</v>
      </c>
      <c r="H295" s="42">
        <f>F295*(($H$144)+1)+(IF(G295&lt;101,G295,IF(G295&lt;201,G295/2,IF(G295&lt;=301,G295/3,G295/4))))</f>
        <v>1577.3027399999999</v>
      </c>
      <c r="I295" s="36"/>
      <c r="N295" s="36"/>
    </row>
    <row r="296" spans="1:14" s="37" customFormat="1" x14ac:dyDescent="0.25">
      <c r="A296" s="63">
        <f>A295+1</f>
        <v>6</v>
      </c>
      <c r="B296" s="63"/>
      <c r="C296" s="42" t="s">
        <v>261</v>
      </c>
      <c r="D296" s="42">
        <f>(97.69-3.6)*10.764</f>
        <v>1012.78476</v>
      </c>
      <c r="E296" s="42">
        <f>3.6*10.764</f>
        <v>38.750399999999999</v>
      </c>
      <c r="F296" s="42">
        <f>D296+E296</f>
        <v>1051.5351599999999</v>
      </c>
      <c r="G296" s="42">
        <v>0</v>
      </c>
      <c r="H296" s="42">
        <f>F296*(($H$144)+1)+(IF(G296&lt;101,G296,IF(G296&lt;201,G296/2,IF(G296&lt;=301,G296/3,G296/4))))</f>
        <v>1577.3027399999999</v>
      </c>
      <c r="I296" s="36"/>
      <c r="N296" s="36"/>
    </row>
    <row r="297" spans="1:14" s="37" customFormat="1" x14ac:dyDescent="0.25">
      <c r="A297" s="67">
        <f>A296+1</f>
        <v>7</v>
      </c>
      <c r="B297" s="68"/>
      <c r="C297" s="67" t="s">
        <v>269</v>
      </c>
      <c r="D297" s="163"/>
      <c r="E297" s="163"/>
      <c r="F297" s="163"/>
      <c r="G297" s="163"/>
      <c r="H297" s="68"/>
      <c r="I297" s="36"/>
      <c r="N297" s="36"/>
    </row>
    <row r="298" spans="1:14" s="37" customFormat="1" x14ac:dyDescent="0.25">
      <c r="A298" s="67">
        <f>A297+1</f>
        <v>8</v>
      </c>
      <c r="B298" s="68"/>
      <c r="C298" s="42" t="s">
        <v>282</v>
      </c>
      <c r="D298" s="42">
        <f>(154.46-7.2)*10.764</f>
        <v>1585.1066400000002</v>
      </c>
      <c r="E298" s="42">
        <f>7.2*10.764</f>
        <v>77.500799999999998</v>
      </c>
      <c r="F298" s="42">
        <f t="shared" ref="F298" si="85">D298+E298</f>
        <v>1662.6074400000002</v>
      </c>
      <c r="G298" s="42">
        <v>0</v>
      </c>
      <c r="H298" s="42">
        <f t="shared" ref="H298" si="86">F298*(($H$144)+1)+(IF(G298&lt;101,G298,IF(G298&lt;201,G298/2,IF(G298&lt;=301,G298/3,G298/4))))</f>
        <v>2493.9111600000006</v>
      </c>
      <c r="I298" s="36"/>
      <c r="N298" s="36"/>
    </row>
    <row r="299" spans="1:14" s="37" customFormat="1" ht="31.5" customHeight="1" x14ac:dyDescent="0.25">
      <c r="A299" s="78" t="s">
        <v>270</v>
      </c>
      <c r="B299" s="78"/>
      <c r="C299" s="78"/>
      <c r="D299" s="78"/>
      <c r="E299" s="78"/>
      <c r="F299" s="78"/>
      <c r="G299" s="78"/>
      <c r="H299" s="78"/>
      <c r="I299" s="36"/>
      <c r="L299" s="95"/>
      <c r="M299" s="95"/>
    </row>
    <row r="300" spans="1:14" s="37" customFormat="1" x14ac:dyDescent="0.25">
      <c r="A300" s="63">
        <v>1</v>
      </c>
      <c r="B300" s="63"/>
      <c r="C300" s="42" t="s">
        <v>261</v>
      </c>
      <c r="D300" s="42">
        <f>(97.16-3.89)*10.764</f>
        <v>1003.9582799999999</v>
      </c>
      <c r="E300" s="42">
        <f>3.89*10.764</f>
        <v>41.871960000000001</v>
      </c>
      <c r="F300" s="42">
        <f>D300+E300</f>
        <v>1045.83024</v>
      </c>
      <c r="G300" s="42">
        <v>0</v>
      </c>
      <c r="H300" s="42">
        <f>F300*(($H$144)+1)+(IF(G300&lt;101,G300,IF(G300&lt;201,G300/2,IF(G300&lt;=301,G300/3,G300/4))))</f>
        <v>1568.7453599999999</v>
      </c>
      <c r="I300" s="36"/>
      <c r="N300" s="36"/>
    </row>
    <row r="301" spans="1:14" s="37" customFormat="1" x14ac:dyDescent="0.25">
      <c r="A301" s="63">
        <f t="shared" ref="A301:A307" si="87">A300+1</f>
        <v>2</v>
      </c>
      <c r="B301" s="63"/>
      <c r="C301" s="42" t="s">
        <v>262</v>
      </c>
      <c r="D301" s="42">
        <f>26.07*10.764</f>
        <v>280.61748</v>
      </c>
      <c r="E301" s="42">
        <v>0</v>
      </c>
      <c r="F301" s="42">
        <f t="shared" ref="F301:F303" si="88">D301+E301</f>
        <v>280.61748</v>
      </c>
      <c r="G301" s="42">
        <v>0</v>
      </c>
      <c r="H301" s="42">
        <f t="shared" ref="H301:H303" si="89">F301*(($H$144)+1)+(IF(G301&lt;101,G301,IF(G301&lt;201,G301/2,IF(G301&lt;=301,G301/3,G301/4))))</f>
        <v>420.92622</v>
      </c>
      <c r="I301" s="36"/>
      <c r="N301" s="36"/>
    </row>
    <row r="302" spans="1:14" s="37" customFormat="1" x14ac:dyDescent="0.25">
      <c r="A302" s="63">
        <f t="shared" si="87"/>
        <v>3</v>
      </c>
      <c r="B302" s="63"/>
      <c r="C302" s="42" t="s">
        <v>262</v>
      </c>
      <c r="D302" s="42">
        <f>26.07*10.764</f>
        <v>280.61748</v>
      </c>
      <c r="E302" s="42">
        <v>0</v>
      </c>
      <c r="F302" s="42">
        <f t="shared" si="88"/>
        <v>280.61748</v>
      </c>
      <c r="G302" s="42">
        <v>0</v>
      </c>
      <c r="H302" s="42">
        <f t="shared" si="89"/>
        <v>420.92622</v>
      </c>
      <c r="I302" s="36"/>
      <c r="N302" s="36"/>
    </row>
    <row r="303" spans="1:14" s="37" customFormat="1" x14ac:dyDescent="0.25">
      <c r="A303" s="63">
        <f t="shared" si="87"/>
        <v>4</v>
      </c>
      <c r="B303" s="63"/>
      <c r="C303" s="42" t="s">
        <v>261</v>
      </c>
      <c r="D303" s="42">
        <f>(97.16-3.89)*10.764</f>
        <v>1003.9582799999999</v>
      </c>
      <c r="E303" s="42">
        <f>3.89*10.764</f>
        <v>41.871960000000001</v>
      </c>
      <c r="F303" s="42">
        <f t="shared" si="88"/>
        <v>1045.83024</v>
      </c>
      <c r="G303" s="42">
        <v>0</v>
      </c>
      <c r="H303" s="42">
        <f t="shared" si="89"/>
        <v>1568.7453599999999</v>
      </c>
      <c r="I303" s="36"/>
      <c r="N303" s="36"/>
    </row>
    <row r="304" spans="1:14" s="37" customFormat="1" x14ac:dyDescent="0.25">
      <c r="A304" s="63">
        <f t="shared" si="87"/>
        <v>5</v>
      </c>
      <c r="B304" s="63"/>
      <c r="C304" s="42" t="s">
        <v>261</v>
      </c>
      <c r="D304" s="42">
        <f>(97.69-3.6)*10.764</f>
        <v>1012.78476</v>
      </c>
      <c r="E304" s="42">
        <f>3.6*10.764</f>
        <v>38.750399999999999</v>
      </c>
      <c r="F304" s="42">
        <f>D304+E304</f>
        <v>1051.5351599999999</v>
      </c>
      <c r="G304" s="42">
        <v>0</v>
      </c>
      <c r="H304" s="42">
        <f>F304*(($H$144)+1)+(IF(G304&lt;101,G304,IF(G304&lt;201,G304/2,IF(G304&lt;=301,G304/3,G304/4))))</f>
        <v>1577.3027399999999</v>
      </c>
      <c r="I304" s="36"/>
      <c r="N304" s="36"/>
    </row>
    <row r="305" spans="1:14" s="37" customFormat="1" x14ac:dyDescent="0.25">
      <c r="A305" s="63">
        <f t="shared" si="87"/>
        <v>6</v>
      </c>
      <c r="B305" s="63"/>
      <c r="C305" s="42" t="s">
        <v>261</v>
      </c>
      <c r="D305" s="42">
        <f>(97.69-3.6)*10.764</f>
        <v>1012.78476</v>
      </c>
      <c r="E305" s="42">
        <f>3.6*10.764</f>
        <v>38.750399999999999</v>
      </c>
      <c r="F305" s="42">
        <f t="shared" ref="F305:F306" si="90">D305+E305</f>
        <v>1051.5351599999999</v>
      </c>
      <c r="G305" s="42">
        <v>0</v>
      </c>
      <c r="H305" s="42">
        <f t="shared" ref="H305:H306" si="91">F305*(($H$144)+1)+(IF(G305&lt;101,G305,IF(G305&lt;201,G305/2,IF(G305&lt;=301,G305/3,G305/4))))</f>
        <v>1577.3027399999999</v>
      </c>
      <c r="I305" s="36"/>
      <c r="N305" s="36"/>
    </row>
    <row r="306" spans="1:14" s="37" customFormat="1" x14ac:dyDescent="0.25">
      <c r="A306" s="63">
        <f t="shared" si="87"/>
        <v>7</v>
      </c>
      <c r="B306" s="63"/>
      <c r="C306" s="42" t="s">
        <v>261</v>
      </c>
      <c r="D306" s="42">
        <f>(97.69-3.6)*10.764</f>
        <v>1012.78476</v>
      </c>
      <c r="E306" s="42">
        <f>3.6*10.764</f>
        <v>38.750399999999999</v>
      </c>
      <c r="F306" s="42">
        <f t="shared" si="90"/>
        <v>1051.5351599999999</v>
      </c>
      <c r="G306" s="42">
        <v>0</v>
      </c>
      <c r="H306" s="42">
        <f t="shared" si="91"/>
        <v>1577.3027399999999</v>
      </c>
      <c r="I306" s="36"/>
      <c r="N306" s="36"/>
    </row>
    <row r="307" spans="1:14" s="37" customFormat="1" x14ac:dyDescent="0.25">
      <c r="A307" s="63">
        <f t="shared" si="87"/>
        <v>8</v>
      </c>
      <c r="B307" s="63"/>
      <c r="C307" s="42" t="s">
        <v>261</v>
      </c>
      <c r="D307" s="42">
        <f>(97.69-3.6)*10.764</f>
        <v>1012.78476</v>
      </c>
      <c r="E307" s="42">
        <f>3.6*10.764</f>
        <v>38.750399999999999</v>
      </c>
      <c r="F307" s="42">
        <f>D307+E307</f>
        <v>1051.5351599999999</v>
      </c>
      <c r="G307" s="42">
        <v>0</v>
      </c>
      <c r="H307" s="42">
        <f>F307*(($H$144)+1)+(IF(G307&lt;101,G307,IF(G307&lt;201,G307/2,IF(G307&lt;=301,G307/3,G307/4))))</f>
        <v>1577.3027399999999</v>
      </c>
      <c r="I307" s="36"/>
      <c r="N307" s="36"/>
    </row>
    <row r="308" spans="1:14" s="37" customFormat="1" x14ac:dyDescent="0.25">
      <c r="A308" s="78" t="s">
        <v>271</v>
      </c>
      <c r="B308" s="78"/>
      <c r="C308" s="78"/>
      <c r="D308" s="78"/>
      <c r="E308" s="78"/>
      <c r="F308" s="78"/>
      <c r="G308" s="78"/>
      <c r="H308" s="78"/>
      <c r="I308" s="36"/>
      <c r="L308" s="95"/>
      <c r="M308" s="95"/>
    </row>
    <row r="309" spans="1:14" s="37" customFormat="1" ht="47.25" x14ac:dyDescent="0.25">
      <c r="A309" s="63">
        <v>1</v>
      </c>
      <c r="B309" s="63"/>
      <c r="C309" s="42" t="s">
        <v>272</v>
      </c>
      <c r="D309" s="42">
        <f>(173.13)*10.764</f>
        <v>1863.5713199999998</v>
      </c>
      <c r="E309" s="42">
        <f>3.89*10.764</f>
        <v>41.871960000000001</v>
      </c>
      <c r="F309" s="42">
        <f>D309+E309</f>
        <v>1905.4432799999997</v>
      </c>
      <c r="G309" s="42">
        <v>0</v>
      </c>
      <c r="H309" s="42">
        <f>F309*(($H$144)+1)+(IF(G309&lt;101,G309,IF(G309&lt;201,G309/2,IF(G309&lt;=301,G309/3,G309/4))))</f>
        <v>2858.1649199999997</v>
      </c>
      <c r="I309" s="36"/>
      <c r="N309" s="36"/>
    </row>
    <row r="310" spans="1:14" s="37" customFormat="1" x14ac:dyDescent="0.25">
      <c r="A310" s="63">
        <f>A309+1</f>
        <v>2</v>
      </c>
      <c r="B310" s="63"/>
      <c r="C310" s="42" t="s">
        <v>262</v>
      </c>
      <c r="D310" s="42">
        <f>26.07*10.764</f>
        <v>280.61748</v>
      </c>
      <c r="E310" s="42">
        <v>0</v>
      </c>
      <c r="F310" s="42">
        <f t="shared" ref="F310:F316" si="92">D310+E310</f>
        <v>280.61748</v>
      </c>
      <c r="G310" s="42">
        <v>0</v>
      </c>
      <c r="H310" s="42">
        <f t="shared" ref="H310:H316" si="93">F310*(($H$144)+1)+(IF(G310&lt;101,G310,IF(G310&lt;201,G310/2,IF(G310&lt;=301,G310/3,G310/4))))</f>
        <v>420.92622</v>
      </c>
      <c r="I310" s="36"/>
      <c r="N310" s="36"/>
    </row>
    <row r="311" spans="1:14" s="37" customFormat="1" x14ac:dyDescent="0.25">
      <c r="A311" s="63">
        <f>A310+1</f>
        <v>3</v>
      </c>
      <c r="B311" s="63"/>
      <c r="C311" s="42" t="s">
        <v>262</v>
      </c>
      <c r="D311" s="42">
        <f>26.07*10.764</f>
        <v>280.61748</v>
      </c>
      <c r="E311" s="42">
        <v>0</v>
      </c>
      <c r="F311" s="42">
        <f t="shared" si="92"/>
        <v>280.61748</v>
      </c>
      <c r="G311" s="42">
        <v>0</v>
      </c>
      <c r="H311" s="42">
        <f t="shared" si="93"/>
        <v>420.92622</v>
      </c>
      <c r="I311" s="36"/>
      <c r="N311" s="36"/>
    </row>
    <row r="312" spans="1:14" s="37" customFormat="1" ht="47.25" x14ac:dyDescent="0.25">
      <c r="A312" s="63">
        <f>A311+1</f>
        <v>4</v>
      </c>
      <c r="B312" s="63"/>
      <c r="C312" s="42" t="s">
        <v>272</v>
      </c>
      <c r="D312" s="42">
        <f>(173.13)*10.764</f>
        <v>1863.5713199999998</v>
      </c>
      <c r="E312" s="42">
        <f>3.89*10.764</f>
        <v>41.871960000000001</v>
      </c>
      <c r="F312" s="42">
        <f t="shared" si="92"/>
        <v>1905.4432799999997</v>
      </c>
      <c r="G312" s="42">
        <v>0</v>
      </c>
      <c r="H312" s="42">
        <f t="shared" si="93"/>
        <v>2858.1649199999997</v>
      </c>
      <c r="I312" s="36"/>
      <c r="N312" s="36"/>
    </row>
    <row r="313" spans="1:14" s="37" customFormat="1" ht="53.25" customHeight="1" x14ac:dyDescent="0.25">
      <c r="A313" s="67">
        <f t="shared" ref="A313:A316" si="94">A312+1</f>
        <v>5</v>
      </c>
      <c r="B313" s="68"/>
      <c r="C313" s="42" t="s">
        <v>272</v>
      </c>
      <c r="D313" s="42">
        <f>174.19*10.764</f>
        <v>1874.9811599999998</v>
      </c>
      <c r="E313" s="42">
        <f>3.6*10.764</f>
        <v>38.750399999999999</v>
      </c>
      <c r="F313" s="42">
        <f t="shared" si="92"/>
        <v>1913.7315599999997</v>
      </c>
      <c r="G313" s="42">
        <v>0</v>
      </c>
      <c r="H313" s="42">
        <f t="shared" si="93"/>
        <v>2870.5973399999993</v>
      </c>
      <c r="I313" s="36"/>
      <c r="L313" s="95"/>
      <c r="M313" s="95"/>
      <c r="N313" s="36"/>
    </row>
    <row r="314" spans="1:14" s="37" customFormat="1" ht="57" customHeight="1" x14ac:dyDescent="0.25">
      <c r="A314" s="67">
        <f t="shared" si="94"/>
        <v>6</v>
      </c>
      <c r="B314" s="68"/>
      <c r="C314" s="42" t="s">
        <v>272</v>
      </c>
      <c r="D314" s="42">
        <f>174.19*10.764</f>
        <v>1874.9811599999998</v>
      </c>
      <c r="E314" s="42">
        <f>3.6*10.764</f>
        <v>38.750399999999999</v>
      </c>
      <c r="F314" s="42">
        <f t="shared" si="92"/>
        <v>1913.7315599999997</v>
      </c>
      <c r="G314" s="42">
        <v>0</v>
      </c>
      <c r="H314" s="42">
        <f t="shared" si="93"/>
        <v>2870.5973399999993</v>
      </c>
      <c r="I314" s="36"/>
      <c r="L314" s="95"/>
      <c r="M314" s="95"/>
      <c r="N314" s="36"/>
    </row>
    <row r="315" spans="1:14" s="37" customFormat="1" ht="53.25" customHeight="1" x14ac:dyDescent="0.25">
      <c r="A315" s="67">
        <f t="shared" si="94"/>
        <v>7</v>
      </c>
      <c r="B315" s="68"/>
      <c r="C315" s="42" t="s">
        <v>272</v>
      </c>
      <c r="D315" s="42">
        <f>174.19*10.764</f>
        <v>1874.9811599999998</v>
      </c>
      <c r="E315" s="42">
        <f>3.6*10.764</f>
        <v>38.750399999999999</v>
      </c>
      <c r="F315" s="42">
        <f t="shared" si="92"/>
        <v>1913.7315599999997</v>
      </c>
      <c r="G315" s="42">
        <f>70.48*10.764</f>
        <v>758.64671999999996</v>
      </c>
      <c r="H315" s="42">
        <f t="shared" si="93"/>
        <v>3060.2590199999995</v>
      </c>
      <c r="I315" s="36"/>
      <c r="L315" s="95"/>
      <c r="M315" s="95"/>
      <c r="N315" s="36"/>
    </row>
    <row r="316" spans="1:14" s="37" customFormat="1" ht="57" customHeight="1" x14ac:dyDescent="0.25">
      <c r="A316" s="67">
        <f t="shared" si="94"/>
        <v>8</v>
      </c>
      <c r="B316" s="68"/>
      <c r="C316" s="42" t="s">
        <v>272</v>
      </c>
      <c r="D316" s="42">
        <f>174.19*10.764</f>
        <v>1874.9811599999998</v>
      </c>
      <c r="E316" s="42">
        <f>3.6*10.764</f>
        <v>38.750399999999999</v>
      </c>
      <c r="F316" s="42">
        <f t="shared" si="92"/>
        <v>1913.7315599999997</v>
      </c>
      <c r="G316" s="42">
        <v>0</v>
      </c>
      <c r="H316" s="42">
        <f t="shared" si="93"/>
        <v>2870.5973399999993</v>
      </c>
      <c r="I316" s="36"/>
      <c r="L316" s="95"/>
      <c r="M316" s="95"/>
      <c r="N316" s="36"/>
    </row>
    <row r="317" spans="1:14" s="37" customFormat="1" x14ac:dyDescent="0.25">
      <c r="A317" s="78" t="s">
        <v>273</v>
      </c>
      <c r="B317" s="78"/>
      <c r="C317" s="78"/>
      <c r="D317" s="78"/>
      <c r="E317" s="78"/>
      <c r="F317" s="78"/>
      <c r="G317" s="78"/>
      <c r="H317" s="78"/>
      <c r="I317" s="36"/>
      <c r="L317" s="95"/>
      <c r="M317" s="95"/>
    </row>
    <row r="318" spans="1:14" s="37" customFormat="1" ht="15.75" customHeight="1" x14ac:dyDescent="0.25">
      <c r="A318" s="63">
        <v>1</v>
      </c>
      <c r="B318" s="63"/>
      <c r="C318" s="69" t="s">
        <v>274</v>
      </c>
      <c r="D318" s="70">
        <f>174.19*10.764</f>
        <v>1874.9811599999998</v>
      </c>
      <c r="E318" s="70">
        <v>0</v>
      </c>
      <c r="F318" s="70">
        <f t="shared" ref="F318:F325" si="95">D318+E318</f>
        <v>1874.9811599999998</v>
      </c>
      <c r="G318" s="70">
        <f>70.48*10.764</f>
        <v>758.64671999999996</v>
      </c>
      <c r="H318" s="71">
        <f t="shared" ref="H318" si="96">F318*(($H$144)+1)+(IF(G318&lt;101,G318,IF(G318&lt;201,G318/2,IF(G318&lt;=301,G318/3,G318/4))))</f>
        <v>3002.1334200000001</v>
      </c>
      <c r="I318" s="36"/>
      <c r="N318" s="36"/>
    </row>
    <row r="319" spans="1:14" s="37" customFormat="1" x14ac:dyDescent="0.25">
      <c r="A319" s="63">
        <f>A318+1</f>
        <v>2</v>
      </c>
      <c r="B319" s="63"/>
      <c r="C319" s="42" t="s">
        <v>262</v>
      </c>
      <c r="D319" s="42">
        <f>26.07*10.764</f>
        <v>280.61748</v>
      </c>
      <c r="E319" s="42">
        <v>0</v>
      </c>
      <c r="F319" s="42">
        <f t="shared" si="95"/>
        <v>280.61748</v>
      </c>
      <c r="G319" s="42">
        <v>0</v>
      </c>
      <c r="H319" s="42">
        <f>F319*(($H$144)+1)+(IF(G319&lt;101,G319,IF(G319&lt;201,G319/2,IF(G319&lt;=301,G319/3,G319/4))))</f>
        <v>420.92622</v>
      </c>
      <c r="I319" s="36"/>
      <c r="N319" s="36"/>
    </row>
    <row r="320" spans="1:14" s="37" customFormat="1" x14ac:dyDescent="0.25">
      <c r="A320" s="63">
        <f>A319+1</f>
        <v>3</v>
      </c>
      <c r="B320" s="63"/>
      <c r="C320" s="42" t="s">
        <v>262</v>
      </c>
      <c r="D320" s="42">
        <f>26.07*10.764</f>
        <v>280.61748</v>
      </c>
      <c r="E320" s="42">
        <v>0</v>
      </c>
      <c r="F320" s="42">
        <f t="shared" si="95"/>
        <v>280.61748</v>
      </c>
      <c r="G320" s="42">
        <v>0</v>
      </c>
      <c r="H320" s="42">
        <f>F320*(($H$144)+1)+(IF(G320&lt;101,G320,IF(G320&lt;201,G320/2,IF(G320&lt;=301,G320/3,G320/4))))</f>
        <v>420.92622</v>
      </c>
      <c r="I320" s="36"/>
      <c r="N320" s="36"/>
    </row>
    <row r="321" spans="1:14" s="37" customFormat="1" ht="15.75" customHeight="1" x14ac:dyDescent="0.25">
      <c r="A321" s="63">
        <f>A320+1</f>
        <v>4</v>
      </c>
      <c r="B321" s="63"/>
      <c r="C321" s="69" t="s">
        <v>274</v>
      </c>
      <c r="D321" s="70">
        <f>174.19*10.764</f>
        <v>1874.9811599999998</v>
      </c>
      <c r="E321" s="70">
        <v>0</v>
      </c>
      <c r="F321" s="70">
        <f t="shared" si="95"/>
        <v>1874.9811599999998</v>
      </c>
      <c r="G321" s="70">
        <f>70.48*10.764</f>
        <v>758.64671999999996</v>
      </c>
      <c r="H321" s="71">
        <f t="shared" ref="H321" si="97">F321*(($H$144)+1)+(IF(G321&lt;101,G321,IF(G321&lt;201,G321/2,IF(G321&lt;=301,G321/3,G321/4))))</f>
        <v>3002.1334200000001</v>
      </c>
      <c r="I321" s="36"/>
      <c r="N321" s="36"/>
    </row>
    <row r="322" spans="1:14" s="37" customFormat="1" x14ac:dyDescent="0.25">
      <c r="A322" s="67">
        <f t="shared" ref="A322:A325" si="98">A321+1</f>
        <v>5</v>
      </c>
      <c r="B322" s="68"/>
      <c r="C322" s="69" t="s">
        <v>274</v>
      </c>
      <c r="D322" s="70">
        <f>174.19*10.764</f>
        <v>1874.9811599999998</v>
      </c>
      <c r="E322" s="70">
        <v>0</v>
      </c>
      <c r="F322" s="70">
        <f t="shared" si="95"/>
        <v>1874.9811599999998</v>
      </c>
      <c r="G322" s="70">
        <f>70.48*10.764</f>
        <v>758.64671999999996</v>
      </c>
      <c r="H322" s="71">
        <f>F322*(($H$144)+1)+(IF(G322&lt;101,G322,IF(G322&lt;201,G322/2,IF(G322&lt;=301,G322/3,G322/4))))</f>
        <v>3002.1334200000001</v>
      </c>
      <c r="I322" s="36"/>
      <c r="L322" s="95"/>
      <c r="M322" s="95"/>
      <c r="N322" s="36"/>
    </row>
    <row r="323" spans="1:14" s="37" customFormat="1" ht="15.75" customHeight="1" x14ac:dyDescent="0.25">
      <c r="A323" s="67">
        <f t="shared" si="98"/>
        <v>6</v>
      </c>
      <c r="B323" s="68"/>
      <c r="C323" s="69" t="s">
        <v>274</v>
      </c>
      <c r="D323" s="70">
        <f>174.19*10.764</f>
        <v>1874.9811599999998</v>
      </c>
      <c r="E323" s="70">
        <v>1</v>
      </c>
      <c r="F323" s="70">
        <f t="shared" si="95"/>
        <v>1875.9811599999998</v>
      </c>
      <c r="G323" s="70">
        <f>70.48*10.764</f>
        <v>758.64671999999996</v>
      </c>
      <c r="H323" s="71">
        <f t="shared" ref="H323:H325" si="99">F323*(($H$144)+1)+(IF(G323&lt;101,G323,IF(G323&lt;201,G323/2,IF(G323&lt;=301,G323/3,G323/4))))</f>
        <v>3003.6334200000001</v>
      </c>
      <c r="I323" s="36"/>
      <c r="L323" s="95"/>
      <c r="M323" s="95"/>
      <c r="N323" s="36"/>
    </row>
    <row r="324" spans="1:14" s="37" customFormat="1" x14ac:dyDescent="0.25">
      <c r="A324" s="67">
        <f t="shared" si="98"/>
        <v>7</v>
      </c>
      <c r="B324" s="68"/>
      <c r="C324" s="69" t="s">
        <v>274</v>
      </c>
      <c r="D324" s="70">
        <f>174.19*10.764</f>
        <v>1874.9811599999998</v>
      </c>
      <c r="E324" s="70">
        <v>0</v>
      </c>
      <c r="F324" s="70">
        <f t="shared" si="95"/>
        <v>1874.9811599999998</v>
      </c>
      <c r="G324" s="70">
        <f>70.48*10.764</f>
        <v>758.64671999999996</v>
      </c>
      <c r="H324" s="71">
        <f t="shared" si="99"/>
        <v>3002.1334200000001</v>
      </c>
      <c r="I324" s="36"/>
      <c r="L324" s="95"/>
      <c r="M324" s="95"/>
      <c r="N324" s="36"/>
    </row>
    <row r="325" spans="1:14" s="37" customFormat="1" ht="15.75" customHeight="1" x14ac:dyDescent="0.25">
      <c r="A325" s="67">
        <f t="shared" si="98"/>
        <v>8</v>
      </c>
      <c r="B325" s="68"/>
      <c r="C325" s="69" t="s">
        <v>274</v>
      </c>
      <c r="D325" s="70">
        <f>174.19*10.764</f>
        <v>1874.9811599999998</v>
      </c>
      <c r="E325" s="70">
        <v>1</v>
      </c>
      <c r="F325" s="70">
        <f t="shared" si="95"/>
        <v>1875.9811599999998</v>
      </c>
      <c r="G325" s="70">
        <f>70.48*10.764</f>
        <v>758.64671999999996</v>
      </c>
      <c r="H325" s="71">
        <f t="shared" si="99"/>
        <v>3003.6334200000001</v>
      </c>
      <c r="I325" s="36"/>
      <c r="L325" s="95"/>
      <c r="M325" s="95"/>
      <c r="N325" s="36"/>
    </row>
    <row r="326" spans="1:14" s="35" customFormat="1" x14ac:dyDescent="0.25">
      <c r="A326" s="198" t="s">
        <v>67</v>
      </c>
      <c r="B326" s="198"/>
      <c r="C326" s="198"/>
      <c r="D326" s="198"/>
      <c r="E326" s="198"/>
      <c r="F326" s="198"/>
      <c r="G326" s="198"/>
      <c r="H326" s="198"/>
    </row>
    <row r="327" spans="1:14" s="35" customFormat="1" ht="34.5" customHeight="1" x14ac:dyDescent="0.25">
      <c r="A327" s="46" t="s">
        <v>149</v>
      </c>
      <c r="B327" s="60" t="s">
        <v>307</v>
      </c>
      <c r="C327" s="61"/>
      <c r="D327" s="61"/>
      <c r="E327" s="61"/>
      <c r="F327" s="61"/>
      <c r="G327" s="61"/>
      <c r="H327" s="62"/>
    </row>
    <row r="328" spans="1:14" s="35" customFormat="1" x14ac:dyDescent="0.25">
      <c r="A328" s="46" t="s">
        <v>149</v>
      </c>
      <c r="B328" s="60" t="str">
        <f>(IF(H143="Saleable area Loading :","We have considered Saleable area of Flats as per our Calculation.","We considered Saleable area of Flat as per Builder area Sheet."))</f>
        <v>We have considered Saleable area of Flats as per our Calculation.</v>
      </c>
      <c r="C328" s="61"/>
      <c r="D328" s="61"/>
      <c r="E328" s="61"/>
      <c r="F328" s="61"/>
      <c r="G328" s="61"/>
      <c r="H328" s="62"/>
    </row>
    <row r="329" spans="1:14" s="35" customFormat="1" x14ac:dyDescent="0.25">
      <c r="A329" s="46" t="s">
        <v>149</v>
      </c>
      <c r="B329" s="60" t="str">
        <f>(IF(H135="Saleable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29" s="61"/>
      <c r="D329" s="61"/>
      <c r="E329" s="61"/>
      <c r="F329" s="61"/>
      <c r="G329" s="61"/>
      <c r="H329" s="62"/>
    </row>
    <row r="330" spans="1:14" s="35" customFormat="1" x14ac:dyDescent="0.25">
      <c r="A330" s="46" t="s">
        <v>149</v>
      </c>
      <c r="B330" s="158" t="s">
        <v>119</v>
      </c>
      <c r="C330" s="159"/>
      <c r="D330" s="159"/>
      <c r="E330" s="159"/>
      <c r="F330" s="159"/>
      <c r="G330" s="159"/>
      <c r="H330" s="160"/>
    </row>
    <row r="331" spans="1:14" s="35" customFormat="1" x14ac:dyDescent="0.25">
      <c r="A331" s="46" t="s">
        <v>149</v>
      </c>
      <c r="B331" s="158" t="s">
        <v>285</v>
      </c>
      <c r="C331" s="159"/>
      <c r="D331" s="159"/>
      <c r="E331" s="159"/>
      <c r="F331" s="159"/>
      <c r="G331" s="159"/>
      <c r="H331" s="160"/>
    </row>
    <row r="332" spans="1:14" s="35" customFormat="1" x14ac:dyDescent="0.25">
      <c r="A332" s="46" t="s">
        <v>149</v>
      </c>
      <c r="B332" s="158" t="s">
        <v>148</v>
      </c>
      <c r="C332" s="159"/>
      <c r="D332" s="159"/>
      <c r="E332" s="159"/>
      <c r="F332" s="159"/>
      <c r="G332" s="159"/>
      <c r="H332" s="160"/>
    </row>
    <row r="333" spans="1:14" s="35" customFormat="1" x14ac:dyDescent="0.25">
      <c r="A333" s="46" t="s">
        <v>149</v>
      </c>
      <c r="B333" s="158" t="s">
        <v>120</v>
      </c>
      <c r="C333" s="159"/>
      <c r="D333" s="159"/>
      <c r="E333" s="159"/>
      <c r="F333" s="159"/>
      <c r="G333" s="159"/>
      <c r="H333" s="160"/>
    </row>
    <row r="334" spans="1:14" s="35" customFormat="1" ht="34.5" customHeight="1" x14ac:dyDescent="0.25">
      <c r="A334" s="46" t="s">
        <v>149</v>
      </c>
      <c r="B334" s="158" t="s">
        <v>150</v>
      </c>
      <c r="C334" s="159"/>
      <c r="D334" s="159"/>
      <c r="E334" s="159"/>
      <c r="F334" s="159"/>
      <c r="G334" s="159"/>
      <c r="H334" s="160"/>
    </row>
    <row r="335" spans="1:14" s="35" customFormat="1" x14ac:dyDescent="0.25">
      <c r="A335" s="46" t="s">
        <v>149</v>
      </c>
      <c r="B335" s="158" t="s">
        <v>121</v>
      </c>
      <c r="C335" s="159"/>
      <c r="D335" s="159"/>
      <c r="E335" s="159"/>
      <c r="F335" s="159"/>
      <c r="G335" s="159"/>
      <c r="H335" s="160"/>
    </row>
    <row r="336" spans="1:14" s="35" customFormat="1" x14ac:dyDescent="0.25">
      <c r="A336" s="46" t="s">
        <v>149</v>
      </c>
      <c r="B336" s="60" t="s">
        <v>229</v>
      </c>
      <c r="C336" s="61"/>
      <c r="D336" s="61"/>
      <c r="E336" s="61"/>
      <c r="F336" s="61"/>
      <c r="G336" s="61"/>
      <c r="H336" s="62"/>
    </row>
    <row r="337" spans="1:8" s="35" customFormat="1" x14ac:dyDescent="0.25">
      <c r="A337" s="46" t="s">
        <v>149</v>
      </c>
      <c r="B337" s="60" t="s">
        <v>299</v>
      </c>
      <c r="C337" s="61"/>
      <c r="D337" s="61"/>
      <c r="E337" s="61"/>
      <c r="F337" s="61"/>
      <c r="G337" s="61"/>
      <c r="H337" s="62"/>
    </row>
    <row r="338" spans="1:8" s="35" customFormat="1" x14ac:dyDescent="0.25">
      <c r="A338" s="46" t="s">
        <v>149</v>
      </c>
      <c r="B338" s="60" t="s">
        <v>304</v>
      </c>
      <c r="C338" s="61"/>
      <c r="D338" s="61"/>
      <c r="E338" s="61"/>
      <c r="F338" s="61"/>
      <c r="G338" s="61"/>
      <c r="H338" s="62"/>
    </row>
    <row r="339" spans="1:8" x14ac:dyDescent="0.25">
      <c r="A339" s="156" t="s">
        <v>60</v>
      </c>
      <c r="B339" s="156"/>
      <c r="C339" s="156"/>
      <c r="D339" s="156"/>
      <c r="E339" s="156"/>
      <c r="F339" s="156"/>
      <c r="G339" s="156"/>
      <c r="H339" s="156"/>
    </row>
    <row r="340" spans="1:8" x14ac:dyDescent="0.25">
      <c r="A340" s="81" t="s">
        <v>61</v>
      </c>
      <c r="B340" s="81"/>
      <c r="C340" s="81"/>
      <c r="D340" s="81"/>
      <c r="E340" s="81"/>
      <c r="F340" s="81"/>
      <c r="G340" s="81"/>
      <c r="H340" s="81"/>
    </row>
    <row r="341" spans="1:8" ht="15.75" customHeight="1" x14ac:dyDescent="0.25">
      <c r="A341" s="186" t="s">
        <v>62</v>
      </c>
      <c r="B341" s="186"/>
      <c r="C341" s="186"/>
      <c r="D341" s="186"/>
      <c r="E341" s="186"/>
      <c r="F341" s="186"/>
      <c r="G341" s="186"/>
      <c r="H341" s="186"/>
    </row>
    <row r="342" spans="1:8" x14ac:dyDescent="0.25">
      <c r="A342" s="81" t="s">
        <v>63</v>
      </c>
      <c r="B342" s="81"/>
      <c r="C342" s="81"/>
      <c r="D342" s="81"/>
      <c r="E342" s="81"/>
      <c r="F342" s="81"/>
      <c r="G342" s="81"/>
      <c r="H342" s="81"/>
    </row>
    <row r="343" spans="1:8" x14ac:dyDescent="0.25">
      <c r="A343" s="81" t="s">
        <v>64</v>
      </c>
      <c r="B343" s="81"/>
      <c r="C343" s="81"/>
      <c r="D343" s="81"/>
      <c r="E343" s="81"/>
      <c r="F343" s="81"/>
      <c r="G343" s="81"/>
      <c r="H343" s="81"/>
    </row>
    <row r="344" spans="1:8" x14ac:dyDescent="0.25">
      <c r="A344" s="81" t="s">
        <v>122</v>
      </c>
      <c r="B344" s="81"/>
      <c r="C344" s="81"/>
      <c r="D344" s="81"/>
      <c r="E344" s="81"/>
      <c r="F344" s="81"/>
      <c r="G344" s="81"/>
      <c r="H344" s="81"/>
    </row>
    <row r="345" spans="1:8" ht="33.950000000000003" customHeight="1" x14ac:dyDescent="0.25">
      <c r="A345" s="147" t="s">
        <v>123</v>
      </c>
      <c r="B345" s="147"/>
      <c r="C345" s="147"/>
      <c r="D345" s="147"/>
      <c r="E345" s="147"/>
      <c r="F345" s="147"/>
      <c r="G345" s="147"/>
      <c r="H345" s="147"/>
    </row>
    <row r="346" spans="1:8" x14ac:dyDescent="0.25">
      <c r="A346" s="154" t="s">
        <v>75</v>
      </c>
      <c r="B346" s="154"/>
      <c r="C346" s="154" t="s">
        <v>298</v>
      </c>
      <c r="D346" s="154"/>
      <c r="E346" s="154" t="s">
        <v>102</v>
      </c>
      <c r="F346" s="154"/>
      <c r="G346" s="154" t="s">
        <v>305</v>
      </c>
      <c r="H346" s="154"/>
    </row>
    <row r="347" spans="1:8" x14ac:dyDescent="0.25">
      <c r="A347" s="153" t="s">
        <v>77</v>
      </c>
      <c r="B347" s="153"/>
      <c r="C347" s="153"/>
      <c r="D347" s="153"/>
      <c r="E347" s="153"/>
      <c r="F347" s="153"/>
      <c r="G347" s="153"/>
      <c r="H347" s="153"/>
    </row>
    <row r="348" spans="1:8" x14ac:dyDescent="0.25">
      <c r="A348" s="153"/>
      <c r="B348" s="153"/>
      <c r="C348" s="153"/>
      <c r="D348" s="153"/>
      <c r="E348" s="153"/>
      <c r="F348" s="153"/>
      <c r="G348" s="153"/>
      <c r="H348" s="153"/>
    </row>
    <row r="349" spans="1:8" x14ac:dyDescent="0.25">
      <c r="A349" s="153"/>
      <c r="B349" s="153"/>
      <c r="C349" s="153"/>
      <c r="D349" s="153"/>
      <c r="E349" s="153"/>
      <c r="F349" s="153"/>
      <c r="G349" s="153"/>
      <c r="H349" s="153"/>
    </row>
    <row r="350" spans="1:8" x14ac:dyDescent="0.25">
      <c r="A350" s="153"/>
      <c r="B350" s="153"/>
      <c r="C350" s="153"/>
      <c r="D350" s="153"/>
      <c r="E350" s="153"/>
      <c r="F350" s="153"/>
      <c r="G350" s="153"/>
      <c r="H350" s="153"/>
    </row>
    <row r="351" spans="1:8" x14ac:dyDescent="0.25">
      <c r="A351" s="38" t="s">
        <v>65</v>
      </c>
      <c r="B351" s="39"/>
      <c r="C351" s="39"/>
      <c r="D351" s="38" t="str">
        <f>E8</f>
        <v>Forestville ­ Phase 1</v>
      </c>
      <c r="F351" s="39"/>
      <c r="G351" s="39"/>
      <c r="H351" s="39"/>
    </row>
    <row r="352" spans="1:8" x14ac:dyDescent="0.25">
      <c r="A352" s="39"/>
      <c r="B352" s="39"/>
      <c r="C352" s="39"/>
      <c r="D352" s="39"/>
      <c r="E352" s="39"/>
      <c r="F352" s="39"/>
      <c r="G352" s="39"/>
      <c r="H352" s="39"/>
    </row>
    <row r="353" spans="1:8" x14ac:dyDescent="0.25">
      <c r="A353" s="39"/>
      <c r="B353" s="39"/>
      <c r="C353" s="39"/>
      <c r="D353" s="39"/>
      <c r="E353" s="39"/>
      <c r="F353" s="39"/>
      <c r="G353" s="39"/>
      <c r="H353" s="39"/>
    </row>
    <row r="354" spans="1:8" ht="15" customHeight="1" x14ac:dyDescent="0.25"/>
    <row r="391" spans="1:1" x14ac:dyDescent="0.25">
      <c r="A391" s="41" t="s">
        <v>160</v>
      </c>
    </row>
    <row r="433" spans="1:1" x14ac:dyDescent="0.25">
      <c r="A433" s="41" t="s">
        <v>66</v>
      </c>
    </row>
  </sheetData>
  <mergeCells count="596">
    <mergeCell ref="B331:H331"/>
    <mergeCell ref="L314:M314"/>
    <mergeCell ref="A315:B315"/>
    <mergeCell ref="L315:M315"/>
    <mergeCell ref="A316:B316"/>
    <mergeCell ref="L316:M316"/>
    <mergeCell ref="A317:H317"/>
    <mergeCell ref="L317:M317"/>
    <mergeCell ref="B336:H336"/>
    <mergeCell ref="A326:H326"/>
    <mergeCell ref="B335:H335"/>
    <mergeCell ref="B333:H333"/>
    <mergeCell ref="B329:H329"/>
    <mergeCell ref="B327:H327"/>
    <mergeCell ref="B328:H328"/>
    <mergeCell ref="B330:H330"/>
    <mergeCell ref="A282:B282"/>
    <mergeCell ref="A283:B283"/>
    <mergeCell ref="A284:B284"/>
    <mergeCell ref="A285:B285"/>
    <mergeCell ref="C288:H288"/>
    <mergeCell ref="C289:H289"/>
    <mergeCell ref="A323:B323"/>
    <mergeCell ref="C323:H323"/>
    <mergeCell ref="A305:B305"/>
    <mergeCell ref="A306:B306"/>
    <mergeCell ref="A307:B307"/>
    <mergeCell ref="A308:H308"/>
    <mergeCell ref="A295:B295"/>
    <mergeCell ref="A296:B296"/>
    <mergeCell ref="A299:H299"/>
    <mergeCell ref="A290:H290"/>
    <mergeCell ref="L308:M308"/>
    <mergeCell ref="A324:B324"/>
    <mergeCell ref="C324:H324"/>
    <mergeCell ref="L324:M324"/>
    <mergeCell ref="A325:B325"/>
    <mergeCell ref="C325:H325"/>
    <mergeCell ref="L325:M325"/>
    <mergeCell ref="A318:B318"/>
    <mergeCell ref="C318:H318"/>
    <mergeCell ref="A319:B319"/>
    <mergeCell ref="A320:B320"/>
    <mergeCell ref="A321:B321"/>
    <mergeCell ref="C321:H321"/>
    <mergeCell ref="A322:B322"/>
    <mergeCell ref="C322:H322"/>
    <mergeCell ref="L322:M322"/>
    <mergeCell ref="A309:B309"/>
    <mergeCell ref="A310:B310"/>
    <mergeCell ref="A311:B311"/>
    <mergeCell ref="A312:B312"/>
    <mergeCell ref="L323:M323"/>
    <mergeCell ref="A313:B313"/>
    <mergeCell ref="L313:M313"/>
    <mergeCell ref="A314:B314"/>
    <mergeCell ref="L299:M299"/>
    <mergeCell ref="A300:B300"/>
    <mergeCell ref="A301:B301"/>
    <mergeCell ref="A302:B302"/>
    <mergeCell ref="A303:B303"/>
    <mergeCell ref="A304:B304"/>
    <mergeCell ref="A298:B298"/>
    <mergeCell ref="C297:H297"/>
    <mergeCell ref="A297:B297"/>
    <mergeCell ref="L290:M290"/>
    <mergeCell ref="A291:B291"/>
    <mergeCell ref="A292:B292"/>
    <mergeCell ref="A293:B293"/>
    <mergeCell ref="A294:B294"/>
    <mergeCell ref="A286:B286"/>
    <mergeCell ref="C286:H286"/>
    <mergeCell ref="L286:M286"/>
    <mergeCell ref="A287:B287"/>
    <mergeCell ref="C287:H287"/>
    <mergeCell ref="L287:M287"/>
    <mergeCell ref="A288:B288"/>
    <mergeCell ref="L288:M288"/>
    <mergeCell ref="A289:B289"/>
    <mergeCell ref="L289:M289"/>
    <mergeCell ref="A277:B277"/>
    <mergeCell ref="L277:M277"/>
    <mergeCell ref="A278:B278"/>
    <mergeCell ref="L278:M278"/>
    <mergeCell ref="A279:B279"/>
    <mergeCell ref="L279:M279"/>
    <mergeCell ref="A280:B280"/>
    <mergeCell ref="L280:M280"/>
    <mergeCell ref="A281:H281"/>
    <mergeCell ref="A262:B262"/>
    <mergeCell ref="C262:H262"/>
    <mergeCell ref="L262:M262"/>
    <mergeCell ref="A263:B263"/>
    <mergeCell ref="C263:H263"/>
    <mergeCell ref="L263:M263"/>
    <mergeCell ref="A257:B257"/>
    <mergeCell ref="A258:B258"/>
    <mergeCell ref="A259:B259"/>
    <mergeCell ref="C259:H259"/>
    <mergeCell ref="A273:B273"/>
    <mergeCell ref="A272:H272"/>
    <mergeCell ref="A274:B274"/>
    <mergeCell ref="A275:B275"/>
    <mergeCell ref="A276:B276"/>
    <mergeCell ref="A264:H264"/>
    <mergeCell ref="A265:H265"/>
    <mergeCell ref="A266:H266"/>
    <mergeCell ref="A267:H267"/>
    <mergeCell ref="A268:B268"/>
    <mergeCell ref="A269:B269"/>
    <mergeCell ref="A270:B270"/>
    <mergeCell ref="A271:B271"/>
    <mergeCell ref="A222:B222"/>
    <mergeCell ref="L222:M222"/>
    <mergeCell ref="A223:B223"/>
    <mergeCell ref="A224:B224"/>
    <mergeCell ref="A225:B225"/>
    <mergeCell ref="L225:M225"/>
    <mergeCell ref="C225:H225"/>
    <mergeCell ref="C222:H222"/>
    <mergeCell ref="A236:B236"/>
    <mergeCell ref="C235:H235"/>
    <mergeCell ref="A235:B235"/>
    <mergeCell ref="A233:B233"/>
    <mergeCell ref="A234:B234"/>
    <mergeCell ref="A226:B226"/>
    <mergeCell ref="C226:H226"/>
    <mergeCell ref="L226:M226"/>
    <mergeCell ref="A227:B227"/>
    <mergeCell ref="C227:H227"/>
    <mergeCell ref="L227:M227"/>
    <mergeCell ref="A260:B260"/>
    <mergeCell ref="C260:H260"/>
    <mergeCell ref="L260:M260"/>
    <mergeCell ref="A261:B261"/>
    <mergeCell ref="C261:H261"/>
    <mergeCell ref="L261:M261"/>
    <mergeCell ref="A252:B252"/>
    <mergeCell ref="L252:M252"/>
    <mergeCell ref="A253:B253"/>
    <mergeCell ref="L253:M253"/>
    <mergeCell ref="A254:B254"/>
    <mergeCell ref="L254:M254"/>
    <mergeCell ref="A255:H255"/>
    <mergeCell ref="L255:M255"/>
    <mergeCell ref="A256:B256"/>
    <mergeCell ref="C256:H256"/>
    <mergeCell ref="A245:B245"/>
    <mergeCell ref="A246:H246"/>
    <mergeCell ref="L246:M246"/>
    <mergeCell ref="A247:B247"/>
    <mergeCell ref="A248:B248"/>
    <mergeCell ref="A249:B249"/>
    <mergeCell ref="A250:B250"/>
    <mergeCell ref="A251:B251"/>
    <mergeCell ref="L251:M251"/>
    <mergeCell ref="L237:M237"/>
    <mergeCell ref="A238:B238"/>
    <mergeCell ref="A239:B239"/>
    <mergeCell ref="A240:B240"/>
    <mergeCell ref="A241:B241"/>
    <mergeCell ref="A242:B242"/>
    <mergeCell ref="A228:H228"/>
    <mergeCell ref="L228:M228"/>
    <mergeCell ref="A229:B229"/>
    <mergeCell ref="A230:B230"/>
    <mergeCell ref="A231:B231"/>
    <mergeCell ref="A232:B232"/>
    <mergeCell ref="L219:M219"/>
    <mergeCell ref="A220:B220"/>
    <mergeCell ref="L220:M220"/>
    <mergeCell ref="A221:H221"/>
    <mergeCell ref="A216:B216"/>
    <mergeCell ref="A217:B217"/>
    <mergeCell ref="A214:H214"/>
    <mergeCell ref="A215:B215"/>
    <mergeCell ref="L215:M215"/>
    <mergeCell ref="A218:B218"/>
    <mergeCell ref="L218:M218"/>
    <mergeCell ref="L207:M207"/>
    <mergeCell ref="C203:H203"/>
    <mergeCell ref="C206:H206"/>
    <mergeCell ref="A211:H211"/>
    <mergeCell ref="A212:H212"/>
    <mergeCell ref="A213:H213"/>
    <mergeCell ref="A208:B208"/>
    <mergeCell ref="C208:H208"/>
    <mergeCell ref="L208:M208"/>
    <mergeCell ref="A209:B209"/>
    <mergeCell ref="C209:H209"/>
    <mergeCell ref="L209:M209"/>
    <mergeCell ref="A210:B210"/>
    <mergeCell ref="C210:H210"/>
    <mergeCell ref="L210:M210"/>
    <mergeCell ref="L198:M198"/>
    <mergeCell ref="A199:B199"/>
    <mergeCell ref="L199:M199"/>
    <mergeCell ref="A200:B200"/>
    <mergeCell ref="L200:M200"/>
    <mergeCell ref="A201:B201"/>
    <mergeCell ref="L201:M201"/>
    <mergeCell ref="A202:H202"/>
    <mergeCell ref="L202:M202"/>
    <mergeCell ref="L193:M193"/>
    <mergeCell ref="A194:B194"/>
    <mergeCell ref="A195:B195"/>
    <mergeCell ref="A181:B181"/>
    <mergeCell ref="A182:B182"/>
    <mergeCell ref="A183:B183"/>
    <mergeCell ref="A184:H184"/>
    <mergeCell ref="L184:M184"/>
    <mergeCell ref="A185:B185"/>
    <mergeCell ref="A186:B186"/>
    <mergeCell ref="A187:B187"/>
    <mergeCell ref="A188:B188"/>
    <mergeCell ref="L172:M172"/>
    <mergeCell ref="A173:B173"/>
    <mergeCell ref="L173:M173"/>
    <mergeCell ref="A174:B174"/>
    <mergeCell ref="L174:M174"/>
    <mergeCell ref="C171:H171"/>
    <mergeCell ref="C172:H172"/>
    <mergeCell ref="A189:B189"/>
    <mergeCell ref="A190:B190"/>
    <mergeCell ref="C180:H180"/>
    <mergeCell ref="L175:M175"/>
    <mergeCell ref="L167:M167"/>
    <mergeCell ref="A168:B168"/>
    <mergeCell ref="L168:M168"/>
    <mergeCell ref="A169:B169"/>
    <mergeCell ref="L169:M169"/>
    <mergeCell ref="A170:B170"/>
    <mergeCell ref="L170:M170"/>
    <mergeCell ref="A171:B171"/>
    <mergeCell ref="L171:M171"/>
    <mergeCell ref="L162:M162"/>
    <mergeCell ref="A163:B163"/>
    <mergeCell ref="L163:M163"/>
    <mergeCell ref="A164:B164"/>
    <mergeCell ref="L164:M164"/>
    <mergeCell ref="A165:B165"/>
    <mergeCell ref="L165:M165"/>
    <mergeCell ref="A148:H148"/>
    <mergeCell ref="A152:B152"/>
    <mergeCell ref="L152:M152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C149:H154"/>
    <mergeCell ref="C158:H161"/>
    <mergeCell ref="A157:H157"/>
    <mergeCell ref="A158:B158"/>
    <mergeCell ref="L158:M158"/>
    <mergeCell ref="A159:B159"/>
    <mergeCell ref="L159:M159"/>
    <mergeCell ref="A160:B160"/>
    <mergeCell ref="L160:M160"/>
    <mergeCell ref="A161:B161"/>
    <mergeCell ref="L161:M161"/>
    <mergeCell ref="I14:P14"/>
    <mergeCell ref="F124:H124"/>
    <mergeCell ref="F123:H123"/>
    <mergeCell ref="A134:H134"/>
    <mergeCell ref="A119:E119"/>
    <mergeCell ref="A139:B139"/>
    <mergeCell ref="A57:B57"/>
    <mergeCell ref="C57:E57"/>
    <mergeCell ref="D59:H59"/>
    <mergeCell ref="F119:H119"/>
    <mergeCell ref="C128:D128"/>
    <mergeCell ref="D69:H69"/>
    <mergeCell ref="A70:C70"/>
    <mergeCell ref="E42:H42"/>
    <mergeCell ref="A42:D42"/>
    <mergeCell ref="A86:B86"/>
    <mergeCell ref="C86:H86"/>
    <mergeCell ref="A81:B81"/>
    <mergeCell ref="A49:B49"/>
    <mergeCell ref="C49:E49"/>
    <mergeCell ref="G49:H49"/>
    <mergeCell ref="G51:H51"/>
    <mergeCell ref="A50:B50"/>
    <mergeCell ref="A58:H58"/>
    <mergeCell ref="A59:C59"/>
    <mergeCell ref="A60:C60"/>
    <mergeCell ref="D60:H60"/>
    <mergeCell ref="G57:H57"/>
    <mergeCell ref="C52:H52"/>
    <mergeCell ref="C55:E55"/>
    <mergeCell ref="G55:H55"/>
    <mergeCell ref="C56:E56"/>
    <mergeCell ref="G56:H56"/>
    <mergeCell ref="A55:B56"/>
    <mergeCell ref="A53:B54"/>
    <mergeCell ref="C53:E53"/>
    <mergeCell ref="G53:H53"/>
    <mergeCell ref="C54:H54"/>
    <mergeCell ref="D64:H64"/>
    <mergeCell ref="C51:E51"/>
    <mergeCell ref="A62:C64"/>
    <mergeCell ref="D62:H62"/>
    <mergeCell ref="D63:H63"/>
    <mergeCell ref="C50:E50"/>
    <mergeCell ref="A74:B74"/>
    <mergeCell ref="A344:H344"/>
    <mergeCell ref="A341:H341"/>
    <mergeCell ref="A176:B176"/>
    <mergeCell ref="A128:B128"/>
    <mergeCell ref="D143:D144"/>
    <mergeCell ref="E143:E144"/>
    <mergeCell ref="A94:B94"/>
    <mergeCell ref="A95:B95"/>
    <mergeCell ref="A96:B96"/>
    <mergeCell ref="A110:B110"/>
    <mergeCell ref="F115:H115"/>
    <mergeCell ref="G129:H129"/>
    <mergeCell ref="A113:B113"/>
    <mergeCell ref="F122:H122"/>
    <mergeCell ref="C132:D132"/>
    <mergeCell ref="A146:H146"/>
    <mergeCell ref="A138:B138"/>
    <mergeCell ref="A141:B141"/>
    <mergeCell ref="A140:B140"/>
    <mergeCell ref="E128:F128"/>
    <mergeCell ref="A133:H133"/>
    <mergeCell ref="A180:B180"/>
    <mergeCell ref="A177:B177"/>
    <mergeCell ref="A178:B178"/>
    <mergeCell ref="D135:D136"/>
    <mergeCell ref="G135:G136"/>
    <mergeCell ref="F143:F144"/>
    <mergeCell ref="A142:H142"/>
    <mergeCell ref="A143:A144"/>
    <mergeCell ref="A145:H145"/>
    <mergeCell ref="A132:B132"/>
    <mergeCell ref="E132:F132"/>
    <mergeCell ref="E89:F89"/>
    <mergeCell ref="G89:H89"/>
    <mergeCell ref="A121:E121"/>
    <mergeCell ref="F121:H121"/>
    <mergeCell ref="A123:E123"/>
    <mergeCell ref="F117:H117"/>
    <mergeCell ref="A122:E122"/>
    <mergeCell ref="A107:B107"/>
    <mergeCell ref="A108:B108"/>
    <mergeCell ref="E90:F99"/>
    <mergeCell ref="A97:B97"/>
    <mergeCell ref="A98:B98"/>
    <mergeCell ref="E103:F103"/>
    <mergeCell ref="E104:F113"/>
    <mergeCell ref="A118:E118"/>
    <mergeCell ref="A109:B109"/>
    <mergeCell ref="A111:B111"/>
    <mergeCell ref="A112:B112"/>
    <mergeCell ref="F114:H114"/>
    <mergeCell ref="F120:H120"/>
    <mergeCell ref="A102:B102"/>
    <mergeCell ref="A120:E120"/>
    <mergeCell ref="A99:B99"/>
    <mergeCell ref="A104:B104"/>
    <mergeCell ref="A347:H350"/>
    <mergeCell ref="A346:B346"/>
    <mergeCell ref="E346:F346"/>
    <mergeCell ref="C346:D346"/>
    <mergeCell ref="G346:H346"/>
    <mergeCell ref="A125:E125"/>
    <mergeCell ref="F125:H125"/>
    <mergeCell ref="A126:E126"/>
    <mergeCell ref="F126:H126"/>
    <mergeCell ref="A175:H175"/>
    <mergeCell ref="A129:B129"/>
    <mergeCell ref="A342:H342"/>
    <mergeCell ref="A127:H127"/>
    <mergeCell ref="A345:H345"/>
    <mergeCell ref="A343:H343"/>
    <mergeCell ref="A339:H339"/>
    <mergeCell ref="G128:H128"/>
    <mergeCell ref="C135:C136"/>
    <mergeCell ref="B143:B144"/>
    <mergeCell ref="A340:H340"/>
    <mergeCell ref="B332:H332"/>
    <mergeCell ref="B334:H334"/>
    <mergeCell ref="B337:H337"/>
    <mergeCell ref="E130:F130"/>
    <mergeCell ref="A72:B72"/>
    <mergeCell ref="C72:H72"/>
    <mergeCell ref="A80:B80"/>
    <mergeCell ref="A67:C67"/>
    <mergeCell ref="D67:H67"/>
    <mergeCell ref="C74:H74"/>
    <mergeCell ref="A77:B77"/>
    <mergeCell ref="A79:B79"/>
    <mergeCell ref="E75:F75"/>
    <mergeCell ref="A68:C68"/>
    <mergeCell ref="D68:H68"/>
    <mergeCell ref="A71:C71"/>
    <mergeCell ref="D71:H71"/>
    <mergeCell ref="A69:C69"/>
    <mergeCell ref="D70:H70"/>
    <mergeCell ref="A76:B76"/>
    <mergeCell ref="G75:H75"/>
    <mergeCell ref="C102:H10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G104:H113"/>
    <mergeCell ref="A41:D41"/>
    <mergeCell ref="E41:H41"/>
    <mergeCell ref="A40:H40"/>
    <mergeCell ref="A65:C65"/>
    <mergeCell ref="A66:C66"/>
    <mergeCell ref="D65:H65"/>
    <mergeCell ref="E76:F85"/>
    <mergeCell ref="G76:H85"/>
    <mergeCell ref="A84:B84"/>
    <mergeCell ref="A85:B85"/>
    <mergeCell ref="D66:H66"/>
    <mergeCell ref="A43:D43"/>
    <mergeCell ref="E43:H43"/>
    <mergeCell ref="E44:H44"/>
    <mergeCell ref="E45:H45"/>
    <mergeCell ref="A89:B89"/>
    <mergeCell ref="E46:H46"/>
    <mergeCell ref="A88:B88"/>
    <mergeCell ref="C88:H88"/>
    <mergeCell ref="A44:D44"/>
    <mergeCell ref="A38:B38"/>
    <mergeCell ref="C38:H38"/>
    <mergeCell ref="A45:D45"/>
    <mergeCell ref="L141:M141"/>
    <mergeCell ref="L140:M140"/>
    <mergeCell ref="L139:M139"/>
    <mergeCell ref="L138:M138"/>
    <mergeCell ref="A83:B83"/>
    <mergeCell ref="C129:D129"/>
    <mergeCell ref="E129:F129"/>
    <mergeCell ref="A115:E115"/>
    <mergeCell ref="A100:B100"/>
    <mergeCell ref="C100:H100"/>
    <mergeCell ref="A137:H137"/>
    <mergeCell ref="E135:E136"/>
    <mergeCell ref="A90:B90"/>
    <mergeCell ref="A46:D46"/>
    <mergeCell ref="A47:H47"/>
    <mergeCell ref="D61:H61"/>
    <mergeCell ref="A61:C61"/>
    <mergeCell ref="G50:H50"/>
    <mergeCell ref="A51:B52"/>
    <mergeCell ref="A82:B82"/>
    <mergeCell ref="A91:B91"/>
    <mergeCell ref="A39:B39"/>
    <mergeCell ref="C39:H39"/>
    <mergeCell ref="F135:F136"/>
    <mergeCell ref="B135:B136"/>
    <mergeCell ref="A135:A136"/>
    <mergeCell ref="C143:C144"/>
    <mergeCell ref="G143:G144"/>
    <mergeCell ref="L151:M151"/>
    <mergeCell ref="A149:B149"/>
    <mergeCell ref="L149:M149"/>
    <mergeCell ref="A150:B150"/>
    <mergeCell ref="L150:M150"/>
    <mergeCell ref="A151:B151"/>
    <mergeCell ref="A75:B75"/>
    <mergeCell ref="A78:B78"/>
    <mergeCell ref="A48:B48"/>
    <mergeCell ref="C48:H48"/>
    <mergeCell ref="A105:B105"/>
    <mergeCell ref="A106:B106"/>
    <mergeCell ref="G90:H99"/>
    <mergeCell ref="A92:B92"/>
    <mergeCell ref="A93:B93"/>
    <mergeCell ref="F116:H116"/>
    <mergeCell ref="A116:E116"/>
    <mergeCell ref="A103:B103"/>
    <mergeCell ref="A124:E124"/>
    <mergeCell ref="G132:H132"/>
    <mergeCell ref="G130:H130"/>
    <mergeCell ref="A131:B131"/>
    <mergeCell ref="C131:D131"/>
    <mergeCell ref="E131:F131"/>
    <mergeCell ref="G131:H131"/>
    <mergeCell ref="A130:B130"/>
    <mergeCell ref="C130:D130"/>
    <mergeCell ref="G103:H103"/>
    <mergeCell ref="A117:E117"/>
    <mergeCell ref="A114:E114"/>
    <mergeCell ref="F118:H118"/>
    <mergeCell ref="B338:H338"/>
    <mergeCell ref="A196:B196"/>
    <mergeCell ref="A197:B197"/>
    <mergeCell ref="A147:H147"/>
    <mergeCell ref="A162:B162"/>
    <mergeCell ref="A166:H166"/>
    <mergeCell ref="A167:B167"/>
    <mergeCell ref="C167:H170"/>
    <mergeCell ref="A172:B172"/>
    <mergeCell ref="A191:B191"/>
    <mergeCell ref="A192:B192"/>
    <mergeCell ref="A193:H193"/>
    <mergeCell ref="A179:B179"/>
    <mergeCell ref="A198:B198"/>
    <mergeCell ref="A203:B203"/>
    <mergeCell ref="A204:B204"/>
    <mergeCell ref="A205:B205"/>
    <mergeCell ref="A206:B206"/>
    <mergeCell ref="A207:B207"/>
    <mergeCell ref="C207:H207"/>
    <mergeCell ref="A219:B219"/>
    <mergeCell ref="A237:H237"/>
    <mergeCell ref="A243:B243"/>
    <mergeCell ref="A244:B244"/>
  </mergeCells>
  <dataValidations count="12">
    <dataValidation type="list" allowBlank="1" showInputMessage="1" showErrorMessage="1" sqref="E4:H4">
      <formula1>"Axis Goregaon,Axis Thane,Axis Badlapur,Axis Sanpada, PNB Thane,IBHF Vashi,IBHF Thane,IBHF Andheri"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35:E136">
      <formula1>"Attached Loft area,Attached Otla area,Attached Mezzanine area"</formula1>
    </dataValidation>
    <dataValidation type="list" allowBlank="1" showInputMessage="1" showErrorMessage="1" sqref="G346:H346">
      <formula1>"Kunal Kadam,Pranita Mhatre,Shruti Fule,Pooja Kawale,Mansee Mohite,Anjali Kamble, Hitakshi Mhatre, Sachin Sawant"</formula1>
    </dataValidation>
    <dataValidation type="list" allowBlank="1" showInputMessage="1" showErrorMessage="1" sqref="F114:H114">
      <formula1>"On Saleable Area,On Builtup Area,On Carpet Area,On Plot Area"</formula1>
    </dataValidation>
    <dataValidation type="list" allowBlank="1" showInputMessage="1" showErrorMessage="1" sqref="F125:H125">
      <formula1>"100000,150000,200000,250000,300000,350000,400000,500000,600000,700000,800000,900000,1000000,1200000,1400000,1500000"</formula1>
    </dataValidation>
    <dataValidation type="list" allowBlank="1" showInputMessage="1" showErrorMessage="1" sqref="B135:B136">
      <formula1>"Shop No. (Sale Plan),Sale / Rehab,Sale / Mhada"</formula1>
    </dataValidation>
    <dataValidation type="list" allowBlank="1" showInputMessage="1" showErrorMessage="1" sqref="B143:B144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E143:E144">
      <formula1>"Fungible area,Balcony Area,Chajja Area,Cornice Area,AP Area,WS Area"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99" max="7" man="1"/>
    <brk id="338" max="7" man="1"/>
    <brk id="350" max="16383" man="1"/>
    <brk id="390" max="16383" man="1"/>
    <brk id="432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3" sqref="K3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9" t="s">
        <v>103</v>
      </c>
      <c r="C3" s="199"/>
      <c r="D3" s="199"/>
      <c r="E3" s="199"/>
      <c r="F3" s="199"/>
      <c r="G3" s="199"/>
      <c r="H3" s="199"/>
    </row>
    <row r="4" spans="1:9" x14ac:dyDescent="0.25">
      <c r="A4" s="2"/>
      <c r="B4" s="3" t="s">
        <v>104</v>
      </c>
      <c r="C4" s="3" t="s">
        <v>105</v>
      </c>
      <c r="D4" s="3" t="s">
        <v>68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25">
      <c r="A5" s="2"/>
      <c r="B5" s="5" t="s">
        <v>108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C3" sqref="C3:K18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3"/>
      <c r="C4" s="53" t="s">
        <v>12</v>
      </c>
      <c r="D4" s="54" t="s">
        <v>174</v>
      </c>
      <c r="E4" s="54" t="s">
        <v>184</v>
      </c>
      <c r="F4" s="54" t="s">
        <v>168</v>
      </c>
      <c r="G4" s="54" t="s">
        <v>189</v>
      </c>
      <c r="H4" s="54" t="s">
        <v>207</v>
      </c>
      <c r="J4" t="s">
        <v>189</v>
      </c>
      <c r="K4" t="s">
        <v>205</v>
      </c>
    </row>
    <row r="5" spans="2:11" x14ac:dyDescent="0.25">
      <c r="B5" s="53"/>
      <c r="C5" s="53"/>
      <c r="D5" s="54" t="s">
        <v>175</v>
      </c>
      <c r="E5" s="54" t="s">
        <v>182</v>
      </c>
      <c r="F5" s="54" t="s">
        <v>204</v>
      </c>
      <c r="G5" s="54" t="s">
        <v>190</v>
      </c>
      <c r="H5" s="54" t="s">
        <v>208</v>
      </c>
    </row>
    <row r="6" spans="2:11" x14ac:dyDescent="0.25">
      <c r="B6" s="53"/>
      <c r="C6" s="53"/>
      <c r="D6" s="54" t="s">
        <v>176</v>
      </c>
      <c r="E6" s="54" t="s">
        <v>183</v>
      </c>
      <c r="F6" s="54" t="s">
        <v>205</v>
      </c>
      <c r="G6" s="54" t="s">
        <v>191</v>
      </c>
      <c r="H6" s="54" t="s">
        <v>221</v>
      </c>
    </row>
    <row r="7" spans="2:11" x14ac:dyDescent="0.25">
      <c r="B7" s="53"/>
      <c r="C7" s="53"/>
      <c r="D7" s="54" t="s">
        <v>177</v>
      </c>
      <c r="E7" s="54" t="s">
        <v>185</v>
      </c>
      <c r="F7" s="54" t="s">
        <v>206</v>
      </c>
      <c r="G7" s="54" t="s">
        <v>192</v>
      </c>
      <c r="H7" s="54" t="s">
        <v>209</v>
      </c>
    </row>
    <row r="8" spans="2:11" x14ac:dyDescent="0.25">
      <c r="B8" s="53"/>
      <c r="C8" s="53"/>
      <c r="D8" s="54" t="s">
        <v>178</v>
      </c>
      <c r="E8" s="54" t="s">
        <v>186</v>
      </c>
      <c r="F8" s="54"/>
      <c r="G8" s="54" t="s">
        <v>193</v>
      </c>
      <c r="H8" s="54" t="s">
        <v>210</v>
      </c>
    </row>
    <row r="9" spans="2:11" x14ac:dyDescent="0.25">
      <c r="B9" s="53"/>
      <c r="C9" s="53"/>
      <c r="D9" s="54" t="s">
        <v>179</v>
      </c>
      <c r="E9" s="54" t="s">
        <v>184</v>
      </c>
      <c r="F9" s="54"/>
      <c r="G9" s="54" t="s">
        <v>194</v>
      </c>
      <c r="H9" s="54" t="s">
        <v>211</v>
      </c>
    </row>
    <row r="10" spans="2:11" x14ac:dyDescent="0.25">
      <c r="B10" s="53"/>
      <c r="C10" s="53"/>
      <c r="D10" s="54" t="s">
        <v>180</v>
      </c>
      <c r="E10" s="54" t="s">
        <v>187</v>
      </c>
      <c r="F10" s="54"/>
      <c r="G10" s="54" t="s">
        <v>195</v>
      </c>
      <c r="H10" s="54" t="s">
        <v>212</v>
      </c>
    </row>
    <row r="11" spans="2:11" x14ac:dyDescent="0.25">
      <c r="B11" s="53"/>
      <c r="C11" s="53"/>
      <c r="D11" s="54" t="s">
        <v>181</v>
      </c>
      <c r="E11" s="54" t="s">
        <v>188</v>
      </c>
      <c r="F11" s="54"/>
      <c r="G11" s="54" t="s">
        <v>196</v>
      </c>
      <c r="H11" s="54" t="s">
        <v>213</v>
      </c>
    </row>
    <row r="12" spans="2:11" x14ac:dyDescent="0.25">
      <c r="B12" s="53"/>
      <c r="C12" s="53"/>
      <c r="D12" s="54"/>
      <c r="E12" s="54"/>
      <c r="F12" s="54"/>
      <c r="G12" s="54" t="s">
        <v>197</v>
      </c>
      <c r="H12" s="54" t="s">
        <v>214</v>
      </c>
    </row>
    <row r="13" spans="2:11" x14ac:dyDescent="0.25">
      <c r="B13" s="53"/>
      <c r="C13" s="53"/>
      <c r="D13" s="54"/>
      <c r="E13" s="54"/>
      <c r="F13" s="54"/>
      <c r="G13" s="54" t="s">
        <v>198</v>
      </c>
      <c r="H13" s="54" t="s">
        <v>215</v>
      </c>
    </row>
    <row r="14" spans="2:11" x14ac:dyDescent="0.25">
      <c r="B14" s="53"/>
      <c r="C14" s="53"/>
      <c r="D14" s="54"/>
      <c r="E14" s="54"/>
      <c r="F14" s="54"/>
      <c r="G14" s="54" t="s">
        <v>199</v>
      </c>
      <c r="H14" s="54" t="s">
        <v>216</v>
      </c>
    </row>
    <row r="15" spans="2:11" x14ac:dyDescent="0.25">
      <c r="B15" s="53"/>
      <c r="C15" s="53"/>
      <c r="D15" s="54"/>
      <c r="E15" s="54"/>
      <c r="F15" s="54"/>
      <c r="G15" s="54" t="s">
        <v>200</v>
      </c>
      <c r="H15" s="54" t="s">
        <v>217</v>
      </c>
    </row>
    <row r="16" spans="2:11" x14ac:dyDescent="0.25">
      <c r="B16" s="53"/>
      <c r="C16" s="53"/>
      <c r="D16" s="54"/>
      <c r="E16" s="54"/>
      <c r="F16" s="54"/>
      <c r="G16" s="54" t="s">
        <v>201</v>
      </c>
      <c r="H16" s="54" t="s">
        <v>218</v>
      </c>
    </row>
    <row r="17" spans="2:8" x14ac:dyDescent="0.25">
      <c r="B17" s="53"/>
      <c r="C17" s="53"/>
      <c r="D17" s="54"/>
      <c r="E17" s="54"/>
      <c r="F17" s="54"/>
      <c r="G17" s="54" t="s">
        <v>202</v>
      </c>
      <c r="H17" s="54" t="s">
        <v>219</v>
      </c>
    </row>
    <row r="18" spans="2:8" x14ac:dyDescent="0.25">
      <c r="B18" s="53"/>
      <c r="C18" s="53"/>
      <c r="D18" s="54"/>
      <c r="E18" s="54"/>
      <c r="F18" s="54"/>
      <c r="G18" s="54" t="s">
        <v>203</v>
      </c>
      <c r="H18" s="54" t="s">
        <v>220</v>
      </c>
    </row>
    <row r="24" spans="2:8" x14ac:dyDescent="0.25">
      <c r="C24" t="s">
        <v>165</v>
      </c>
    </row>
    <row r="25" spans="2:8" x14ac:dyDescent="0.25">
      <c r="C25" t="s">
        <v>222</v>
      </c>
    </row>
    <row r="26" spans="2:8" x14ac:dyDescent="0.25">
      <c r="C26" t="s">
        <v>223</v>
      </c>
    </row>
    <row r="27" spans="2:8" x14ac:dyDescent="0.25">
      <c r="C27" t="s">
        <v>224</v>
      </c>
    </row>
    <row r="28" spans="2:8" x14ac:dyDescent="0.25">
      <c r="C28" t="s">
        <v>225</v>
      </c>
    </row>
    <row r="29" spans="2:8" x14ac:dyDescent="0.25">
      <c r="C29" t="s">
        <v>226</v>
      </c>
    </row>
    <row r="30" spans="2:8" x14ac:dyDescent="0.25">
      <c r="C30" t="s">
        <v>165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2025-07-10T05:09:09Z</cp:lastPrinted>
  <dcterms:created xsi:type="dcterms:W3CDTF">2019-07-16T09:29:46Z</dcterms:created>
  <dcterms:modified xsi:type="dcterms:W3CDTF">2025-07-10T05:09:18Z</dcterms:modified>
</cp:coreProperties>
</file>