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141" i="1"/>
  <c r="D140" i="1"/>
  <c r="D139" i="1"/>
  <c r="D138" i="1"/>
  <c r="D137" i="1"/>
  <c r="D136" i="1"/>
  <c r="D135" i="1"/>
  <c r="D134" i="1"/>
  <c r="D133" i="1"/>
  <c r="D131" i="1"/>
  <c r="D130" i="1"/>
  <c r="D129" i="1"/>
  <c r="D128" i="1"/>
  <c r="D127" i="1"/>
  <c r="D126" i="1"/>
  <c r="D125" i="1"/>
  <c r="D124" i="1"/>
  <c r="D123" i="1"/>
  <c r="D122" i="1"/>
  <c r="J121" i="1"/>
  <c r="I122" i="1"/>
  <c r="D170" i="1"/>
  <c r="F170" i="1" s="1"/>
  <c r="I169" i="1"/>
  <c r="D169" i="1"/>
  <c r="F169" i="1" s="1"/>
  <c r="D168" i="1"/>
  <c r="F168" i="1" s="1"/>
  <c r="D167" i="1"/>
  <c r="F167" i="1" s="1"/>
  <c r="D166" i="1"/>
  <c r="F166" i="1" s="1"/>
  <c r="D164" i="1"/>
  <c r="F164" i="1" s="1"/>
  <c r="D163" i="1"/>
  <c r="F163" i="1" s="1"/>
  <c r="D162" i="1"/>
  <c r="F162" i="1" s="1"/>
  <c r="D161" i="1"/>
  <c r="F161" i="1" s="1"/>
  <c r="D160" i="1"/>
  <c r="F160" i="1" s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I159" i="1"/>
  <c r="G159" i="1"/>
  <c r="D159" i="1"/>
  <c r="F159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I156" i="1"/>
  <c r="I146" i="1"/>
  <c r="A147" i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G146" i="1"/>
  <c r="C81" i="1"/>
  <c r="J92" i="1"/>
  <c r="J91" i="1"/>
  <c r="J90" i="1"/>
  <c r="J89" i="1"/>
  <c r="C112" i="1" l="1"/>
  <c r="G112" i="1"/>
  <c r="E112" i="1"/>
  <c r="C67" i="1"/>
  <c r="G51" i="1" l="1"/>
  <c r="F141" i="1" l="1"/>
  <c r="F140" i="1"/>
  <c r="F139" i="1"/>
  <c r="F138" i="1"/>
  <c r="F137" i="1"/>
  <c r="F136" i="1"/>
  <c r="F135" i="1"/>
  <c r="F134" i="1"/>
  <c r="A134" i="1"/>
  <c r="A135" i="1" s="1"/>
  <c r="A136" i="1" s="1"/>
  <c r="A137" i="1" s="1"/>
  <c r="A138" i="1" s="1"/>
  <c r="A139" i="1" s="1"/>
  <c r="A140" i="1" s="1"/>
  <c r="A141" i="1" s="1"/>
  <c r="A142" i="1" s="1"/>
  <c r="G133" i="1"/>
  <c r="F133" i="1"/>
  <c r="I132" i="1" s="1"/>
  <c r="F126" i="1"/>
  <c r="F127" i="1"/>
  <c r="F128" i="1"/>
  <c r="F129" i="1"/>
  <c r="F130" i="1"/>
  <c r="I128" i="1" s="1"/>
  <c r="F131" i="1"/>
  <c r="J41" i="1"/>
  <c r="E43" i="1"/>
  <c r="E44" i="1" s="1"/>
  <c r="C111" i="1" l="1"/>
  <c r="C113" i="1" s="1"/>
  <c r="E111" i="1"/>
  <c r="E113" i="1" s="1"/>
  <c r="C15" i="1"/>
  <c r="E30" i="1" l="1"/>
  <c r="F123" i="1" l="1"/>
  <c r="F124" i="1"/>
  <c r="F125" i="1"/>
  <c r="F122" i="1"/>
  <c r="A123" i="1"/>
  <c r="A124" i="1" s="1"/>
  <c r="A125" i="1" s="1"/>
  <c r="A126" i="1" s="1"/>
  <c r="A127" i="1" s="1"/>
  <c r="A128" i="1" s="1"/>
  <c r="A129" i="1" s="1"/>
  <c r="A130" i="1" s="1"/>
  <c r="A131" i="1" s="1"/>
  <c r="G122" i="1"/>
  <c r="G111" i="1" l="1"/>
  <c r="G113" i="1" s="1"/>
  <c r="F108" i="1"/>
  <c r="B17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3" i="1"/>
  <c r="J78" i="1"/>
  <c r="J77" i="1"/>
  <c r="J76" i="1"/>
  <c r="J75" i="1"/>
  <c r="D55" i="1"/>
  <c r="G50" i="1"/>
  <c r="C50" i="1"/>
  <c r="E27" i="1"/>
  <c r="E25" i="1"/>
  <c r="E7" i="1"/>
  <c r="E3" i="1"/>
  <c r="H68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D73" i="1" l="1"/>
  <c r="J69" i="1"/>
  <c r="E71" i="1"/>
  <c r="D72" i="1"/>
  <c r="G71" i="1"/>
  <c r="D65" i="1" s="1"/>
  <c r="D66" i="1" s="1"/>
  <c r="D71" i="1"/>
  <c r="H82" i="1"/>
  <c r="D94" i="1" l="1"/>
  <c r="D90" i="1"/>
  <c r="D93" i="1"/>
  <c r="D89" i="1"/>
  <c r="J85" i="1"/>
  <c r="D92" i="1"/>
  <c r="D88" i="1"/>
  <c r="J87" i="1"/>
  <c r="D91" i="1"/>
  <c r="D87" i="1"/>
  <c r="J81" i="1"/>
  <c r="J83" i="1" s="1"/>
  <c r="J86" i="1"/>
  <c r="C85" i="1" s="1"/>
  <c r="D85" i="1" s="1"/>
  <c r="J84" i="1"/>
  <c r="I68" i="1"/>
  <c r="J68" i="1"/>
  <c r="F66" i="1"/>
  <c r="J88" i="1" l="1"/>
  <c r="J93" i="1" s="1"/>
  <c r="J94" i="1" s="1"/>
  <c r="C86" i="1" s="1"/>
  <c r="E85" i="1" s="1"/>
  <c r="I69" i="1"/>
  <c r="I67" i="1" s="1"/>
  <c r="C69" i="1" s="1"/>
  <c r="G85" i="1" l="1"/>
  <c r="J82" i="1"/>
  <c r="D86" i="1"/>
  <c r="I82" i="1" s="1"/>
  <c r="I83" i="1" s="1"/>
  <c r="I81" i="1" l="1"/>
  <c r="C83" i="1" s="1"/>
</calcChain>
</file>

<file path=xl/sharedStrings.xml><?xml version="1.0" encoding="utf-8"?>
<sst xmlns="http://schemas.openxmlformats.org/spreadsheetml/2006/main" count="340" uniqueCount="224">
  <si>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</si>
  <si>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</si>
  <si>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</si>
  <si>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</si>
  <si>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</si>
  <si>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</si>
  <si>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</si>
  <si>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</si>
  <si>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</si>
  <si>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</si>
  <si>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</si>
  <si>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</si>
  <si>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</si>
  <si>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</si>
  <si>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</si>
  <si>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</si>
  <si>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</si>
  <si>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</si>
  <si>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</si>
  <si>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</si>
  <si>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</si>
  <si>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</si>
  <si>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</si>
  <si>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</si>
  <si>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</si>
  <si>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</si>
  <si>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</si>
  <si>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</si>
  <si>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</si>
  <si>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</si>
  <si>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</si>
  <si>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</si>
  <si>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</si>
  <si>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</si>
  <si>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</si>
  <si>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</si>
  <si>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</si>
  <si>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</si>
  <si>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</si>
  <si>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</si>
  <si>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</si>
  <si>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</si>
  <si>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</si>
  <si>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</si>
  <si>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</si>
  <si>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</si>
  <si>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</si>
  <si>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</si>
  <si>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</si>
  <si>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</si>
  <si>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</si>
  <si>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</si>
  <si>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</si>
  <si>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</si>
  <si>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</si>
  <si>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</si>
  <si>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</si>
  <si>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</si>
  <si>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</si>
  <si>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</si>
  <si>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</si>
  <si>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</si>
  <si>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</si>
  <si>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</si>
  <si>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</si>
  <si>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</si>
  <si>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</si>
  <si>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</si>
  <si>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</si>
  <si>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</si>
  <si>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</si>
  <si>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</si>
  <si>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</si>
  <si>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</si>
  <si>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</si>
  <si>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</si>
  <si>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</si>
  <si>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</si>
  <si>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</si>
  <si>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</si>
  <si>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</si>
  <si>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</si>
  <si>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</si>
  <si>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</si>
  <si>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</si>
  <si>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</si>
  <si>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</si>
  <si>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</si>
  <si>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</si>
  <si>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</si>
  <si>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</si>
  <si>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</si>
  <si>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</si>
  <si>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</si>
  <si>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</si>
  <si>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</si>
  <si>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</si>
  <si>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</si>
  <si>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</si>
  <si>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</si>
  <si>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</si>
  <si>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</si>
  <si>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</si>
  <si>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</si>
  <si>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</si>
  <si>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</si>
  <si>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</si>
  <si>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</si>
  <si>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</si>
  <si>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</si>
  <si>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</si>
  <si>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</si>
  <si>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</si>
  <si>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</si>
  <si>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</si>
  <si>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</si>
  <si>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</si>
  <si>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</si>
  <si>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</si>
  <si>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</si>
  <si>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</si>
  <si>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</si>
  <si>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</si>
  <si>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</si>
  <si>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</si>
  <si>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</si>
  <si>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</si>
  <si>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</si>
  <si>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</si>
  <si>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</si>
  <si>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</si>
  <si>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</si>
  <si>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</si>
  <si>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</si>
  <si>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</si>
  <si>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</si>
  <si>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</si>
  <si>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</si>
  <si>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</si>
  <si>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</si>
  <si>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</si>
  <si>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</si>
  <si>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</si>
  <si>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</si>
  <si>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</si>
  <si>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</si>
  <si>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</si>
  <si>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</si>
  <si>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</si>
  <si>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</si>
  <si>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</si>
  <si>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</si>
  <si>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</si>
  <si>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</si>
  <si>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</si>
  <si>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</si>
  <si>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</si>
  <si>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</si>
  <si>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</si>
  <si>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</si>
  <si>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</si>
  <si>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</si>
  <si>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</si>
  <si>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</si>
  <si>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</si>
  <si>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</si>
  <si>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</si>
  <si>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</si>
  <si>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</si>
  <si>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</si>
  <si>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Squarefeet Enterprises</t>
  </si>
  <si>
    <t>Green Square</t>
  </si>
  <si>
    <t>Mr.Jainesh Shah 9820533664</t>
  </si>
  <si>
    <t>Approved Plans, CC</t>
  </si>
  <si>
    <t>https://goo.gl/maps/TmAzHJdzDAz2WnXW9</t>
  </si>
  <si>
    <t>Internal Road</t>
  </si>
  <si>
    <t>Green Square Residency , C1 ,C2,C3, Society</t>
  </si>
  <si>
    <t>10.5KM from Thane Railway Station</t>
  </si>
  <si>
    <t>Thane</t>
  </si>
  <si>
    <t>Kavesar</t>
  </si>
  <si>
    <t>As per RERA -  31/12/2027</t>
  </si>
  <si>
    <t>Sanghvi Hills</t>
  </si>
  <si>
    <t>Survey No</t>
  </si>
  <si>
    <t>166/31, 168 PT, 169/4/D, 170/4/A</t>
  </si>
  <si>
    <t>Thane West</t>
  </si>
  <si>
    <t>Parkwoods</t>
  </si>
  <si>
    <t>Green Square Society</t>
  </si>
  <si>
    <t>Open Land</t>
  </si>
  <si>
    <t>Thane Municipal Corporation (TMC)</t>
  </si>
  <si>
    <t>Fitness Center, Creche</t>
  </si>
  <si>
    <t>1BHK</t>
  </si>
  <si>
    <t>Refuge Area</t>
  </si>
  <si>
    <t>8th, 13th &amp; 18th Floor (Part Refuge Area)</t>
  </si>
  <si>
    <t>1st to 7th, 9th to 12th, 14th to 17th, 19th to 22nd Floor for Residential</t>
  </si>
  <si>
    <t>We considered Gross carpet area = Net carpet.</t>
  </si>
  <si>
    <t>rate sheet</t>
  </si>
  <si>
    <t>flat</t>
  </si>
  <si>
    <t>visitor</t>
  </si>
  <si>
    <t>Market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</si>
  <si>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</si>
  <si>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Site Person - Contact Details (Name &amp; Contact No.)</t>
  </si>
  <si>
    <t>Tower 2 (Wing A) = G/St + 1st to 22nd Floor</t>
  </si>
  <si>
    <t>Latitude, Longitude :</t>
  </si>
  <si>
    <t>9500 to 10200</t>
  </si>
  <si>
    <t>sanjay</t>
  </si>
  <si>
    <t>Recommended Rates/Other Charges of the Property have been revised on 29/01/2024.</t>
  </si>
  <si>
    <t>Tower 2 (Wing A &amp; B)</t>
  </si>
  <si>
    <t>Tower 2 (Wing A) = P51700046932
Tower 2 (Wing B) = P51700054127</t>
  </si>
  <si>
    <t>Tower 2 (Wing A &amp; B) = G/St + 1st to 22nd Floor</t>
  </si>
  <si>
    <t>Tower 2 (Wing B) = G/St + 1st to 22nd Floor</t>
  </si>
  <si>
    <t>Tower 2 (Wing A)</t>
  </si>
  <si>
    <t>Tower 2 (Wing B)</t>
  </si>
  <si>
    <t>Ground Floor for Entrance Lobby, Society Office, Pump Room, Fitness Center, Creche Area, Meter Room, Driver Room &amp; Parking</t>
  </si>
  <si>
    <t>Tower 2(Wing A &amp; B ) = Gr/St(Pt) + 1st to 22nd Floor</t>
  </si>
  <si>
    <t>Total</t>
  </si>
  <si>
    <t>Flats - 478</t>
  </si>
  <si>
    <t>We have updated approved layout plan, floor plan &amp; CC of Tower 2 (Wing A&amp; B) on 19/02/2024.</t>
  </si>
  <si>
    <t>02 Towers</t>
  </si>
  <si>
    <t>19.257813,72.963627</t>
  </si>
  <si>
    <t>V.P.S06/0383/22(2003/24)/TMC/
TD-DP/TPS/0080/24</t>
  </si>
  <si>
    <t>Miss. Bhavya 8169217180</t>
  </si>
  <si>
    <t>Ajay sonagare</t>
  </si>
  <si>
    <t>Pranita Mhatre</t>
  </si>
  <si>
    <t xml:space="preserve">Construction work is in process at the time of visit. (Internal photo was not allowed)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</si>
</sst>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[&gt;0]0&quot;BHK&quot;;&quot;1RK&quot;"/>
    <numFmt numFmtId="168" formatCode="0.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7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67" fontId="6" fillId="0" borderId="7" xfId="1" applyNumberFormat="1" applyFont="1" applyBorder="1" applyAlignment="1" applyProtection="1">
      <alignment horizontal="center" vertical="center" wrapText="1"/>
      <protection locked="0"/>
    </xf>
    <xf numFmtId="167" fontId="6" fillId="0" borderId="20" xfId="1" applyNumberFormat="1" applyFont="1" applyBorder="1" applyAlignment="1" applyProtection="1">
      <alignment horizontal="center" vertical="center" wrapText="1"/>
      <protection locked="0"/>
    </xf>
    <xf numFmtId="167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6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68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717175</xdr:colOff>
      <xdr:row>265</xdr:row>
      <xdr:rowOff>13444</xdr:rowOff>
    </xdr:from>
    <xdr:to>
      <xdr:col>7</xdr:col>
      <xdr:colOff>248374</xdr:colOff>
      <xdr:row>285</xdr:row>
      <xdr:rowOff>119327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7175" y="55077469"/>
          <a:ext cx="5227149" cy="41063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747948</xdr:colOff>
      <xdr:row>286</xdr:row>
      <xdr:rowOff>2371</xdr:rowOff>
    </xdr:from>
    <xdr:to>
      <xdr:col>7</xdr:col>
      <xdr:colOff>279147</xdr:colOff>
      <xdr:row>304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7948" y="57754351"/>
          <a:ext cx="5375739" cy="36399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483577</xdr:colOff>
      <xdr:row>146</xdr:row>
      <xdr:rowOff>161193</xdr:rowOff>
    </xdr:from>
    <xdr:to>
      <xdr:col>17</xdr:col>
      <xdr:colOff>250415</xdr:colOff>
      <xdr:row>161</xdr:row>
      <xdr:rowOff>161277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60" t="46226" r="44265" b="13208"/>
        <a:stretch/>
      </xdr:blipFill>
      <xdr:spPr>
        <a:xfrm>
          <a:off x="7019192" y="29776616"/>
          <a:ext cx="6866627" cy="29674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109904</xdr:colOff>
      <xdr:row>121</xdr:row>
      <xdr:rowOff>95251</xdr:rowOff>
    </xdr:from>
    <xdr:to>
      <xdr:col>16</xdr:col>
      <xdr:colOff>364106</xdr:colOff>
      <xdr:row>140</xdr:row>
      <xdr:rowOff>63151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673" t="29009" r="41479" b="20048"/>
        <a:stretch/>
      </xdr:blipFill>
      <xdr:spPr>
        <a:xfrm>
          <a:off x="6645519" y="24779655"/>
          <a:ext cx="6745856" cy="372661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257175</xdr:colOff>
      <xdr:row>237</xdr:row>
      <xdr:rowOff>9525</xdr:rowOff>
    </xdr:from>
    <xdr:to>
      <xdr:col>7</xdr:col>
      <xdr:colOff>647820</xdr:colOff>
      <xdr:row>255</xdr:row>
      <xdr:rowOff>9075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491" t="17925" r="31271" b="13444"/>
        <a:stretch/>
      </xdr:blipFill>
      <xdr:spPr>
        <a:xfrm>
          <a:off x="257175" y="48472725"/>
          <a:ext cx="608659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119301</xdr:colOff>
      <xdr:row>248</xdr:row>
      <xdr:rowOff>70280</xdr:rowOff>
    </xdr:from>
    <xdr:to>
      <xdr:col>5</xdr:col>
      <xdr:colOff>106755</xdr:colOff>
      <xdr:row>250</xdr:row>
      <xdr:rowOff>138728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850022">
          <a:off x="3472101" y="50733755"/>
          <a:ext cx="768504" cy="46849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207302</xdr:colOff>
      <xdr:row>247</xdr:row>
      <xdr:rowOff>63461</xdr:rowOff>
    </xdr:from>
    <xdr:to>
      <xdr:col>4</xdr:col>
      <xdr:colOff>87974</xdr:colOff>
      <xdr:row>249</xdr:row>
      <xdr:rowOff>136564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850022">
          <a:off x="2617127" y="50526911"/>
          <a:ext cx="823647" cy="47315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323850</xdr:colOff>
      <xdr:row>248</xdr:row>
      <xdr:rowOff>114299</xdr:rowOff>
    </xdr:from>
    <xdr:to>
      <xdr:col>5</xdr:col>
      <xdr:colOff>76200</xdr:colOff>
      <xdr:row>250</xdr:row>
      <xdr:rowOff>25745</xdr:rowOff>
    </xdr:to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676650" y="50777774"/>
          <a:ext cx="533400" cy="31149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FF0000"/>
              </a:solidFill>
            </a:rPr>
            <a:t>2A</a:t>
          </a:r>
          <a:endParaRPr lang="en-IN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419100</xdr:colOff>
      <xdr:row>247</xdr:row>
      <xdr:rowOff>123824</xdr:rowOff>
    </xdr:from>
    <xdr:to>
      <xdr:col>4</xdr:col>
      <xdr:colOff>9525</xdr:colOff>
      <xdr:row>249</xdr:row>
      <xdr:rowOff>35270</xdr:rowOff>
    </xdr:to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828925" y="50587274"/>
          <a:ext cx="533400" cy="31149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FF0000"/>
              </a:solidFill>
            </a:rPr>
            <a:t>2B</a:t>
          </a:r>
          <a:endParaRPr lang="en-IN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495300</xdr:colOff>
      <xdr:row>253</xdr:row>
      <xdr:rowOff>9525</xdr:rowOff>
    </xdr:from>
    <xdr:to>
      <xdr:col>3</xdr:col>
      <xdr:colOff>504825</xdr:colOff>
      <xdr:row>254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2905125" y="51673125"/>
          <a:ext cx="9525" cy="3714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251</xdr:row>
      <xdr:rowOff>142875</xdr:rowOff>
    </xdr:from>
    <xdr:to>
      <xdr:col>3</xdr:col>
      <xdr:colOff>904875</xdr:colOff>
      <xdr:row>253</xdr:row>
      <xdr:rowOff>54321</xdr:rowOff>
    </xdr:to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781300" y="51406425"/>
          <a:ext cx="533400" cy="31149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FF0000"/>
              </a:solidFill>
            </a:rPr>
            <a:t>N</a:t>
          </a:r>
          <a:endParaRPr lang="en-IN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268941</xdr:colOff>
      <xdr:row>193</xdr:row>
      <xdr:rowOff>123265</xdr:rowOff>
    </xdr:from>
    <xdr:to>
      <xdr:col>7</xdr:col>
      <xdr:colOff>537882</xdr:colOff>
      <xdr:row>233</xdr:row>
      <xdr:rowOff>56029</xdr:rowOff>
    </xdr:to>
    <xdr:grpSp>
      <xdr:nvGrpSpPr>
        <xdr:cNvPr id="5" name="Group 4"/>
        <xdr:cNvGrpSpPr/>
      </xdr:nvGrpSpPr>
      <xdr:grpSpPr>
        <a:xfrm>
          <a:off x="268941" y="40117059"/>
          <a:ext cx="5972735" cy="7989794"/>
          <a:chOff x="268941" y="40117059"/>
          <a:chExt cx="5972735" cy="7989794"/>
        </a:xfrm>
      </xdr:grpSpPr>
      <xdr:grpSp>
        <xdr:nvGrpSpPr>
          <xdr:cNvPr id="31" name="Group 30"/>
          <xdr:cNvGrpSpPr/>
        </xdr:nvGrpSpPr>
        <xdr:grpSpPr>
          <a:xfrm>
            <a:off x="268941" y="40117059"/>
            <a:ext cx="5972735" cy="7989794"/>
            <a:chOff x="521063" y="827500"/>
            <a:chExt cx="5803537" cy="7802150"/>
          </a:xfrm>
        </xdr:grpSpPr>
        <xdr:pic>
          <xdr:nvPicPr>
            <xdr:cNvPr id="32" name="Picture 31" descr="https://vsjcllp.vsjadon.com/upload/insp-239703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28971" y="6027520"/>
              <a:ext cx="1949565" cy="260213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 descr="https://vsjcllp.vsjadon.com/upload/insp-239703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62162" y="3437035"/>
              <a:ext cx="1862438" cy="248584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39703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62162" y="846550"/>
              <a:ext cx="1862438" cy="248584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 descr="https://vsjcllp.vsjadon.com/upload/insp-239703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1063" y="827500"/>
              <a:ext cx="3803279" cy="5076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39703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1341586" y="6027520"/>
              <a:ext cx="1949565" cy="260213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7" name="TextBox 23">
            <a:extLst>
              <a:ext uri="{FF2B5EF4-FFF2-40B4-BE49-F238E27FC236}">
                <a16:creationId xmlns:a16="http://schemas.microsoft.com/office/drawing/2014/main" id="{A61A9FFC-CB5F-B063-E13A-44FB5570D7A5}"/>
              </a:ext>
            </a:extLst>
          </xdr:cNvPr>
          <xdr:cNvSpPr txBox="1"/>
        </xdr:nvSpPr>
        <xdr:spPr>
          <a:xfrm>
            <a:off x="1075763" y="40173087"/>
            <a:ext cx="661147" cy="42582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  <xdr:sp macro="" textlink="">
        <xdr:nvSpPr>
          <xdr:cNvPr id="38" name="TextBox 23">
            <a:extLst>
              <a:ext uri="{FF2B5EF4-FFF2-40B4-BE49-F238E27FC236}">
                <a16:creationId xmlns:a16="http://schemas.microsoft.com/office/drawing/2014/main" id="{A61A9FFC-CB5F-B063-E13A-44FB5570D7A5}"/>
              </a:ext>
            </a:extLst>
          </xdr:cNvPr>
          <xdr:cNvSpPr txBox="1"/>
        </xdr:nvSpPr>
        <xdr:spPr>
          <a:xfrm>
            <a:off x="3260910" y="41753117"/>
            <a:ext cx="661147" cy="42582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15</xdr:col>
      <xdr:colOff>101974</xdr:colOff>
      <xdr:row>55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3249706"/>
          <a:ext cx="13011150" cy="7315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mAzHJdzDAz2WnXW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64"/>
  <sheetViews>
    <sheetView tabSelected="1" view="pageBreakPreview" zoomScale="85" zoomScaleNormal="100" zoomScaleSheetLayoutView="85" zoomScalePageLayoutView="85" workbookViewId="0">
      <selection activeCell="K14" sqref="K14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2.42578125" style="39" customWidth="1"/>
    <col min="9" max="9" width="17.42578125" style="21" customWidth="1"/>
    <col min="10" max="10" width="11.42578125" style="21" customWidth="1"/>
    <col min="11" max="11" width="11.8554687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27" t="s">
        <v>199</v>
      </c>
      <c r="B1" s="127"/>
      <c r="C1" s="127"/>
      <c r="D1" s="127"/>
      <c r="E1" s="127"/>
      <c r="F1" s="127"/>
      <c r="G1" s="127"/>
      <c r="H1" s="127"/>
    </row>
    <row r="2" spans="1:8" ht="16.5" customHeight="1" x14ac:dyDescent="0.25">
      <c r="A2" s="78" t="s">
        <v>0</v>
      </c>
      <c r="B2" s="78"/>
      <c r="C2" s="78"/>
      <c r="D2" s="78"/>
      <c r="E2" s="78"/>
      <c r="F2" s="78"/>
      <c r="G2" s="78"/>
      <c r="H2" s="78"/>
    </row>
    <row r="3" spans="1:8" x14ac:dyDescent="0.25">
      <c r="A3" s="95" t="s">
        <v>1</v>
      </c>
      <c r="B3" s="95"/>
      <c r="C3" s="95"/>
      <c r="D3" s="95"/>
      <c r="E3" s="95" t="str">
        <f ca="1">TEXT(TODAY(),"DD/MM/YYYY")</f>
        <v>09/07/2025</v>
      </c>
      <c r="F3" s="95"/>
      <c r="G3" s="95"/>
      <c r="H3" s="95"/>
    </row>
    <row r="4" spans="1:8" ht="15" customHeight="1" x14ac:dyDescent="0.25">
      <c r="A4" s="95" t="s">
        <v>2</v>
      </c>
      <c r="B4" s="95"/>
      <c r="C4" s="95"/>
      <c r="D4" s="95"/>
      <c r="E4" s="95" t="s">
        <v>169</v>
      </c>
      <c r="F4" s="95"/>
      <c r="G4" s="95"/>
      <c r="H4" s="95"/>
    </row>
    <row r="5" spans="1:8" x14ac:dyDescent="0.25">
      <c r="A5" s="95" t="s">
        <v>3</v>
      </c>
      <c r="B5" s="95"/>
      <c r="C5" s="95"/>
      <c r="D5" s="95"/>
      <c r="E5" s="126">
        <v>45846</v>
      </c>
      <c r="F5" s="95"/>
      <c r="G5" s="95"/>
      <c r="H5" s="95"/>
    </row>
    <row r="6" spans="1:8" ht="16.5" customHeight="1" x14ac:dyDescent="0.25">
      <c r="A6" s="95" t="s">
        <v>4</v>
      </c>
      <c r="B6" s="95"/>
      <c r="C6" s="95"/>
      <c r="D6" s="95"/>
      <c r="E6" s="95" t="s">
        <v>170</v>
      </c>
      <c r="F6" s="95"/>
      <c r="G6" s="95"/>
      <c r="H6" s="95"/>
    </row>
    <row r="7" spans="1:8" ht="15" customHeight="1" x14ac:dyDescent="0.25">
      <c r="A7" s="95" t="s">
        <v>5</v>
      </c>
      <c r="B7" s="95"/>
      <c r="C7" s="95"/>
      <c r="D7" s="95"/>
      <c r="E7" s="95" t="str">
        <f>E6</f>
        <v>Squarefeet Enterprises</v>
      </c>
      <c r="F7" s="95"/>
      <c r="G7" s="95"/>
      <c r="H7" s="95"/>
    </row>
    <row r="8" spans="1:8" x14ac:dyDescent="0.25">
      <c r="A8" s="95" t="s">
        <v>6</v>
      </c>
      <c r="B8" s="95"/>
      <c r="C8" s="95"/>
      <c r="D8" s="95"/>
      <c r="E8" s="128" t="s">
        <v>171</v>
      </c>
      <c r="F8" s="128"/>
      <c r="G8" s="128"/>
      <c r="H8" s="128"/>
    </row>
    <row r="9" spans="1:8" x14ac:dyDescent="0.25">
      <c r="A9" s="95" t="s">
        <v>166</v>
      </c>
      <c r="B9" s="95"/>
      <c r="C9" s="95"/>
      <c r="D9" s="95"/>
      <c r="E9" s="95" t="s">
        <v>172</v>
      </c>
      <c r="F9" s="95"/>
      <c r="G9" s="95"/>
      <c r="H9" s="95"/>
    </row>
    <row r="10" spans="1:8" hidden="1" x14ac:dyDescent="0.25">
      <c r="A10" s="95" t="s">
        <v>167</v>
      </c>
      <c r="B10" s="95"/>
      <c r="C10" s="95"/>
      <c r="D10" s="95"/>
      <c r="E10" s="95"/>
      <c r="F10" s="95"/>
      <c r="G10" s="95"/>
      <c r="H10" s="95"/>
    </row>
    <row r="11" spans="1:8" x14ac:dyDescent="0.25">
      <c r="A11" s="95" t="s">
        <v>200</v>
      </c>
      <c r="B11" s="95"/>
      <c r="C11" s="95"/>
      <c r="D11" s="95"/>
      <c r="E11" s="95" t="s">
        <v>220</v>
      </c>
      <c r="F11" s="95"/>
      <c r="G11" s="95"/>
      <c r="H11" s="95"/>
    </row>
    <row r="12" spans="1:8" x14ac:dyDescent="0.25">
      <c r="A12" s="95" t="s">
        <v>7</v>
      </c>
      <c r="B12" s="95"/>
      <c r="C12" s="95"/>
      <c r="D12" s="95"/>
      <c r="E12" s="95" t="s">
        <v>206</v>
      </c>
      <c r="F12" s="95"/>
      <c r="G12" s="95"/>
      <c r="H12" s="95"/>
    </row>
    <row r="13" spans="1:8" x14ac:dyDescent="0.25">
      <c r="A13" s="96" t="s">
        <v>8</v>
      </c>
      <c r="B13" s="96"/>
      <c r="C13" s="96"/>
      <c r="D13" s="96"/>
      <c r="E13" s="94" t="s">
        <v>173</v>
      </c>
      <c r="F13" s="94"/>
      <c r="G13" s="94"/>
      <c r="H13" s="94"/>
    </row>
    <row r="14" spans="1:8" ht="31.5" customHeight="1" x14ac:dyDescent="0.25">
      <c r="A14" s="96" t="s">
        <v>9</v>
      </c>
      <c r="B14" s="96"/>
      <c r="C14" s="96"/>
      <c r="D14" s="96"/>
      <c r="E14" s="94" t="s">
        <v>207</v>
      </c>
      <c r="F14" s="95"/>
      <c r="G14" s="95"/>
      <c r="H14" s="95"/>
    </row>
    <row r="15" spans="1:8" ht="33.75" customHeight="1" x14ac:dyDescent="0.25">
      <c r="A15" s="93" t="s">
        <v>10</v>
      </c>
      <c r="B15" s="93"/>
      <c r="C15" s="93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Green Square, Survey No.166/31, 168 PT, 169/4/D, 170/4/A, near Sanghvi Hills, Internal Road, Parkwoods, Kavesar, Thane West, Thane, Thane - 400607.</v>
      </c>
      <c r="D15" s="93"/>
      <c r="E15" s="93"/>
      <c r="F15" s="93"/>
      <c r="G15" s="93"/>
      <c r="H15" s="93"/>
    </row>
    <row r="16" spans="1:8" ht="15.75" customHeight="1" x14ac:dyDescent="0.25">
      <c r="A16" s="94" t="s">
        <v>182</v>
      </c>
      <c r="B16" s="94"/>
      <c r="C16" s="94" t="s">
        <v>183</v>
      </c>
      <c r="D16" s="94"/>
      <c r="E16" s="94"/>
      <c r="F16" s="94"/>
      <c r="G16" s="94"/>
      <c r="H16" s="94"/>
    </row>
    <row r="17" spans="1:8" ht="15.75" customHeight="1" x14ac:dyDescent="0.25">
      <c r="A17" s="94" t="s">
        <v>165</v>
      </c>
      <c r="B17" s="94"/>
      <c r="C17" s="94" t="s">
        <v>185</v>
      </c>
      <c r="D17" s="94"/>
      <c r="E17" s="94"/>
      <c r="F17" s="94"/>
      <c r="G17" s="94"/>
      <c r="H17" s="94"/>
    </row>
    <row r="18" spans="1:8" x14ac:dyDescent="0.25">
      <c r="A18" s="93" t="s">
        <v>11</v>
      </c>
      <c r="B18" s="93"/>
      <c r="C18" s="95" t="s">
        <v>175</v>
      </c>
      <c r="D18" s="95"/>
      <c r="E18" s="93" t="s">
        <v>75</v>
      </c>
      <c r="F18" s="93"/>
      <c r="G18" s="94" t="s">
        <v>179</v>
      </c>
      <c r="H18" s="94"/>
    </row>
    <row r="19" spans="1:8" x14ac:dyDescent="0.25">
      <c r="A19" s="96" t="s">
        <v>13</v>
      </c>
      <c r="B19" s="96"/>
      <c r="C19" s="94" t="s">
        <v>184</v>
      </c>
      <c r="D19" s="94"/>
      <c r="E19" s="93" t="s">
        <v>12</v>
      </c>
      <c r="F19" s="93"/>
      <c r="G19" s="94" t="s">
        <v>178</v>
      </c>
      <c r="H19" s="94"/>
    </row>
    <row r="20" spans="1:8" x14ac:dyDescent="0.25">
      <c r="A20" s="96" t="s">
        <v>76</v>
      </c>
      <c r="B20" s="96"/>
      <c r="C20" s="94" t="s">
        <v>178</v>
      </c>
      <c r="D20" s="94"/>
      <c r="E20" s="93" t="s">
        <v>14</v>
      </c>
      <c r="F20" s="93"/>
      <c r="G20" s="94">
        <v>400607</v>
      </c>
      <c r="H20" s="94"/>
    </row>
    <row r="21" spans="1:8" ht="15" customHeight="1" x14ac:dyDescent="0.25">
      <c r="A21" s="96" t="s">
        <v>124</v>
      </c>
      <c r="B21" s="96"/>
      <c r="C21" s="94" t="s">
        <v>181</v>
      </c>
      <c r="D21" s="94"/>
      <c r="E21" s="93" t="s">
        <v>15</v>
      </c>
      <c r="F21" s="93"/>
      <c r="G21" s="94" t="s">
        <v>177</v>
      </c>
      <c r="H21" s="94"/>
    </row>
    <row r="22" spans="1:8" ht="18.75" customHeight="1" x14ac:dyDescent="0.25">
      <c r="A22" s="93" t="s">
        <v>78</v>
      </c>
      <c r="B22" s="93"/>
      <c r="C22" s="93"/>
      <c r="D22" s="93"/>
      <c r="E22" s="95" t="s">
        <v>16</v>
      </c>
      <c r="F22" s="95"/>
      <c r="G22" s="95"/>
      <c r="H22" s="95"/>
    </row>
    <row r="23" spans="1:8" ht="15" customHeight="1" x14ac:dyDescent="0.25">
      <c r="A23" s="93"/>
      <c r="B23" s="93"/>
      <c r="C23" s="93"/>
      <c r="D23" s="93"/>
      <c r="E23" s="95"/>
      <c r="F23" s="95"/>
      <c r="G23" s="95"/>
      <c r="H23" s="95"/>
    </row>
    <row r="24" spans="1:8" ht="15" customHeight="1" x14ac:dyDescent="0.25">
      <c r="A24" s="93" t="s">
        <v>17</v>
      </c>
      <c r="B24" s="93"/>
      <c r="C24" s="93"/>
      <c r="D24" s="93"/>
      <c r="E24" s="94" t="s">
        <v>18</v>
      </c>
      <c r="F24" s="94"/>
      <c r="G24" s="94"/>
      <c r="H24" s="94"/>
    </row>
    <row r="25" spans="1:8" x14ac:dyDescent="0.25">
      <c r="A25" s="96" t="s">
        <v>19</v>
      </c>
      <c r="B25" s="96"/>
      <c r="C25" s="96"/>
      <c r="D25" s="96"/>
      <c r="E25" s="94" t="str">
        <f>IF(AND(G19="Mumbai"),"Upper Class","Middle Class")</f>
        <v>Middle Class</v>
      </c>
      <c r="F25" s="94"/>
      <c r="G25" s="94"/>
      <c r="H25" s="94"/>
    </row>
    <row r="26" spans="1:8" ht="15.75" customHeight="1" x14ac:dyDescent="0.25">
      <c r="A26" s="96" t="s">
        <v>20</v>
      </c>
      <c r="B26" s="96"/>
      <c r="C26" s="96"/>
      <c r="D26" s="96"/>
      <c r="E26" s="94" t="s">
        <v>21</v>
      </c>
      <c r="F26" s="94"/>
      <c r="G26" s="94"/>
      <c r="H26" s="94"/>
    </row>
    <row r="27" spans="1:8" x14ac:dyDescent="0.25">
      <c r="A27" s="96" t="s">
        <v>22</v>
      </c>
      <c r="B27" s="96"/>
      <c r="C27" s="96"/>
      <c r="D27" s="96"/>
      <c r="E27" s="94" t="str">
        <f>IF(AND(G19="Mumbai"),"Developed","Developing")</f>
        <v>Developing</v>
      </c>
      <c r="F27" s="94"/>
      <c r="G27" s="94"/>
      <c r="H27" s="94"/>
    </row>
    <row r="28" spans="1:8" ht="15.75" customHeight="1" x14ac:dyDescent="0.25">
      <c r="A28" s="96" t="s">
        <v>23</v>
      </c>
      <c r="B28" s="96"/>
      <c r="C28" s="96"/>
      <c r="D28" s="96"/>
      <c r="E28" s="94" t="s">
        <v>24</v>
      </c>
      <c r="F28" s="94"/>
      <c r="G28" s="94"/>
      <c r="H28" s="94"/>
    </row>
    <row r="29" spans="1:8" ht="15" customHeight="1" x14ac:dyDescent="0.25">
      <c r="A29" s="96" t="s">
        <v>83</v>
      </c>
      <c r="B29" s="96"/>
      <c r="C29" s="96"/>
      <c r="D29" s="96"/>
      <c r="E29" s="94" t="s">
        <v>84</v>
      </c>
      <c r="F29" s="94"/>
      <c r="G29" s="94"/>
      <c r="H29" s="94"/>
    </row>
    <row r="30" spans="1:8" ht="15.75" customHeight="1" x14ac:dyDescent="0.25">
      <c r="A30" s="96" t="s">
        <v>33</v>
      </c>
      <c r="B30" s="96"/>
      <c r="C30" s="96"/>
      <c r="D30" s="96"/>
      <c r="E30" s="9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4"/>
      <c r="G30" s="94"/>
      <c r="H30" s="94"/>
    </row>
    <row r="31" spans="1:8" s="22" customFormat="1" x14ac:dyDescent="0.25">
      <c r="A31" s="96" t="s">
        <v>95</v>
      </c>
      <c r="B31" s="96"/>
      <c r="C31" s="96"/>
      <c r="D31" s="96"/>
      <c r="E31" s="94" t="s">
        <v>34</v>
      </c>
      <c r="F31" s="94"/>
      <c r="G31" s="94"/>
      <c r="H31" s="94"/>
    </row>
    <row r="32" spans="1:8" s="22" customFormat="1" x14ac:dyDescent="0.25">
      <c r="A32" s="132" t="s">
        <v>96</v>
      </c>
      <c r="B32" s="132"/>
      <c r="C32" s="131" t="s">
        <v>29</v>
      </c>
      <c r="D32" s="131"/>
      <c r="E32" s="131"/>
      <c r="F32" s="131" t="s">
        <v>31</v>
      </c>
      <c r="G32" s="131"/>
      <c r="H32" s="131"/>
    </row>
    <row r="33" spans="1:10" x14ac:dyDescent="0.25">
      <c r="A33" s="129" t="s">
        <v>25</v>
      </c>
      <c r="B33" s="129" t="s">
        <v>30</v>
      </c>
      <c r="C33" s="130" t="s">
        <v>30</v>
      </c>
      <c r="D33" s="130"/>
      <c r="E33" s="130"/>
      <c r="F33" s="130" t="s">
        <v>186</v>
      </c>
      <c r="G33" s="130"/>
      <c r="H33" s="130"/>
    </row>
    <row r="34" spans="1:10" s="22" customFormat="1" x14ac:dyDescent="0.25">
      <c r="A34" s="133" t="s">
        <v>26</v>
      </c>
      <c r="B34" s="133" t="s">
        <v>30</v>
      </c>
      <c r="C34" s="133" t="s">
        <v>30</v>
      </c>
      <c r="D34" s="133"/>
      <c r="E34" s="133"/>
      <c r="F34" s="135" t="s">
        <v>176</v>
      </c>
      <c r="G34" s="135"/>
      <c r="H34" s="135"/>
    </row>
    <row r="35" spans="1:10" x14ac:dyDescent="0.25">
      <c r="A35" s="129" t="s">
        <v>28</v>
      </c>
      <c r="B35" s="129" t="s">
        <v>30</v>
      </c>
      <c r="C35" s="130" t="s">
        <v>30</v>
      </c>
      <c r="D35" s="130"/>
      <c r="E35" s="130"/>
      <c r="F35" s="130" t="s">
        <v>181</v>
      </c>
      <c r="G35" s="130"/>
      <c r="H35" s="130"/>
    </row>
    <row r="36" spans="1:10" x14ac:dyDescent="0.25">
      <c r="A36" s="129" t="s">
        <v>27</v>
      </c>
      <c r="B36" s="129" t="s">
        <v>30</v>
      </c>
      <c r="C36" s="130" t="s">
        <v>30</v>
      </c>
      <c r="D36" s="130"/>
      <c r="E36" s="130"/>
      <c r="F36" s="130" t="s">
        <v>187</v>
      </c>
      <c r="G36" s="130"/>
      <c r="H36" s="130"/>
    </row>
    <row r="37" spans="1:10" ht="15.75" customHeight="1" x14ac:dyDescent="0.25">
      <c r="A37" s="96" t="s">
        <v>32</v>
      </c>
      <c r="B37" s="96"/>
      <c r="C37" s="96"/>
      <c r="D37" s="96"/>
      <c r="E37" s="96"/>
      <c r="F37" s="96"/>
      <c r="G37" s="96"/>
      <c r="H37" s="96"/>
    </row>
    <row r="38" spans="1:10" x14ac:dyDescent="0.25">
      <c r="A38" s="96" t="s">
        <v>202</v>
      </c>
      <c r="B38" s="96"/>
      <c r="C38" s="87" t="s">
        <v>218</v>
      </c>
      <c r="D38" s="88"/>
      <c r="E38" s="88"/>
      <c r="F38" s="88"/>
      <c r="G38" s="88"/>
      <c r="H38" s="89"/>
    </row>
    <row r="39" spans="1:10" x14ac:dyDescent="0.25">
      <c r="A39" s="96" t="s">
        <v>164</v>
      </c>
      <c r="B39" s="96"/>
      <c r="C39" s="136" t="s">
        <v>174</v>
      </c>
      <c r="D39" s="94"/>
      <c r="E39" s="94"/>
      <c r="F39" s="94"/>
      <c r="G39" s="94"/>
      <c r="H39" s="94"/>
    </row>
    <row r="40" spans="1:10" x14ac:dyDescent="0.25">
      <c r="A40" s="122" t="s">
        <v>35</v>
      </c>
      <c r="B40" s="122"/>
      <c r="C40" s="122"/>
      <c r="D40" s="122"/>
      <c r="E40" s="122"/>
      <c r="F40" s="122"/>
      <c r="G40" s="122"/>
      <c r="H40" s="122"/>
    </row>
    <row r="41" spans="1:10" x14ac:dyDescent="0.25">
      <c r="A41" s="96" t="s">
        <v>36</v>
      </c>
      <c r="B41" s="96"/>
      <c r="C41" s="96"/>
      <c r="D41" s="96"/>
      <c r="E41" s="134">
        <v>19904.52</v>
      </c>
      <c r="F41" s="134"/>
      <c r="G41" s="134"/>
      <c r="H41" s="134"/>
      <c r="I41" s="21">
        <v>20130.04</v>
      </c>
      <c r="J41" s="21">
        <f>I41/E41</f>
        <v>1.0113300898489388</v>
      </c>
    </row>
    <row r="42" spans="1:10" x14ac:dyDescent="0.25">
      <c r="A42" s="96" t="s">
        <v>37</v>
      </c>
      <c r="B42" s="96"/>
      <c r="C42" s="96"/>
      <c r="D42" s="96"/>
      <c r="E42" s="100">
        <v>1.1000000000000001</v>
      </c>
      <c r="F42" s="100"/>
      <c r="G42" s="100"/>
      <c r="H42" s="100"/>
    </row>
    <row r="43" spans="1:10" x14ac:dyDescent="0.25">
      <c r="A43" s="96" t="s">
        <v>38</v>
      </c>
      <c r="B43" s="96"/>
      <c r="C43" s="96"/>
      <c r="D43" s="96"/>
      <c r="E43" s="146">
        <f>E45/E41-E42</f>
        <v>2.6696437794028691</v>
      </c>
      <c r="F43" s="146"/>
      <c r="G43" s="146"/>
      <c r="H43" s="146"/>
    </row>
    <row r="44" spans="1:10" x14ac:dyDescent="0.25">
      <c r="A44" s="96" t="s">
        <v>39</v>
      </c>
      <c r="B44" s="96"/>
      <c r="C44" s="96"/>
      <c r="D44" s="96"/>
      <c r="E44" s="146">
        <f>E42+E43</f>
        <v>3.7696437794028692</v>
      </c>
      <c r="F44" s="146"/>
      <c r="G44" s="146"/>
      <c r="H44" s="146"/>
    </row>
    <row r="45" spans="1:10" x14ac:dyDescent="0.25">
      <c r="A45" s="96" t="s">
        <v>94</v>
      </c>
      <c r="B45" s="96"/>
      <c r="C45" s="96"/>
      <c r="D45" s="96"/>
      <c r="E45" s="100">
        <v>75032.95</v>
      </c>
      <c r="F45" s="100"/>
      <c r="G45" s="100"/>
      <c r="H45" s="100"/>
    </row>
    <row r="46" spans="1:10" x14ac:dyDescent="0.25">
      <c r="A46" s="95" t="s">
        <v>40</v>
      </c>
      <c r="B46" s="95"/>
      <c r="C46" s="95"/>
      <c r="D46" s="95"/>
      <c r="E46" s="134" t="s">
        <v>217</v>
      </c>
      <c r="F46" s="134"/>
      <c r="G46" s="134"/>
      <c r="H46" s="134"/>
    </row>
    <row r="47" spans="1:10" x14ac:dyDescent="0.25">
      <c r="A47" s="122" t="s">
        <v>41</v>
      </c>
      <c r="B47" s="122"/>
      <c r="C47" s="122"/>
      <c r="D47" s="122"/>
      <c r="E47" s="122"/>
      <c r="F47" s="122"/>
      <c r="G47" s="122"/>
      <c r="H47" s="122"/>
    </row>
    <row r="48" spans="1:10" ht="32.25" customHeight="1" x14ac:dyDescent="0.25">
      <c r="A48" s="90" t="s">
        <v>152</v>
      </c>
      <c r="B48" s="91"/>
      <c r="C48" s="156" t="s">
        <v>188</v>
      </c>
      <c r="D48" s="157"/>
      <c r="E48" s="157"/>
      <c r="F48" s="157"/>
      <c r="G48" s="157"/>
      <c r="H48" s="158"/>
    </row>
    <row r="49" spans="1:14" ht="32.25" customHeight="1" x14ac:dyDescent="0.25">
      <c r="A49" s="90" t="s">
        <v>42</v>
      </c>
      <c r="B49" s="91"/>
      <c r="C49" s="90" t="s">
        <v>219</v>
      </c>
      <c r="D49" s="99"/>
      <c r="E49" s="91"/>
      <c r="F49" s="18" t="s">
        <v>43</v>
      </c>
      <c r="G49" s="101">
        <v>45316</v>
      </c>
      <c r="H49" s="91"/>
    </row>
    <row r="50" spans="1:14" s="23" customFormat="1" ht="34.5" customHeight="1" x14ac:dyDescent="0.25">
      <c r="A50" s="90" t="s">
        <v>44</v>
      </c>
      <c r="B50" s="91"/>
      <c r="C50" s="90" t="str">
        <f>C49</f>
        <v>V.P.S06/0383/22(2003/24)/TMC/
TD-DP/TPS/0080/24</v>
      </c>
      <c r="D50" s="99"/>
      <c r="E50" s="91"/>
      <c r="F50" s="18" t="s">
        <v>43</v>
      </c>
      <c r="G50" s="101">
        <f>G49</f>
        <v>45316</v>
      </c>
      <c r="H50" s="141"/>
    </row>
    <row r="51" spans="1:14" s="23" customFormat="1" ht="30.75" customHeight="1" x14ac:dyDescent="0.25">
      <c r="A51" s="142" t="s">
        <v>156</v>
      </c>
      <c r="B51" s="143"/>
      <c r="C51" s="90" t="str">
        <f>C49</f>
        <v>V.P.S06/0383/22(2003/24)/TMC/
TD-DP/TPS/0080/24</v>
      </c>
      <c r="D51" s="99"/>
      <c r="E51" s="91"/>
      <c r="F51" s="18" t="s">
        <v>43</v>
      </c>
      <c r="G51" s="101">
        <f>G49</f>
        <v>45316</v>
      </c>
      <c r="H51" s="91"/>
    </row>
    <row r="52" spans="1:14" x14ac:dyDescent="0.25">
      <c r="A52" s="144"/>
      <c r="B52" s="145"/>
      <c r="C52" s="90" t="s">
        <v>213</v>
      </c>
      <c r="D52" s="99"/>
      <c r="E52" s="99"/>
      <c r="F52" s="99"/>
      <c r="G52" s="99"/>
      <c r="H52" s="91"/>
    </row>
    <row r="53" spans="1:14" x14ac:dyDescent="0.25">
      <c r="A53" s="159" t="s">
        <v>45</v>
      </c>
      <c r="B53" s="160"/>
      <c r="C53" s="159" t="s">
        <v>108</v>
      </c>
      <c r="D53" s="161"/>
      <c r="E53" s="160"/>
      <c r="F53" s="45" t="s">
        <v>43</v>
      </c>
      <c r="G53" s="97" t="s">
        <v>30</v>
      </c>
      <c r="H53" s="98"/>
    </row>
    <row r="54" spans="1:14" x14ac:dyDescent="0.25">
      <c r="A54" s="92" t="s">
        <v>47</v>
      </c>
      <c r="B54" s="92"/>
      <c r="C54" s="92"/>
      <c r="D54" s="92"/>
      <c r="E54" s="92"/>
      <c r="F54" s="92"/>
      <c r="G54" s="92"/>
      <c r="H54" s="92"/>
    </row>
    <row r="55" spans="1:14" x14ac:dyDescent="0.25">
      <c r="A55" s="93" t="s">
        <v>93</v>
      </c>
      <c r="B55" s="93"/>
      <c r="C55" s="93"/>
      <c r="D55" s="96">
        <f>E45</f>
        <v>75032.95</v>
      </c>
      <c r="E55" s="96"/>
      <c r="F55" s="96"/>
      <c r="G55" s="96"/>
      <c r="H55" s="96"/>
      <c r="I55" s="24"/>
    </row>
    <row r="56" spans="1:14" x14ac:dyDescent="0.25">
      <c r="A56" s="94" t="s">
        <v>48</v>
      </c>
      <c r="B56" s="95"/>
      <c r="C56" s="95"/>
      <c r="D56" s="96" t="s">
        <v>215</v>
      </c>
      <c r="E56" s="96"/>
      <c r="F56" s="96"/>
      <c r="G56" s="96"/>
      <c r="H56" s="96"/>
    </row>
    <row r="57" spans="1:14" x14ac:dyDescent="0.25">
      <c r="A57" s="138" t="s">
        <v>49</v>
      </c>
      <c r="B57" s="139"/>
      <c r="C57" s="140"/>
      <c r="D57" s="109" t="s">
        <v>208</v>
      </c>
      <c r="E57" s="137"/>
      <c r="F57" s="137"/>
      <c r="G57" s="137"/>
      <c r="H57" s="137"/>
    </row>
    <row r="58" spans="1:14" x14ac:dyDescent="0.25">
      <c r="A58" s="138" t="s">
        <v>91</v>
      </c>
      <c r="B58" s="139"/>
      <c r="C58" s="140"/>
      <c r="D58" s="109" t="s">
        <v>201</v>
      </c>
      <c r="E58" s="137"/>
      <c r="F58" s="137"/>
      <c r="G58" s="137"/>
      <c r="H58" s="137"/>
      <c r="J58" s="25"/>
      <c r="K58" s="24"/>
      <c r="N58" s="24"/>
    </row>
    <row r="59" spans="1:14" x14ac:dyDescent="0.25">
      <c r="A59" s="173"/>
      <c r="B59" s="174"/>
      <c r="C59" s="175"/>
      <c r="D59" s="109" t="s">
        <v>209</v>
      </c>
      <c r="E59" s="137"/>
      <c r="F59" s="137"/>
      <c r="G59" s="137"/>
      <c r="H59" s="137"/>
      <c r="J59" s="25"/>
      <c r="K59" s="24"/>
      <c r="N59" s="24"/>
    </row>
    <row r="60" spans="1:14" ht="15.75" customHeight="1" x14ac:dyDescent="0.25">
      <c r="A60" s="96" t="s">
        <v>46</v>
      </c>
      <c r="B60" s="96"/>
      <c r="C60" s="96"/>
      <c r="D60" s="93" t="s">
        <v>180</v>
      </c>
      <c r="E60" s="93"/>
      <c r="F60" s="93"/>
      <c r="G60" s="93"/>
      <c r="H60" s="93"/>
      <c r="N60" s="24"/>
    </row>
    <row r="61" spans="1:14" ht="15.75" customHeight="1" x14ac:dyDescent="0.25">
      <c r="A61" s="96" t="s">
        <v>89</v>
      </c>
      <c r="B61" s="96"/>
      <c r="C61" s="96"/>
      <c r="D61" s="171" t="str">
        <f>(IF(G53="NA","60 Years After Completion",IF(G53&lt;&gt;"NA",""&amp;60-ROUNDDOWN((E3-G53)/360,0)&amp;" Years"," ")))</f>
        <v>60 Years After Completion</v>
      </c>
      <c r="E61" s="171"/>
      <c r="F61" s="171"/>
      <c r="G61" s="171"/>
      <c r="H61" s="171"/>
      <c r="J61" s="26"/>
      <c r="K61" s="26"/>
    </row>
    <row r="62" spans="1:14" ht="15" customHeight="1" x14ac:dyDescent="0.25">
      <c r="A62" s="96" t="s">
        <v>90</v>
      </c>
      <c r="B62" s="96"/>
      <c r="C62" s="96"/>
      <c r="D62" s="93" t="s">
        <v>24</v>
      </c>
      <c r="E62" s="93"/>
      <c r="F62" s="93"/>
      <c r="G62" s="93"/>
      <c r="H62" s="93"/>
    </row>
    <row r="63" spans="1:14" x14ac:dyDescent="0.25">
      <c r="A63" s="96" t="s">
        <v>77</v>
      </c>
      <c r="B63" s="96"/>
      <c r="C63" s="96"/>
      <c r="D63" s="94" t="s">
        <v>189</v>
      </c>
      <c r="E63" s="94"/>
      <c r="F63" s="94"/>
      <c r="G63" s="94"/>
      <c r="H63" s="94"/>
      <c r="I63" s="27"/>
      <c r="J63" s="27"/>
      <c r="K63" s="27"/>
      <c r="L63" s="27"/>
      <c r="M63" s="27"/>
      <c r="N63" s="27"/>
    </row>
    <row r="64" spans="1:14" ht="15.75" customHeight="1" x14ac:dyDescent="0.25">
      <c r="A64" s="93" t="s">
        <v>150</v>
      </c>
      <c r="B64" s="93"/>
      <c r="C64" s="93"/>
      <c r="D64" s="93" t="s">
        <v>30</v>
      </c>
      <c r="E64" s="93"/>
      <c r="F64" s="93"/>
      <c r="G64" s="93"/>
      <c r="H64" s="93"/>
      <c r="J64" s="26"/>
    </row>
    <row r="65" spans="1:10" x14ac:dyDescent="0.25">
      <c r="A65" s="154" t="s">
        <v>88</v>
      </c>
      <c r="B65" s="154"/>
      <c r="C65" s="154"/>
      <c r="D65" s="109" t="str">
        <f ca="1">(IF(G71&gt;95%,"Nothing",IF(G71&gt;0%,"Cement, Aggregate, Steel, etc",IF(G71=0%,"Work not yet Started"))))</f>
        <v>Cement, Aggregate, Steel, etc</v>
      </c>
      <c r="E65" s="109"/>
      <c r="F65" s="109"/>
      <c r="G65" s="109"/>
      <c r="H65" s="109"/>
    </row>
    <row r="66" spans="1:10" ht="15.75" customHeight="1" thickBot="1" x14ac:dyDescent="0.3">
      <c r="A66" s="108" t="s">
        <v>121</v>
      </c>
      <c r="B66" s="108"/>
      <c r="C66" s="108"/>
      <c r="D66" s="109" t="str">
        <f ca="1">(IF(D65="Nothing","Yes",IF(D65="Cement, Aggregate, Steel, etc","Under Construction",IF(D65="Work not yet Started","Work not yet Started"))))</f>
        <v>Under Construction</v>
      </c>
      <c r="E66" s="109"/>
      <c r="F66" s="109" t="str">
        <f ca="1">(IF(D65="Nothing","Yes",IF(D65="Cement, Aggregate, Steel, etc","Under Construction",IF(D65="Work not yet Started","Work not yet Started"))))</f>
        <v>Under Construction</v>
      </c>
      <c r="G66" s="109"/>
      <c r="H66" s="109"/>
    </row>
    <row r="67" spans="1:10" x14ac:dyDescent="0.25">
      <c r="A67" s="118" t="s">
        <v>142</v>
      </c>
      <c r="B67" s="119"/>
      <c r="C67" s="149" t="str">
        <f>D58</f>
        <v>Tower 2 (Wing A) = G/St + 1st to 22nd Floor</v>
      </c>
      <c r="D67" s="150"/>
      <c r="E67" s="150"/>
      <c r="F67" s="150"/>
      <c r="G67" s="150"/>
      <c r="H67" s="151"/>
      <c r="I67" s="48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8 Floor, Painting upto 5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8 Floor, Painting upto 5 Floor</v>
      </c>
    </row>
    <row r="68" spans="1:10" x14ac:dyDescent="0.25">
      <c r="A68" s="16" t="s">
        <v>144</v>
      </c>
      <c r="B68" s="53">
        <v>0</v>
      </c>
      <c r="C68" s="53" t="s">
        <v>74</v>
      </c>
      <c r="D68" s="53">
        <v>1</v>
      </c>
      <c r="E68" s="53" t="s">
        <v>73</v>
      </c>
      <c r="F68" s="53">
        <v>0</v>
      </c>
      <c r="G68" s="53" t="s">
        <v>82</v>
      </c>
      <c r="H68" s="17">
        <f ca="1">--TRIM(RIGHT(SUBSTITUTE(LEFT(C67,_xlfn.AGGREGATE(16,6,FIND({0,1,2,3,4,5,6,7,8,9},C67,ROW(INDIRECT("1:"&amp;LEN(C67)))),1))," ",REPT(" ",LEN(C67))),LEN(C67)))</f>
        <v>22</v>
      </c>
      <c r="I68" s="5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.5" customHeight="1" x14ac:dyDescent="0.25">
      <c r="A69" s="148" t="s">
        <v>92</v>
      </c>
      <c r="B69" s="128"/>
      <c r="C69" s="152" t="str">
        <f ca="1">I67</f>
        <v>Excavation, Plinth, RCC Slab, Brickwork, Internal Plaster, External Plaster Completed, Flooring upto 8 Floor, Painting upto 5 Floor Completed</v>
      </c>
      <c r="D69" s="152"/>
      <c r="E69" s="152"/>
      <c r="F69" s="152"/>
      <c r="G69" s="152"/>
      <c r="H69" s="153"/>
      <c r="I69" s="50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x14ac:dyDescent="0.25">
      <c r="A70" s="147" t="s">
        <v>50</v>
      </c>
      <c r="B70" s="107"/>
      <c r="C70" s="54" t="s">
        <v>141</v>
      </c>
      <c r="D70" s="54" t="s">
        <v>85</v>
      </c>
      <c r="E70" s="107" t="s">
        <v>87</v>
      </c>
      <c r="F70" s="107"/>
      <c r="G70" s="107" t="s">
        <v>86</v>
      </c>
      <c r="H70" s="155"/>
      <c r="I70" s="14" t="s">
        <v>143</v>
      </c>
      <c r="J70" s="28">
        <f ca="1">H68*25%</f>
        <v>5.5</v>
      </c>
    </row>
    <row r="71" spans="1:10" x14ac:dyDescent="0.25">
      <c r="A71" s="80" t="s">
        <v>130</v>
      </c>
      <c r="B71" s="81"/>
      <c r="C71" s="43">
        <f ca="1">J72</f>
        <v>22</v>
      </c>
      <c r="D71" s="19">
        <f ca="1">((100/H68)*C71)/100</f>
        <v>1.0000000000000002</v>
      </c>
      <c r="E71" s="162">
        <f ca="1">(((C72/H68*10)+(40/(D68+F68+H68)*C73)+(7.5/(H68)*C74)+(7.5/(H68)*C75)+(10/H68*C76)+(10/H68*C77)+(5/H68*C78)+(5/H68*C79)+(5/H68*C80))/100)</f>
        <v>0.79772727272727284</v>
      </c>
      <c r="F71" s="163"/>
      <c r="G71" s="162">
        <f ca="1">((((C71/H68)*20)+((C72/H68)*25)+(30/(H68+F68+D68)*C73)+(5/H68*C74)+(5/H68*C75)+(5/H68*C76)+(5/H68*C77)+(0/H68*C78)+(0/H68*C79)+(5/H68*C80))/100)</f>
        <v>0.9181818181818181</v>
      </c>
      <c r="H71" s="168"/>
      <c r="I71" s="14" t="s">
        <v>103</v>
      </c>
      <c r="J71" s="29">
        <f ca="1">H68*50%</f>
        <v>11</v>
      </c>
    </row>
    <row r="72" spans="1:10" ht="15.75" customHeight="1" x14ac:dyDescent="0.25">
      <c r="A72" s="80" t="s">
        <v>51</v>
      </c>
      <c r="B72" s="81"/>
      <c r="C72" s="55">
        <f ca="1">J80</f>
        <v>22</v>
      </c>
      <c r="D72" s="19">
        <f ca="1">((100/H68)*C72)/100</f>
        <v>1.0000000000000002</v>
      </c>
      <c r="E72" s="164"/>
      <c r="F72" s="165"/>
      <c r="G72" s="164"/>
      <c r="H72" s="169"/>
      <c r="I72" s="14" t="s">
        <v>104</v>
      </c>
      <c r="J72" s="29">
        <f ca="1">H68</f>
        <v>22</v>
      </c>
    </row>
    <row r="73" spans="1:10" ht="15.75" customHeight="1" x14ac:dyDescent="0.25">
      <c r="A73" s="80" t="s">
        <v>131</v>
      </c>
      <c r="B73" s="81"/>
      <c r="C73" s="43">
        <v>23</v>
      </c>
      <c r="D73" s="19">
        <f ca="1">((100/(D68+F68+H68))*C73)/100</f>
        <v>1</v>
      </c>
      <c r="E73" s="164"/>
      <c r="F73" s="165"/>
      <c r="G73" s="164"/>
      <c r="H73" s="169"/>
      <c r="I73" s="14" t="s">
        <v>105</v>
      </c>
      <c r="J73" s="30">
        <f ca="1">(IF(B68&gt;1,(H68/(B68+2)),H68/4))</f>
        <v>5.5</v>
      </c>
    </row>
    <row r="74" spans="1:10" ht="15.75" customHeight="1" x14ac:dyDescent="0.25">
      <c r="A74" s="80" t="s">
        <v>138</v>
      </c>
      <c r="B74" s="81" t="s">
        <v>132</v>
      </c>
      <c r="C74" s="43">
        <v>22</v>
      </c>
      <c r="D74" s="19">
        <f ca="1">((100/H68)*C74)/100</f>
        <v>1.0000000000000002</v>
      </c>
      <c r="E74" s="164"/>
      <c r="F74" s="165"/>
      <c r="G74" s="164"/>
      <c r="H74" s="169"/>
      <c r="I74" s="14" t="s">
        <v>106</v>
      </c>
      <c r="J74" s="30">
        <f ca="1">(IF(B68&gt;1,(H68/(B68+2)+J73),H68/4+J73))</f>
        <v>11</v>
      </c>
    </row>
    <row r="75" spans="1:10" ht="15" customHeight="1" x14ac:dyDescent="0.25">
      <c r="A75" s="80" t="s">
        <v>139</v>
      </c>
      <c r="B75" s="81" t="s">
        <v>132</v>
      </c>
      <c r="C75" s="43">
        <v>22</v>
      </c>
      <c r="D75" s="19">
        <f ca="1">((100/H68)*C75)/100</f>
        <v>1.0000000000000002</v>
      </c>
      <c r="E75" s="164"/>
      <c r="F75" s="165"/>
      <c r="G75" s="164"/>
      <c r="H75" s="169"/>
      <c r="I75" s="14" t="s">
        <v>148</v>
      </c>
      <c r="J75" s="30">
        <f>(IF(B68&gt;1,(H68/(B68+2)+J74),0))</f>
        <v>0</v>
      </c>
    </row>
    <row r="76" spans="1:10" ht="15.75" customHeight="1" x14ac:dyDescent="0.25">
      <c r="A76" s="80" t="s">
        <v>137</v>
      </c>
      <c r="B76" s="81" t="s">
        <v>134</v>
      </c>
      <c r="C76" s="43">
        <v>22</v>
      </c>
      <c r="D76" s="19">
        <f ca="1">((100/(H68))*C76)/100</f>
        <v>1.0000000000000002</v>
      </c>
      <c r="E76" s="164"/>
      <c r="F76" s="165"/>
      <c r="G76" s="164"/>
      <c r="H76" s="169"/>
      <c r="I76" s="14" t="s">
        <v>145</v>
      </c>
      <c r="J76" s="30">
        <f>(IF(B68&gt;2,(H68/(B68+2)+J75),0))</f>
        <v>0</v>
      </c>
    </row>
    <row r="77" spans="1:10" ht="15.75" customHeight="1" x14ac:dyDescent="0.25">
      <c r="A77" s="80" t="s">
        <v>133</v>
      </c>
      <c r="B77" s="81" t="s">
        <v>133</v>
      </c>
      <c r="C77" s="43">
        <v>8</v>
      </c>
      <c r="D77" s="19">
        <f ca="1">((100/H68)*C77)/100</f>
        <v>0.36363636363636365</v>
      </c>
      <c r="E77" s="164"/>
      <c r="F77" s="165"/>
      <c r="G77" s="164"/>
      <c r="H77" s="169"/>
      <c r="I77" s="14" t="s">
        <v>146</v>
      </c>
      <c r="J77" s="31">
        <f>(IF(B68&gt;3,(H68/(B68+2)+J76),0))</f>
        <v>0</v>
      </c>
    </row>
    <row r="78" spans="1:10" ht="15.75" customHeight="1" x14ac:dyDescent="0.25">
      <c r="A78" s="80" t="s">
        <v>140</v>
      </c>
      <c r="B78" s="81"/>
      <c r="C78" s="43">
        <v>5</v>
      </c>
      <c r="D78" s="19">
        <f ca="1">((100/H68)*C78)/100</f>
        <v>0.22727272727272729</v>
      </c>
      <c r="E78" s="164"/>
      <c r="F78" s="165"/>
      <c r="G78" s="164"/>
      <c r="H78" s="169"/>
      <c r="I78" s="14" t="s">
        <v>147</v>
      </c>
      <c r="J78" s="30">
        <f>(IF(B68&gt;4,(H68/(B68+2)+J77),0))</f>
        <v>0</v>
      </c>
    </row>
    <row r="79" spans="1:10" x14ac:dyDescent="0.25">
      <c r="A79" s="80" t="s">
        <v>135</v>
      </c>
      <c r="B79" s="81" t="s">
        <v>135</v>
      </c>
      <c r="C79" s="43">
        <v>0</v>
      </c>
      <c r="D79" s="19">
        <f ca="1">((100/(H68))*C79)/100</f>
        <v>0</v>
      </c>
      <c r="E79" s="164"/>
      <c r="F79" s="165"/>
      <c r="G79" s="164"/>
      <c r="H79" s="169"/>
      <c r="I79" s="14" t="s">
        <v>149</v>
      </c>
      <c r="J79" s="30">
        <f ca="1">(IF(B68=1,(H68/(B68+3)+J74),IF(B68=0,(H68/4+J74),IF(B68&gt;1,0))))</f>
        <v>16.5</v>
      </c>
    </row>
    <row r="80" spans="1:10" ht="16.5" thickBot="1" x14ac:dyDescent="0.3">
      <c r="A80" s="82" t="s">
        <v>136</v>
      </c>
      <c r="B80" s="83"/>
      <c r="C80" s="44">
        <v>0</v>
      </c>
      <c r="D80" s="20">
        <f ca="1">((100/(H68))*C80)/100</f>
        <v>0</v>
      </c>
      <c r="E80" s="166"/>
      <c r="F80" s="167"/>
      <c r="G80" s="166"/>
      <c r="H80" s="170"/>
      <c r="I80" s="15" t="s">
        <v>107</v>
      </c>
      <c r="J80" s="32">
        <f ca="1">(IF(B68&gt;1.5,(H68/(B68+2)+J74+MAX(0,J75-J74)+MAX(0,J76-J75)+MAX(0,J77-J76)+MAX(0,J78-J77)+MAX(0,J79-J78)),IF(B68=1,(H68/(B68+3)+J79),IF(B68=0,H68/4+J79))))</f>
        <v>22</v>
      </c>
    </row>
    <row r="81" spans="1:11" x14ac:dyDescent="0.25">
      <c r="A81" s="118" t="s">
        <v>142</v>
      </c>
      <c r="B81" s="119"/>
      <c r="C81" s="149" t="str">
        <f>D59</f>
        <v>Tower 2 (Wing B) = G/St + 1st to 22nd Floor</v>
      </c>
      <c r="D81" s="150"/>
      <c r="E81" s="150"/>
      <c r="F81" s="150"/>
      <c r="G81" s="150"/>
      <c r="H81" s="151"/>
      <c r="I81" s="48" t="str">
        <f ca="1">IF(D94=100%,"All work Completed. Possession granted to the Building.",IF(D93=100%,"All work Completed, Waiting for OC",I82&amp;""&amp;I83&amp;""&amp;J82&amp;""&amp;J81&amp;" "&amp;J83))</f>
        <v>Excavation, Plinth, RCC Slab, Brickwork Completed, Internal Plaster upto 17 Floor, External Plaster upto 15 Floor Completed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Internal Plaster upto 17 Floor, External Plaster upto 15 Floor</v>
      </c>
    </row>
    <row r="82" spans="1:11" x14ac:dyDescent="0.25">
      <c r="A82" s="16" t="s">
        <v>144</v>
      </c>
      <c r="B82" s="53">
        <v>0</v>
      </c>
      <c r="C82" s="53" t="s">
        <v>74</v>
      </c>
      <c r="D82" s="53">
        <v>1</v>
      </c>
      <c r="E82" s="53" t="s">
        <v>73</v>
      </c>
      <c r="F82" s="53">
        <v>0</v>
      </c>
      <c r="G82" s="53" t="s">
        <v>82</v>
      </c>
      <c r="H82" s="17">
        <f ca="1">--TRIM(RIGHT(SUBSTITUTE(LEFT(C81,_xlfn.AGGREGATE(16,6,FIND({0,1,2,3,4,5,6,7,8,9},C81,ROW(INDIRECT("1:"&amp;LEN(C81)))),1))," ",REPT(" ",LEN(C81))),LEN(C81)))</f>
        <v>22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1" ht="33.6" customHeight="1" x14ac:dyDescent="0.25">
      <c r="A83" s="148" t="s">
        <v>92</v>
      </c>
      <c r="B83" s="128"/>
      <c r="C83" s="152" t="str">
        <f ca="1">I81</f>
        <v>Excavation, Plinth, RCC Slab, Brickwork Completed, Internal Plaster upto 17 Floor, External Plaster upto 15 Floor Completed</v>
      </c>
      <c r="D83" s="152"/>
      <c r="E83" s="152"/>
      <c r="F83" s="152"/>
      <c r="G83" s="152"/>
      <c r="H83" s="153"/>
      <c r="I83" s="50" t="str">
        <f ca="1">IF(I82&lt;&gt;""," Completed","")</f>
        <v xml:space="preserve"> Completed</v>
      </c>
      <c r="J83" s="51" t="str">
        <f ca="1">IF(J81&lt;&gt;"","Completed","")</f>
        <v>Completed</v>
      </c>
    </row>
    <row r="84" spans="1:11" x14ac:dyDescent="0.25">
      <c r="A84" s="147" t="s">
        <v>50</v>
      </c>
      <c r="B84" s="107"/>
      <c r="C84" s="54" t="s">
        <v>141</v>
      </c>
      <c r="D84" s="54" t="s">
        <v>85</v>
      </c>
      <c r="E84" s="107" t="s">
        <v>87</v>
      </c>
      <c r="F84" s="107"/>
      <c r="G84" s="107" t="s">
        <v>86</v>
      </c>
      <c r="H84" s="155"/>
      <c r="I84" s="14" t="s">
        <v>143</v>
      </c>
      <c r="J84" s="28">
        <f ca="1">H82*25%</f>
        <v>5.5</v>
      </c>
    </row>
    <row r="85" spans="1:11" x14ac:dyDescent="0.25">
      <c r="A85" s="80" t="s">
        <v>130</v>
      </c>
      <c r="B85" s="81"/>
      <c r="C85" s="43">
        <f ca="1">J86</f>
        <v>22</v>
      </c>
      <c r="D85" s="19">
        <f ca="1">((100/H82)*C85)/100</f>
        <v>1.0000000000000002</v>
      </c>
      <c r="E85" s="162">
        <f ca="1">(((C86/H82*10)+(40/(D82+F82+H82)*C87)+(7.5/(H82)*C88)+(7.5/(H82)*C89)+(10/H82*C90)+(10/H82*C91)+(5/H82*C92)+(5/H82*C93)+(5/H82*C94))/100)</f>
        <v>0.70113636363636356</v>
      </c>
      <c r="F85" s="163"/>
      <c r="G85" s="162">
        <f ca="1">((((C85/H82)*20)+((C86/H82)*25)+(30/(H82+F82+D82)*C87)+(5/H82*C88)+(5/H82*C89)+(5/H82*C90)+(5/H82*C91)+(0/H82*C92)+(0/H82*C93)+(5/H82*C94))/100)</f>
        <v>0.87272727272727268</v>
      </c>
      <c r="H85" s="168"/>
      <c r="I85" s="14" t="s">
        <v>103</v>
      </c>
      <c r="J85" s="29">
        <f ca="1">H82*50%</f>
        <v>11</v>
      </c>
    </row>
    <row r="86" spans="1:11" ht="15.75" customHeight="1" x14ac:dyDescent="0.25">
      <c r="A86" s="80" t="s">
        <v>51</v>
      </c>
      <c r="B86" s="81"/>
      <c r="C86" s="55">
        <f ca="1">J94</f>
        <v>22</v>
      </c>
      <c r="D86" s="19">
        <f ca="1">((100/H82)*C86)/100</f>
        <v>1.0000000000000002</v>
      </c>
      <c r="E86" s="164"/>
      <c r="F86" s="165"/>
      <c r="G86" s="164"/>
      <c r="H86" s="169"/>
      <c r="I86" s="14" t="s">
        <v>104</v>
      </c>
      <c r="J86" s="29">
        <f ca="1">H82</f>
        <v>22</v>
      </c>
    </row>
    <row r="87" spans="1:11" ht="15.75" customHeight="1" x14ac:dyDescent="0.25">
      <c r="A87" s="80" t="s">
        <v>131</v>
      </c>
      <c r="B87" s="81"/>
      <c r="C87" s="43">
        <v>23</v>
      </c>
      <c r="D87" s="19">
        <f ca="1">((100/(D82+F82+H82))*C87)/100</f>
        <v>1</v>
      </c>
      <c r="E87" s="164"/>
      <c r="F87" s="165"/>
      <c r="G87" s="164"/>
      <c r="H87" s="169"/>
      <c r="I87" s="14" t="s">
        <v>105</v>
      </c>
      <c r="J87" s="30">
        <f ca="1">(IF(B82&gt;1,(H82/(B82+2)),H82/4))</f>
        <v>5.5</v>
      </c>
    </row>
    <row r="88" spans="1:11" ht="15.75" customHeight="1" x14ac:dyDescent="0.25">
      <c r="A88" s="80" t="s">
        <v>138</v>
      </c>
      <c r="B88" s="81" t="s">
        <v>132</v>
      </c>
      <c r="C88" s="43">
        <v>22</v>
      </c>
      <c r="D88" s="19">
        <f ca="1">((100/H82)*C88)/100</f>
        <v>1.0000000000000002</v>
      </c>
      <c r="E88" s="164"/>
      <c r="F88" s="165"/>
      <c r="G88" s="164"/>
      <c r="H88" s="169"/>
      <c r="I88" s="14" t="s">
        <v>106</v>
      </c>
      <c r="J88" s="30">
        <f ca="1">(IF(B82&gt;1,(H82/(B82+2)+J87),H82/4+J87))</f>
        <v>11</v>
      </c>
    </row>
    <row r="89" spans="1:11" ht="15" customHeight="1" x14ac:dyDescent="0.25">
      <c r="A89" s="80" t="s">
        <v>139</v>
      </c>
      <c r="B89" s="81" t="s">
        <v>132</v>
      </c>
      <c r="C89" s="43">
        <v>17</v>
      </c>
      <c r="D89" s="19">
        <f ca="1">((100/H82)*C89)/100</f>
        <v>0.77272727272727282</v>
      </c>
      <c r="E89" s="164"/>
      <c r="F89" s="165"/>
      <c r="G89" s="164"/>
      <c r="H89" s="169"/>
      <c r="I89" s="14" t="s">
        <v>148</v>
      </c>
      <c r="J89" s="30">
        <f>(IF(B82&gt;1,(H82/(B82+2)+J88),0))</f>
        <v>0</v>
      </c>
    </row>
    <row r="90" spans="1:11" ht="15.75" customHeight="1" x14ac:dyDescent="0.25">
      <c r="A90" s="178" t="s">
        <v>137</v>
      </c>
      <c r="B90" s="179" t="s">
        <v>134</v>
      </c>
      <c r="C90" s="43">
        <v>15</v>
      </c>
      <c r="D90" s="19">
        <f ca="1">((100/(H82))*C90)/100</f>
        <v>0.68181818181818188</v>
      </c>
      <c r="E90" s="164"/>
      <c r="F90" s="165"/>
      <c r="G90" s="164"/>
      <c r="H90" s="169"/>
      <c r="I90" s="14" t="s">
        <v>145</v>
      </c>
      <c r="J90" s="30">
        <f>(IF(B82&gt;2,(H82/(B82+2)+J89),0))</f>
        <v>0</v>
      </c>
    </row>
    <row r="91" spans="1:11" ht="15.75" customHeight="1" x14ac:dyDescent="0.25">
      <c r="A91" s="80" t="s">
        <v>133</v>
      </c>
      <c r="B91" s="81" t="s">
        <v>133</v>
      </c>
      <c r="C91" s="43">
        <v>0</v>
      </c>
      <c r="D91" s="19">
        <f ca="1">((100/H82)*C91)/100</f>
        <v>0</v>
      </c>
      <c r="E91" s="164"/>
      <c r="F91" s="165"/>
      <c r="G91" s="164"/>
      <c r="H91" s="169"/>
      <c r="I91" s="14" t="s">
        <v>146</v>
      </c>
      <c r="J91" s="31">
        <f>(IF(B82&gt;3,(H82/(B82+2)+J90),0))</f>
        <v>0</v>
      </c>
    </row>
    <row r="92" spans="1:11" ht="15.75" customHeight="1" x14ac:dyDescent="0.25">
      <c r="A92" s="80" t="s">
        <v>140</v>
      </c>
      <c r="B92" s="81"/>
      <c r="C92" s="43">
        <v>0</v>
      </c>
      <c r="D92" s="19">
        <f ca="1">((100/H82)*C92)/100</f>
        <v>0</v>
      </c>
      <c r="E92" s="164"/>
      <c r="F92" s="165"/>
      <c r="G92" s="164"/>
      <c r="H92" s="169"/>
      <c r="I92" s="14" t="s">
        <v>147</v>
      </c>
      <c r="J92" s="30">
        <f>(IF(B82&gt;4,(H82/(B82+2)+J91),0))</f>
        <v>0</v>
      </c>
    </row>
    <row r="93" spans="1:11" x14ac:dyDescent="0.25">
      <c r="A93" s="80" t="s">
        <v>135</v>
      </c>
      <c r="B93" s="81" t="s">
        <v>135</v>
      </c>
      <c r="C93" s="43">
        <v>0</v>
      </c>
      <c r="D93" s="19">
        <f ca="1">((100/(H82))*C93)/100</f>
        <v>0</v>
      </c>
      <c r="E93" s="164"/>
      <c r="F93" s="165"/>
      <c r="G93" s="164"/>
      <c r="H93" s="169"/>
      <c r="I93" s="14" t="s">
        <v>149</v>
      </c>
      <c r="J93" s="30">
        <f ca="1">(IF(B82=1,(H82/(B82+3)+J88),IF(B82=0,(H82/4+J88),IF(B82&gt;1,0))))</f>
        <v>16.5</v>
      </c>
    </row>
    <row r="94" spans="1:11" ht="16.5" thickBot="1" x14ac:dyDescent="0.3">
      <c r="A94" s="82" t="s">
        <v>136</v>
      </c>
      <c r="B94" s="83"/>
      <c r="C94" s="44">
        <v>0</v>
      </c>
      <c r="D94" s="20">
        <f ca="1">((100/(H82))*C94)/100</f>
        <v>0</v>
      </c>
      <c r="E94" s="166"/>
      <c r="F94" s="167"/>
      <c r="G94" s="166"/>
      <c r="H94" s="170"/>
      <c r="I94" s="15" t="s">
        <v>107</v>
      </c>
      <c r="J94" s="32">
        <f ca="1">(IF(B82&gt;1.5,(H82/(B82+2)+J88+MAX(0,J89-J88)+MAX(0,J90-J89)+MAX(0,J91-J90)+MAX(0,J92-J91)+MAX(0,J93-J92)),IF(B82=1,(H82/(B82+3)+J93),IF(B82=0,H82/4+J93))))</f>
        <v>22</v>
      </c>
    </row>
    <row r="95" spans="1:11" ht="15.75" customHeight="1" x14ac:dyDescent="0.25">
      <c r="A95" s="172" t="s">
        <v>157</v>
      </c>
      <c r="B95" s="172"/>
      <c r="C95" s="172"/>
      <c r="D95" s="172"/>
      <c r="E95" s="172"/>
      <c r="F95" s="117" t="s">
        <v>162</v>
      </c>
      <c r="G95" s="117"/>
      <c r="H95" s="117"/>
    </row>
    <row r="96" spans="1:11" ht="15.75" customHeight="1" x14ac:dyDescent="0.25">
      <c r="A96" s="96" t="s">
        <v>160</v>
      </c>
      <c r="B96" s="96"/>
      <c r="C96" s="96"/>
      <c r="D96" s="96"/>
      <c r="E96" s="96"/>
      <c r="F96" s="115">
        <v>10200</v>
      </c>
      <c r="G96" s="115"/>
      <c r="H96" s="115"/>
      <c r="I96" s="21" t="s">
        <v>203</v>
      </c>
      <c r="J96" s="21" t="s">
        <v>204</v>
      </c>
      <c r="K96" s="25">
        <v>45320</v>
      </c>
    </row>
    <row r="97" spans="1:11" ht="15.75" hidden="1" customHeight="1" x14ac:dyDescent="0.25">
      <c r="A97" s="96" t="s">
        <v>159</v>
      </c>
      <c r="B97" s="96"/>
      <c r="C97" s="96"/>
      <c r="D97" s="96"/>
      <c r="E97" s="96"/>
      <c r="F97" s="115"/>
      <c r="G97" s="115"/>
      <c r="H97" s="115"/>
    </row>
    <row r="98" spans="1:11" s="33" customFormat="1" ht="15.75" hidden="1" customHeight="1" x14ac:dyDescent="0.25">
      <c r="A98" s="96" t="s">
        <v>161</v>
      </c>
      <c r="B98" s="96"/>
      <c r="C98" s="96"/>
      <c r="D98" s="96"/>
      <c r="E98" s="96"/>
      <c r="F98" s="115"/>
      <c r="G98" s="115"/>
      <c r="H98" s="115"/>
    </row>
    <row r="99" spans="1:11" s="33" customFormat="1" ht="15.75" hidden="1" customHeight="1" x14ac:dyDescent="0.25">
      <c r="A99" s="96" t="s">
        <v>158</v>
      </c>
      <c r="B99" s="96"/>
      <c r="C99" s="96"/>
      <c r="D99" s="96"/>
      <c r="E99" s="96"/>
      <c r="F99" s="115"/>
      <c r="G99" s="115"/>
      <c r="H99" s="115"/>
    </row>
    <row r="100" spans="1:11" s="33" customFormat="1" ht="15.75" customHeight="1" x14ac:dyDescent="0.25">
      <c r="A100" s="96" t="s">
        <v>97</v>
      </c>
      <c r="B100" s="96"/>
      <c r="C100" s="96"/>
      <c r="D100" s="96"/>
      <c r="E100" s="96"/>
      <c r="F100" s="115">
        <v>350000</v>
      </c>
      <c r="G100" s="115"/>
      <c r="H100" s="115"/>
    </row>
    <row r="101" spans="1:11" s="33" customFormat="1" ht="15.75" hidden="1" customHeight="1" x14ac:dyDescent="0.25">
      <c r="A101" s="96" t="s">
        <v>98</v>
      </c>
      <c r="B101" s="96"/>
      <c r="C101" s="96"/>
      <c r="D101" s="96"/>
      <c r="E101" s="96"/>
      <c r="F101" s="115"/>
      <c r="G101" s="115"/>
      <c r="H101" s="115"/>
    </row>
    <row r="102" spans="1:11" s="33" customFormat="1" ht="15.75" hidden="1" customHeight="1" x14ac:dyDescent="0.25">
      <c r="A102" s="96" t="s">
        <v>163</v>
      </c>
      <c r="B102" s="96"/>
      <c r="C102" s="96"/>
      <c r="D102" s="96"/>
      <c r="E102" s="96"/>
      <c r="F102" s="115"/>
      <c r="G102" s="115"/>
      <c r="H102" s="115"/>
    </row>
    <row r="103" spans="1:11" s="33" customFormat="1" ht="15.75" hidden="1" customHeight="1" x14ac:dyDescent="0.25">
      <c r="A103" s="96" t="s">
        <v>99</v>
      </c>
      <c r="B103" s="96"/>
      <c r="C103" s="96"/>
      <c r="D103" s="96"/>
      <c r="E103" s="96"/>
      <c r="F103" s="115"/>
      <c r="G103" s="115"/>
      <c r="H103" s="115"/>
    </row>
    <row r="104" spans="1:11" s="33" customFormat="1" ht="15.75" hidden="1" customHeight="1" x14ac:dyDescent="0.25">
      <c r="A104" s="96" t="s">
        <v>100</v>
      </c>
      <c r="B104" s="96"/>
      <c r="C104" s="96"/>
      <c r="D104" s="96"/>
      <c r="E104" s="96"/>
      <c r="F104" s="115"/>
      <c r="G104" s="115"/>
      <c r="H104" s="115"/>
    </row>
    <row r="105" spans="1:11" s="33" customFormat="1" ht="15.75" hidden="1" customHeight="1" x14ac:dyDescent="0.25">
      <c r="A105" s="96" t="s">
        <v>101</v>
      </c>
      <c r="B105" s="96"/>
      <c r="C105" s="96"/>
      <c r="D105" s="96"/>
      <c r="E105" s="96"/>
      <c r="F105" s="115"/>
      <c r="G105" s="115"/>
      <c r="H105" s="115"/>
    </row>
    <row r="106" spans="1:11" x14ac:dyDescent="0.25">
      <c r="A106" s="96" t="s">
        <v>102</v>
      </c>
      <c r="B106" s="96"/>
      <c r="C106" s="96"/>
      <c r="D106" s="96"/>
      <c r="E106" s="96"/>
      <c r="F106" s="115">
        <v>40000</v>
      </c>
      <c r="G106" s="115"/>
      <c r="H106" s="115"/>
    </row>
    <row r="107" spans="1:11" s="34" customFormat="1" ht="16.5" customHeight="1" x14ac:dyDescent="0.25">
      <c r="A107" s="96" t="s">
        <v>52</v>
      </c>
      <c r="B107" s="96"/>
      <c r="C107" s="96"/>
      <c r="D107" s="96"/>
      <c r="E107" s="96"/>
      <c r="F107" s="115">
        <v>300000</v>
      </c>
      <c r="G107" s="115"/>
      <c r="H107" s="115"/>
      <c r="J107" s="34" t="s">
        <v>195</v>
      </c>
    </row>
    <row r="108" spans="1:11" s="35" customFormat="1" x14ac:dyDescent="0.25">
      <c r="A108" s="122" t="s">
        <v>53</v>
      </c>
      <c r="B108" s="122"/>
      <c r="C108" s="122"/>
      <c r="D108" s="122"/>
      <c r="E108" s="122"/>
      <c r="F108" s="115">
        <f>F96*0.8</f>
        <v>8160</v>
      </c>
      <c r="G108" s="115"/>
      <c r="H108" s="115"/>
      <c r="J108" s="35" t="s">
        <v>197</v>
      </c>
      <c r="K108" s="35" t="s">
        <v>198</v>
      </c>
    </row>
    <row r="109" spans="1:11" s="35" customFormat="1" ht="15.75" customHeight="1" x14ac:dyDescent="0.25">
      <c r="A109" s="123" t="s">
        <v>72</v>
      </c>
      <c r="B109" s="123"/>
      <c r="C109" s="123"/>
      <c r="D109" s="123"/>
      <c r="E109" s="123"/>
      <c r="F109" s="123"/>
      <c r="G109" s="123"/>
      <c r="H109" s="123"/>
      <c r="I109" s="35" t="s">
        <v>196</v>
      </c>
      <c r="J109" s="35">
        <v>9500</v>
      </c>
    </row>
    <row r="110" spans="1:11" s="35" customFormat="1" x14ac:dyDescent="0.25">
      <c r="A110" s="110" t="s">
        <v>54</v>
      </c>
      <c r="B110" s="110"/>
      <c r="C110" s="116" t="s">
        <v>80</v>
      </c>
      <c r="D110" s="116"/>
      <c r="E110" s="124" t="s">
        <v>55</v>
      </c>
      <c r="F110" s="124"/>
      <c r="G110" s="110" t="s">
        <v>56</v>
      </c>
      <c r="H110" s="110"/>
    </row>
    <row r="111" spans="1:11" s="34" customFormat="1" x14ac:dyDescent="0.25">
      <c r="A111" s="66" t="s">
        <v>210</v>
      </c>
      <c r="B111" s="66"/>
      <c r="C111" s="67">
        <f>COUNT(D122:D131)*19+COUNT(D133:D141)*3</f>
        <v>217</v>
      </c>
      <c r="D111" s="67"/>
      <c r="E111" s="68">
        <f>SUM(D122:D131)*19+SUM(D133:D141)*3</f>
        <v>71502.022800000006</v>
      </c>
      <c r="F111" s="68"/>
      <c r="G111" s="68">
        <f>SUM(F122:F131)*19+SUM(F133:F141)*3</f>
        <v>107253.03419999998</v>
      </c>
      <c r="H111" s="68"/>
    </row>
    <row r="112" spans="1:11" s="34" customFormat="1" x14ac:dyDescent="0.25">
      <c r="A112" s="66" t="s">
        <v>211</v>
      </c>
      <c r="B112" s="66"/>
      <c r="C112" s="67">
        <f>COUNT(D146:D157)*19+COUNT(D159:D164,D166:D170)*3</f>
        <v>261</v>
      </c>
      <c r="D112" s="67"/>
      <c r="E112" s="68">
        <f>SUM(D146:D157)*19+SUM(D159:D164,D166:D170)*3</f>
        <v>86764.298400000014</v>
      </c>
      <c r="F112" s="68"/>
      <c r="G112" s="68">
        <f>SUM(F146:F157)*19+SUM(F159:F164,F166:F170)*3</f>
        <v>130146.44759999997</v>
      </c>
      <c r="H112" s="68"/>
    </row>
    <row r="113" spans="1:14" s="34" customFormat="1" x14ac:dyDescent="0.25">
      <c r="A113" s="66" t="s">
        <v>214</v>
      </c>
      <c r="B113" s="66"/>
      <c r="C113" s="67">
        <f>C111+C112</f>
        <v>478</v>
      </c>
      <c r="D113" s="67"/>
      <c r="E113" s="68">
        <f>E111+E112</f>
        <v>158266.32120000001</v>
      </c>
      <c r="F113" s="68"/>
      <c r="G113" s="68">
        <f>G111+G112</f>
        <v>237399.48179999995</v>
      </c>
      <c r="H113" s="68"/>
    </row>
    <row r="114" spans="1:14" x14ac:dyDescent="0.25">
      <c r="A114" s="78" t="s">
        <v>57</v>
      </c>
      <c r="B114" s="78"/>
      <c r="C114" s="78"/>
      <c r="D114" s="78"/>
      <c r="E114" s="78"/>
      <c r="F114" s="78"/>
      <c r="G114" s="78"/>
      <c r="H114" s="78"/>
    </row>
    <row r="115" spans="1:14" s="47" customFormat="1" x14ac:dyDescent="0.25">
      <c r="A115" s="78" t="s">
        <v>58</v>
      </c>
      <c r="B115" s="78"/>
      <c r="C115" s="78"/>
      <c r="D115" s="78"/>
      <c r="E115" s="78"/>
      <c r="F115" s="78"/>
      <c r="G115" s="78"/>
      <c r="H115" s="78"/>
      <c r="I115" s="36"/>
      <c r="N115" s="36"/>
    </row>
    <row r="116" spans="1:14" x14ac:dyDescent="0.25">
      <c r="A116" s="61"/>
      <c r="B116" s="84"/>
      <c r="C116" s="84"/>
      <c r="D116" s="84"/>
      <c r="E116" s="84"/>
      <c r="F116" s="84"/>
      <c r="G116" s="84"/>
      <c r="H116" s="62"/>
      <c r="I116" s="36"/>
    </row>
    <row r="117" spans="1:14" s="47" customFormat="1" ht="47.25" x14ac:dyDescent="0.25">
      <c r="A117" s="85" t="s">
        <v>122</v>
      </c>
      <c r="B117" s="85" t="s">
        <v>123</v>
      </c>
      <c r="C117" s="105" t="s">
        <v>59</v>
      </c>
      <c r="D117" s="105" t="s">
        <v>60</v>
      </c>
      <c r="E117" s="111" t="s">
        <v>61</v>
      </c>
      <c r="F117" s="42" t="s">
        <v>151</v>
      </c>
      <c r="G117" s="85" t="s">
        <v>62</v>
      </c>
      <c r="H117" s="113"/>
      <c r="I117" s="36"/>
    </row>
    <row r="118" spans="1:14" s="34" customFormat="1" x14ac:dyDescent="0.25">
      <c r="A118" s="86"/>
      <c r="B118" s="86"/>
      <c r="C118" s="106"/>
      <c r="D118" s="106"/>
      <c r="E118" s="112"/>
      <c r="F118" s="13">
        <v>0.5</v>
      </c>
      <c r="G118" s="86"/>
      <c r="H118" s="114"/>
    </row>
    <row r="119" spans="1:14" s="47" customFormat="1" x14ac:dyDescent="0.25">
      <c r="A119" s="78" t="s">
        <v>210</v>
      </c>
      <c r="B119" s="78"/>
      <c r="C119" s="78"/>
      <c r="D119" s="78"/>
      <c r="E119" s="78"/>
      <c r="F119" s="78"/>
      <c r="G119" s="78"/>
      <c r="H119" s="78"/>
      <c r="J119" s="36"/>
    </row>
    <row r="120" spans="1:14" s="47" customFormat="1" ht="31.5" customHeight="1" x14ac:dyDescent="0.25">
      <c r="A120" s="79" t="s">
        <v>212</v>
      </c>
      <c r="B120" s="79"/>
      <c r="C120" s="79"/>
      <c r="D120" s="79"/>
      <c r="E120" s="79"/>
      <c r="F120" s="79"/>
      <c r="G120" s="79"/>
      <c r="H120" s="79"/>
      <c r="J120" s="36"/>
    </row>
    <row r="121" spans="1:14" s="47" customFormat="1" ht="15.75" customHeight="1" x14ac:dyDescent="0.25">
      <c r="A121" s="75" t="s">
        <v>193</v>
      </c>
      <c r="B121" s="76"/>
      <c r="C121" s="76"/>
      <c r="D121" s="76"/>
      <c r="E121" s="76"/>
      <c r="F121" s="76"/>
      <c r="G121" s="76"/>
      <c r="H121" s="77"/>
      <c r="I121" s="36"/>
      <c r="J121" s="56">
        <f>10.764</f>
        <v>10.763999999999999</v>
      </c>
      <c r="L121" s="60"/>
      <c r="M121" s="60"/>
      <c r="N121" s="36"/>
    </row>
    <row r="122" spans="1:14" s="47" customFormat="1" ht="15.75" customHeight="1" x14ac:dyDescent="0.25">
      <c r="A122" s="61">
        <v>1</v>
      </c>
      <c r="B122" s="62"/>
      <c r="C122" s="52" t="s">
        <v>190</v>
      </c>
      <c r="D122" s="56">
        <f>(29.86)*(10.764)</f>
        <v>321.41303999999997</v>
      </c>
      <c r="E122" s="41">
        <v>0</v>
      </c>
      <c r="F122" s="41">
        <f t="shared" ref="F122:F131" si="0">D122*(($F$118)+1)+(IF(E122&lt;101,E122,IF(E122&lt;201,E122/2,IF(E122&lt;=301,E122/3,E122/4))))</f>
        <v>482.11955999999998</v>
      </c>
      <c r="G122" s="69" t="str">
        <f>A121</f>
        <v>1st to 7th, 9th to 12th, 14th to 17th, 19th to 22nd Floor for Residential</v>
      </c>
      <c r="H122" s="70"/>
      <c r="I122" s="36">
        <f>2.65*3.75+1.55*2.02+1.3*0.95+2.78*3.2+2.08*1.1+1.25*2.1</f>
        <v>28.112500000000001</v>
      </c>
      <c r="L122" s="60"/>
      <c r="M122" s="60"/>
      <c r="N122" s="36"/>
    </row>
    <row r="123" spans="1:14" s="47" customFormat="1" ht="15.75" customHeight="1" x14ac:dyDescent="0.25">
      <c r="A123" s="61">
        <f t="shared" ref="A123:A131" si="1">A122+1</f>
        <v>2</v>
      </c>
      <c r="B123" s="62"/>
      <c r="C123" s="52" t="s">
        <v>190</v>
      </c>
      <c r="D123" s="56">
        <f>(29.78)*(10.764)</f>
        <v>320.55192</v>
      </c>
      <c r="E123" s="41">
        <v>0</v>
      </c>
      <c r="F123" s="41">
        <f t="shared" si="0"/>
        <v>480.82787999999999</v>
      </c>
      <c r="G123" s="71"/>
      <c r="H123" s="72"/>
      <c r="I123" s="36"/>
      <c r="L123" s="60"/>
      <c r="M123" s="60"/>
      <c r="N123" s="36"/>
    </row>
    <row r="124" spans="1:14" s="47" customFormat="1" ht="15.75" customHeight="1" x14ac:dyDescent="0.25">
      <c r="A124" s="61">
        <f t="shared" si="1"/>
        <v>3</v>
      </c>
      <c r="B124" s="62"/>
      <c r="C124" s="52" t="s">
        <v>190</v>
      </c>
      <c r="D124" s="56">
        <f>(29.78)*(10.764)</f>
        <v>320.55192</v>
      </c>
      <c r="E124" s="41">
        <v>0</v>
      </c>
      <c r="F124" s="41">
        <f t="shared" si="0"/>
        <v>480.82787999999999</v>
      </c>
      <c r="G124" s="71"/>
      <c r="H124" s="72"/>
      <c r="I124" s="36"/>
      <c r="L124" s="60"/>
      <c r="M124" s="60"/>
      <c r="N124" s="36"/>
    </row>
    <row r="125" spans="1:14" s="47" customFormat="1" ht="15.75" customHeight="1" x14ac:dyDescent="0.25">
      <c r="A125" s="61">
        <f t="shared" si="1"/>
        <v>4</v>
      </c>
      <c r="B125" s="62"/>
      <c r="C125" s="52" t="s">
        <v>190</v>
      </c>
      <c r="D125" s="56">
        <f>(27.07)*(10.764)</f>
        <v>291.38148000000001</v>
      </c>
      <c r="E125" s="41">
        <v>0</v>
      </c>
      <c r="F125" s="41">
        <f t="shared" si="0"/>
        <v>437.07222000000002</v>
      </c>
      <c r="G125" s="71"/>
      <c r="H125" s="72"/>
      <c r="I125" s="36"/>
      <c r="L125" s="60"/>
      <c r="M125" s="60"/>
      <c r="N125" s="36"/>
    </row>
    <row r="126" spans="1:14" s="47" customFormat="1" ht="15.75" customHeight="1" x14ac:dyDescent="0.25">
      <c r="A126" s="61">
        <f t="shared" si="1"/>
        <v>5</v>
      </c>
      <c r="B126" s="62"/>
      <c r="C126" s="52" t="s">
        <v>190</v>
      </c>
      <c r="D126" s="56">
        <f>(29.86)*(10.764)</f>
        <v>321.41303999999997</v>
      </c>
      <c r="E126" s="41">
        <v>0</v>
      </c>
      <c r="F126" s="41">
        <f t="shared" si="0"/>
        <v>482.11955999999998</v>
      </c>
      <c r="G126" s="71"/>
      <c r="H126" s="72"/>
      <c r="I126" s="36"/>
      <c r="L126" s="60"/>
      <c r="M126" s="60"/>
      <c r="N126" s="36"/>
    </row>
    <row r="127" spans="1:14" s="47" customFormat="1" ht="15.75" customHeight="1" x14ac:dyDescent="0.25">
      <c r="A127" s="61">
        <f t="shared" si="1"/>
        <v>6</v>
      </c>
      <c r="B127" s="62"/>
      <c r="C127" s="52" t="s">
        <v>190</v>
      </c>
      <c r="D127" s="56">
        <f>(29.71+2.33)*(10.764)</f>
        <v>344.87855999999999</v>
      </c>
      <c r="E127" s="41">
        <v>0</v>
      </c>
      <c r="F127" s="41">
        <f t="shared" si="0"/>
        <v>517.31783999999993</v>
      </c>
      <c r="G127" s="71"/>
      <c r="H127" s="72"/>
      <c r="I127" s="36"/>
      <c r="L127" s="60"/>
      <c r="M127" s="60"/>
      <c r="N127" s="36"/>
    </row>
    <row r="128" spans="1:14" s="47" customFormat="1" ht="15.75" customHeight="1" x14ac:dyDescent="0.25">
      <c r="A128" s="61">
        <f t="shared" si="1"/>
        <v>7</v>
      </c>
      <c r="B128" s="62"/>
      <c r="C128" s="52" t="s">
        <v>190</v>
      </c>
      <c r="D128" s="56">
        <f>(29.63+2.33)*(10.764)</f>
        <v>344.01743999999997</v>
      </c>
      <c r="E128" s="41">
        <v>0</v>
      </c>
      <c r="F128" s="41">
        <f t="shared" si="0"/>
        <v>516.02615999999989</v>
      </c>
      <c r="G128" s="71"/>
      <c r="H128" s="72"/>
      <c r="I128" s="36">
        <f>4000000/F130</f>
        <v>7751.5449991915157</v>
      </c>
      <c r="L128" s="60"/>
      <c r="M128" s="60"/>
      <c r="N128" s="36"/>
    </row>
    <row r="129" spans="1:14" s="47" customFormat="1" ht="15.75" customHeight="1" x14ac:dyDescent="0.25">
      <c r="A129" s="61">
        <f t="shared" si="1"/>
        <v>8</v>
      </c>
      <c r="B129" s="62"/>
      <c r="C129" s="52" t="s">
        <v>190</v>
      </c>
      <c r="D129" s="56">
        <f>(29.63+2.33)*(10.764)</f>
        <v>344.01743999999997</v>
      </c>
      <c r="E129" s="41">
        <v>0</v>
      </c>
      <c r="F129" s="41">
        <f t="shared" si="0"/>
        <v>516.02615999999989</v>
      </c>
      <c r="G129" s="71"/>
      <c r="H129" s="72"/>
      <c r="I129" s="36"/>
      <c r="L129" s="60"/>
      <c r="M129" s="60"/>
      <c r="N129" s="36"/>
    </row>
    <row r="130" spans="1:14" s="47" customFormat="1" ht="15.75" customHeight="1" x14ac:dyDescent="0.25">
      <c r="A130" s="61">
        <f t="shared" si="1"/>
        <v>9</v>
      </c>
      <c r="B130" s="62"/>
      <c r="C130" s="52" t="s">
        <v>190</v>
      </c>
      <c r="D130" s="56">
        <f>(29.63+2.33)*(10.764)</f>
        <v>344.01743999999997</v>
      </c>
      <c r="E130" s="41">
        <v>0</v>
      </c>
      <c r="F130" s="41">
        <f t="shared" si="0"/>
        <v>516.02615999999989</v>
      </c>
      <c r="G130" s="71"/>
      <c r="H130" s="72"/>
      <c r="I130" s="36"/>
      <c r="L130" s="60"/>
      <c r="M130" s="60"/>
      <c r="N130" s="36"/>
    </row>
    <row r="131" spans="1:14" s="47" customFormat="1" x14ac:dyDescent="0.25">
      <c r="A131" s="61">
        <f t="shared" si="1"/>
        <v>10</v>
      </c>
      <c r="B131" s="62"/>
      <c r="C131" s="52" t="s">
        <v>190</v>
      </c>
      <c r="D131" s="56">
        <f>(29.71+2.33)*(10.764)</f>
        <v>344.87855999999999</v>
      </c>
      <c r="E131" s="41">
        <v>0</v>
      </c>
      <c r="F131" s="41">
        <f t="shared" si="0"/>
        <v>517.31783999999993</v>
      </c>
      <c r="G131" s="73"/>
      <c r="H131" s="74"/>
      <c r="J131" s="36"/>
    </row>
    <row r="132" spans="1:14" s="47" customFormat="1" ht="15.75" customHeight="1" x14ac:dyDescent="0.25">
      <c r="A132" s="75" t="s">
        <v>192</v>
      </c>
      <c r="B132" s="76"/>
      <c r="C132" s="76"/>
      <c r="D132" s="76"/>
      <c r="E132" s="76"/>
      <c r="F132" s="76"/>
      <c r="G132" s="76"/>
      <c r="H132" s="77"/>
      <c r="I132" s="36">
        <f>4050000/F133</f>
        <v>8400.4059076134563</v>
      </c>
      <c r="L132" s="60"/>
      <c r="M132" s="60"/>
      <c r="N132" s="36"/>
    </row>
    <row r="133" spans="1:14" s="47" customFormat="1" ht="15.75" customHeight="1" x14ac:dyDescent="0.25">
      <c r="A133" s="61">
        <v>1</v>
      </c>
      <c r="B133" s="62"/>
      <c r="C133" s="52" t="s">
        <v>190</v>
      </c>
      <c r="D133" s="56">
        <f>(29.86)*(10.764)</f>
        <v>321.41303999999997</v>
      </c>
      <c r="E133" s="41">
        <v>0</v>
      </c>
      <c r="F133" s="41">
        <f t="shared" ref="F133:F141" si="2">D133*(($F$118)+1)+(IF(E133&lt;101,E133,IF(E133&lt;201,E133/2,IF(E133&lt;=301,E133/3,E133/4))))</f>
        <v>482.11955999999998</v>
      </c>
      <c r="G133" s="69" t="str">
        <f>A132</f>
        <v>8th, 13th &amp; 18th Floor (Part Refuge Area)</v>
      </c>
      <c r="H133" s="70"/>
      <c r="I133" s="36"/>
      <c r="L133" s="60"/>
      <c r="M133" s="60"/>
      <c r="N133" s="36"/>
    </row>
    <row r="134" spans="1:14" s="47" customFormat="1" ht="15.75" customHeight="1" x14ac:dyDescent="0.25">
      <c r="A134" s="61">
        <f t="shared" ref="A134:A142" si="3">A133+1</f>
        <v>2</v>
      </c>
      <c r="B134" s="62"/>
      <c r="C134" s="52" t="s">
        <v>190</v>
      </c>
      <c r="D134" s="56">
        <f>(29.78)*(10.764)</f>
        <v>320.55192</v>
      </c>
      <c r="E134" s="41">
        <v>0</v>
      </c>
      <c r="F134" s="41">
        <f t="shared" si="2"/>
        <v>480.82787999999999</v>
      </c>
      <c r="G134" s="71"/>
      <c r="H134" s="72"/>
      <c r="I134" s="36"/>
      <c r="L134" s="60"/>
      <c r="M134" s="60"/>
      <c r="N134" s="36"/>
    </row>
    <row r="135" spans="1:14" s="47" customFormat="1" ht="15.75" customHeight="1" x14ac:dyDescent="0.25">
      <c r="A135" s="61">
        <f t="shared" si="3"/>
        <v>3</v>
      </c>
      <c r="B135" s="62"/>
      <c r="C135" s="52" t="s">
        <v>190</v>
      </c>
      <c r="D135" s="56">
        <f>(29.78)*(10.764)</f>
        <v>320.55192</v>
      </c>
      <c r="E135" s="41">
        <v>0</v>
      </c>
      <c r="F135" s="41">
        <f t="shared" si="2"/>
        <v>480.82787999999999</v>
      </c>
      <c r="G135" s="71"/>
      <c r="H135" s="72"/>
      <c r="I135" s="36"/>
      <c r="L135" s="60"/>
      <c r="M135" s="60"/>
      <c r="N135" s="36"/>
    </row>
    <row r="136" spans="1:14" s="47" customFormat="1" ht="15.75" customHeight="1" x14ac:dyDescent="0.25">
      <c r="A136" s="61">
        <f t="shared" si="3"/>
        <v>4</v>
      </c>
      <c r="B136" s="62"/>
      <c r="C136" s="52" t="s">
        <v>190</v>
      </c>
      <c r="D136" s="56">
        <f>(27.07)*(10.764)</f>
        <v>291.38148000000001</v>
      </c>
      <c r="E136" s="41">
        <v>0</v>
      </c>
      <c r="F136" s="41">
        <f t="shared" si="2"/>
        <v>437.07222000000002</v>
      </c>
      <c r="G136" s="71"/>
      <c r="H136" s="72"/>
      <c r="I136" s="36"/>
      <c r="L136" s="60"/>
      <c r="M136" s="60"/>
      <c r="N136" s="36"/>
    </row>
    <row r="137" spans="1:14" s="47" customFormat="1" ht="15.75" customHeight="1" x14ac:dyDescent="0.25">
      <c r="A137" s="61">
        <f t="shared" si="3"/>
        <v>5</v>
      </c>
      <c r="B137" s="62"/>
      <c r="C137" s="52" t="s">
        <v>190</v>
      </c>
      <c r="D137" s="56">
        <f>(29.86)*(10.764)</f>
        <v>321.41303999999997</v>
      </c>
      <c r="E137" s="41">
        <v>0</v>
      </c>
      <c r="F137" s="41">
        <f t="shared" si="2"/>
        <v>482.11955999999998</v>
      </c>
      <c r="G137" s="71"/>
      <c r="H137" s="72"/>
      <c r="I137" s="36"/>
      <c r="L137" s="60"/>
      <c r="M137" s="60"/>
      <c r="N137" s="36"/>
    </row>
    <row r="138" spans="1:14" s="47" customFormat="1" ht="15.75" customHeight="1" x14ac:dyDescent="0.25">
      <c r="A138" s="61">
        <f t="shared" si="3"/>
        <v>6</v>
      </c>
      <c r="B138" s="62"/>
      <c r="C138" s="52" t="s">
        <v>190</v>
      </c>
      <c r="D138" s="56">
        <f>(29.71+2.33)*(10.764)</f>
        <v>344.87855999999999</v>
      </c>
      <c r="E138" s="41">
        <v>0</v>
      </c>
      <c r="F138" s="41">
        <f t="shared" si="2"/>
        <v>517.31783999999993</v>
      </c>
      <c r="G138" s="71"/>
      <c r="H138" s="72"/>
      <c r="I138" s="36"/>
      <c r="L138" s="60"/>
      <c r="M138" s="60"/>
      <c r="N138" s="36"/>
    </row>
    <row r="139" spans="1:14" s="47" customFormat="1" ht="15.75" customHeight="1" x14ac:dyDescent="0.25">
      <c r="A139" s="61">
        <f t="shared" si="3"/>
        <v>7</v>
      </c>
      <c r="B139" s="62"/>
      <c r="C139" s="52" t="s">
        <v>190</v>
      </c>
      <c r="D139" s="56">
        <f>(29.63+2.33)*(10.764)</f>
        <v>344.01743999999997</v>
      </c>
      <c r="E139" s="41">
        <v>0</v>
      </c>
      <c r="F139" s="41">
        <f t="shared" si="2"/>
        <v>516.02615999999989</v>
      </c>
      <c r="G139" s="71"/>
      <c r="H139" s="72"/>
      <c r="I139" s="36"/>
      <c r="L139" s="60"/>
      <c r="M139" s="60"/>
      <c r="N139" s="36"/>
    </row>
    <row r="140" spans="1:14" s="47" customFormat="1" ht="15.75" customHeight="1" x14ac:dyDescent="0.25">
      <c r="A140" s="61">
        <f t="shared" si="3"/>
        <v>8</v>
      </c>
      <c r="B140" s="62"/>
      <c r="C140" s="52" t="s">
        <v>190</v>
      </c>
      <c r="D140" s="56">
        <f>(29.63+2.33)*(10.764)</f>
        <v>344.01743999999997</v>
      </c>
      <c r="E140" s="41">
        <v>0</v>
      </c>
      <c r="F140" s="41">
        <f t="shared" si="2"/>
        <v>516.02615999999989</v>
      </c>
      <c r="G140" s="71"/>
      <c r="H140" s="72"/>
      <c r="I140" s="36"/>
      <c r="L140" s="60"/>
      <c r="M140" s="60"/>
      <c r="N140" s="36"/>
    </row>
    <row r="141" spans="1:14" s="47" customFormat="1" ht="15.75" customHeight="1" x14ac:dyDescent="0.25">
      <c r="A141" s="61">
        <f t="shared" si="3"/>
        <v>9</v>
      </c>
      <c r="B141" s="62"/>
      <c r="C141" s="52" t="s">
        <v>190</v>
      </c>
      <c r="D141" s="56">
        <f>(29.63+2.33)*(10.764)</f>
        <v>344.01743999999997</v>
      </c>
      <c r="E141" s="41">
        <v>0</v>
      </c>
      <c r="F141" s="41">
        <f t="shared" si="2"/>
        <v>516.02615999999989</v>
      </c>
      <c r="G141" s="71"/>
      <c r="H141" s="72"/>
      <c r="I141" s="36"/>
      <c r="L141" s="60"/>
      <c r="M141" s="60"/>
      <c r="N141" s="36"/>
    </row>
    <row r="142" spans="1:14" s="35" customFormat="1" x14ac:dyDescent="0.25">
      <c r="A142" s="61">
        <f t="shared" si="3"/>
        <v>10</v>
      </c>
      <c r="B142" s="62"/>
      <c r="C142" s="63" t="s">
        <v>191</v>
      </c>
      <c r="D142" s="64"/>
      <c r="E142" s="64"/>
      <c r="F142" s="65"/>
      <c r="G142" s="73"/>
      <c r="H142" s="74"/>
    </row>
    <row r="143" spans="1:14" s="47" customFormat="1" x14ac:dyDescent="0.25">
      <c r="A143" s="78" t="s">
        <v>211</v>
      </c>
      <c r="B143" s="78"/>
      <c r="C143" s="78"/>
      <c r="D143" s="78"/>
      <c r="E143" s="78"/>
      <c r="F143" s="78"/>
      <c r="G143" s="78"/>
      <c r="H143" s="78"/>
      <c r="J143" s="36"/>
    </row>
    <row r="144" spans="1:14" s="47" customFormat="1" ht="30.75" customHeight="1" x14ac:dyDescent="0.25">
      <c r="A144" s="79" t="s">
        <v>212</v>
      </c>
      <c r="B144" s="79"/>
      <c r="C144" s="79"/>
      <c r="D144" s="79"/>
      <c r="E144" s="79"/>
      <c r="F144" s="79"/>
      <c r="G144" s="79"/>
      <c r="H144" s="79"/>
      <c r="J144" s="36"/>
    </row>
    <row r="145" spans="1:14" s="47" customFormat="1" ht="15.75" customHeight="1" x14ac:dyDescent="0.25">
      <c r="A145" s="75" t="s">
        <v>193</v>
      </c>
      <c r="B145" s="76"/>
      <c r="C145" s="76"/>
      <c r="D145" s="76"/>
      <c r="E145" s="76"/>
      <c r="F145" s="76"/>
      <c r="G145" s="76"/>
      <c r="H145" s="77"/>
      <c r="I145" s="36"/>
      <c r="J145" s="56">
        <v>10.763999999999999</v>
      </c>
      <c r="L145" s="60"/>
      <c r="M145" s="60"/>
      <c r="N145" s="36"/>
    </row>
    <row r="146" spans="1:14" s="47" customFormat="1" ht="15.75" customHeight="1" x14ac:dyDescent="0.25">
      <c r="A146" s="61">
        <v>1</v>
      </c>
      <c r="B146" s="62"/>
      <c r="C146" s="52" t="s">
        <v>190</v>
      </c>
      <c r="D146" s="56">
        <f>(29.86)*10.764</f>
        <v>321.41303999999997</v>
      </c>
      <c r="E146" s="41">
        <v>0</v>
      </c>
      <c r="F146" s="41">
        <f t="shared" ref="F146:F155" si="4">D146*(($F$118)+1)+(IF(E146&lt;101,E146,IF(E146&lt;201,E146/2,IF(E146&lt;=301,E146/3,E146/4))))</f>
        <v>482.11955999999998</v>
      </c>
      <c r="G146" s="69" t="str">
        <f>A145</f>
        <v>1st to 7th, 9th to 12th, 14th to 17th, 19th to 22nd Floor for Residential</v>
      </c>
      <c r="H146" s="70"/>
      <c r="I146" s="36">
        <f>2.65*3.75+1.55*2.02+1.3*0.95+2.78*3.2+1.25*2.1+2.08*1.1</f>
        <v>28.112500000000001</v>
      </c>
      <c r="L146" s="60"/>
      <c r="M146" s="60"/>
      <c r="N146" s="36"/>
    </row>
    <row r="147" spans="1:14" s="47" customFormat="1" ht="15.75" customHeight="1" x14ac:dyDescent="0.25">
      <c r="A147" s="61">
        <f t="shared" ref="A147:A157" si="5">A146+1</f>
        <v>2</v>
      </c>
      <c r="B147" s="62"/>
      <c r="C147" s="52" t="s">
        <v>190</v>
      </c>
      <c r="D147" s="56">
        <f>(29.78)*10.764</f>
        <v>320.55192</v>
      </c>
      <c r="E147" s="41">
        <v>0</v>
      </c>
      <c r="F147" s="41">
        <f t="shared" si="4"/>
        <v>480.82787999999999</v>
      </c>
      <c r="G147" s="71"/>
      <c r="H147" s="72"/>
      <c r="I147" s="36"/>
      <c r="L147" s="60"/>
      <c r="M147" s="60"/>
      <c r="N147" s="36"/>
    </row>
    <row r="148" spans="1:14" s="47" customFormat="1" ht="15.75" customHeight="1" x14ac:dyDescent="0.25">
      <c r="A148" s="61">
        <f t="shared" si="5"/>
        <v>3</v>
      </c>
      <c r="B148" s="62"/>
      <c r="C148" s="52" t="s">
        <v>190</v>
      </c>
      <c r="D148" s="56">
        <f>(29.78)*10.764</f>
        <v>320.55192</v>
      </c>
      <c r="E148" s="41">
        <v>0</v>
      </c>
      <c r="F148" s="41">
        <f t="shared" si="4"/>
        <v>480.82787999999999</v>
      </c>
      <c r="G148" s="71"/>
      <c r="H148" s="72"/>
      <c r="I148" s="36"/>
      <c r="L148" s="60"/>
      <c r="M148" s="60"/>
      <c r="N148" s="36"/>
    </row>
    <row r="149" spans="1:14" s="47" customFormat="1" ht="15.75" customHeight="1" x14ac:dyDescent="0.25">
      <c r="A149" s="61">
        <f t="shared" si="5"/>
        <v>4</v>
      </c>
      <c r="B149" s="62"/>
      <c r="C149" s="52" t="s">
        <v>190</v>
      </c>
      <c r="D149" s="56">
        <f>(29.78)*10.764</f>
        <v>320.55192</v>
      </c>
      <c r="E149" s="41">
        <v>0</v>
      </c>
      <c r="F149" s="41">
        <f t="shared" si="4"/>
        <v>480.82787999999999</v>
      </c>
      <c r="G149" s="71"/>
      <c r="H149" s="72"/>
      <c r="I149" s="36"/>
      <c r="L149" s="60"/>
      <c r="M149" s="60"/>
      <c r="N149" s="36"/>
    </row>
    <row r="150" spans="1:14" s="47" customFormat="1" ht="15.75" customHeight="1" x14ac:dyDescent="0.25">
      <c r="A150" s="61">
        <f t="shared" si="5"/>
        <v>5</v>
      </c>
      <c r="B150" s="62"/>
      <c r="C150" s="52" t="s">
        <v>190</v>
      </c>
      <c r="D150" s="56">
        <f>(29.78)*10.764</f>
        <v>320.55192</v>
      </c>
      <c r="E150" s="41">
        <v>0</v>
      </c>
      <c r="F150" s="41">
        <f t="shared" si="4"/>
        <v>480.82787999999999</v>
      </c>
      <c r="G150" s="71"/>
      <c r="H150" s="72"/>
      <c r="I150" s="36"/>
      <c r="L150" s="60"/>
      <c r="M150" s="60"/>
      <c r="N150" s="36"/>
    </row>
    <row r="151" spans="1:14" s="47" customFormat="1" ht="15.75" customHeight="1" x14ac:dyDescent="0.25">
      <c r="A151" s="61">
        <f t="shared" si="5"/>
        <v>6</v>
      </c>
      <c r="B151" s="62"/>
      <c r="C151" s="52" t="s">
        <v>190</v>
      </c>
      <c r="D151" s="56">
        <f>(29.86)*10.764</f>
        <v>321.41303999999997</v>
      </c>
      <c r="E151" s="41">
        <v>0</v>
      </c>
      <c r="F151" s="41">
        <f t="shared" si="4"/>
        <v>482.11955999999998</v>
      </c>
      <c r="G151" s="71"/>
      <c r="H151" s="72"/>
      <c r="I151" s="36"/>
      <c r="L151" s="60"/>
      <c r="M151" s="60"/>
      <c r="N151" s="36"/>
    </row>
    <row r="152" spans="1:14" s="47" customFormat="1" ht="15.75" customHeight="1" x14ac:dyDescent="0.25">
      <c r="A152" s="61">
        <f t="shared" si="5"/>
        <v>7</v>
      </c>
      <c r="B152" s="62"/>
      <c r="C152" s="52" t="s">
        <v>190</v>
      </c>
      <c r="D152" s="56">
        <f>(29.71+2.33)*10.764</f>
        <v>344.87855999999999</v>
      </c>
      <c r="E152" s="41">
        <v>0</v>
      </c>
      <c r="F152" s="41">
        <f t="shared" si="4"/>
        <v>517.31783999999993</v>
      </c>
      <c r="G152" s="71"/>
      <c r="H152" s="72"/>
      <c r="I152" s="36"/>
      <c r="L152" s="60"/>
      <c r="M152" s="60"/>
      <c r="N152" s="36"/>
    </row>
    <row r="153" spans="1:14" s="47" customFormat="1" ht="15.75" customHeight="1" x14ac:dyDescent="0.25">
      <c r="A153" s="61">
        <f t="shared" si="5"/>
        <v>8</v>
      </c>
      <c r="B153" s="62"/>
      <c r="C153" s="52" t="s">
        <v>190</v>
      </c>
      <c r="D153" s="56">
        <f>(29.63+2.33)*10.764</f>
        <v>344.01743999999997</v>
      </c>
      <c r="E153" s="41">
        <v>0</v>
      </c>
      <c r="F153" s="41">
        <f t="shared" si="4"/>
        <v>516.02615999999989</v>
      </c>
      <c r="G153" s="71"/>
      <c r="H153" s="72"/>
      <c r="I153" s="36"/>
      <c r="L153" s="60"/>
      <c r="M153" s="60"/>
      <c r="N153" s="36"/>
    </row>
    <row r="154" spans="1:14" s="47" customFormat="1" ht="15.75" customHeight="1" x14ac:dyDescent="0.25">
      <c r="A154" s="61">
        <f t="shared" si="5"/>
        <v>9</v>
      </c>
      <c r="B154" s="62"/>
      <c r="C154" s="52" t="s">
        <v>190</v>
      </c>
      <c r="D154" s="56">
        <f>(29.63+2.33)*10.764</f>
        <v>344.01743999999997</v>
      </c>
      <c r="E154" s="41">
        <v>0</v>
      </c>
      <c r="F154" s="41">
        <f t="shared" si="4"/>
        <v>516.02615999999989</v>
      </c>
      <c r="G154" s="71"/>
      <c r="H154" s="72"/>
      <c r="I154" s="36"/>
      <c r="L154" s="60"/>
      <c r="M154" s="60"/>
      <c r="N154" s="36"/>
    </row>
    <row r="155" spans="1:14" s="47" customFormat="1" x14ac:dyDescent="0.25">
      <c r="A155" s="61">
        <f t="shared" si="5"/>
        <v>10</v>
      </c>
      <c r="B155" s="62"/>
      <c r="C155" s="52" t="s">
        <v>190</v>
      </c>
      <c r="D155" s="56">
        <f>(29.63+2.33)*10.764</f>
        <v>344.01743999999997</v>
      </c>
      <c r="E155" s="41">
        <v>0</v>
      </c>
      <c r="F155" s="41">
        <f t="shared" si="4"/>
        <v>516.02615999999989</v>
      </c>
      <c r="G155" s="71"/>
      <c r="H155" s="72"/>
      <c r="J155" s="36"/>
    </row>
    <row r="156" spans="1:14" s="47" customFormat="1" ht="15.75" customHeight="1" x14ac:dyDescent="0.25">
      <c r="A156" s="61">
        <f t="shared" si="5"/>
        <v>11</v>
      </c>
      <c r="B156" s="62"/>
      <c r="C156" s="52" t="s">
        <v>190</v>
      </c>
      <c r="D156" s="56">
        <f>(29.63+2.33)*10.764</f>
        <v>344.01743999999997</v>
      </c>
      <c r="E156" s="41">
        <v>0</v>
      </c>
      <c r="F156" s="41">
        <f t="shared" ref="F156:F157" si="6">D156*(($F$118)+1)+(IF(E156&lt;101,E156,IF(E156&lt;201,E156/2,IF(E156&lt;=301,E156/3,E156/4))))</f>
        <v>516.02615999999989</v>
      </c>
      <c r="G156" s="71"/>
      <c r="H156" s="72"/>
      <c r="I156" s="36">
        <f>2.65*3.6+2.8*2.02+1.3*0.95+2.78*3.2+1.25*2.1</f>
        <v>27.951999999999998</v>
      </c>
      <c r="L156" s="60"/>
      <c r="M156" s="60"/>
      <c r="N156" s="36"/>
    </row>
    <row r="157" spans="1:14" s="47" customFormat="1" x14ac:dyDescent="0.25">
      <c r="A157" s="61">
        <f t="shared" si="5"/>
        <v>12</v>
      </c>
      <c r="B157" s="62"/>
      <c r="C157" s="52" t="s">
        <v>190</v>
      </c>
      <c r="D157" s="56">
        <f>(29.71+2.33)*10.764</f>
        <v>344.87855999999999</v>
      </c>
      <c r="E157" s="41">
        <v>0</v>
      </c>
      <c r="F157" s="41">
        <f t="shared" si="6"/>
        <v>517.31783999999993</v>
      </c>
      <c r="G157" s="73"/>
      <c r="H157" s="74"/>
      <c r="J157" s="36"/>
    </row>
    <row r="158" spans="1:14" s="47" customFormat="1" ht="15.75" customHeight="1" x14ac:dyDescent="0.25">
      <c r="A158" s="75" t="s">
        <v>192</v>
      </c>
      <c r="B158" s="76"/>
      <c r="C158" s="76"/>
      <c r="D158" s="76"/>
      <c r="E158" s="76"/>
      <c r="F158" s="76"/>
      <c r="G158" s="76"/>
      <c r="H158" s="77"/>
      <c r="I158" s="36"/>
      <c r="J158" s="56">
        <v>10.763999999999999</v>
      </c>
      <c r="L158" s="60"/>
      <c r="M158" s="60"/>
      <c r="N158" s="36"/>
    </row>
    <row r="159" spans="1:14" s="47" customFormat="1" ht="15.75" customHeight="1" x14ac:dyDescent="0.25">
      <c r="A159" s="61">
        <v>1</v>
      </c>
      <c r="B159" s="62"/>
      <c r="C159" s="52" t="s">
        <v>190</v>
      </c>
      <c r="D159" s="56">
        <f>(29.86)*10.764</f>
        <v>321.41303999999997</v>
      </c>
      <c r="E159" s="41">
        <v>0</v>
      </c>
      <c r="F159" s="41">
        <f t="shared" ref="F159:F164" si="7">D159*(($F$118)+1)+(IF(E159&lt;101,E159,IF(E159&lt;201,E159/2,IF(E159&lt;=301,E159/3,E159/4))))</f>
        <v>482.11955999999998</v>
      </c>
      <c r="G159" s="69" t="str">
        <f>A158</f>
        <v>8th, 13th &amp; 18th Floor (Part Refuge Area)</v>
      </c>
      <c r="H159" s="70"/>
      <c r="I159" s="36">
        <f>2.65*3.75+1.55*2.02+1.3*0.95+2.78*3.2+1.25*2.1+2.08*1.1</f>
        <v>28.112500000000001</v>
      </c>
      <c r="L159" s="60"/>
      <c r="M159" s="60"/>
      <c r="N159" s="36"/>
    </row>
    <row r="160" spans="1:14" s="47" customFormat="1" ht="15.75" customHeight="1" x14ac:dyDescent="0.25">
      <c r="A160" s="61">
        <f t="shared" ref="A160:A170" si="8">A159+1</f>
        <v>2</v>
      </c>
      <c r="B160" s="62"/>
      <c r="C160" s="52" t="s">
        <v>190</v>
      </c>
      <c r="D160" s="56">
        <f>(29.78)*10.764</f>
        <v>320.55192</v>
      </c>
      <c r="E160" s="41">
        <v>0</v>
      </c>
      <c r="F160" s="41">
        <f t="shared" si="7"/>
        <v>480.82787999999999</v>
      </c>
      <c r="G160" s="71"/>
      <c r="H160" s="72"/>
      <c r="I160" s="36"/>
      <c r="L160" s="60"/>
      <c r="M160" s="60"/>
      <c r="N160" s="36"/>
    </row>
    <row r="161" spans="1:14" s="47" customFormat="1" ht="15.75" customHeight="1" x14ac:dyDescent="0.25">
      <c r="A161" s="61">
        <f t="shared" si="8"/>
        <v>3</v>
      </c>
      <c r="B161" s="62"/>
      <c r="C161" s="52" t="s">
        <v>190</v>
      </c>
      <c r="D161" s="56">
        <f>(29.78)*10.764</f>
        <v>320.55192</v>
      </c>
      <c r="E161" s="41">
        <v>0</v>
      </c>
      <c r="F161" s="41">
        <f t="shared" si="7"/>
        <v>480.82787999999999</v>
      </c>
      <c r="G161" s="71"/>
      <c r="H161" s="72"/>
      <c r="I161" s="36"/>
      <c r="L161" s="60"/>
      <c r="M161" s="60"/>
      <c r="N161" s="36"/>
    </row>
    <row r="162" spans="1:14" s="47" customFormat="1" ht="15.75" customHeight="1" x14ac:dyDescent="0.25">
      <c r="A162" s="61">
        <f t="shared" si="8"/>
        <v>4</v>
      </c>
      <c r="B162" s="62"/>
      <c r="C162" s="52" t="s">
        <v>190</v>
      </c>
      <c r="D162" s="56">
        <f>(29.78)*10.764</f>
        <v>320.55192</v>
      </c>
      <c r="E162" s="41">
        <v>0</v>
      </c>
      <c r="F162" s="41">
        <f t="shared" si="7"/>
        <v>480.82787999999999</v>
      </c>
      <c r="G162" s="71"/>
      <c r="H162" s="72"/>
      <c r="I162" s="36"/>
      <c r="L162" s="60"/>
      <c r="M162" s="60"/>
      <c r="N162" s="36"/>
    </row>
    <row r="163" spans="1:14" s="47" customFormat="1" ht="15.75" customHeight="1" x14ac:dyDescent="0.25">
      <c r="A163" s="61">
        <f t="shared" si="8"/>
        <v>5</v>
      </c>
      <c r="B163" s="62"/>
      <c r="C163" s="52" t="s">
        <v>190</v>
      </c>
      <c r="D163" s="56">
        <f>(29.78)*10.764</f>
        <v>320.55192</v>
      </c>
      <c r="E163" s="41">
        <v>0</v>
      </c>
      <c r="F163" s="41">
        <f t="shared" si="7"/>
        <v>480.82787999999999</v>
      </c>
      <c r="G163" s="71"/>
      <c r="H163" s="72"/>
      <c r="I163" s="36"/>
      <c r="L163" s="60"/>
      <c r="M163" s="60"/>
      <c r="N163" s="36"/>
    </row>
    <row r="164" spans="1:14" s="47" customFormat="1" ht="15.75" customHeight="1" x14ac:dyDescent="0.25">
      <c r="A164" s="61">
        <f t="shared" si="8"/>
        <v>6</v>
      </c>
      <c r="B164" s="62"/>
      <c r="C164" s="52" t="s">
        <v>190</v>
      </c>
      <c r="D164" s="56">
        <f>(29.86)*10.764</f>
        <v>321.41303999999997</v>
      </c>
      <c r="E164" s="41">
        <v>0</v>
      </c>
      <c r="F164" s="41">
        <f t="shared" si="7"/>
        <v>482.11955999999998</v>
      </c>
      <c r="G164" s="71"/>
      <c r="H164" s="72"/>
      <c r="I164" s="36"/>
      <c r="L164" s="60"/>
      <c r="M164" s="60"/>
      <c r="N164" s="36"/>
    </row>
    <row r="165" spans="1:14" s="47" customFormat="1" ht="15.75" customHeight="1" x14ac:dyDescent="0.25">
      <c r="A165" s="61">
        <f t="shared" si="8"/>
        <v>7</v>
      </c>
      <c r="B165" s="62"/>
      <c r="C165" s="63" t="s">
        <v>191</v>
      </c>
      <c r="D165" s="64"/>
      <c r="E165" s="64"/>
      <c r="F165" s="65"/>
      <c r="G165" s="71"/>
      <c r="H165" s="72"/>
      <c r="I165" s="36"/>
      <c r="L165" s="60"/>
      <c r="M165" s="60"/>
      <c r="N165" s="36"/>
    </row>
    <row r="166" spans="1:14" s="47" customFormat="1" ht="15.75" customHeight="1" x14ac:dyDescent="0.25">
      <c r="A166" s="61">
        <f t="shared" si="8"/>
        <v>8</v>
      </c>
      <c r="B166" s="62"/>
      <c r="C166" s="52" t="s">
        <v>190</v>
      </c>
      <c r="D166" s="56">
        <f>(29.63+2.33)*10.764</f>
        <v>344.01743999999997</v>
      </c>
      <c r="E166" s="41">
        <v>0</v>
      </c>
      <c r="F166" s="41">
        <f>D166*(($F$118)+1)+(IF(E166&lt;101,E166,IF(E166&lt;201,E166/2,IF(E166&lt;=301,E166/3,E166/4))))</f>
        <v>516.02615999999989</v>
      </c>
      <c r="G166" s="71"/>
      <c r="H166" s="72"/>
      <c r="I166" s="36"/>
      <c r="L166" s="60"/>
      <c r="M166" s="60"/>
      <c r="N166" s="36"/>
    </row>
    <row r="167" spans="1:14" s="47" customFormat="1" ht="15.75" customHeight="1" x14ac:dyDescent="0.25">
      <c r="A167" s="61">
        <f t="shared" si="8"/>
        <v>9</v>
      </c>
      <c r="B167" s="62"/>
      <c r="C167" s="52" t="s">
        <v>190</v>
      </c>
      <c r="D167" s="56">
        <f>(29.63+2.33)*10.764</f>
        <v>344.01743999999997</v>
      </c>
      <c r="E167" s="41">
        <v>0</v>
      </c>
      <c r="F167" s="41">
        <f>D167*(($F$118)+1)+(IF(E167&lt;101,E167,IF(E167&lt;201,E167/2,IF(E167&lt;=301,E167/3,E167/4))))</f>
        <v>516.02615999999989</v>
      </c>
      <c r="G167" s="71"/>
      <c r="H167" s="72"/>
      <c r="I167" s="36"/>
      <c r="L167" s="60"/>
      <c r="M167" s="60"/>
      <c r="N167" s="36"/>
    </row>
    <row r="168" spans="1:14" s="47" customFormat="1" x14ac:dyDescent="0.25">
      <c r="A168" s="61">
        <f t="shared" si="8"/>
        <v>10</v>
      </c>
      <c r="B168" s="62"/>
      <c r="C168" s="52" t="s">
        <v>190</v>
      </c>
      <c r="D168" s="56">
        <f>(29.63+2.33)*10.764</f>
        <v>344.01743999999997</v>
      </c>
      <c r="E168" s="41">
        <v>0</v>
      </c>
      <c r="F168" s="41">
        <f>D168*(($F$118)+1)+(IF(E168&lt;101,E168,IF(E168&lt;201,E168/2,IF(E168&lt;=301,E168/3,E168/4))))</f>
        <v>516.02615999999989</v>
      </c>
      <c r="G168" s="71"/>
      <c r="H168" s="72"/>
      <c r="J168" s="36"/>
    </row>
    <row r="169" spans="1:14" s="47" customFormat="1" ht="15.75" customHeight="1" x14ac:dyDescent="0.25">
      <c r="A169" s="61">
        <f t="shared" si="8"/>
        <v>11</v>
      </c>
      <c r="B169" s="62"/>
      <c r="C169" s="52" t="s">
        <v>190</v>
      </c>
      <c r="D169" s="56">
        <f>(29.63+2.33)*10.764</f>
        <v>344.01743999999997</v>
      </c>
      <c r="E169" s="41">
        <v>0</v>
      </c>
      <c r="F169" s="41">
        <f>D169*(($F$118)+1)+(IF(E169&lt;101,E169,IF(E169&lt;201,E169/2,IF(E169&lt;=301,E169/3,E169/4))))</f>
        <v>516.02615999999989</v>
      </c>
      <c r="G169" s="71"/>
      <c r="H169" s="72"/>
      <c r="I169" s="36">
        <f>2.65*3.6+2.8*2.02+1.3*0.95+2.78*3.2+1.25*2.1</f>
        <v>27.951999999999998</v>
      </c>
      <c r="L169" s="60"/>
      <c r="M169" s="60"/>
      <c r="N169" s="36"/>
    </row>
    <row r="170" spans="1:14" s="47" customFormat="1" x14ac:dyDescent="0.25">
      <c r="A170" s="61">
        <f t="shared" si="8"/>
        <v>12</v>
      </c>
      <c r="B170" s="62"/>
      <c r="C170" s="52" t="s">
        <v>190</v>
      </c>
      <c r="D170" s="56">
        <f>(29.71+2.33)*10.764</f>
        <v>344.87855999999999</v>
      </c>
      <c r="E170" s="41">
        <v>0</v>
      </c>
      <c r="F170" s="41">
        <f>D170*(($F$118)+1)+(IF(E170&lt;101,E170,IF(E170&lt;201,E170/2,IF(E170&lt;=301,E170/3,E170/4))))</f>
        <v>517.31783999999993</v>
      </c>
      <c r="G170" s="73"/>
      <c r="H170" s="74"/>
      <c r="J170" s="36"/>
    </row>
    <row r="171" spans="1:14" s="35" customFormat="1" ht="16.5" customHeight="1" x14ac:dyDescent="0.25">
      <c r="A171" s="176" t="s">
        <v>70</v>
      </c>
      <c r="B171" s="176"/>
      <c r="C171" s="176"/>
      <c r="D171" s="176"/>
      <c r="E171" s="176"/>
      <c r="F171" s="176"/>
      <c r="G171" s="176"/>
      <c r="H171" s="176"/>
    </row>
    <row r="172" spans="1:14" s="35" customFormat="1" x14ac:dyDescent="0.25">
      <c r="A172" s="46" t="s">
        <v>154</v>
      </c>
      <c r="B172" s="102" t="s">
        <v>223</v>
      </c>
      <c r="C172" s="103"/>
      <c r="D172" s="103"/>
      <c r="E172" s="103"/>
      <c r="F172" s="103"/>
      <c r="G172" s="103"/>
      <c r="H172" s="104"/>
    </row>
    <row r="173" spans="1:14" s="35" customFormat="1" x14ac:dyDescent="0.25">
      <c r="A173" s="46" t="s">
        <v>154</v>
      </c>
      <c r="B173" s="102" t="str">
        <f>(IF(F117="Saleable area Loading :","We have considered Saleable area of Flats as per our Calculation.","We considered Saleable area of Flat as per Builder area Sheet."))</f>
        <v>We have considered Saleable area of Flats as per our Calculation.</v>
      </c>
      <c r="C173" s="103"/>
      <c r="D173" s="103"/>
      <c r="E173" s="103"/>
      <c r="F173" s="103"/>
      <c r="G173" s="103"/>
      <c r="H173" s="104"/>
    </row>
    <row r="174" spans="1:14" s="35" customFormat="1" x14ac:dyDescent="0.25">
      <c r="A174" s="46" t="s">
        <v>154</v>
      </c>
      <c r="B174" s="57" t="s">
        <v>125</v>
      </c>
      <c r="C174" s="58"/>
      <c r="D174" s="58"/>
      <c r="E174" s="58"/>
      <c r="F174" s="58"/>
      <c r="G174" s="58"/>
      <c r="H174" s="59"/>
    </row>
    <row r="175" spans="1:14" s="35" customFormat="1" x14ac:dyDescent="0.25">
      <c r="A175" s="46" t="s">
        <v>154</v>
      </c>
      <c r="B175" s="57" t="s">
        <v>194</v>
      </c>
      <c r="C175" s="58"/>
      <c r="D175" s="58"/>
      <c r="E175" s="58"/>
      <c r="F175" s="58"/>
      <c r="G175" s="58"/>
      <c r="H175" s="59"/>
    </row>
    <row r="176" spans="1:14" s="35" customFormat="1" x14ac:dyDescent="0.25">
      <c r="A176" s="46" t="s">
        <v>154</v>
      </c>
      <c r="B176" s="57" t="s">
        <v>153</v>
      </c>
      <c r="C176" s="58"/>
      <c r="D176" s="58"/>
      <c r="E176" s="58"/>
      <c r="F176" s="58"/>
      <c r="G176" s="58"/>
      <c r="H176" s="59"/>
    </row>
    <row r="177" spans="1:8" s="35" customFormat="1" x14ac:dyDescent="0.25">
      <c r="A177" s="46" t="s">
        <v>154</v>
      </c>
      <c r="B177" s="57" t="s">
        <v>126</v>
      </c>
      <c r="C177" s="58"/>
      <c r="D177" s="58"/>
      <c r="E177" s="58"/>
      <c r="F177" s="58"/>
      <c r="G177" s="58"/>
      <c r="H177" s="59"/>
    </row>
    <row r="178" spans="1:8" s="35" customFormat="1" hidden="1" x14ac:dyDescent="0.25">
      <c r="A178" s="46" t="s">
        <v>154</v>
      </c>
      <c r="B178" s="57" t="s">
        <v>155</v>
      </c>
      <c r="C178" s="58"/>
      <c r="D178" s="58"/>
      <c r="E178" s="58"/>
      <c r="F178" s="58"/>
      <c r="G178" s="58"/>
      <c r="H178" s="59"/>
    </row>
    <row r="179" spans="1:8" s="35" customFormat="1" x14ac:dyDescent="0.25">
      <c r="A179" s="46" t="s">
        <v>154</v>
      </c>
      <c r="B179" s="57" t="s">
        <v>127</v>
      </c>
      <c r="C179" s="58"/>
      <c r="D179" s="58"/>
      <c r="E179" s="58"/>
      <c r="F179" s="58"/>
      <c r="G179" s="58"/>
      <c r="H179" s="59"/>
    </row>
    <row r="180" spans="1:8" s="35" customFormat="1" x14ac:dyDescent="0.25">
      <c r="A180" s="46" t="s">
        <v>154</v>
      </c>
      <c r="B180" s="57" t="s">
        <v>205</v>
      </c>
      <c r="C180" s="58"/>
      <c r="D180" s="58"/>
      <c r="E180" s="58"/>
      <c r="F180" s="58"/>
      <c r="G180" s="58"/>
      <c r="H180" s="59"/>
    </row>
    <row r="181" spans="1:8" s="35" customFormat="1" ht="31.5" customHeight="1" x14ac:dyDescent="0.25">
      <c r="A181" s="46" t="s">
        <v>154</v>
      </c>
      <c r="B181" s="57" t="s">
        <v>216</v>
      </c>
      <c r="C181" s="58"/>
      <c r="D181" s="58"/>
      <c r="E181" s="58"/>
      <c r="F181" s="58"/>
      <c r="G181" s="58"/>
      <c r="H181" s="59"/>
    </row>
    <row r="182" spans="1:8" x14ac:dyDescent="0.25">
      <c r="A182" s="92" t="s">
        <v>63</v>
      </c>
      <c r="B182" s="92"/>
      <c r="C182" s="92"/>
      <c r="D182" s="92"/>
      <c r="E182" s="92"/>
      <c r="F182" s="92"/>
      <c r="G182" s="92"/>
      <c r="H182" s="92"/>
    </row>
    <row r="183" spans="1:8" ht="15.75" customHeight="1" x14ac:dyDescent="0.25">
      <c r="A183" s="96" t="s">
        <v>64</v>
      </c>
      <c r="B183" s="96"/>
      <c r="C183" s="96"/>
      <c r="D183" s="96"/>
      <c r="E183" s="96"/>
      <c r="F183" s="96"/>
      <c r="G183" s="96"/>
      <c r="H183" s="96"/>
    </row>
    <row r="184" spans="1:8" x14ac:dyDescent="0.25">
      <c r="A184" s="125" t="s">
        <v>65</v>
      </c>
      <c r="B184" s="125"/>
      <c r="C184" s="125"/>
      <c r="D184" s="125"/>
      <c r="E184" s="125"/>
      <c r="F184" s="125"/>
      <c r="G184" s="125"/>
      <c r="H184" s="125"/>
    </row>
    <row r="185" spans="1:8" x14ac:dyDescent="0.25">
      <c r="A185" s="96" t="s">
        <v>66</v>
      </c>
      <c r="B185" s="96"/>
      <c r="C185" s="96"/>
      <c r="D185" s="96"/>
      <c r="E185" s="96"/>
      <c r="F185" s="96"/>
      <c r="G185" s="96"/>
      <c r="H185" s="96"/>
    </row>
    <row r="186" spans="1:8" x14ac:dyDescent="0.25">
      <c r="A186" s="96" t="s">
        <v>67</v>
      </c>
      <c r="B186" s="96"/>
      <c r="C186" s="96"/>
      <c r="D186" s="96"/>
      <c r="E186" s="96"/>
      <c r="F186" s="96"/>
      <c r="G186" s="96"/>
      <c r="H186" s="96"/>
    </row>
    <row r="187" spans="1:8" x14ac:dyDescent="0.25">
      <c r="A187" s="96" t="s">
        <v>128</v>
      </c>
      <c r="B187" s="96"/>
      <c r="C187" s="96"/>
      <c r="D187" s="96"/>
      <c r="E187" s="96"/>
      <c r="F187" s="96"/>
      <c r="G187" s="96"/>
      <c r="H187" s="96"/>
    </row>
    <row r="188" spans="1:8" x14ac:dyDescent="0.25">
      <c r="A188" s="93" t="s">
        <v>129</v>
      </c>
      <c r="B188" s="93"/>
      <c r="C188" s="93"/>
      <c r="D188" s="93"/>
      <c r="E188" s="93"/>
      <c r="F188" s="93"/>
      <c r="G188" s="93"/>
      <c r="H188" s="93"/>
    </row>
    <row r="189" spans="1:8" x14ac:dyDescent="0.25">
      <c r="A189" s="121" t="s">
        <v>79</v>
      </c>
      <c r="B189" s="121"/>
      <c r="C189" s="121" t="s">
        <v>221</v>
      </c>
      <c r="D189" s="121"/>
      <c r="E189" s="121" t="s">
        <v>109</v>
      </c>
      <c r="F189" s="121"/>
      <c r="G189" s="121" t="s">
        <v>222</v>
      </c>
      <c r="H189" s="121"/>
    </row>
    <row r="190" spans="1:8" x14ac:dyDescent="0.25">
      <c r="A190" s="120" t="s">
        <v>81</v>
      </c>
      <c r="B190" s="120"/>
      <c r="C190" s="120"/>
      <c r="D190" s="120"/>
      <c r="E190" s="120"/>
      <c r="F190" s="120"/>
      <c r="G190" s="120"/>
      <c r="H190" s="120"/>
    </row>
    <row r="191" spans="1:8" x14ac:dyDescent="0.25">
      <c r="A191" s="120"/>
      <c r="B191" s="120"/>
      <c r="C191" s="120"/>
      <c r="D191" s="120"/>
      <c r="E191" s="120"/>
      <c r="F191" s="120"/>
      <c r="G191" s="120"/>
      <c r="H191" s="120"/>
    </row>
    <row r="192" spans="1:8" x14ac:dyDescent="0.25">
      <c r="A192" s="120"/>
      <c r="B192" s="120"/>
      <c r="C192" s="120"/>
      <c r="D192" s="120"/>
      <c r="E192" s="120"/>
      <c r="F192" s="120"/>
      <c r="G192" s="120"/>
      <c r="H192" s="120"/>
    </row>
    <row r="193" spans="1:8" x14ac:dyDescent="0.25">
      <c r="A193" s="37" t="s">
        <v>68</v>
      </c>
      <c r="B193" s="38"/>
      <c r="C193" s="38"/>
      <c r="D193" s="37" t="str">
        <f>E8</f>
        <v>Green Square</v>
      </c>
      <c r="F193" s="38"/>
      <c r="G193" s="38"/>
      <c r="H193" s="38"/>
    </row>
    <row r="194" spans="1:8" x14ac:dyDescent="0.25">
      <c r="A194" s="38"/>
      <c r="B194" s="38"/>
      <c r="C194" s="38"/>
      <c r="D194" s="38"/>
      <c r="E194" s="38"/>
      <c r="F194" s="38"/>
      <c r="G194" s="38"/>
      <c r="H194" s="38"/>
    </row>
    <row r="195" spans="1:8" ht="15" customHeight="1" x14ac:dyDescent="0.25">
      <c r="A195" s="38"/>
      <c r="B195" s="38"/>
      <c r="C195" s="38"/>
      <c r="D195" s="38"/>
      <c r="E195" s="38"/>
      <c r="F195" s="38"/>
      <c r="G195" s="38"/>
      <c r="H195" s="38"/>
    </row>
    <row r="235" spans="1:1" s="21" customFormat="1" x14ac:dyDescent="0.25">
      <c r="A235" s="40" t="s">
        <v>168</v>
      </c>
    </row>
    <row r="264" spans="1:8" x14ac:dyDescent="0.25">
      <c r="A264" s="40" t="s">
        <v>69</v>
      </c>
      <c r="B264" s="21"/>
      <c r="C264" s="21"/>
      <c r="D264" s="21"/>
      <c r="E264" s="21"/>
      <c r="F264" s="21"/>
      <c r="G264" s="21"/>
      <c r="H264" s="21"/>
    </row>
  </sheetData>
  <mergeCells count="354">
    <mergeCell ref="D58:H58"/>
    <mergeCell ref="A58:C59"/>
    <mergeCell ref="B180:H180"/>
    <mergeCell ref="L134:M134"/>
    <mergeCell ref="A136:B136"/>
    <mergeCell ref="L135:M135"/>
    <mergeCell ref="A137:B137"/>
    <mergeCell ref="L136:M136"/>
    <mergeCell ref="A138:B138"/>
    <mergeCell ref="L137:M137"/>
    <mergeCell ref="A139:B139"/>
    <mergeCell ref="L138:M138"/>
    <mergeCell ref="L140:M140"/>
    <mergeCell ref="A142:B142"/>
    <mergeCell ref="L141:M141"/>
    <mergeCell ref="C142:F142"/>
    <mergeCell ref="B178:H178"/>
    <mergeCell ref="B179:H179"/>
    <mergeCell ref="B176:H176"/>
    <mergeCell ref="B174:H174"/>
    <mergeCell ref="B175:H175"/>
    <mergeCell ref="A171:H171"/>
    <mergeCell ref="A132:H132"/>
    <mergeCell ref="A133:B133"/>
    <mergeCell ref="G133:H142"/>
    <mergeCell ref="L132:M132"/>
    <mergeCell ref="A134:B134"/>
    <mergeCell ref="L133:M133"/>
    <mergeCell ref="A135:B135"/>
    <mergeCell ref="L125:M125"/>
    <mergeCell ref="A127:B127"/>
    <mergeCell ref="L126:M126"/>
    <mergeCell ref="A128:B128"/>
    <mergeCell ref="L127:M127"/>
    <mergeCell ref="A129:B129"/>
    <mergeCell ref="L128:M128"/>
    <mergeCell ref="A130:B130"/>
    <mergeCell ref="L129:M129"/>
    <mergeCell ref="A126:B126"/>
    <mergeCell ref="A140:B140"/>
    <mergeCell ref="L139:M139"/>
    <mergeCell ref="A141:B141"/>
    <mergeCell ref="A125:B125"/>
    <mergeCell ref="L130:M130"/>
    <mergeCell ref="G122:H131"/>
    <mergeCell ref="A106:E106"/>
    <mergeCell ref="A101:E101"/>
    <mergeCell ref="F101:H101"/>
    <mergeCell ref="A102:E102"/>
    <mergeCell ref="A104:E104"/>
    <mergeCell ref="F98:H98"/>
    <mergeCell ref="A103:E103"/>
    <mergeCell ref="A98:E98"/>
    <mergeCell ref="A105:E105"/>
    <mergeCell ref="F106:H106"/>
    <mergeCell ref="F100:H100"/>
    <mergeCell ref="F105:H105"/>
    <mergeCell ref="F99:H99"/>
    <mergeCell ref="F103:H103"/>
    <mergeCell ref="F104:H104"/>
    <mergeCell ref="A61:C61"/>
    <mergeCell ref="D60:H60"/>
    <mergeCell ref="E71:F80"/>
    <mergeCell ref="G71:H80"/>
    <mergeCell ref="A79:B79"/>
    <mergeCell ref="A80:B80"/>
    <mergeCell ref="D61:H61"/>
    <mergeCell ref="A78:B78"/>
    <mergeCell ref="F102:H102"/>
    <mergeCell ref="A95:E95"/>
    <mergeCell ref="F97:H97"/>
    <mergeCell ref="A97:E97"/>
    <mergeCell ref="A99:E99"/>
    <mergeCell ref="A100:E100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E45:H45"/>
    <mergeCell ref="E46:H46"/>
    <mergeCell ref="A44:D44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D64:H64"/>
    <mergeCell ref="A65:C65"/>
    <mergeCell ref="D65:H65"/>
    <mergeCell ref="A71:B71"/>
    <mergeCell ref="G70:H70"/>
    <mergeCell ref="D59:H59"/>
    <mergeCell ref="A48:B48"/>
    <mergeCell ref="C48:H48"/>
    <mergeCell ref="A53:B53"/>
    <mergeCell ref="C53:E53"/>
    <mergeCell ref="A37:H37"/>
    <mergeCell ref="A36:B36"/>
    <mergeCell ref="C36:E36"/>
    <mergeCell ref="A41:D41"/>
    <mergeCell ref="E41:H41"/>
    <mergeCell ref="F33:H33"/>
    <mergeCell ref="F34:H34"/>
    <mergeCell ref="A40:H40"/>
    <mergeCell ref="A60:C60"/>
    <mergeCell ref="F36:H36"/>
    <mergeCell ref="A38:B38"/>
    <mergeCell ref="A39:B39"/>
    <mergeCell ref="C39:H39"/>
    <mergeCell ref="A45:D45"/>
    <mergeCell ref="A46:D46"/>
    <mergeCell ref="A47:H47"/>
    <mergeCell ref="D57:H57"/>
    <mergeCell ref="A57:C57"/>
    <mergeCell ref="G50:H50"/>
    <mergeCell ref="A51:B52"/>
    <mergeCell ref="C50:E50"/>
    <mergeCell ref="A43:D43"/>
    <mergeCell ref="E43:H43"/>
    <mergeCell ref="E44:H44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8:D28"/>
    <mergeCell ref="A22:D23"/>
    <mergeCell ref="E22:H23"/>
    <mergeCell ref="E14:H14"/>
    <mergeCell ref="A15:B15"/>
    <mergeCell ref="C15:H15"/>
    <mergeCell ref="C16:H16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1:D11"/>
    <mergeCell ref="E11:H11"/>
    <mergeCell ref="A13:D13"/>
    <mergeCell ref="E13:H13"/>
    <mergeCell ref="A14:D14"/>
    <mergeCell ref="A10:D10"/>
    <mergeCell ref="E10:H10"/>
    <mergeCell ref="A190:H192"/>
    <mergeCell ref="A189:B189"/>
    <mergeCell ref="E189:F189"/>
    <mergeCell ref="C189:D189"/>
    <mergeCell ref="G189:H189"/>
    <mergeCell ref="A107:E107"/>
    <mergeCell ref="F107:H107"/>
    <mergeCell ref="A108:E108"/>
    <mergeCell ref="F108:H108"/>
    <mergeCell ref="A111:B111"/>
    <mergeCell ref="A185:H185"/>
    <mergeCell ref="A109:H109"/>
    <mergeCell ref="A188:H188"/>
    <mergeCell ref="A186:H186"/>
    <mergeCell ref="A182:H182"/>
    <mergeCell ref="A183:H183"/>
    <mergeCell ref="E110:F110"/>
    <mergeCell ref="B177:H177"/>
    <mergeCell ref="A187:H187"/>
    <mergeCell ref="A184:H184"/>
    <mergeCell ref="B173:H173"/>
    <mergeCell ref="C111:D111"/>
    <mergeCell ref="E111:F111"/>
    <mergeCell ref="B117:B118"/>
    <mergeCell ref="B172:H172"/>
    <mergeCell ref="A115:H115"/>
    <mergeCell ref="C117:C118"/>
    <mergeCell ref="A121:H121"/>
    <mergeCell ref="A74:B74"/>
    <mergeCell ref="E70:F70"/>
    <mergeCell ref="A63:C63"/>
    <mergeCell ref="D63:H63"/>
    <mergeCell ref="A66:C66"/>
    <mergeCell ref="D66:H66"/>
    <mergeCell ref="A64:C64"/>
    <mergeCell ref="A110:B110"/>
    <mergeCell ref="D117:D118"/>
    <mergeCell ref="E117:E118"/>
    <mergeCell ref="G117:H118"/>
    <mergeCell ref="A76:B76"/>
    <mergeCell ref="F96:H96"/>
    <mergeCell ref="G111:H111"/>
    <mergeCell ref="C110:D110"/>
    <mergeCell ref="G110:H110"/>
    <mergeCell ref="A96:E96"/>
    <mergeCell ref="F95:H95"/>
    <mergeCell ref="A81:B81"/>
    <mergeCell ref="A122:B122"/>
    <mergeCell ref="C38:H38"/>
    <mergeCell ref="A50:B50"/>
    <mergeCell ref="A54:H54"/>
    <mergeCell ref="A55:C55"/>
    <mergeCell ref="A56:C56"/>
    <mergeCell ref="D56:H56"/>
    <mergeCell ref="G53:H53"/>
    <mergeCell ref="C52:H52"/>
    <mergeCell ref="A17:B17"/>
    <mergeCell ref="C17:H17"/>
    <mergeCell ref="E42:H42"/>
    <mergeCell ref="A42:D42"/>
    <mergeCell ref="A49:B49"/>
    <mergeCell ref="C49:E49"/>
    <mergeCell ref="G49:H49"/>
    <mergeCell ref="G51:H51"/>
    <mergeCell ref="D55:H55"/>
    <mergeCell ref="C51:E51"/>
    <mergeCell ref="A24:D24"/>
    <mergeCell ref="E24:H24"/>
    <mergeCell ref="C21:D21"/>
    <mergeCell ref="E21:F21"/>
    <mergeCell ref="G21:H21"/>
    <mergeCell ref="E26:H26"/>
    <mergeCell ref="L153:M153"/>
    <mergeCell ref="A154:B154"/>
    <mergeCell ref="L154:M154"/>
    <mergeCell ref="A155:B155"/>
    <mergeCell ref="A87:B87"/>
    <mergeCell ref="A88:B88"/>
    <mergeCell ref="A89:B89"/>
    <mergeCell ref="A90:B90"/>
    <mergeCell ref="A91:B91"/>
    <mergeCell ref="A92:B92"/>
    <mergeCell ref="A93:B93"/>
    <mergeCell ref="A94:B94"/>
    <mergeCell ref="A119:H119"/>
    <mergeCell ref="A114:H114"/>
    <mergeCell ref="A120:H120"/>
    <mergeCell ref="A116:H116"/>
    <mergeCell ref="A131:B131"/>
    <mergeCell ref="A117:A118"/>
    <mergeCell ref="L124:M124"/>
    <mergeCell ref="L121:M121"/>
    <mergeCell ref="A123:B123"/>
    <mergeCell ref="L122:M122"/>
    <mergeCell ref="A124:B124"/>
    <mergeCell ref="L123:M123"/>
    <mergeCell ref="A165:B165"/>
    <mergeCell ref="L165:M165"/>
    <mergeCell ref="A166:B166"/>
    <mergeCell ref="L166:M166"/>
    <mergeCell ref="A167:B167"/>
    <mergeCell ref="A143:H143"/>
    <mergeCell ref="A144:H144"/>
    <mergeCell ref="A145:H145"/>
    <mergeCell ref="L145:M145"/>
    <mergeCell ref="A146:B146"/>
    <mergeCell ref="L146:M146"/>
    <mergeCell ref="A147:B147"/>
    <mergeCell ref="L147:M147"/>
    <mergeCell ref="A148:B148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A153:B153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64:B164"/>
    <mergeCell ref="L164:M164"/>
    <mergeCell ref="B181:H181"/>
    <mergeCell ref="L167:M167"/>
    <mergeCell ref="A168:B168"/>
    <mergeCell ref="A169:B169"/>
    <mergeCell ref="L169:M169"/>
    <mergeCell ref="A170:B170"/>
    <mergeCell ref="C165:F165"/>
    <mergeCell ref="A112:B112"/>
    <mergeCell ref="C112:D112"/>
    <mergeCell ref="E112:F112"/>
    <mergeCell ref="G112:H112"/>
    <mergeCell ref="A113:B113"/>
    <mergeCell ref="C113:D113"/>
    <mergeCell ref="E113:F113"/>
    <mergeCell ref="G113:H113"/>
    <mergeCell ref="A156:B156"/>
    <mergeCell ref="L156:M156"/>
    <mergeCell ref="A157:B157"/>
    <mergeCell ref="G146:H157"/>
    <mergeCell ref="A158:H158"/>
    <mergeCell ref="L158:M158"/>
    <mergeCell ref="A159:B159"/>
    <mergeCell ref="G159:H170"/>
    <mergeCell ref="L159:M159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70" max="7" man="1"/>
    <brk id="192" max="7" man="1"/>
    <brk id="234" max="7" man="1"/>
    <brk id="263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8" sqref="B18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7" t="s">
        <v>110</v>
      </c>
      <c r="C3" s="177"/>
      <c r="D3" s="177"/>
      <c r="E3" s="177"/>
      <c r="F3" s="177"/>
      <c r="G3" s="177"/>
      <c r="H3" s="177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2025-07-09T11:25:00Z</cp:lastPrinted>
  <dcterms:created xsi:type="dcterms:W3CDTF">2019-07-16T09:29:46Z</dcterms:created>
  <dcterms:modified xsi:type="dcterms:W3CDTF">2025-07-09T11:28:41Z</dcterms:modified>
</cp:coreProperties>
</file>