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Note" sheetId="4" r:id="rId3"/>
  </sheets>
  <definedNames>
    <definedName name="_xlnm.Print_Area" localSheetId="0">Report!$A$1:$H$221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1" l="1"/>
  <c r="E7" i="1" l="1"/>
  <c r="C70" i="1" l="1"/>
  <c r="E3" i="1"/>
  <c r="I102" i="1" l="1"/>
  <c r="D114" i="1"/>
  <c r="D113" i="1"/>
  <c r="D111" i="1"/>
  <c r="D110" i="1"/>
  <c r="D109" i="1"/>
  <c r="D106" i="1"/>
  <c r="D105" i="1"/>
  <c r="D107" i="1"/>
  <c r="D103" i="1"/>
  <c r="D104" i="1"/>
  <c r="D102" i="1"/>
  <c r="D100" i="1"/>
  <c r="D99" i="1"/>
  <c r="D98" i="1"/>
  <c r="D97" i="1"/>
  <c r="D96" i="1"/>
  <c r="D95" i="1"/>
  <c r="C63" i="1"/>
  <c r="E87" i="1" l="1"/>
  <c r="C87" i="1"/>
  <c r="F100" i="1"/>
  <c r="F110" i="1" l="1"/>
  <c r="F109" i="1"/>
  <c r="F106" i="1"/>
  <c r="F104" i="1"/>
  <c r="F105" i="1"/>
  <c r="F107" i="1"/>
  <c r="F103" i="1"/>
  <c r="A103" i="1"/>
  <c r="A104" i="1" s="1"/>
  <c r="A105" i="1" s="1"/>
  <c r="A106" i="1" s="1"/>
  <c r="A107" i="1" s="1"/>
  <c r="G102" i="1"/>
  <c r="F102" i="1"/>
  <c r="F113" i="1"/>
  <c r="F114" i="1"/>
  <c r="F111" i="1"/>
  <c r="A110" i="1"/>
  <c r="A111" i="1" s="1"/>
  <c r="A112" i="1" s="1"/>
  <c r="A113" i="1" s="1"/>
  <c r="A114" i="1" s="1"/>
  <c r="G109" i="1"/>
  <c r="F99" i="1"/>
  <c r="E27" i="1" l="1"/>
  <c r="F96" i="1" l="1"/>
  <c r="F97" i="1"/>
  <c r="F98" i="1"/>
  <c r="F95" i="1"/>
  <c r="A96" i="1"/>
  <c r="A97" i="1" s="1"/>
  <c r="A98" i="1" s="1"/>
  <c r="A99" i="1" s="1"/>
  <c r="A100" i="1" s="1"/>
  <c r="G95" i="1"/>
  <c r="G87" i="1" l="1"/>
  <c r="F84" i="1"/>
  <c r="B117" i="1" l="1"/>
  <c r="C13" i="1" l="1"/>
  <c r="F11" i="5" l="1"/>
  <c r="G11" i="5" s="1"/>
  <c r="F10" i="5"/>
  <c r="G10" i="5" s="1"/>
  <c r="F9" i="5"/>
  <c r="G9" i="5" s="1"/>
  <c r="F8" i="5"/>
  <c r="G8" i="5" s="1"/>
  <c r="F7" i="5"/>
  <c r="G7" i="5" s="1"/>
  <c r="F6" i="5"/>
  <c r="G6" i="5" s="1"/>
  <c r="F5" i="5"/>
  <c r="G5" i="5" s="1"/>
  <c r="G12" i="5" s="1"/>
  <c r="D139" i="1"/>
  <c r="J74" i="1"/>
  <c r="J73" i="1"/>
  <c r="J72" i="1"/>
  <c r="J71" i="1"/>
  <c r="D52" i="1"/>
  <c r="G47" i="1"/>
  <c r="G48" i="1" s="1"/>
  <c r="C47" i="1"/>
  <c r="E40" i="1"/>
  <c r="E41" i="1" s="1"/>
  <c r="E24" i="1"/>
  <c r="E22" i="1"/>
  <c r="D57" i="1"/>
  <c r="H64" i="1"/>
  <c r="D76" i="1" l="1"/>
  <c r="D74" i="1"/>
  <c r="D73" i="1"/>
  <c r="D72" i="1"/>
  <c r="D70" i="1"/>
  <c r="D69" i="1"/>
  <c r="D75" i="1"/>
  <c r="D71" i="1"/>
  <c r="J67" i="1"/>
  <c r="J68" i="1"/>
  <c r="J66" i="1"/>
  <c r="J69" i="1"/>
  <c r="J70" i="1" l="1"/>
  <c r="J75" i="1" s="1"/>
  <c r="D67" i="1"/>
  <c r="J76" i="1" l="1"/>
  <c r="E67" i="1"/>
  <c r="I63" i="1" l="1"/>
  <c r="D68" i="1"/>
  <c r="G67" i="1"/>
  <c r="D61" i="1" s="1"/>
  <c r="F62" i="1" s="1"/>
  <c r="D62" i="1" l="1"/>
</calcChain>
</file>

<file path=xl/sharedStrings.xml><?xml version="1.0" encoding="utf-8"?>
<sst xmlns="http://schemas.openxmlformats.org/spreadsheetml/2006/main" count="260" uniqueCount="213">
  <si>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</si>
  <si>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</si>
  <si>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</si>
  <si>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</si>
  <si>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</si>
  <si>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</si>
  <si>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</si>
  <si>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</si>
  <si>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</si>
  <si>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</si>
  <si>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</si>
  <si>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</si>
  <si>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</si>
  <si>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</si>
  <si>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</si>
  <si>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</si>
  <si>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</si>
  <si>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</si>
  <si>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</si>
  <si>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</si>
  <si>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</si>
  <si>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</si>
  <si>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</si>
  <si>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</si>
  <si>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</si>
  <si>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</si>
  <si>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</si>
  <si>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</si>
  <si>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</si>
  <si>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</si>
  <si>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</si>
  <si>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</si>
  <si>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</si>
  <si>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</si>
  <si>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</si>
  <si>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</si>
  <si>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</si>
  <si>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</si>
  <si>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</si>
  <si>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</si>
  <si>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</si>
  <si>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</si>
  <si>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</si>
  <si>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</si>
  <si>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</si>
  <si>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</si>
  <si>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</si>
  <si>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</si>
  <si>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</si>
  <si>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</si>
  <si>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</si>
  <si>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</si>
  <si>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</si>
  <si>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</si>
  <si>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</si>
  <si>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</si>
  <si>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</si>
  <si>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</si>
  <si>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</si>
  <si>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</si>
  <si>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</si>
  <si>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</si>
  <si>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</si>
  <si>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</si>
  <si>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</si>
  <si>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</si>
  <si>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</si>
  <si>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</si>
  <si>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</si>
  <si>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</si>
  <si>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</si>
  <si>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</si>
  <si>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</si>
  <si>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</si>
  <si>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</si>
  <si>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</si>
  <si>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</si>
  <si>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</si>
  <si>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</si>
  <si>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</si>
  <si>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</si>
  <si>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</si>
  <si>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</si>
  <si>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</si>
  <si>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</si>
  <si>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</si>
  <si>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</si>
  <si>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</si>
  <si>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</si>
  <si>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</si>
  <si>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</si>
  <si>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</si>
  <si>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</si>
  <si>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</si>
  <si>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</si>
  <si>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</si>
  <si>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</si>
  <si>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</si>
  <si>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</si>
  <si>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</si>
  <si>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</si>
  <si>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</si>
  <si>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</si>
  <si>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</si>
  <si>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</si>
  <si>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</si>
  <si>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</si>
  <si>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</si>
  <si>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</si>
  <si>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</si>
  <si>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</si>
  <si>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</si>
  <si>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</si>
  <si>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</si>
  <si>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</si>
  <si>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</si>
  <si>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</si>
  <si>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</si>
  <si>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</si>
  <si>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</si>
  <si>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</si>
  <si>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</si>
  <si>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</si>
  <si>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</si>
  <si>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</si>
  <si>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</si>
  <si>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</si>
  <si>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</si>
  <si>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</si>
  <si>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</si>
  <si>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</si>
  <si>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</si>
  <si>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</si>
  <si>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</si>
  <si>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</si>
  <si>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</si>
  <si>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</si>
  <si>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</si>
  <si>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</si>
  <si>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</si>
  <si>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</si>
  <si>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</si>
  <si>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</si>
  <si>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</si>
  <si>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</si>
  <si>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Vitrified tiles flooring, Kitchen Platform, Decorative</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</si>
  <si>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</si>
  <si>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</si>
  <si>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</si>
  <si>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</si>
  <si>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</si>
  <si>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</si>
  <si>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</si>
  <si>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</si>
  <si>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Flat Per Sq. Ft.</t>
  </si>
  <si>
    <t>On Saleable Area</t>
  </si>
  <si>
    <t>Ground Floor for Residential</t>
  </si>
  <si>
    <t>2BHK</t>
  </si>
  <si>
    <t>1BHK</t>
  </si>
  <si>
    <t>B - Type</t>
  </si>
  <si>
    <t>Refuge Area</t>
  </si>
  <si>
    <t>Axis Sanpada</t>
  </si>
  <si>
    <t xml:space="preserve">M/s. Macrotech Developers Limited
</t>
  </si>
  <si>
    <t>1 Building</t>
  </si>
  <si>
    <t>Approved Plans, CC.</t>
  </si>
  <si>
    <t>Survey No</t>
  </si>
  <si>
    <t>Thane</t>
  </si>
  <si>
    <t>Kalyan - Silphata Road</t>
  </si>
  <si>
    <t>Dombivali east</t>
  </si>
  <si>
    <t xml:space="preserve">Kalyan </t>
  </si>
  <si>
    <t xml:space="preserve">4.7 KM from Dombivli
Railway Station
</t>
  </si>
  <si>
    <t>Ekveera Aai Apartment</t>
  </si>
  <si>
    <t xml:space="preserve">Kalyan - Shilphata road
</t>
  </si>
  <si>
    <t>Smart buy Manpada by Lodha</t>
  </si>
  <si>
    <t xml:space="preserve">Town Planning, Thane
</t>
  </si>
  <si>
    <t>rate given from other reoprt of  fiora</t>
  </si>
  <si>
    <t xml:space="preserve"> Sub station</t>
  </si>
  <si>
    <t>Liana A (Cluster - 15.03)</t>
  </si>
  <si>
    <t>P51700033751</t>
  </si>
  <si>
    <t>Liana A</t>
  </si>
  <si>
    <t>65/15A of Mangaon &amp; 212/2 of Hedutane.</t>
  </si>
  <si>
    <t>Mangaon - Hedutane</t>
  </si>
  <si>
    <t>We considered Gross carpet area = Net carpet + Balcony  + Dry Balcony + Chajja Area.</t>
  </si>
  <si>
    <t>Provisional Building Common Area Maintenance (CAM) Charges
for 18 months*</t>
  </si>
  <si>
    <t>Provisional Federation Common Area Maintenance (CAM) Charges
for 60 months*</t>
  </si>
  <si>
    <t>Utility Connection &amp;amp. Related Expenses*</t>
  </si>
  <si>
    <t>Electricity Deposit Reimbursement*</t>
  </si>
  <si>
    <t>Ekatmik Nagar Vasahat/M. Antarli, Khoni
&amp; Other/Sec- B.D.I.O&amp;P/SSTHANE/1384</t>
  </si>
  <si>
    <t>Antarli, Khoni, Hedutane, Kole, Gharivli, Katai, &amp; Mangav, Taluka Kalyan, M.Umbroli, Taluka Ambernath /SSTHANE/1384</t>
  </si>
  <si>
    <t>Liana A - Wing A (Cluster -15.03 ) = G/St + 1st to 23rd Floor</t>
  </si>
  <si>
    <t>2.5BHK</t>
  </si>
  <si>
    <t>Liana A - Wing A - Type B(Cluster -15.03)= G/St + 1st to 23rd Floor</t>
  </si>
  <si>
    <t>Flats - 141</t>
  </si>
  <si>
    <t>1st to 7th, 9th to 12th,
 14th to 17th Floor (15th to 18th Floor as per Builder)
19th to 23rd Floor (20th to 24th Floor as per Builder)
Floor for Residential</t>
  </si>
  <si>
    <t>8th, 13th Floor (14th Floor as per Builder)
18th Floor (19th Floor as per Builder) 
(Part Refuge Area)</t>
  </si>
  <si>
    <t>We have updated Approved Revised plans (on 26/05/2022)</t>
  </si>
  <si>
    <t>Wing A (Type B) (Cluster -15.03)</t>
  </si>
  <si>
    <t xml:space="preserve">Office No. 1031, Wing J, Akshar Business Park, Plot No. 03 Sector 25, Near APMC Market, Vashi, Navi Mumbai, Maharashtra 400703 TEL: 022-46090378/79/80                                                                                                     E mail : vsjcapf@gmail.com. Web site : www.vsjadon.com
</t>
  </si>
  <si>
    <t>Location Link</t>
  </si>
  <si>
    <t>https://goo.gl/maps/RR7USHoJYkA5jUuw6</t>
  </si>
  <si>
    <t>Runwal My City</t>
  </si>
  <si>
    <t>6800 to 7500</t>
  </si>
  <si>
    <t>sanjay</t>
  </si>
  <si>
    <t xml:space="preserve">Recommended Rates/Other Charges of the Property have been revised on 24/02/2024.
</t>
  </si>
  <si>
    <t>On Site, we meet Mr. Rajendra Giri : 9820248856.</t>
  </si>
  <si>
    <t>Latitude,Longitude</t>
  </si>
  <si>
    <t>19.1819563,73.0894868</t>
  </si>
  <si>
    <t>BD/A.N.V.P./Mouje Antarli, Khoni &amp;
Other/SSTN/2293
Approved upto : Liana A (Cluster -15.03 ) - Wing A  = G/St + 1st to 23rd Floor
Total Flats = 141</t>
  </si>
  <si>
    <t>We have updated OC from RERA site (on 15/10/2024).</t>
  </si>
  <si>
    <t>All work completed. OC Received.</t>
  </si>
  <si>
    <t>Completed</t>
  </si>
  <si>
    <t>Pranita Mhatre</t>
  </si>
  <si>
    <t>Krishna Kambali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</si>
</sst>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4" fillId="0" borderId="0" applyNumberFormat="0" applyFill="0" applyBorder="0" applyAlignment="0" applyProtection="0"/>
  </cellStyleXfs>
  <cellXfs count="17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7" xfId="8" applyFont="1" applyFill="1" applyBorder="1" applyAlignment="1" applyProtection="1">
      <alignment horizontal="center" vertical="top" wrapText="1"/>
      <protection locked="0"/>
    </xf>
    <xf numFmtId="0" fontId="17" fillId="0" borderId="0" xfId="0" applyFont="1" applyProtection="1">
      <protection hidden="1"/>
    </xf>
    <xf numFmtId="0" fontId="7" fillId="0" borderId="9" xfId="1" applyFont="1" applyBorder="1" applyProtection="1">
      <protection hidden="1"/>
    </xf>
    <xf numFmtId="0" fontId="7" fillId="0" borderId="0" xfId="1" applyFont="1" applyProtection="1">
      <protection hidden="1"/>
    </xf>
    <xf numFmtId="0" fontId="17" fillId="0" borderId="12"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23" fillId="0" borderId="0" xfId="1" applyFont="1"/>
    <xf numFmtId="0" fontId="7" fillId="0" borderId="10" xfId="1" applyFont="1" applyBorder="1" applyProtection="1">
      <protection hidden="1"/>
    </xf>
    <xf numFmtId="0" fontId="7" fillId="0" borderId="11" xfId="1" applyFont="1" applyBorder="1" applyProtection="1">
      <protection hidden="1"/>
    </xf>
    <xf numFmtId="0" fontId="7" fillId="0" borderId="11" xfId="1" applyFont="1" applyBorder="1"/>
    <xf numFmtId="0" fontId="17" fillId="0" borderId="11" xfId="0" applyFont="1" applyBorder="1" applyProtection="1">
      <protection hidden="1"/>
    </xf>
    <xf numFmtId="1" fontId="0" fillId="0" borderId="11" xfId="0" applyNumberFormat="1" applyBorder="1"/>
    <xf numFmtId="1" fontId="0" fillId="0" borderId="11" xfId="0" applyNumberFormat="1" applyBorder="1" applyAlignment="1">
      <alignment horizontal="right"/>
    </xf>
    <xf numFmtId="1" fontId="0" fillId="0" borderId="13"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9" fontId="12" fillId="0" borderId="1" xfId="8" applyFont="1" applyFill="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2"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4" fontId="16" fillId="0" borderId="0" xfId="1" applyNumberFormat="1" applyFont="1"/>
    <xf numFmtId="0" fontId="6" fillId="0" borderId="1" xfId="1" applyFont="1" applyBorder="1" applyAlignment="1" applyProtection="1">
      <alignment horizontal="left" vertical="top"/>
      <protection locked="0"/>
    </xf>
    <xf numFmtId="0" fontId="24" fillId="0" borderId="7" xfId="10" applyBorder="1" applyAlignment="1" applyProtection="1">
      <alignment horizontal="left"/>
      <protection locked="0"/>
    </xf>
    <xf numFmtId="0" fontId="7" fillId="0" borderId="22" xfId="1" applyFont="1" applyBorder="1" applyAlignment="1" applyProtection="1">
      <alignment horizontal="left"/>
      <protection locked="0"/>
    </xf>
    <xf numFmtId="0" fontId="7" fillId="0" borderId="8" xfId="1" applyFont="1" applyBorder="1" applyAlignment="1" applyProtection="1">
      <alignment horizontal="left"/>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2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6" fillId="0" borderId="7" xfId="1" applyFont="1" applyBorder="1" applyAlignment="1" applyProtection="1">
      <alignment horizontal="left" vertical="top" wrapText="1"/>
      <protection locked="0"/>
    </xf>
    <xf numFmtId="0" fontId="6" fillId="0" borderId="22"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7" fillId="0" borderId="26" xfId="1" applyFont="1" applyBorder="1" applyAlignment="1">
      <alignment horizontal="center"/>
    </xf>
    <xf numFmtId="0" fontId="7" fillId="0" borderId="0" xfId="1" applyFont="1" applyAlignment="1">
      <alignment horizontal="center"/>
    </xf>
    <xf numFmtId="0" fontId="7" fillId="0" borderId="0" xfId="1"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0" fontId="8" fillId="0" borderId="17" xfId="1" applyFont="1" applyBorder="1" applyAlignment="1" applyProtection="1">
      <alignment horizontal="left" vertical="top"/>
      <protection locked="0"/>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8" fillId="0" borderId="17" xfId="1" applyFont="1" applyBorder="1" applyAlignment="1" applyProtection="1">
      <alignment horizontal="center" vertical="top"/>
      <protection locked="0"/>
    </xf>
    <xf numFmtId="1" fontId="8" fillId="0" borderId="7" xfId="1" applyNumberFormat="1" applyFont="1" applyBorder="1" applyAlignment="1" applyProtection="1">
      <alignment horizontal="center" vertical="center" wrapText="1"/>
      <protection locked="0"/>
    </xf>
    <xf numFmtId="1" fontId="8" fillId="0" borderId="22"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67" fontId="13"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2"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8" fillId="0" borderId="2"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2"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6" fillId="0" borderId="22"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left" vertical="top" wrapText="1"/>
      <protection locked="0"/>
    </xf>
    <xf numFmtId="1" fontId="8"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4" fillId="0" borderId="2" xfId="1" applyNumberFormat="1" applyFont="1" applyBorder="1" applyAlignment="1" applyProtection="1">
      <alignment horizontal="center" vertical="top" wrapText="1"/>
      <protection locked="0"/>
    </xf>
    <xf numFmtId="1" fontId="4"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0" fillId="0" borderId="7" xfId="1" applyFont="1" applyBorder="1" applyAlignment="1" applyProtection="1">
      <alignment horizontal="left"/>
      <protection locked="0"/>
    </xf>
    <xf numFmtId="0" fontId="10" fillId="0" borderId="22" xfId="1" applyFont="1" applyBorder="1" applyAlignment="1" applyProtection="1">
      <alignment horizontal="left"/>
      <protection locked="0"/>
    </xf>
    <xf numFmtId="0" fontId="10" fillId="0" borderId="8" xfId="1" applyFont="1" applyBorder="1" applyAlignment="1" applyProtection="1">
      <alignment horizontal="left"/>
      <protection locked="0"/>
    </xf>
    <xf numFmtId="0" fontId="13" fillId="0" borderId="3" xfId="1" applyFont="1" applyBorder="1" applyAlignment="1" applyProtection="1">
      <alignment horizontal="left" vertical="top"/>
      <protection locked="0"/>
    </xf>
    <xf numFmtId="0" fontId="13" fillId="0" borderId="23"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9" fontId="12" fillId="0" borderId="18" xfId="8" applyFont="1" applyFill="1" applyBorder="1" applyAlignment="1" applyProtection="1">
      <alignment horizontal="center" vertical="center" wrapText="1"/>
      <protection locked="0"/>
    </xf>
    <xf numFmtId="9" fontId="12" fillId="0" borderId="19"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30" xfId="8" applyFont="1" applyFill="1" applyBorder="1" applyAlignment="1" applyProtection="1">
      <alignment horizontal="center" vertical="center" wrapText="1"/>
      <protection locked="0"/>
    </xf>
    <xf numFmtId="0" fontId="6" fillId="0" borderId="2"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14" fontId="8" fillId="0" borderId="7" xfId="1" applyNumberFormat="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3" fillId="0" borderId="7" xfId="1" applyFont="1" applyBorder="1" applyAlignment="1" applyProtection="1">
      <alignment horizontal="left" vertical="top" wrapText="1"/>
      <protection locked="0"/>
    </xf>
    <xf numFmtId="0" fontId="13" fillId="0" borderId="22"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9" fontId="12" fillId="0" borderId="28"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9" fontId="12" fillId="0" borderId="13" xfId="8"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752475</xdr:colOff>
      <xdr:row>180</xdr:row>
      <xdr:rowOff>19050</xdr:rowOff>
    </xdr:from>
    <xdr:to>
      <xdr:col>7</xdr:col>
      <xdr:colOff>5283</xdr:colOff>
      <xdr:row>198</xdr:row>
      <xdr:rowOff>18600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52475" y="41033700"/>
          <a:ext cx="5367858" cy="3600000"/>
        </a:xfrm>
        <a:prstGeom prst="rect">
          <a:avLst/>
        </a:prstGeom>
        <a:ln>
          <a:solidFill>
            <a:schemeClr val="tx1"/>
          </a:solidFill>
        </a:ln>
      </xdr:spPr>
    </xdr:pic>
    <xdr:clientData/>
  </xdr:twoCellAnchor>
  <xdr:twoCellAnchor editAs="oneCell">
    <xdr:from>
      <xdr:col>0</xdr:col>
      <xdr:colOff>752475</xdr:colOff>
      <xdr:row>199</xdr:row>
      <xdr:rowOff>18166</xdr:rowOff>
    </xdr:from>
    <xdr:to>
      <xdr:col>7</xdr:col>
      <xdr:colOff>21352</xdr:colOff>
      <xdr:row>217</xdr:row>
      <xdr:rowOff>17716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52475" y="44833291"/>
          <a:ext cx="5383927" cy="3600000"/>
        </a:xfrm>
        <a:prstGeom prst="rect">
          <a:avLst/>
        </a:prstGeom>
        <a:ln>
          <a:solidFill>
            <a:schemeClr val="tx1"/>
          </a:solidFill>
        </a:ln>
      </xdr:spPr>
    </xdr:pic>
    <xdr:clientData/>
  </xdr:twoCellAnchor>
  <xdr:twoCellAnchor>
    <xdr:from>
      <xdr:col>0</xdr:col>
      <xdr:colOff>394607</xdr:colOff>
      <xdr:row>139</xdr:row>
      <xdr:rowOff>0</xdr:rowOff>
    </xdr:from>
    <xdr:to>
      <xdr:col>7</xdr:col>
      <xdr:colOff>326571</xdr:colOff>
      <xdr:row>177</xdr:row>
      <xdr:rowOff>0</xdr:rowOff>
    </xdr:to>
    <xdr:grpSp>
      <xdr:nvGrpSpPr>
        <xdr:cNvPr id="14" name="Group 13"/>
        <xdr:cNvGrpSpPr/>
      </xdr:nvGrpSpPr>
      <xdr:grpSpPr>
        <a:xfrm>
          <a:off x="394607" y="32575500"/>
          <a:ext cx="5627914" cy="7591425"/>
          <a:chOff x="806831" y="253411"/>
          <a:chExt cx="5293239" cy="7571744"/>
        </a:xfrm>
      </xdr:grpSpPr>
      <xdr:pic>
        <xdr:nvPicPr>
          <xdr:cNvPr id="15" name="Picture 14" descr="https://vsjcllp.vsjadon.com/upload/insp-239708-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3361" y="6348755"/>
            <a:ext cx="1966709" cy="14763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39708-84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39815" y="6348755"/>
            <a:ext cx="1966709" cy="14763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39708-847.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06831" y="6348755"/>
            <a:ext cx="1106147" cy="1476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9708-851.jp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6521" y="253411"/>
            <a:ext cx="4471339" cy="59680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R7USHoJYkA5jUuw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79"/>
  <sheetViews>
    <sheetView tabSelected="1" view="pageBreakPreview" topLeftCell="A7" zoomScaleNormal="100" zoomScaleSheetLayoutView="100" workbookViewId="0">
      <selection activeCell="J19" sqref="J19"/>
    </sheetView>
  </sheetViews>
  <sheetFormatPr defaultColWidth="9.140625" defaultRowHeight="15.75" x14ac:dyDescent="0.25"/>
  <cols>
    <col min="1" max="1" width="11.42578125" style="40" customWidth="1"/>
    <col min="2" max="2" width="12" style="40" customWidth="1"/>
    <col min="3" max="3" width="12.7109375" style="40" customWidth="1"/>
    <col min="4" max="4" width="14.140625" style="40" customWidth="1"/>
    <col min="5" max="7" width="11.7109375" style="40" customWidth="1"/>
    <col min="8" max="8" width="12.42578125" style="40" customWidth="1"/>
    <col min="9" max="9" width="17.42578125" style="21" customWidth="1"/>
    <col min="10" max="10" width="11.42578125" style="21" customWidth="1"/>
    <col min="11" max="11" width="10.5703125" style="21" bestFit="1" customWidth="1"/>
    <col min="12" max="12" width="10.5703125" style="21" customWidth="1"/>
    <col min="13" max="13" width="11.85546875" style="21" customWidth="1"/>
    <col min="14" max="14" width="12.5703125" style="21" customWidth="1"/>
    <col min="15" max="15" width="9.85546875" style="21" customWidth="1"/>
    <col min="16" max="16" width="11.7109375" style="21" customWidth="1"/>
    <col min="17"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8" ht="46.5" customHeight="1" x14ac:dyDescent="0.25">
      <c r="A1" s="119" t="s">
        <v>197</v>
      </c>
      <c r="B1" s="119"/>
      <c r="C1" s="119"/>
      <c r="D1" s="119"/>
      <c r="E1" s="119"/>
      <c r="F1" s="119"/>
      <c r="G1" s="119"/>
      <c r="H1" s="119"/>
    </row>
    <row r="2" spans="1:8" ht="16.5" customHeight="1" x14ac:dyDescent="0.25">
      <c r="A2" s="99" t="s">
        <v>0</v>
      </c>
      <c r="B2" s="99"/>
      <c r="C2" s="99"/>
      <c r="D2" s="99"/>
      <c r="E2" s="99"/>
      <c r="F2" s="99"/>
      <c r="G2" s="99"/>
      <c r="H2" s="99"/>
    </row>
    <row r="3" spans="1:8" x14ac:dyDescent="0.25">
      <c r="A3" s="120" t="s">
        <v>1</v>
      </c>
      <c r="B3" s="120"/>
      <c r="C3" s="120"/>
      <c r="D3" s="120"/>
      <c r="E3" s="121" t="str">
        <f ca="1">TEXT(TODAY(),"DD/MM/YYYY")</f>
        <v>09/07/2025</v>
      </c>
      <c r="F3" s="120"/>
      <c r="G3" s="120"/>
      <c r="H3" s="120"/>
    </row>
    <row r="4" spans="1:8" ht="15" customHeight="1" x14ac:dyDescent="0.25">
      <c r="A4" s="120" t="s">
        <v>2</v>
      </c>
      <c r="B4" s="120"/>
      <c r="C4" s="120"/>
      <c r="D4" s="120"/>
      <c r="E4" s="120" t="s">
        <v>161</v>
      </c>
      <c r="F4" s="120"/>
      <c r="G4" s="120"/>
      <c r="H4" s="120"/>
    </row>
    <row r="5" spans="1:8" x14ac:dyDescent="0.25">
      <c r="A5" s="120" t="s">
        <v>3</v>
      </c>
      <c r="B5" s="120"/>
      <c r="C5" s="120"/>
      <c r="D5" s="120"/>
      <c r="E5" s="121">
        <v>45846</v>
      </c>
      <c r="F5" s="121"/>
      <c r="G5" s="121"/>
      <c r="H5" s="121"/>
    </row>
    <row r="6" spans="1:8" ht="16.5" customHeight="1" x14ac:dyDescent="0.25">
      <c r="A6" s="120" t="s">
        <v>4</v>
      </c>
      <c r="B6" s="120"/>
      <c r="C6" s="120"/>
      <c r="D6" s="120"/>
      <c r="E6" s="85" t="s">
        <v>162</v>
      </c>
      <c r="F6" s="120"/>
      <c r="G6" s="120"/>
      <c r="H6" s="120"/>
    </row>
    <row r="7" spans="1:8" ht="15" customHeight="1" x14ac:dyDescent="0.25">
      <c r="A7" s="120" t="s">
        <v>5</v>
      </c>
      <c r="B7" s="120"/>
      <c r="C7" s="120"/>
      <c r="D7" s="120"/>
      <c r="E7" s="120" t="str">
        <f>E6</f>
        <v xml:space="preserve">M/s. Macrotech Developers Limited
</v>
      </c>
      <c r="F7" s="120"/>
      <c r="G7" s="120"/>
      <c r="H7" s="120"/>
    </row>
    <row r="8" spans="1:8" x14ac:dyDescent="0.25">
      <c r="A8" s="120" t="s">
        <v>6</v>
      </c>
      <c r="B8" s="120"/>
      <c r="C8" s="120"/>
      <c r="D8" s="120"/>
      <c r="E8" s="122" t="s">
        <v>179</v>
      </c>
      <c r="F8" s="122"/>
      <c r="G8" s="122"/>
      <c r="H8" s="122"/>
    </row>
    <row r="9" spans="1:8" x14ac:dyDescent="0.25">
      <c r="A9" s="120" t="s">
        <v>118</v>
      </c>
      <c r="B9" s="120"/>
      <c r="C9" s="120"/>
      <c r="D9" s="120"/>
      <c r="E9" s="120">
        <v>8104395863</v>
      </c>
      <c r="F9" s="120"/>
      <c r="G9" s="120"/>
      <c r="H9" s="120"/>
    </row>
    <row r="10" spans="1:8" x14ac:dyDescent="0.25">
      <c r="A10" s="120" t="s">
        <v>7</v>
      </c>
      <c r="B10" s="120"/>
      <c r="C10" s="120"/>
      <c r="D10" s="120"/>
      <c r="E10" s="120" t="s">
        <v>196</v>
      </c>
      <c r="F10" s="120"/>
      <c r="G10" s="120"/>
      <c r="H10" s="120"/>
    </row>
    <row r="11" spans="1:8" x14ac:dyDescent="0.25">
      <c r="A11" s="55" t="s">
        <v>8</v>
      </c>
      <c r="B11" s="55"/>
      <c r="C11" s="55"/>
      <c r="D11" s="55"/>
      <c r="E11" s="85" t="s">
        <v>164</v>
      </c>
      <c r="F11" s="85"/>
      <c r="G11" s="85"/>
      <c r="H11" s="85"/>
    </row>
    <row r="12" spans="1:8" x14ac:dyDescent="0.25">
      <c r="A12" s="55" t="s">
        <v>9</v>
      </c>
      <c r="B12" s="55"/>
      <c r="C12" s="55"/>
      <c r="D12" s="55"/>
      <c r="E12" s="85" t="s">
        <v>178</v>
      </c>
      <c r="F12" s="120"/>
      <c r="G12" s="120"/>
      <c r="H12" s="120"/>
    </row>
    <row r="13" spans="1:8" ht="49.5" customHeight="1" x14ac:dyDescent="0.25">
      <c r="A13" s="81" t="s">
        <v>10</v>
      </c>
      <c r="B13" s="81"/>
      <c r="C13" s="81" t="str">
        <f>CONCATENATE((IF(OR(E8="",E8="NA"),"",E8)),", ",(IF(OR(A14="",A14="NA"),"",A14)),".",(IF(OR(C14="",C14="NA"),"",C14)),", near ",(IF(OR(C18="",C18="NA"),"",C18)),", ",(IF(OR(C15="",C15="NA"),"",C15)),", ",(IF(OR(G15="",G15="NA"),"",G15)),", ",(IF(OR(C16="",C16="NA"),"",C16)),", ",(IF(OR(C17="",C17="NA"),"",C17)),", ",(IF(OR(G16="",G16="NA"),"",G16))," - ",(IF(OR(G17="",G17="NA"),"",G17)),".")</f>
        <v>Liana A, Survey No.65/15A of Mangaon &amp; 212/2 of Hedutane., near Runwal My City, Kalyan - Silphata Road, Mangaon - Hedutane, Dombivali east, Kalyan , Thane - 421203.</v>
      </c>
      <c r="D13" s="81"/>
      <c r="E13" s="81"/>
      <c r="F13" s="81"/>
      <c r="G13" s="81"/>
      <c r="H13" s="81"/>
    </row>
    <row r="14" spans="1:8" x14ac:dyDescent="0.25">
      <c r="A14" s="85" t="s">
        <v>165</v>
      </c>
      <c r="B14" s="85"/>
      <c r="C14" s="85" t="s">
        <v>180</v>
      </c>
      <c r="D14" s="85"/>
      <c r="E14" s="85"/>
      <c r="F14" s="85"/>
      <c r="G14" s="85"/>
      <c r="H14" s="85"/>
    </row>
    <row r="15" spans="1:8" ht="15.75" customHeight="1" x14ac:dyDescent="0.25">
      <c r="A15" s="81" t="s">
        <v>11</v>
      </c>
      <c r="B15" s="81"/>
      <c r="C15" s="120" t="s">
        <v>167</v>
      </c>
      <c r="D15" s="120"/>
      <c r="E15" s="81" t="s">
        <v>75</v>
      </c>
      <c r="F15" s="81"/>
      <c r="G15" s="85" t="s">
        <v>181</v>
      </c>
      <c r="H15" s="85"/>
    </row>
    <row r="16" spans="1:8" x14ac:dyDescent="0.25">
      <c r="A16" s="55" t="s">
        <v>13</v>
      </c>
      <c r="B16" s="55"/>
      <c r="C16" s="85" t="s">
        <v>168</v>
      </c>
      <c r="D16" s="85"/>
      <c r="E16" s="81" t="s">
        <v>12</v>
      </c>
      <c r="F16" s="81"/>
      <c r="G16" s="123" t="s">
        <v>166</v>
      </c>
      <c r="H16" s="123"/>
    </row>
    <row r="17" spans="1:8" x14ac:dyDescent="0.25">
      <c r="A17" s="55" t="s">
        <v>76</v>
      </c>
      <c r="B17" s="55"/>
      <c r="C17" s="85" t="s">
        <v>169</v>
      </c>
      <c r="D17" s="85"/>
      <c r="E17" s="81" t="s">
        <v>14</v>
      </c>
      <c r="F17" s="81"/>
      <c r="G17" s="85">
        <v>421203</v>
      </c>
      <c r="H17" s="85"/>
    </row>
    <row r="18" spans="1:8" ht="32.25" customHeight="1" x14ac:dyDescent="0.25">
      <c r="A18" s="55" t="s">
        <v>119</v>
      </c>
      <c r="B18" s="55"/>
      <c r="C18" s="85" t="s">
        <v>200</v>
      </c>
      <c r="D18" s="85"/>
      <c r="E18" s="81" t="s">
        <v>15</v>
      </c>
      <c r="F18" s="81"/>
      <c r="G18" s="85" t="s">
        <v>170</v>
      </c>
      <c r="H18" s="85"/>
    </row>
    <row r="19" spans="1:8" ht="15" customHeight="1" x14ac:dyDescent="0.25">
      <c r="A19" s="81" t="s">
        <v>78</v>
      </c>
      <c r="B19" s="81"/>
      <c r="C19" s="81"/>
      <c r="D19" s="81"/>
      <c r="E19" s="120" t="s">
        <v>16</v>
      </c>
      <c r="F19" s="120"/>
      <c r="G19" s="120"/>
      <c r="H19" s="120"/>
    </row>
    <row r="20" spans="1:8" ht="18.75" customHeight="1" x14ac:dyDescent="0.25">
      <c r="A20" s="81"/>
      <c r="B20" s="81"/>
      <c r="C20" s="81"/>
      <c r="D20" s="81"/>
      <c r="E20" s="120"/>
      <c r="F20" s="120"/>
      <c r="G20" s="120"/>
      <c r="H20" s="120"/>
    </row>
    <row r="21" spans="1:8" ht="15" customHeight="1" x14ac:dyDescent="0.25">
      <c r="A21" s="81" t="s">
        <v>17</v>
      </c>
      <c r="B21" s="81"/>
      <c r="C21" s="81"/>
      <c r="D21" s="81"/>
      <c r="E21" s="85" t="s">
        <v>18</v>
      </c>
      <c r="F21" s="85"/>
      <c r="G21" s="85"/>
      <c r="H21" s="85"/>
    </row>
    <row r="22" spans="1:8" ht="15" customHeight="1" x14ac:dyDescent="0.25">
      <c r="A22" s="55" t="s">
        <v>19</v>
      </c>
      <c r="B22" s="55"/>
      <c r="C22" s="55"/>
      <c r="D22" s="55"/>
      <c r="E22" s="85" t="str">
        <f>IF(AND(G16="Mumbai"),"Upper Class","Middle Class")</f>
        <v>Middle Class</v>
      </c>
      <c r="F22" s="85"/>
      <c r="G22" s="85"/>
      <c r="H22" s="85"/>
    </row>
    <row r="23" spans="1:8" x14ac:dyDescent="0.25">
      <c r="A23" s="55" t="s">
        <v>20</v>
      </c>
      <c r="B23" s="55"/>
      <c r="C23" s="55"/>
      <c r="D23" s="55"/>
      <c r="E23" s="85" t="s">
        <v>21</v>
      </c>
      <c r="F23" s="85"/>
      <c r="G23" s="85"/>
      <c r="H23" s="85"/>
    </row>
    <row r="24" spans="1:8" ht="15.75" customHeight="1" x14ac:dyDescent="0.25">
      <c r="A24" s="55" t="s">
        <v>22</v>
      </c>
      <c r="B24" s="55"/>
      <c r="C24" s="55"/>
      <c r="D24" s="55"/>
      <c r="E24" s="85" t="str">
        <f>IF(AND(G16="Mumbai"),"Developed","Developing")</f>
        <v>Developing</v>
      </c>
      <c r="F24" s="85"/>
      <c r="G24" s="85"/>
      <c r="H24" s="85"/>
    </row>
    <row r="25" spans="1:8" x14ac:dyDescent="0.25">
      <c r="A25" s="55" t="s">
        <v>23</v>
      </c>
      <c r="B25" s="55"/>
      <c r="C25" s="55"/>
      <c r="D25" s="55"/>
      <c r="E25" s="85" t="s">
        <v>24</v>
      </c>
      <c r="F25" s="85"/>
      <c r="G25" s="85"/>
      <c r="H25" s="85"/>
    </row>
    <row r="26" spans="1:8" ht="15.75" customHeight="1" x14ac:dyDescent="0.25">
      <c r="A26" s="55" t="s">
        <v>83</v>
      </c>
      <c r="B26" s="55"/>
      <c r="C26" s="55"/>
      <c r="D26" s="55"/>
      <c r="E26" s="85" t="s">
        <v>84</v>
      </c>
      <c r="F26" s="85"/>
      <c r="G26" s="85"/>
      <c r="H26" s="85"/>
    </row>
    <row r="27" spans="1:8" ht="15" customHeight="1" x14ac:dyDescent="0.25">
      <c r="A27" s="55" t="s">
        <v>33</v>
      </c>
      <c r="B27" s="55"/>
      <c r="C27" s="55"/>
      <c r="D27" s="55"/>
      <c r="E27" s="85" t="str">
        <f>IF(AND(ISNUMBER(SEARCH("Flat",D53)),ISNUMBER(SEARCH("Shop",D53)),ISNUMBER(SEARCH("Office",D53))),"Residential + Commercial",IF(AND(ISNUMBER(SEARCH("Flat",D53)),ISNUMBER(SEARCH("Shop",D53))),"Residential + Commercial",IF(AND(ISNUMBER(SEARCH("Flat",D53)),ISNUMBER(SEARCH("Office",D53))),"Residential + Commercial",IF(AND(ISNUMBER(SEARCH("Shop",D53)),ISNUMBER(SEARCH("Office",D53))),"Commercial",IF(ISNUMBER(SEARCH("Shop",D53)),"Commercial",IF(ISNUMBER(SEARCH("Office",D53)),"Commercial",IF(ISNUMBER(SEARCH("Flat",D53)),"Residentail")))))))</f>
        <v>Residentail</v>
      </c>
      <c r="F27" s="85"/>
      <c r="G27" s="85"/>
      <c r="H27" s="85"/>
    </row>
    <row r="28" spans="1:8" ht="15.75" customHeight="1" x14ac:dyDescent="0.25">
      <c r="A28" s="55" t="s">
        <v>95</v>
      </c>
      <c r="B28" s="55"/>
      <c r="C28" s="55"/>
      <c r="D28" s="55"/>
      <c r="E28" s="85" t="s">
        <v>34</v>
      </c>
      <c r="F28" s="85"/>
      <c r="G28" s="85"/>
      <c r="H28" s="85"/>
    </row>
    <row r="29" spans="1:8" s="22" customFormat="1" x14ac:dyDescent="0.25">
      <c r="A29" s="127" t="s">
        <v>96</v>
      </c>
      <c r="B29" s="127"/>
      <c r="C29" s="126" t="s">
        <v>29</v>
      </c>
      <c r="D29" s="126"/>
      <c r="E29" s="126"/>
      <c r="F29" s="126" t="s">
        <v>31</v>
      </c>
      <c r="G29" s="126"/>
      <c r="H29" s="126"/>
    </row>
    <row r="30" spans="1:8" s="22" customFormat="1" x14ac:dyDescent="0.25">
      <c r="A30" s="125" t="s">
        <v>25</v>
      </c>
      <c r="B30" s="125" t="s">
        <v>30</v>
      </c>
      <c r="C30" s="124" t="s">
        <v>30</v>
      </c>
      <c r="D30" s="124"/>
      <c r="E30" s="124"/>
      <c r="F30" s="124" t="s">
        <v>171</v>
      </c>
      <c r="G30" s="124"/>
      <c r="H30" s="124"/>
    </row>
    <row r="31" spans="1:8" x14ac:dyDescent="0.25">
      <c r="A31" s="125" t="s">
        <v>26</v>
      </c>
      <c r="B31" s="125" t="s">
        <v>30</v>
      </c>
      <c r="C31" s="124" t="s">
        <v>30</v>
      </c>
      <c r="D31" s="124"/>
      <c r="E31" s="124"/>
      <c r="F31" s="80" t="s">
        <v>172</v>
      </c>
      <c r="G31" s="124"/>
      <c r="H31" s="124"/>
    </row>
    <row r="32" spans="1:8" s="22" customFormat="1" x14ac:dyDescent="0.25">
      <c r="A32" s="125" t="s">
        <v>28</v>
      </c>
      <c r="B32" s="125" t="s">
        <v>30</v>
      </c>
      <c r="C32" s="124" t="s">
        <v>30</v>
      </c>
      <c r="D32" s="124"/>
      <c r="E32" s="124"/>
      <c r="F32" s="124" t="s">
        <v>176</v>
      </c>
      <c r="G32" s="124"/>
      <c r="H32" s="124"/>
    </row>
    <row r="33" spans="1:8" x14ac:dyDescent="0.25">
      <c r="A33" s="125" t="s">
        <v>27</v>
      </c>
      <c r="B33" s="125" t="s">
        <v>30</v>
      </c>
      <c r="C33" s="124" t="s">
        <v>30</v>
      </c>
      <c r="D33" s="124"/>
      <c r="E33" s="124"/>
      <c r="F33" s="124" t="s">
        <v>173</v>
      </c>
      <c r="G33" s="124"/>
      <c r="H33" s="124"/>
    </row>
    <row r="34" spans="1:8" x14ac:dyDescent="0.25">
      <c r="A34" s="55" t="s">
        <v>32</v>
      </c>
      <c r="B34" s="55"/>
      <c r="C34" s="55"/>
      <c r="D34" s="55"/>
      <c r="E34" s="55"/>
      <c r="F34" s="55"/>
      <c r="G34" s="55"/>
      <c r="H34" s="55"/>
    </row>
    <row r="35" spans="1:8" ht="15.75" customHeight="1" x14ac:dyDescent="0.25">
      <c r="A35" s="55" t="s">
        <v>205</v>
      </c>
      <c r="B35" s="55"/>
      <c r="C35" s="128" t="s">
        <v>206</v>
      </c>
      <c r="D35" s="129"/>
      <c r="E35" s="129"/>
      <c r="F35" s="129"/>
      <c r="G35" s="129"/>
      <c r="H35" s="130"/>
    </row>
    <row r="36" spans="1:8" ht="15.75" customHeight="1" x14ac:dyDescent="0.25">
      <c r="A36" s="55" t="s">
        <v>198</v>
      </c>
      <c r="B36" s="55"/>
      <c r="C36" s="56" t="s">
        <v>199</v>
      </c>
      <c r="D36" s="57"/>
      <c r="E36" s="57"/>
      <c r="F36" s="57"/>
      <c r="G36" s="57"/>
      <c r="H36" s="58"/>
    </row>
    <row r="37" spans="1:8" x14ac:dyDescent="0.25">
      <c r="A37" s="108" t="s">
        <v>35</v>
      </c>
      <c r="B37" s="108"/>
      <c r="C37" s="108"/>
      <c r="D37" s="108"/>
      <c r="E37" s="108"/>
      <c r="F37" s="108"/>
      <c r="G37" s="108"/>
      <c r="H37" s="108"/>
    </row>
    <row r="38" spans="1:8" x14ac:dyDescent="0.25">
      <c r="A38" s="55" t="s">
        <v>36</v>
      </c>
      <c r="B38" s="55"/>
      <c r="C38" s="55"/>
      <c r="D38" s="55"/>
      <c r="E38" s="151">
        <v>138266.9</v>
      </c>
      <c r="F38" s="151"/>
      <c r="G38" s="151"/>
      <c r="H38" s="151"/>
    </row>
    <row r="39" spans="1:8" x14ac:dyDescent="0.25">
      <c r="A39" s="55" t="s">
        <v>37</v>
      </c>
      <c r="B39" s="55"/>
      <c r="C39" s="55"/>
      <c r="D39" s="55"/>
      <c r="E39" s="152">
        <v>1.8</v>
      </c>
      <c r="F39" s="152"/>
      <c r="G39" s="152"/>
      <c r="H39" s="152"/>
    </row>
    <row r="40" spans="1:8" x14ac:dyDescent="0.25">
      <c r="A40" s="55" t="s">
        <v>38</v>
      </c>
      <c r="B40" s="55"/>
      <c r="C40" s="55"/>
      <c r="D40" s="55"/>
      <c r="E40" s="152">
        <f>E42/E38-E39</f>
        <v>0.76077202859108017</v>
      </c>
      <c r="F40" s="152"/>
      <c r="G40" s="152"/>
      <c r="H40" s="152"/>
    </row>
    <row r="41" spans="1:8" x14ac:dyDescent="0.25">
      <c r="A41" s="55" t="s">
        <v>39</v>
      </c>
      <c r="B41" s="55"/>
      <c r="C41" s="55"/>
      <c r="D41" s="55"/>
      <c r="E41" s="152">
        <f>E39+E40</f>
        <v>2.5607720285910802</v>
      </c>
      <c r="F41" s="152"/>
      <c r="G41" s="152"/>
      <c r="H41" s="152"/>
    </row>
    <row r="42" spans="1:8" x14ac:dyDescent="0.25">
      <c r="A42" s="55" t="s">
        <v>94</v>
      </c>
      <c r="B42" s="55"/>
      <c r="C42" s="55"/>
      <c r="D42" s="55"/>
      <c r="E42" s="153">
        <v>354070.01</v>
      </c>
      <c r="F42" s="153"/>
      <c r="G42" s="153"/>
      <c r="H42" s="153"/>
    </row>
    <row r="43" spans="1:8" x14ac:dyDescent="0.25">
      <c r="A43" s="120" t="s">
        <v>40</v>
      </c>
      <c r="B43" s="120"/>
      <c r="C43" s="120"/>
      <c r="D43" s="120"/>
      <c r="E43" s="120" t="s">
        <v>163</v>
      </c>
      <c r="F43" s="120"/>
      <c r="G43" s="120"/>
      <c r="H43" s="120"/>
    </row>
    <row r="44" spans="1:8" x14ac:dyDescent="0.25">
      <c r="A44" s="108" t="s">
        <v>41</v>
      </c>
      <c r="B44" s="108"/>
      <c r="C44" s="108"/>
      <c r="D44" s="108"/>
      <c r="E44" s="108"/>
      <c r="F44" s="108"/>
      <c r="G44" s="108"/>
      <c r="H44" s="108"/>
    </row>
    <row r="45" spans="1:8" ht="33.75" customHeight="1" x14ac:dyDescent="0.25">
      <c r="A45" s="66" t="s">
        <v>148</v>
      </c>
      <c r="B45" s="68"/>
      <c r="C45" s="156" t="s">
        <v>174</v>
      </c>
      <c r="D45" s="157"/>
      <c r="E45" s="157"/>
      <c r="F45" s="157"/>
      <c r="G45" s="157"/>
      <c r="H45" s="158"/>
    </row>
    <row r="46" spans="1:8" ht="63" customHeight="1" x14ac:dyDescent="0.25">
      <c r="A46" s="66" t="s">
        <v>42</v>
      </c>
      <c r="B46" s="68"/>
      <c r="C46" s="66" t="s">
        <v>188</v>
      </c>
      <c r="D46" s="67"/>
      <c r="E46" s="68"/>
      <c r="F46" s="20" t="s">
        <v>43</v>
      </c>
      <c r="G46" s="134">
        <v>44693</v>
      </c>
      <c r="H46" s="68"/>
    </row>
    <row r="47" spans="1:8" ht="63.75" customHeight="1" x14ac:dyDescent="0.25">
      <c r="A47" s="66" t="s">
        <v>44</v>
      </c>
      <c r="B47" s="68"/>
      <c r="C47" s="66" t="str">
        <f>C46</f>
        <v>Antarli, Khoni, Hedutane, Kole, Gharivli, Katai, &amp; Mangav, Taluka Kalyan, M.Umbroli, Taluka Ambernath /SSTHANE/1384</v>
      </c>
      <c r="D47" s="67"/>
      <c r="E47" s="68"/>
      <c r="F47" s="20" t="s">
        <v>43</v>
      </c>
      <c r="G47" s="134">
        <f>G46</f>
        <v>44693</v>
      </c>
      <c r="H47" s="135"/>
    </row>
    <row r="48" spans="1:8" s="23" customFormat="1" ht="31.5" customHeight="1" x14ac:dyDescent="0.25">
      <c r="A48" s="166" t="s">
        <v>152</v>
      </c>
      <c r="B48" s="167"/>
      <c r="C48" s="66" t="s">
        <v>187</v>
      </c>
      <c r="D48" s="67"/>
      <c r="E48" s="68"/>
      <c r="F48" s="20" t="s">
        <v>43</v>
      </c>
      <c r="G48" s="134">
        <f>G47</f>
        <v>44693</v>
      </c>
      <c r="H48" s="135"/>
    </row>
    <row r="49" spans="1:14" s="23" customFormat="1" x14ac:dyDescent="0.25">
      <c r="A49" s="168"/>
      <c r="B49" s="169"/>
      <c r="C49" s="66" t="s">
        <v>189</v>
      </c>
      <c r="D49" s="67"/>
      <c r="E49" s="67"/>
      <c r="F49" s="67"/>
      <c r="G49" s="67"/>
      <c r="H49" s="68"/>
    </row>
    <row r="50" spans="1:14" ht="80.25" customHeight="1" x14ac:dyDescent="0.25">
      <c r="A50" s="140" t="s">
        <v>45</v>
      </c>
      <c r="B50" s="141"/>
      <c r="C50" s="140" t="s">
        <v>207</v>
      </c>
      <c r="D50" s="142"/>
      <c r="E50" s="141"/>
      <c r="F50" s="50" t="s">
        <v>43</v>
      </c>
      <c r="G50" s="154">
        <v>45464</v>
      </c>
      <c r="H50" s="155"/>
    </row>
    <row r="51" spans="1:14" x14ac:dyDescent="0.25">
      <c r="A51" s="65" t="s">
        <v>47</v>
      </c>
      <c r="B51" s="65"/>
      <c r="C51" s="65"/>
      <c r="D51" s="65"/>
      <c r="E51" s="65"/>
      <c r="F51" s="65"/>
      <c r="G51" s="65"/>
      <c r="H51" s="65"/>
    </row>
    <row r="52" spans="1:14" x14ac:dyDescent="0.25">
      <c r="A52" s="81" t="s">
        <v>93</v>
      </c>
      <c r="B52" s="81"/>
      <c r="C52" s="81"/>
      <c r="D52" s="120">
        <f>E42</f>
        <v>354070.01</v>
      </c>
      <c r="E52" s="120"/>
      <c r="F52" s="120"/>
      <c r="G52" s="120"/>
      <c r="H52" s="120"/>
    </row>
    <row r="53" spans="1:14" x14ac:dyDescent="0.25">
      <c r="A53" s="85" t="s">
        <v>48</v>
      </c>
      <c r="B53" s="120"/>
      <c r="C53" s="120"/>
      <c r="D53" s="120" t="s">
        <v>192</v>
      </c>
      <c r="E53" s="120"/>
      <c r="F53" s="120"/>
      <c r="G53" s="120"/>
      <c r="H53" s="120"/>
      <c r="I53" s="24"/>
    </row>
    <row r="54" spans="1:14" x14ac:dyDescent="0.25">
      <c r="A54" s="136" t="s">
        <v>49</v>
      </c>
      <c r="B54" s="137"/>
      <c r="C54" s="165"/>
      <c r="D54" s="138" t="s">
        <v>191</v>
      </c>
      <c r="E54" s="139"/>
      <c r="F54" s="139"/>
      <c r="G54" s="139"/>
      <c r="H54" s="139"/>
    </row>
    <row r="55" spans="1:14" ht="15.75" customHeight="1" x14ac:dyDescent="0.25">
      <c r="A55" s="136" t="s">
        <v>91</v>
      </c>
      <c r="B55" s="137"/>
      <c r="C55" s="137"/>
      <c r="D55" s="138" t="s">
        <v>191</v>
      </c>
      <c r="E55" s="139"/>
      <c r="F55" s="139"/>
      <c r="G55" s="139"/>
      <c r="H55" s="139"/>
    </row>
    <row r="56" spans="1:14" ht="15.75" customHeight="1" x14ac:dyDescent="0.25">
      <c r="A56" s="55" t="s">
        <v>46</v>
      </c>
      <c r="B56" s="55"/>
      <c r="C56" s="55"/>
      <c r="D56" s="85" t="s">
        <v>210</v>
      </c>
      <c r="E56" s="85"/>
      <c r="F56" s="85"/>
      <c r="G56" s="85"/>
      <c r="H56" s="85"/>
      <c r="J56" s="25"/>
      <c r="K56" s="24"/>
      <c r="N56" s="24"/>
    </row>
    <row r="57" spans="1:14" ht="15.75" customHeight="1" x14ac:dyDescent="0.25">
      <c r="A57" s="55" t="s">
        <v>89</v>
      </c>
      <c r="B57" s="55"/>
      <c r="C57" s="55"/>
      <c r="D57" s="164" t="str">
        <f ca="1">(IF(G50="NA","60 Years After Completion",IF(G50&lt;&gt;"NA",""&amp;60-ROUNDDOWN((E3-G50)/360,0)&amp;" Years"," ")))</f>
        <v>59 Years</v>
      </c>
      <c r="E57" s="164"/>
      <c r="F57" s="164"/>
      <c r="G57" s="164"/>
      <c r="H57" s="164"/>
      <c r="N57" s="24"/>
    </row>
    <row r="58" spans="1:14" ht="15.75" customHeight="1" x14ac:dyDescent="0.25">
      <c r="A58" s="55" t="s">
        <v>90</v>
      </c>
      <c r="B58" s="55"/>
      <c r="C58" s="55"/>
      <c r="D58" s="81" t="s">
        <v>24</v>
      </c>
      <c r="E58" s="81"/>
      <c r="F58" s="81"/>
      <c r="G58" s="81"/>
      <c r="H58" s="81"/>
      <c r="J58" s="16"/>
      <c r="K58" s="16"/>
    </row>
    <row r="59" spans="1:14" ht="15" hidden="1" customHeight="1" x14ac:dyDescent="0.25">
      <c r="A59" s="55" t="s">
        <v>77</v>
      </c>
      <c r="B59" s="55"/>
      <c r="C59" s="55"/>
      <c r="D59" s="85" t="s">
        <v>145</v>
      </c>
      <c r="E59" s="81"/>
      <c r="F59" s="81"/>
      <c r="G59" s="81"/>
      <c r="H59" s="81"/>
    </row>
    <row r="60" spans="1:14" x14ac:dyDescent="0.25">
      <c r="A60" s="81" t="s">
        <v>146</v>
      </c>
      <c r="B60" s="81"/>
      <c r="C60" s="81"/>
      <c r="D60" s="81" t="s">
        <v>30</v>
      </c>
      <c r="E60" s="81"/>
      <c r="F60" s="81"/>
      <c r="G60" s="81"/>
      <c r="H60" s="81"/>
      <c r="I60" s="26"/>
      <c r="J60" s="26"/>
      <c r="K60" s="26"/>
      <c r="L60" s="26"/>
      <c r="M60" s="26"/>
      <c r="N60" s="26"/>
    </row>
    <row r="61" spans="1:14" ht="15.75" customHeight="1" x14ac:dyDescent="0.25">
      <c r="A61" s="143" t="s">
        <v>88</v>
      </c>
      <c r="B61" s="143"/>
      <c r="C61" s="143"/>
      <c r="D61" s="138" t="str">
        <f ca="1">(IF(G67&gt;95%,"Nothing",IF(G67&gt;0%,"Cement, Aggregate, Steel, etc",IF(G67=0%,"Work not yet Started"))))</f>
        <v>Nothing</v>
      </c>
      <c r="E61" s="138"/>
      <c r="F61" s="138"/>
      <c r="G61" s="138"/>
      <c r="H61" s="138"/>
      <c r="J61" s="16"/>
    </row>
    <row r="62" spans="1:14" ht="33.75" customHeight="1" thickBot="1" x14ac:dyDescent="0.3">
      <c r="A62" s="150" t="s">
        <v>115</v>
      </c>
      <c r="B62" s="150"/>
      <c r="C62" s="150"/>
      <c r="D62" s="138" t="str">
        <f ca="1">(IF(D61="Nothing","Yes",IF(D61="Cement, Aggregate, Steel, etc","Under Construction",IF(D61="Work not yet Started","Work not yet Started"))))</f>
        <v>Yes</v>
      </c>
      <c r="E62" s="138"/>
      <c r="F62" s="138" t="str">
        <f ca="1">(IF(D61="Nothing","Yes",IF(D61="Cement, Aggregate, Steel, etc","Under Construction",IF(D61="Work not yet Started","Work not yet Started"))))</f>
        <v>Yes</v>
      </c>
      <c r="G62" s="138"/>
      <c r="H62" s="138"/>
    </row>
    <row r="63" spans="1:14" ht="15.75" customHeight="1" x14ac:dyDescent="0.25">
      <c r="A63" s="132" t="s">
        <v>137</v>
      </c>
      <c r="B63" s="133"/>
      <c r="C63" s="76" t="str">
        <f>D55</f>
        <v>Liana A - Wing A - Type B(Cluster -15.03)= G/St + 1st to 23rd Floor</v>
      </c>
      <c r="D63" s="77"/>
      <c r="E63" s="77"/>
      <c r="F63" s="77"/>
      <c r="G63" s="77"/>
      <c r="H63" s="78"/>
      <c r="I63" s="15"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 Completed",IF(C69&gt;0,", RCC upto "&amp;C69&amp;" Slab Completed",""))&amp;(IF(C70=H64,", Brickwork Completed",IF(C70&gt;0,", Brickwork upto "&amp;C70&amp;" Floor Completed",""))&amp;(IF(C71=H64,", Internal Plaster Completed",IF(C71&gt;0,", Internal Plaster upto "&amp;C71&amp;" Floor Completed",""))&amp;(IF(C72=H64,", External Plaster Completed",IF(C72&gt;0,", External Plaster upto "&amp;C72&amp;" Floor Completed",""))&amp;(IF(C73=H64,", Flooring Completed",IF(C73&gt;0,", Flooring upto "&amp;C73&amp;" Floor Completed",""))&amp;(IF(C74=H64,", Painting Completed",IF(C74&gt;0,", Painting upto "&amp;C74&amp;" Floor Completed",""))&amp;(IF(C75&gt;0,", Finishing upto "&amp;C75&amp;" Floor Completed","")&amp;(IF(C69&gt;0.5,".",""))))))))))))))</f>
        <v>All work completed. Please provide OC.</v>
      </c>
      <c r="J63" s="27"/>
    </row>
    <row r="64" spans="1:14" x14ac:dyDescent="0.25">
      <c r="A64" s="18" t="s">
        <v>139</v>
      </c>
      <c r="B64" s="53">
        <v>0</v>
      </c>
      <c r="C64" s="53" t="s">
        <v>74</v>
      </c>
      <c r="D64" s="53">
        <v>1</v>
      </c>
      <c r="E64" s="53" t="s">
        <v>73</v>
      </c>
      <c r="F64" s="53">
        <v>0</v>
      </c>
      <c r="G64" s="53" t="s">
        <v>82</v>
      </c>
      <c r="H64" s="19">
        <f ca="1">--TRIM(RIGHT(SUBSTITUTE(LEFT(C63,_xlfn.AGGREGATE(16,6,FIND({0,1,2,3,4,5,6,7,8,9},C63,ROW(INDIRECT("1:"&amp;LEN(C63)))),1))," ",REPT(" ",LEN(C63))),LEN(C63)))</f>
        <v>23</v>
      </c>
      <c r="I64" s="16"/>
      <c r="J64" s="28"/>
    </row>
    <row r="65" spans="1:12" x14ac:dyDescent="0.25">
      <c r="A65" s="131" t="s">
        <v>92</v>
      </c>
      <c r="B65" s="122"/>
      <c r="C65" s="82" t="str">
        <f>I65</f>
        <v>All work Completed. OC Received.</v>
      </c>
      <c r="D65" s="82"/>
      <c r="E65" s="82"/>
      <c r="F65" s="82"/>
      <c r="G65" s="82"/>
      <c r="H65" s="83"/>
      <c r="I65" s="16" t="s">
        <v>102</v>
      </c>
      <c r="J65" s="28"/>
    </row>
    <row r="66" spans="1:12" ht="15.75" customHeight="1" x14ac:dyDescent="0.25">
      <c r="A66" s="79" t="s">
        <v>50</v>
      </c>
      <c r="B66" s="80"/>
      <c r="C66" s="49" t="s">
        <v>136</v>
      </c>
      <c r="D66" s="49" t="s">
        <v>85</v>
      </c>
      <c r="E66" s="80" t="s">
        <v>87</v>
      </c>
      <c r="F66" s="80"/>
      <c r="G66" s="80" t="s">
        <v>86</v>
      </c>
      <c r="H66" s="84"/>
      <c r="I66" s="14" t="s">
        <v>138</v>
      </c>
      <c r="J66" s="29">
        <f ca="1">H64*25%</f>
        <v>5.75</v>
      </c>
    </row>
    <row r="67" spans="1:12" x14ac:dyDescent="0.25">
      <c r="A67" s="79" t="s">
        <v>125</v>
      </c>
      <c r="B67" s="80"/>
      <c r="C67" s="49">
        <v>23</v>
      </c>
      <c r="D67" s="43">
        <f ca="1">((100/H64)*C67)/100</f>
        <v>1</v>
      </c>
      <c r="E67" s="144">
        <f ca="1">(((C68/H64*10)+(40/(D64+F64+H64)*C69)+(7.5/(H64)*C70)+(7.5/(H64)*C71)+(10/H64*C72)+(10/H64*C73)+(5/H64*C74)+(5/H64*C75)+(5/H64*C76))/100)</f>
        <v>1</v>
      </c>
      <c r="F67" s="145"/>
      <c r="G67" s="144">
        <f ca="1">((((C67/H64)*20)+((C68/H64)*25)+(30/(H64+F64+D64)*C69)+(5/H64*C70)+(5/H64*C71)+(5/H64*C72)+(5/H64*C73)+(0/H64*C74)+(0/H64*C75)+(5/H64*C76))/100)</f>
        <v>1</v>
      </c>
      <c r="H67" s="159"/>
      <c r="I67" s="14" t="s">
        <v>97</v>
      </c>
      <c r="J67" s="30">
        <f ca="1">H64*50%</f>
        <v>11.5</v>
      </c>
    </row>
    <row r="68" spans="1:12" x14ac:dyDescent="0.25">
      <c r="A68" s="79" t="s">
        <v>51</v>
      </c>
      <c r="B68" s="80"/>
      <c r="C68" s="45">
        <v>23</v>
      </c>
      <c r="D68" s="43">
        <f ca="1">((100/H64)*C68)/100</f>
        <v>1</v>
      </c>
      <c r="E68" s="146"/>
      <c r="F68" s="147"/>
      <c r="G68" s="146"/>
      <c r="H68" s="160"/>
      <c r="I68" s="14" t="s">
        <v>98</v>
      </c>
      <c r="J68" s="30">
        <f ca="1">H64</f>
        <v>23</v>
      </c>
    </row>
    <row r="69" spans="1:12" ht="15.75" customHeight="1" x14ac:dyDescent="0.25">
      <c r="A69" s="79" t="s">
        <v>126</v>
      </c>
      <c r="B69" s="80"/>
      <c r="C69" s="49">
        <v>24</v>
      </c>
      <c r="D69" s="43">
        <f ca="1">((100/(D64+F64+H64))*C69)/100</f>
        <v>1</v>
      </c>
      <c r="E69" s="146"/>
      <c r="F69" s="147"/>
      <c r="G69" s="146"/>
      <c r="H69" s="160"/>
      <c r="I69" s="14" t="s">
        <v>99</v>
      </c>
      <c r="J69" s="31">
        <f ca="1">(IF(B64&gt;1,(H64/(B64+2)),H64/4))</f>
        <v>5.75</v>
      </c>
    </row>
    <row r="70" spans="1:12" ht="15.75" customHeight="1" x14ac:dyDescent="0.25">
      <c r="A70" s="79" t="s">
        <v>133</v>
      </c>
      <c r="B70" s="80" t="s">
        <v>127</v>
      </c>
      <c r="C70" s="49">
        <f>C69-1</f>
        <v>23</v>
      </c>
      <c r="D70" s="43">
        <f ca="1">((100/H64)*C70)/100</f>
        <v>1</v>
      </c>
      <c r="E70" s="146"/>
      <c r="F70" s="147"/>
      <c r="G70" s="146"/>
      <c r="H70" s="160"/>
      <c r="I70" s="14" t="s">
        <v>100</v>
      </c>
      <c r="J70" s="31">
        <f ca="1">(IF(B64&gt;1,(H64/(B64+2)+J69),H64/4+J69))</f>
        <v>11.5</v>
      </c>
    </row>
    <row r="71" spans="1:12" ht="15.75" customHeight="1" x14ac:dyDescent="0.25">
      <c r="A71" s="79" t="s">
        <v>134</v>
      </c>
      <c r="B71" s="80" t="s">
        <v>127</v>
      </c>
      <c r="C71" s="45">
        <v>23</v>
      </c>
      <c r="D71" s="43">
        <f ca="1">((100/H64)*C71)/100</f>
        <v>1</v>
      </c>
      <c r="E71" s="146"/>
      <c r="F71" s="147"/>
      <c r="G71" s="146"/>
      <c r="H71" s="160"/>
      <c r="I71" s="14" t="s">
        <v>143</v>
      </c>
      <c r="J71" s="31">
        <f>(IF(B64&gt;1,(H64/(B64+2)+J70),0))</f>
        <v>0</v>
      </c>
    </row>
    <row r="72" spans="1:12" ht="15" customHeight="1" x14ac:dyDescent="0.25">
      <c r="A72" s="79" t="s">
        <v>132</v>
      </c>
      <c r="B72" s="80" t="s">
        <v>129</v>
      </c>
      <c r="C72" s="45">
        <v>23</v>
      </c>
      <c r="D72" s="43">
        <f ca="1">((100/(H64))*C72)/100</f>
        <v>1</v>
      </c>
      <c r="E72" s="146"/>
      <c r="F72" s="147"/>
      <c r="G72" s="146"/>
      <c r="H72" s="160"/>
      <c r="I72" s="14" t="s">
        <v>140</v>
      </c>
      <c r="J72" s="31">
        <f>(IF(B64&gt;2,(H64/(B64+2)+J71),0))</f>
        <v>0</v>
      </c>
    </row>
    <row r="73" spans="1:12" ht="15.75" customHeight="1" x14ac:dyDescent="0.25">
      <c r="A73" s="79" t="s">
        <v>128</v>
      </c>
      <c r="B73" s="80" t="s">
        <v>128</v>
      </c>
      <c r="C73" s="49">
        <v>23</v>
      </c>
      <c r="D73" s="43">
        <f ca="1">((100/H64)*C73)/100</f>
        <v>1</v>
      </c>
      <c r="E73" s="146"/>
      <c r="F73" s="147"/>
      <c r="G73" s="146"/>
      <c r="H73" s="160"/>
      <c r="I73" s="14" t="s">
        <v>141</v>
      </c>
      <c r="J73" s="32">
        <f>(IF(B64&gt;3,(H64/(B64+2)+J72),0))</f>
        <v>0</v>
      </c>
    </row>
    <row r="74" spans="1:12" ht="15.75" customHeight="1" x14ac:dyDescent="0.25">
      <c r="A74" s="79" t="s">
        <v>135</v>
      </c>
      <c r="B74" s="80"/>
      <c r="C74" s="49">
        <v>23</v>
      </c>
      <c r="D74" s="43">
        <f ca="1">((100/H64)*C74)/100</f>
        <v>1</v>
      </c>
      <c r="E74" s="146"/>
      <c r="F74" s="147"/>
      <c r="G74" s="146"/>
      <c r="H74" s="160"/>
      <c r="I74" s="14" t="s">
        <v>142</v>
      </c>
      <c r="J74" s="31">
        <f>(IF(B64&gt;4,(H64/(B64+2)+J73),0))</f>
        <v>0</v>
      </c>
    </row>
    <row r="75" spans="1:12" ht="15.75" customHeight="1" x14ac:dyDescent="0.25">
      <c r="A75" s="79" t="s">
        <v>130</v>
      </c>
      <c r="B75" s="80" t="s">
        <v>130</v>
      </c>
      <c r="C75" s="49">
        <v>23</v>
      </c>
      <c r="D75" s="43">
        <f ca="1">((100/(H64))*C75)/100</f>
        <v>1</v>
      </c>
      <c r="E75" s="146"/>
      <c r="F75" s="147"/>
      <c r="G75" s="146"/>
      <c r="H75" s="160"/>
      <c r="I75" s="14" t="s">
        <v>144</v>
      </c>
      <c r="J75" s="31">
        <f ca="1">(IF(B64=1,(H64/(B64+3)+J70),IF(B64=0,(H64/4+J70),IF(B64&gt;1,0))))</f>
        <v>17.25</v>
      </c>
    </row>
    <row r="76" spans="1:12" ht="16.5" thickBot="1" x14ac:dyDescent="0.3">
      <c r="A76" s="162" t="s">
        <v>131</v>
      </c>
      <c r="B76" s="163"/>
      <c r="C76" s="52">
        <v>23</v>
      </c>
      <c r="D76" s="44">
        <f ca="1">((100/(H64))*C76)/100</f>
        <v>1</v>
      </c>
      <c r="E76" s="148"/>
      <c r="F76" s="149"/>
      <c r="G76" s="148"/>
      <c r="H76" s="161"/>
      <c r="I76" s="17" t="s">
        <v>101</v>
      </c>
      <c r="J76" s="33">
        <f ca="1">(IF(B64&gt;1.5,(H64/(B64+2)+J70+MAX(0,J71-J70)+MAX(0,J72-J71)+MAX(0,J73-J72)+MAX(0,J74-J73)+MAX(0,J75-J74)),IF(B64=1,(H64/(B64+3)+J75),IF(B64=0,H64/4+J75))))</f>
        <v>23</v>
      </c>
    </row>
    <row r="77" spans="1:12" x14ac:dyDescent="0.25">
      <c r="A77" s="75" t="s">
        <v>153</v>
      </c>
      <c r="B77" s="75"/>
      <c r="C77" s="75"/>
      <c r="D77" s="75"/>
      <c r="E77" s="75"/>
      <c r="F77" s="86" t="s">
        <v>155</v>
      </c>
      <c r="G77" s="86"/>
      <c r="H77" s="86"/>
    </row>
    <row r="78" spans="1:12" x14ac:dyDescent="0.25">
      <c r="A78" s="55" t="s">
        <v>154</v>
      </c>
      <c r="B78" s="55"/>
      <c r="C78" s="55"/>
      <c r="D78" s="55"/>
      <c r="E78" s="55"/>
      <c r="F78" s="90">
        <v>7500</v>
      </c>
      <c r="G78" s="90"/>
      <c r="H78" s="90"/>
      <c r="I78" s="69" t="s">
        <v>175</v>
      </c>
      <c r="J78" s="70"/>
      <c r="K78" s="70"/>
    </row>
    <row r="79" spans="1:12" s="34" customFormat="1" x14ac:dyDescent="0.25">
      <c r="A79" s="81" t="s">
        <v>183</v>
      </c>
      <c r="B79" s="55"/>
      <c r="C79" s="55"/>
      <c r="D79" s="55"/>
      <c r="E79" s="55"/>
      <c r="F79" s="74">
        <v>70000</v>
      </c>
      <c r="G79" s="74"/>
      <c r="H79" s="74"/>
      <c r="J79" s="34" t="s">
        <v>201</v>
      </c>
      <c r="K79" s="34" t="s">
        <v>202</v>
      </c>
      <c r="L79" s="54">
        <v>45346</v>
      </c>
    </row>
    <row r="80" spans="1:12" s="34" customFormat="1" x14ac:dyDescent="0.25">
      <c r="A80" s="81" t="s">
        <v>184</v>
      </c>
      <c r="B80" s="55"/>
      <c r="C80" s="55"/>
      <c r="D80" s="55"/>
      <c r="E80" s="55"/>
      <c r="F80" s="74">
        <v>180000</v>
      </c>
      <c r="G80" s="74"/>
      <c r="H80" s="74"/>
    </row>
    <row r="81" spans="1:14" s="34" customFormat="1" x14ac:dyDescent="0.25">
      <c r="A81" s="55" t="s">
        <v>185</v>
      </c>
      <c r="B81" s="55"/>
      <c r="C81" s="55"/>
      <c r="D81" s="55"/>
      <c r="E81" s="55"/>
      <c r="F81" s="74">
        <v>90000</v>
      </c>
      <c r="G81" s="74"/>
      <c r="H81" s="74"/>
    </row>
    <row r="82" spans="1:14" s="34" customFormat="1" x14ac:dyDescent="0.25">
      <c r="A82" s="55" t="s">
        <v>186</v>
      </c>
      <c r="B82" s="55"/>
      <c r="C82" s="55"/>
      <c r="D82" s="55"/>
      <c r="E82" s="55"/>
      <c r="F82" s="74">
        <v>5000</v>
      </c>
      <c r="G82" s="74"/>
      <c r="H82" s="74"/>
    </row>
    <row r="83" spans="1:14" x14ac:dyDescent="0.25">
      <c r="A83" s="55" t="s">
        <v>52</v>
      </c>
      <c r="B83" s="55"/>
      <c r="C83" s="55"/>
      <c r="D83" s="55"/>
      <c r="E83" s="55"/>
      <c r="F83" s="74">
        <v>300000</v>
      </c>
      <c r="G83" s="74"/>
      <c r="H83" s="74"/>
    </row>
    <row r="84" spans="1:14" s="35" customFormat="1" x14ac:dyDescent="0.25">
      <c r="A84" s="108" t="s">
        <v>53</v>
      </c>
      <c r="B84" s="108"/>
      <c r="C84" s="108"/>
      <c r="D84" s="108"/>
      <c r="E84" s="108"/>
      <c r="F84" s="74">
        <f>F78*0.8</f>
        <v>6000</v>
      </c>
      <c r="G84" s="74"/>
      <c r="H84" s="74"/>
    </row>
    <row r="85" spans="1:14" s="36" customFormat="1" x14ac:dyDescent="0.25">
      <c r="A85" s="110" t="s">
        <v>72</v>
      </c>
      <c r="B85" s="110"/>
      <c r="C85" s="110"/>
      <c r="D85" s="110"/>
      <c r="E85" s="110"/>
      <c r="F85" s="110"/>
      <c r="G85" s="110"/>
      <c r="H85" s="110"/>
    </row>
    <row r="86" spans="1:14" s="36" customFormat="1" ht="15.75" customHeight="1" x14ac:dyDescent="0.25">
      <c r="A86" s="94" t="s">
        <v>54</v>
      </c>
      <c r="B86" s="94"/>
      <c r="C86" s="93" t="s">
        <v>80</v>
      </c>
      <c r="D86" s="93"/>
      <c r="E86" s="98" t="s">
        <v>55</v>
      </c>
      <c r="F86" s="98"/>
      <c r="G86" s="94" t="s">
        <v>56</v>
      </c>
      <c r="H86" s="94"/>
    </row>
    <row r="87" spans="1:14" s="36" customFormat="1" x14ac:dyDescent="0.25">
      <c r="A87" s="109" t="s">
        <v>179</v>
      </c>
      <c r="B87" s="109"/>
      <c r="C87" s="92">
        <f>COUNT(D95:D100)+COUNT(D102:D107)*20+COUNT(D109:D111)*3+COUNT(D113:D114)*3</f>
        <v>141</v>
      </c>
      <c r="D87" s="92"/>
      <c r="E87" s="91">
        <f>SUM(D95:D100)+SUM(D102:D107)*20+SUM(D109:D111)*3+SUM(D113:D114)*3</f>
        <v>115436.66121000003</v>
      </c>
      <c r="F87" s="91"/>
      <c r="G87" s="91">
        <f>SUM(F95:F100)+SUM(F102:F107)*20+SUM(F109:F111)*3+SUM(F113:F114)*3</f>
        <v>178926.82487550005</v>
      </c>
      <c r="H87" s="91"/>
    </row>
    <row r="88" spans="1:14" s="35" customFormat="1" x14ac:dyDescent="0.25">
      <c r="A88" s="99" t="s">
        <v>57</v>
      </c>
      <c r="B88" s="99"/>
      <c r="C88" s="99"/>
      <c r="D88" s="99"/>
      <c r="E88" s="99"/>
      <c r="F88" s="99"/>
      <c r="G88" s="99"/>
      <c r="H88" s="99"/>
    </row>
    <row r="89" spans="1:14" x14ac:dyDescent="0.25">
      <c r="A89" s="99" t="s">
        <v>58</v>
      </c>
      <c r="B89" s="99"/>
      <c r="C89" s="99"/>
      <c r="D89" s="99"/>
      <c r="E89" s="99"/>
      <c r="F89" s="99"/>
      <c r="G89" s="99"/>
      <c r="H89" s="99"/>
    </row>
    <row r="90" spans="1:14" ht="47.25" customHeight="1" x14ac:dyDescent="0.25">
      <c r="A90" s="112" t="s">
        <v>116</v>
      </c>
      <c r="B90" s="112" t="s">
        <v>117</v>
      </c>
      <c r="C90" s="100" t="s">
        <v>59</v>
      </c>
      <c r="D90" s="100" t="s">
        <v>60</v>
      </c>
      <c r="E90" s="115" t="s">
        <v>61</v>
      </c>
      <c r="F90" s="48" t="s">
        <v>147</v>
      </c>
      <c r="G90" s="112" t="s">
        <v>62</v>
      </c>
      <c r="H90" s="117"/>
      <c r="I90" s="37"/>
    </row>
    <row r="91" spans="1:14" s="47" customFormat="1" x14ac:dyDescent="0.25">
      <c r="A91" s="113"/>
      <c r="B91" s="113"/>
      <c r="C91" s="101"/>
      <c r="D91" s="101"/>
      <c r="E91" s="116"/>
      <c r="F91" s="13">
        <v>0.55000000000000004</v>
      </c>
      <c r="G91" s="113"/>
      <c r="H91" s="118"/>
      <c r="I91" s="37"/>
    </row>
    <row r="92" spans="1:14" x14ac:dyDescent="0.25">
      <c r="A92" s="99" t="s">
        <v>177</v>
      </c>
      <c r="B92" s="99"/>
      <c r="C92" s="99"/>
      <c r="D92" s="99"/>
      <c r="E92" s="99"/>
      <c r="F92" s="99"/>
      <c r="G92" s="99"/>
      <c r="H92" s="99"/>
    </row>
    <row r="93" spans="1:14" x14ac:dyDescent="0.25">
      <c r="A93" s="99" t="s">
        <v>159</v>
      </c>
      <c r="B93" s="99"/>
      <c r="C93" s="99"/>
      <c r="D93" s="99"/>
      <c r="E93" s="99"/>
      <c r="F93" s="99"/>
      <c r="G93" s="99"/>
      <c r="H93" s="99"/>
    </row>
    <row r="94" spans="1:14" s="47" customFormat="1" x14ac:dyDescent="0.25">
      <c r="A94" s="87" t="s">
        <v>156</v>
      </c>
      <c r="B94" s="88"/>
      <c r="C94" s="88"/>
      <c r="D94" s="88"/>
      <c r="E94" s="88"/>
      <c r="F94" s="88"/>
      <c r="G94" s="88"/>
      <c r="H94" s="89"/>
      <c r="J94" s="37"/>
    </row>
    <row r="95" spans="1:14" s="47" customFormat="1" ht="15.75" customHeight="1" x14ac:dyDescent="0.25">
      <c r="A95" s="72">
        <v>1</v>
      </c>
      <c r="B95" s="73"/>
      <c r="C95" s="42" t="s">
        <v>190</v>
      </c>
      <c r="D95" s="42">
        <f>(67.65+(1.3*2.5+3.16*1.5)+(0.75*(1.5+2.18)))*10.764</f>
        <v>843.89760000000001</v>
      </c>
      <c r="E95" s="42">
        <v>0</v>
      </c>
      <c r="F95" s="42">
        <f t="shared" ref="F95:F100" si="0">D95*(($F$91)+1)+(IF(E95&lt;101,E95,IF(E95&lt;201,E95/2,IF(E95&lt;=301,E95/3,E95/4))))</f>
        <v>1308.0412800000001</v>
      </c>
      <c r="G95" s="59" t="str">
        <f>A94</f>
        <v>Ground Floor for Residential</v>
      </c>
      <c r="H95" s="60"/>
      <c r="I95" s="37"/>
      <c r="L95" s="71"/>
      <c r="M95" s="71"/>
      <c r="N95" s="37"/>
    </row>
    <row r="96" spans="1:14" s="47" customFormat="1" ht="15.75" customHeight="1" x14ac:dyDescent="0.25">
      <c r="A96" s="72">
        <f t="shared" ref="A96:A100" si="1">A95+1</f>
        <v>2</v>
      </c>
      <c r="B96" s="73"/>
      <c r="C96" s="42" t="s">
        <v>190</v>
      </c>
      <c r="D96" s="42">
        <f>(67.65+(1.3*2.5+3.16*1.5)+(0.75*(1.5+2.18)))*10.764</f>
        <v>843.89760000000001</v>
      </c>
      <c r="E96" s="42">
        <v>0</v>
      </c>
      <c r="F96" s="42">
        <f t="shared" si="0"/>
        <v>1308.0412800000001</v>
      </c>
      <c r="G96" s="61"/>
      <c r="H96" s="62"/>
      <c r="I96" s="37"/>
      <c r="L96" s="71"/>
      <c r="M96" s="71"/>
      <c r="N96" s="37"/>
    </row>
    <row r="97" spans="1:14" s="47" customFormat="1" ht="15.75" customHeight="1" x14ac:dyDescent="0.25">
      <c r="A97" s="72">
        <f t="shared" si="1"/>
        <v>3</v>
      </c>
      <c r="B97" s="73"/>
      <c r="C97" s="42" t="s">
        <v>157</v>
      </c>
      <c r="D97" s="42">
        <f>(61.23+(1.5*2.5)+1.7*0.75+0.75*3.16)*10.764</f>
        <v>738.67949999999996</v>
      </c>
      <c r="E97" s="42">
        <v>0</v>
      </c>
      <c r="F97" s="42">
        <f t="shared" si="0"/>
        <v>1144.953225</v>
      </c>
      <c r="G97" s="61"/>
      <c r="H97" s="62"/>
      <c r="I97" s="37"/>
      <c r="L97" s="71"/>
      <c r="M97" s="71"/>
      <c r="N97" s="37"/>
    </row>
    <row r="98" spans="1:14" s="47" customFormat="1" ht="15.75" customHeight="1" x14ac:dyDescent="0.25">
      <c r="A98" s="72">
        <f t="shared" si="1"/>
        <v>4</v>
      </c>
      <c r="B98" s="73"/>
      <c r="C98" s="42" t="s">
        <v>157</v>
      </c>
      <c r="D98" s="42">
        <f>(61.27+(1.5*2.5)+3.16*0.75+1.7*0.75)*10.764</f>
        <v>739.1100600000002</v>
      </c>
      <c r="E98" s="42">
        <v>0</v>
      </c>
      <c r="F98" s="42">
        <f t="shared" si="0"/>
        <v>1145.6205930000003</v>
      </c>
      <c r="G98" s="61"/>
      <c r="H98" s="62"/>
      <c r="I98" s="37"/>
      <c r="L98" s="71"/>
      <c r="M98" s="71"/>
      <c r="N98" s="37"/>
    </row>
    <row r="99" spans="1:14" s="47" customFormat="1" ht="15.75" customHeight="1" x14ac:dyDescent="0.25">
      <c r="A99" s="72">
        <f t="shared" si="1"/>
        <v>5</v>
      </c>
      <c r="B99" s="73"/>
      <c r="C99" s="42" t="s">
        <v>158</v>
      </c>
      <c r="D99" s="42">
        <f>(52.35+(2.95*1.5+1.5*2.2)+1.7*0.75)*10.764</f>
        <v>660.37139999999999</v>
      </c>
      <c r="E99" s="42">
        <v>0</v>
      </c>
      <c r="F99" s="42">
        <f t="shared" si="0"/>
        <v>1023.5756700000001</v>
      </c>
      <c r="G99" s="61"/>
      <c r="H99" s="62"/>
      <c r="I99" s="37"/>
      <c r="L99" s="71"/>
      <c r="M99" s="71"/>
      <c r="N99" s="37"/>
    </row>
    <row r="100" spans="1:14" s="47" customFormat="1" ht="15.75" customHeight="1" x14ac:dyDescent="0.25">
      <c r="A100" s="72">
        <f t="shared" si="1"/>
        <v>6</v>
      </c>
      <c r="B100" s="73"/>
      <c r="C100" s="42" t="s">
        <v>190</v>
      </c>
      <c r="D100" s="42">
        <f>(67.57+(1.5*2.5+2.95*1.5)+0.75*2.28+1.7*0.75)*10.764</f>
        <v>847.44971999999984</v>
      </c>
      <c r="E100" s="42">
        <v>0</v>
      </c>
      <c r="F100" s="42">
        <f t="shared" si="0"/>
        <v>1313.5470659999999</v>
      </c>
      <c r="G100" s="63"/>
      <c r="H100" s="64"/>
      <c r="I100" s="37"/>
      <c r="L100" s="71"/>
      <c r="M100" s="71"/>
      <c r="N100" s="37"/>
    </row>
    <row r="101" spans="1:14" s="47" customFormat="1" ht="62.25" customHeight="1" x14ac:dyDescent="0.25">
      <c r="A101" s="87" t="s">
        <v>193</v>
      </c>
      <c r="B101" s="88"/>
      <c r="C101" s="88"/>
      <c r="D101" s="88"/>
      <c r="E101" s="88"/>
      <c r="F101" s="88"/>
      <c r="G101" s="88"/>
      <c r="H101" s="89"/>
      <c r="J101" s="37"/>
    </row>
    <row r="102" spans="1:14" s="47" customFormat="1" ht="15.75" customHeight="1" x14ac:dyDescent="0.25">
      <c r="A102" s="72">
        <v>1</v>
      </c>
      <c r="B102" s="73"/>
      <c r="C102" s="42" t="s">
        <v>190</v>
      </c>
      <c r="D102" s="42">
        <f>(71.12+0.75*2.95+1.7*0.75+0.75*2.18)*10.764</f>
        <v>820.67427000000021</v>
      </c>
      <c r="E102" s="42">
        <v>0</v>
      </c>
      <c r="F102" s="42">
        <f t="shared" ref="F102:F107" si="2">D102*(($F$91)+1)+(IF(E102&lt;101,E102,IF(E102&lt;201,E102/2,IF(E102&lt;=301,E102/3,E102/4))))</f>
        <v>1272.0451185000004</v>
      </c>
      <c r="G102" s="59" t="str">
        <f>A101</f>
        <v>1st to 7th, 9th to 12th,
 14th to 17th Floor (15th to 18th Floor as per Builder)
19th to 23rd Floor (20th to 24th Floor as per Builder)
Floor for Residential</v>
      </c>
      <c r="H102" s="60"/>
      <c r="I102" s="37">
        <f>6*21+3*5</f>
        <v>141</v>
      </c>
      <c r="L102" s="71"/>
      <c r="M102" s="71"/>
      <c r="N102" s="37"/>
    </row>
    <row r="103" spans="1:14" s="47" customFormat="1" ht="15.75" customHeight="1" x14ac:dyDescent="0.25">
      <c r="A103" s="72">
        <f t="shared" ref="A103:A107" si="3">A102+1</f>
        <v>2</v>
      </c>
      <c r="B103" s="73"/>
      <c r="C103" s="42" t="s">
        <v>190</v>
      </c>
      <c r="D103" s="42">
        <f t="shared" ref="D103:D104" si="4">(71.12+0.75*2.95+1.7*0.75+0.75*2.18)*10.764</f>
        <v>820.67427000000021</v>
      </c>
      <c r="E103" s="42">
        <v>0</v>
      </c>
      <c r="F103" s="42">
        <f t="shared" si="2"/>
        <v>1272.0451185000004</v>
      </c>
      <c r="G103" s="61"/>
      <c r="H103" s="62"/>
      <c r="I103" s="37"/>
      <c r="L103" s="71"/>
      <c r="M103" s="71"/>
      <c r="N103" s="37"/>
    </row>
    <row r="104" spans="1:14" s="47" customFormat="1" ht="15.75" customHeight="1" x14ac:dyDescent="0.25">
      <c r="A104" s="72">
        <f t="shared" si="3"/>
        <v>3</v>
      </c>
      <c r="B104" s="73"/>
      <c r="C104" s="42" t="s">
        <v>190</v>
      </c>
      <c r="D104" s="42">
        <f t="shared" si="4"/>
        <v>820.67427000000021</v>
      </c>
      <c r="E104" s="42">
        <v>0</v>
      </c>
      <c r="F104" s="42">
        <f t="shared" si="2"/>
        <v>1272.0451185000004</v>
      </c>
      <c r="G104" s="61"/>
      <c r="H104" s="62"/>
      <c r="I104" s="37"/>
      <c r="L104" s="71"/>
      <c r="M104" s="71"/>
      <c r="N104" s="37"/>
    </row>
    <row r="105" spans="1:14" s="47" customFormat="1" ht="15.75" customHeight="1" x14ac:dyDescent="0.25">
      <c r="A105" s="72">
        <f t="shared" si="3"/>
        <v>4</v>
      </c>
      <c r="B105" s="73"/>
      <c r="C105" s="42" t="s">
        <v>190</v>
      </c>
      <c r="D105" s="42">
        <f>(71.06+0.75*2.95+1.7*0.75+2.18*0.75)*10.764</f>
        <v>820.02843000000018</v>
      </c>
      <c r="E105" s="42">
        <v>0</v>
      </c>
      <c r="F105" s="42">
        <f t="shared" si="2"/>
        <v>1271.0440665000003</v>
      </c>
      <c r="G105" s="61"/>
      <c r="H105" s="62"/>
      <c r="I105" s="37"/>
      <c r="L105" s="71"/>
      <c r="M105" s="71"/>
      <c r="N105" s="37"/>
    </row>
    <row r="106" spans="1:14" s="47" customFormat="1" ht="15.75" customHeight="1" x14ac:dyDescent="0.25">
      <c r="A106" s="72">
        <f t="shared" si="3"/>
        <v>5</v>
      </c>
      <c r="B106" s="73"/>
      <c r="C106" s="42" t="s">
        <v>190</v>
      </c>
      <c r="D106" s="42">
        <f>(71.06+0.75*2.95+1.7*0.75+2.18*0.75)*10.764</f>
        <v>820.02843000000018</v>
      </c>
      <c r="E106" s="42">
        <v>0</v>
      </c>
      <c r="F106" s="42">
        <f t="shared" si="2"/>
        <v>1271.0440665000003</v>
      </c>
      <c r="G106" s="61"/>
      <c r="H106" s="62"/>
      <c r="I106" s="37"/>
      <c r="L106" s="71"/>
      <c r="M106" s="71"/>
      <c r="N106" s="37"/>
    </row>
    <row r="107" spans="1:14" s="47" customFormat="1" ht="15.75" customHeight="1" x14ac:dyDescent="0.25">
      <c r="A107" s="72">
        <f t="shared" si="3"/>
        <v>6</v>
      </c>
      <c r="B107" s="73"/>
      <c r="C107" s="42" t="s">
        <v>190</v>
      </c>
      <c r="D107" s="42">
        <f t="shared" ref="D107" si="5">(71.12+0.75*2.95+1.7*0.75+0.75*2.18)*10.764</f>
        <v>820.67427000000021</v>
      </c>
      <c r="E107" s="42">
        <v>0</v>
      </c>
      <c r="F107" s="42">
        <f t="shared" si="2"/>
        <v>1272.0451185000004</v>
      </c>
      <c r="G107" s="63"/>
      <c r="H107" s="64"/>
      <c r="I107" s="37"/>
      <c r="L107" s="71"/>
      <c r="M107" s="71"/>
      <c r="N107" s="37"/>
    </row>
    <row r="108" spans="1:14" s="47" customFormat="1" ht="49.5" customHeight="1" x14ac:dyDescent="0.25">
      <c r="A108" s="87" t="s">
        <v>194</v>
      </c>
      <c r="B108" s="88"/>
      <c r="C108" s="88"/>
      <c r="D108" s="88"/>
      <c r="E108" s="88"/>
      <c r="F108" s="88"/>
      <c r="G108" s="88"/>
      <c r="H108" s="89"/>
      <c r="J108" s="37"/>
    </row>
    <row r="109" spans="1:14" s="47" customFormat="1" ht="15.75" customHeight="1" x14ac:dyDescent="0.25">
      <c r="A109" s="72">
        <v>1</v>
      </c>
      <c r="B109" s="73"/>
      <c r="C109" s="42" t="s">
        <v>190</v>
      </c>
      <c r="D109" s="42">
        <f>(71.12+0.75*2.95+1.7*0.75+0.75*2.18)*10.764</f>
        <v>820.67427000000021</v>
      </c>
      <c r="E109" s="42">
        <v>0</v>
      </c>
      <c r="F109" s="42">
        <f t="shared" ref="F109:F114" si="6">D109*(($F$91)+1)+(IF(E109&lt;101,E109,IF(E109&lt;201,E109/2,IF(E109&lt;=301,E109/3,E109/4))))</f>
        <v>1272.0451185000004</v>
      </c>
      <c r="G109" s="59" t="str">
        <f>A108</f>
        <v>8th, 13th Floor (14th Floor as per Builder)
18th Floor (19th Floor as per Builder) 
(Part Refuge Area)</v>
      </c>
      <c r="H109" s="60"/>
      <c r="I109" s="37"/>
      <c r="L109" s="71"/>
      <c r="M109" s="71"/>
      <c r="N109" s="37"/>
    </row>
    <row r="110" spans="1:14" s="47" customFormat="1" ht="15.75" customHeight="1" x14ac:dyDescent="0.25">
      <c r="A110" s="72">
        <f t="shared" ref="A110:A114" si="7">A109+1</f>
        <v>2</v>
      </c>
      <c r="B110" s="73"/>
      <c r="C110" s="42" t="s">
        <v>190</v>
      </c>
      <c r="D110" s="42">
        <f t="shared" ref="D110:D111" si="8">(71.12+0.75*2.95+1.7*0.75+0.75*2.18)*10.764</f>
        <v>820.67427000000021</v>
      </c>
      <c r="E110" s="42">
        <v>0</v>
      </c>
      <c r="F110" s="42">
        <f t="shared" si="6"/>
        <v>1272.0451185000004</v>
      </c>
      <c r="G110" s="61"/>
      <c r="H110" s="62"/>
      <c r="I110" s="37"/>
      <c r="L110" s="71"/>
      <c r="M110" s="71"/>
      <c r="N110" s="37"/>
    </row>
    <row r="111" spans="1:14" s="47" customFormat="1" ht="15.75" customHeight="1" x14ac:dyDescent="0.25">
      <c r="A111" s="72">
        <f t="shared" si="7"/>
        <v>3</v>
      </c>
      <c r="B111" s="73"/>
      <c r="C111" s="42" t="s">
        <v>190</v>
      </c>
      <c r="D111" s="42">
        <f t="shared" si="8"/>
        <v>820.67427000000021</v>
      </c>
      <c r="E111" s="42">
        <v>0</v>
      </c>
      <c r="F111" s="42">
        <f t="shared" si="6"/>
        <v>1272.0451185000004</v>
      </c>
      <c r="G111" s="61"/>
      <c r="H111" s="62"/>
      <c r="I111" s="37"/>
      <c r="L111" s="71"/>
      <c r="M111" s="71"/>
      <c r="N111" s="37"/>
    </row>
    <row r="112" spans="1:14" s="47" customFormat="1" ht="15.75" customHeight="1" x14ac:dyDescent="0.25">
      <c r="A112" s="72">
        <f t="shared" si="7"/>
        <v>4</v>
      </c>
      <c r="B112" s="73"/>
      <c r="C112" s="72" t="s">
        <v>160</v>
      </c>
      <c r="D112" s="105"/>
      <c r="E112" s="105"/>
      <c r="F112" s="73"/>
      <c r="G112" s="61"/>
      <c r="H112" s="62"/>
      <c r="I112" s="37"/>
      <c r="L112" s="71"/>
      <c r="M112" s="71"/>
      <c r="N112" s="37"/>
    </row>
    <row r="113" spans="1:14" s="47" customFormat="1" ht="15.75" customHeight="1" x14ac:dyDescent="0.25">
      <c r="A113" s="72">
        <f t="shared" si="7"/>
        <v>5</v>
      </c>
      <c r="B113" s="73"/>
      <c r="C113" s="42" t="s">
        <v>190</v>
      </c>
      <c r="D113" s="42">
        <f>(71.06+0.75*2.95+1.7*0.75+2.18*0.75)*10.764</f>
        <v>820.02843000000018</v>
      </c>
      <c r="E113" s="42">
        <v>0</v>
      </c>
      <c r="F113" s="42">
        <f t="shared" si="6"/>
        <v>1271.0440665000003</v>
      </c>
      <c r="G113" s="61"/>
      <c r="H113" s="62"/>
      <c r="I113" s="37"/>
      <c r="L113" s="71"/>
      <c r="M113" s="71"/>
      <c r="N113" s="37"/>
    </row>
    <row r="114" spans="1:14" s="47" customFormat="1" ht="15.75" customHeight="1" x14ac:dyDescent="0.25">
      <c r="A114" s="72">
        <f t="shared" si="7"/>
        <v>6</v>
      </c>
      <c r="B114" s="73"/>
      <c r="C114" s="42" t="s">
        <v>190</v>
      </c>
      <c r="D114" s="42">
        <f t="shared" ref="D114" si="9">(71.12+0.75*2.95+1.7*0.75+0.75*2.18)*10.764</f>
        <v>820.67427000000021</v>
      </c>
      <c r="E114" s="42">
        <v>0</v>
      </c>
      <c r="F114" s="42">
        <f t="shared" si="6"/>
        <v>1272.0451185000004</v>
      </c>
      <c r="G114" s="63"/>
      <c r="H114" s="64"/>
      <c r="I114" s="37"/>
      <c r="L114" s="71"/>
      <c r="M114" s="71"/>
      <c r="N114" s="37"/>
    </row>
    <row r="115" spans="1:14" s="36" customFormat="1" x14ac:dyDescent="0.25">
      <c r="A115" s="111" t="s">
        <v>70</v>
      </c>
      <c r="B115" s="111"/>
      <c r="C115" s="111"/>
      <c r="D115" s="111"/>
      <c r="E115" s="111"/>
      <c r="F115" s="111"/>
      <c r="G115" s="111"/>
      <c r="H115" s="111"/>
    </row>
    <row r="116" spans="1:14" s="36" customFormat="1" x14ac:dyDescent="0.25">
      <c r="A116" s="46" t="s">
        <v>150</v>
      </c>
      <c r="B116" s="95" t="s">
        <v>209</v>
      </c>
      <c r="C116" s="96"/>
      <c r="D116" s="96"/>
      <c r="E116" s="96"/>
      <c r="F116" s="96"/>
      <c r="G116" s="96"/>
      <c r="H116" s="97"/>
    </row>
    <row r="117" spans="1:14" s="36" customFormat="1" x14ac:dyDescent="0.25">
      <c r="A117" s="51" t="s">
        <v>150</v>
      </c>
      <c r="B117" s="95" t="str">
        <f>(IF(F90="Saleable area Loading :","We have considered Saleable area of Flats as per our Calculation.","We considered Saleable area of Flat as per Builder area Sheet."))</f>
        <v>We have considered Saleable area of Flats as per our Calculation.</v>
      </c>
      <c r="C117" s="96"/>
      <c r="D117" s="96"/>
      <c r="E117" s="96"/>
      <c r="F117" s="96"/>
      <c r="G117" s="96"/>
      <c r="H117" s="97"/>
    </row>
    <row r="118" spans="1:14" s="36" customFormat="1" x14ac:dyDescent="0.25">
      <c r="A118" s="51" t="s">
        <v>150</v>
      </c>
      <c r="B118" s="102" t="s">
        <v>120</v>
      </c>
      <c r="C118" s="103"/>
      <c r="D118" s="103"/>
      <c r="E118" s="103"/>
      <c r="F118" s="103"/>
      <c r="G118" s="103"/>
      <c r="H118" s="104"/>
    </row>
    <row r="119" spans="1:14" s="36" customFormat="1" x14ac:dyDescent="0.25">
      <c r="A119" s="51" t="s">
        <v>150</v>
      </c>
      <c r="B119" s="102" t="s">
        <v>182</v>
      </c>
      <c r="C119" s="103"/>
      <c r="D119" s="103"/>
      <c r="E119" s="103"/>
      <c r="F119" s="103"/>
      <c r="G119" s="103"/>
      <c r="H119" s="104"/>
    </row>
    <row r="120" spans="1:14" s="36" customFormat="1" x14ac:dyDescent="0.25">
      <c r="A120" s="51" t="s">
        <v>150</v>
      </c>
      <c r="B120" s="102" t="s">
        <v>149</v>
      </c>
      <c r="C120" s="103"/>
      <c r="D120" s="103"/>
      <c r="E120" s="103"/>
      <c r="F120" s="103"/>
      <c r="G120" s="103"/>
      <c r="H120" s="104"/>
    </row>
    <row r="121" spans="1:14" s="36" customFormat="1" x14ac:dyDescent="0.25">
      <c r="A121" s="51" t="s">
        <v>150</v>
      </c>
      <c r="B121" s="102" t="s">
        <v>121</v>
      </c>
      <c r="C121" s="103"/>
      <c r="D121" s="103"/>
      <c r="E121" s="103"/>
      <c r="F121" s="103"/>
      <c r="G121" s="103"/>
      <c r="H121" s="104"/>
    </row>
    <row r="122" spans="1:14" s="36" customFormat="1" ht="34.5" customHeight="1" x14ac:dyDescent="0.25">
      <c r="A122" s="51" t="s">
        <v>150</v>
      </c>
      <c r="B122" s="102" t="s">
        <v>151</v>
      </c>
      <c r="C122" s="103"/>
      <c r="D122" s="103"/>
      <c r="E122" s="103"/>
      <c r="F122" s="103"/>
      <c r="G122" s="103"/>
      <c r="H122" s="104"/>
    </row>
    <row r="123" spans="1:14" s="36" customFormat="1" x14ac:dyDescent="0.25">
      <c r="A123" s="51" t="s">
        <v>150</v>
      </c>
      <c r="B123" s="95" t="s">
        <v>122</v>
      </c>
      <c r="C123" s="96"/>
      <c r="D123" s="96"/>
      <c r="E123" s="96"/>
      <c r="F123" s="96"/>
      <c r="G123" s="96"/>
      <c r="H123" s="97"/>
    </row>
    <row r="124" spans="1:14" s="36" customFormat="1" x14ac:dyDescent="0.25">
      <c r="A124" s="51" t="s">
        <v>150</v>
      </c>
      <c r="B124" s="95" t="s">
        <v>195</v>
      </c>
      <c r="C124" s="96"/>
      <c r="D124" s="96"/>
      <c r="E124" s="96"/>
      <c r="F124" s="96"/>
      <c r="G124" s="96"/>
      <c r="H124" s="97"/>
    </row>
    <row r="125" spans="1:14" s="36" customFormat="1" x14ac:dyDescent="0.25">
      <c r="A125" s="51" t="s">
        <v>150</v>
      </c>
      <c r="B125" s="95" t="s">
        <v>204</v>
      </c>
      <c r="C125" s="96"/>
      <c r="D125" s="96"/>
      <c r="E125" s="96"/>
      <c r="F125" s="96"/>
      <c r="G125" s="96"/>
      <c r="H125" s="97"/>
    </row>
    <row r="126" spans="1:14" s="36" customFormat="1" x14ac:dyDescent="0.25">
      <c r="A126" s="51" t="s">
        <v>150</v>
      </c>
      <c r="B126" s="95" t="s">
        <v>203</v>
      </c>
      <c r="C126" s="96"/>
      <c r="D126" s="96"/>
      <c r="E126" s="96"/>
      <c r="F126" s="96"/>
      <c r="G126" s="96"/>
      <c r="H126" s="97"/>
    </row>
    <row r="127" spans="1:14" s="36" customFormat="1" x14ac:dyDescent="0.25">
      <c r="A127" s="51" t="s">
        <v>150</v>
      </c>
      <c r="B127" s="95" t="s">
        <v>208</v>
      </c>
      <c r="C127" s="96"/>
      <c r="D127" s="96"/>
      <c r="E127" s="96"/>
      <c r="F127" s="96"/>
      <c r="G127" s="96"/>
      <c r="H127" s="97"/>
    </row>
    <row r="128" spans="1:14" x14ac:dyDescent="0.25">
      <c r="A128" s="65" t="s">
        <v>63</v>
      </c>
      <c r="B128" s="65"/>
      <c r="C128" s="65"/>
      <c r="D128" s="65"/>
      <c r="E128" s="65"/>
      <c r="F128" s="65"/>
      <c r="G128" s="65"/>
      <c r="H128" s="65"/>
    </row>
    <row r="129" spans="1:8" x14ac:dyDescent="0.25">
      <c r="A129" s="55" t="s">
        <v>64</v>
      </c>
      <c r="B129" s="55"/>
      <c r="C129" s="55"/>
      <c r="D129" s="55"/>
      <c r="E129" s="55"/>
      <c r="F129" s="55"/>
      <c r="G129" s="55"/>
      <c r="H129" s="55"/>
    </row>
    <row r="130" spans="1:8" ht="15.75" customHeight="1" x14ac:dyDescent="0.25">
      <c r="A130" s="114" t="s">
        <v>65</v>
      </c>
      <c r="B130" s="114"/>
      <c r="C130" s="114"/>
      <c r="D130" s="114"/>
      <c r="E130" s="114"/>
      <c r="F130" s="114"/>
      <c r="G130" s="114"/>
      <c r="H130" s="114"/>
    </row>
    <row r="131" spans="1:8" x14ac:dyDescent="0.25">
      <c r="A131" s="55" t="s">
        <v>66</v>
      </c>
      <c r="B131" s="55"/>
      <c r="C131" s="55"/>
      <c r="D131" s="55"/>
      <c r="E131" s="55"/>
      <c r="F131" s="55"/>
      <c r="G131" s="55"/>
      <c r="H131" s="55"/>
    </row>
    <row r="132" spans="1:8" x14ac:dyDescent="0.25">
      <c r="A132" s="55" t="s">
        <v>67</v>
      </c>
      <c r="B132" s="55"/>
      <c r="C132" s="55"/>
      <c r="D132" s="55"/>
      <c r="E132" s="55"/>
      <c r="F132" s="55"/>
      <c r="G132" s="55"/>
      <c r="H132" s="55"/>
    </row>
    <row r="133" spans="1:8" hidden="1" x14ac:dyDescent="0.25">
      <c r="A133" s="55" t="s">
        <v>123</v>
      </c>
      <c r="B133" s="55"/>
      <c r="C133" s="55"/>
      <c r="D133" s="55"/>
      <c r="E133" s="55"/>
      <c r="F133" s="55"/>
      <c r="G133" s="55"/>
      <c r="H133" s="55"/>
    </row>
    <row r="134" spans="1:8" hidden="1" x14ac:dyDescent="0.25">
      <c r="A134" s="81" t="s">
        <v>124</v>
      </c>
      <c r="B134" s="81"/>
      <c r="C134" s="81"/>
      <c r="D134" s="81"/>
      <c r="E134" s="81"/>
      <c r="F134" s="81"/>
      <c r="G134" s="81"/>
      <c r="H134" s="81"/>
    </row>
    <row r="135" spans="1:8" x14ac:dyDescent="0.25">
      <c r="A135" s="107" t="s">
        <v>79</v>
      </c>
      <c r="B135" s="107"/>
      <c r="C135" s="107" t="s">
        <v>212</v>
      </c>
      <c r="D135" s="107"/>
      <c r="E135" s="107" t="s">
        <v>103</v>
      </c>
      <c r="F135" s="107"/>
      <c r="G135" s="107" t="s">
        <v>211</v>
      </c>
      <c r="H135" s="107"/>
    </row>
    <row r="136" spans="1:8" x14ac:dyDescent="0.25">
      <c r="A136" s="106" t="s">
        <v>81</v>
      </c>
      <c r="B136" s="106"/>
      <c r="C136" s="106"/>
      <c r="D136" s="106"/>
      <c r="E136" s="106"/>
      <c r="F136" s="106"/>
      <c r="G136" s="106"/>
      <c r="H136" s="106"/>
    </row>
    <row r="137" spans="1:8" x14ac:dyDescent="0.25">
      <c r="A137" s="106"/>
      <c r="B137" s="106"/>
      <c r="C137" s="106"/>
      <c r="D137" s="106"/>
      <c r="E137" s="106"/>
      <c r="F137" s="106"/>
      <c r="G137" s="106"/>
      <c r="H137" s="106"/>
    </row>
    <row r="138" spans="1:8" x14ac:dyDescent="0.25">
      <c r="A138" s="106"/>
      <c r="B138" s="106"/>
      <c r="C138" s="106"/>
      <c r="D138" s="106"/>
      <c r="E138" s="106"/>
      <c r="F138" s="106"/>
      <c r="G138" s="106"/>
      <c r="H138" s="106"/>
    </row>
    <row r="139" spans="1:8" x14ac:dyDescent="0.25">
      <c r="A139" s="38" t="s">
        <v>68</v>
      </c>
      <c r="B139" s="39"/>
      <c r="C139" s="39"/>
      <c r="D139" s="38" t="str">
        <f>E8</f>
        <v>Liana A</v>
      </c>
      <c r="F139" s="39"/>
      <c r="G139" s="39"/>
      <c r="H139" s="39"/>
    </row>
    <row r="140" spans="1:8" x14ac:dyDescent="0.25">
      <c r="A140" s="39"/>
      <c r="B140" s="39"/>
      <c r="C140" s="39"/>
      <c r="D140" s="39"/>
      <c r="E140" s="39"/>
      <c r="F140" s="39"/>
      <c r="G140" s="39"/>
      <c r="H140" s="39"/>
    </row>
    <row r="141" spans="1:8" x14ac:dyDescent="0.25">
      <c r="A141" s="39"/>
      <c r="B141" s="39"/>
      <c r="C141" s="39"/>
      <c r="D141" s="39"/>
      <c r="E141" s="39"/>
      <c r="F141" s="39"/>
      <c r="G141" s="39"/>
      <c r="H141" s="39"/>
    </row>
    <row r="142" spans="1:8" ht="15" customHeight="1" x14ac:dyDescent="0.25"/>
    <row r="179" spans="1:1" x14ac:dyDescent="0.25">
      <c r="A179" s="41" t="s">
        <v>69</v>
      </c>
    </row>
  </sheetData>
  <mergeCells count="255">
    <mergeCell ref="A70:B70"/>
    <mergeCell ref="A96:B96"/>
    <mergeCell ref="A90:A91"/>
    <mergeCell ref="L97:M97"/>
    <mergeCell ref="L95:M95"/>
    <mergeCell ref="L96:M96"/>
    <mergeCell ref="B122:H122"/>
    <mergeCell ref="A45:B45"/>
    <mergeCell ref="C45:H45"/>
    <mergeCell ref="B120:H120"/>
    <mergeCell ref="F79:H79"/>
    <mergeCell ref="A79:E79"/>
    <mergeCell ref="A80:E80"/>
    <mergeCell ref="A98:B98"/>
    <mergeCell ref="G67:H76"/>
    <mergeCell ref="A75:B75"/>
    <mergeCell ref="A76:B76"/>
    <mergeCell ref="D57:H57"/>
    <mergeCell ref="D54:H54"/>
    <mergeCell ref="A54:C54"/>
    <mergeCell ref="G47:H47"/>
    <mergeCell ref="A48:B49"/>
    <mergeCell ref="B121:H121"/>
    <mergeCell ref="B116:H116"/>
    <mergeCell ref="D56:H56"/>
    <mergeCell ref="A47:B47"/>
    <mergeCell ref="D62:H62"/>
    <mergeCell ref="A38:D38"/>
    <mergeCell ref="E38:H38"/>
    <mergeCell ref="A40:D40"/>
    <mergeCell ref="E40:H40"/>
    <mergeCell ref="E41:H41"/>
    <mergeCell ref="E42:H42"/>
    <mergeCell ref="E43:H43"/>
    <mergeCell ref="A41:D41"/>
    <mergeCell ref="A42:D42"/>
    <mergeCell ref="A43:D43"/>
    <mergeCell ref="E39:H39"/>
    <mergeCell ref="A39:D39"/>
    <mergeCell ref="A44:H44"/>
    <mergeCell ref="A52:C52"/>
    <mergeCell ref="A53:C53"/>
    <mergeCell ref="D53:H53"/>
    <mergeCell ref="G50:H50"/>
    <mergeCell ref="A56:C56"/>
    <mergeCell ref="A73:B73"/>
    <mergeCell ref="A66:B66"/>
    <mergeCell ref="A69:B69"/>
    <mergeCell ref="A65:B65"/>
    <mergeCell ref="A63:B63"/>
    <mergeCell ref="A57:C57"/>
    <mergeCell ref="A46:B46"/>
    <mergeCell ref="C46:E46"/>
    <mergeCell ref="G46:H46"/>
    <mergeCell ref="G48:H48"/>
    <mergeCell ref="D52:H52"/>
    <mergeCell ref="C48:E48"/>
    <mergeCell ref="A55:C55"/>
    <mergeCell ref="D55:H55"/>
    <mergeCell ref="C47:E47"/>
    <mergeCell ref="A50:B50"/>
    <mergeCell ref="C50:E50"/>
    <mergeCell ref="A60:C60"/>
    <mergeCell ref="D60:H60"/>
    <mergeCell ref="A61:C61"/>
    <mergeCell ref="D61:H61"/>
    <mergeCell ref="E67:F76"/>
    <mergeCell ref="A72:B72"/>
    <mergeCell ref="A62:C62"/>
    <mergeCell ref="F29:H29"/>
    <mergeCell ref="A30:B30"/>
    <mergeCell ref="A29:B29"/>
    <mergeCell ref="C30:E30"/>
    <mergeCell ref="A31:B31"/>
    <mergeCell ref="C31:E31"/>
    <mergeCell ref="A34:H34"/>
    <mergeCell ref="A33:B33"/>
    <mergeCell ref="C35:H35"/>
    <mergeCell ref="A37:H37"/>
    <mergeCell ref="C33:E33"/>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F30:H30"/>
    <mergeCell ref="F31:H31"/>
    <mergeCell ref="C29:E29"/>
    <mergeCell ref="F32:H32"/>
    <mergeCell ref="F33:H33"/>
    <mergeCell ref="A35:B35"/>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0:D10"/>
    <mergeCell ref="E10:H10"/>
    <mergeCell ref="A5:D5"/>
    <mergeCell ref="E5:H5"/>
    <mergeCell ref="A6:D6"/>
    <mergeCell ref="E6:H6"/>
    <mergeCell ref="A7:D7"/>
    <mergeCell ref="E7:H7"/>
    <mergeCell ref="A14:B14"/>
    <mergeCell ref="A11:D11"/>
    <mergeCell ref="E11:H11"/>
    <mergeCell ref="A12:D12"/>
    <mergeCell ref="A1:H1"/>
    <mergeCell ref="A2:H2"/>
    <mergeCell ref="A3:D3"/>
    <mergeCell ref="E3:H3"/>
    <mergeCell ref="A4:D4"/>
    <mergeCell ref="A8:D8"/>
    <mergeCell ref="E8:H8"/>
    <mergeCell ref="A9:D9"/>
    <mergeCell ref="E9:H9"/>
    <mergeCell ref="E4:H4"/>
    <mergeCell ref="A136:H138"/>
    <mergeCell ref="A135:B135"/>
    <mergeCell ref="E135:F135"/>
    <mergeCell ref="C135:D135"/>
    <mergeCell ref="G135:H135"/>
    <mergeCell ref="A83:E83"/>
    <mergeCell ref="F83:H83"/>
    <mergeCell ref="A84:E84"/>
    <mergeCell ref="F84:H84"/>
    <mergeCell ref="A87:B87"/>
    <mergeCell ref="A131:H131"/>
    <mergeCell ref="A85:H85"/>
    <mergeCell ref="A134:H134"/>
    <mergeCell ref="A132:H132"/>
    <mergeCell ref="A115:H115"/>
    <mergeCell ref="B90:B91"/>
    <mergeCell ref="A108:H108"/>
    <mergeCell ref="A109:B109"/>
    <mergeCell ref="A133:H133"/>
    <mergeCell ref="A130:H130"/>
    <mergeCell ref="A86:B86"/>
    <mergeCell ref="D90:D91"/>
    <mergeCell ref="E90:E91"/>
    <mergeCell ref="G90:H91"/>
    <mergeCell ref="L110:M110"/>
    <mergeCell ref="A111:B111"/>
    <mergeCell ref="L114:M114"/>
    <mergeCell ref="L111:M111"/>
    <mergeCell ref="L112:M112"/>
    <mergeCell ref="L113:M113"/>
    <mergeCell ref="L109:M109"/>
    <mergeCell ref="G102:H107"/>
    <mergeCell ref="G109:H114"/>
    <mergeCell ref="A110:B110"/>
    <mergeCell ref="A114:B114"/>
    <mergeCell ref="L107:M107"/>
    <mergeCell ref="A112:B112"/>
    <mergeCell ref="A113:B113"/>
    <mergeCell ref="C112:F112"/>
    <mergeCell ref="B123:H123"/>
    <mergeCell ref="A129:H129"/>
    <mergeCell ref="E86:F86"/>
    <mergeCell ref="A88:H88"/>
    <mergeCell ref="A89:H89"/>
    <mergeCell ref="C90:C91"/>
    <mergeCell ref="B124:H124"/>
    <mergeCell ref="B125:H125"/>
    <mergeCell ref="A105:B105"/>
    <mergeCell ref="A99:B99"/>
    <mergeCell ref="A93:H93"/>
    <mergeCell ref="A97:B97"/>
    <mergeCell ref="A107:B107"/>
    <mergeCell ref="A100:B100"/>
    <mergeCell ref="A95:B95"/>
    <mergeCell ref="B126:H126"/>
    <mergeCell ref="A128:H128"/>
    <mergeCell ref="A92:H92"/>
    <mergeCell ref="B118:H118"/>
    <mergeCell ref="B119:H119"/>
    <mergeCell ref="B117:H117"/>
    <mergeCell ref="B127:H127"/>
    <mergeCell ref="F77:H77"/>
    <mergeCell ref="L100:M100"/>
    <mergeCell ref="A101:H101"/>
    <mergeCell ref="A102:B102"/>
    <mergeCell ref="L102:M102"/>
    <mergeCell ref="A103:B103"/>
    <mergeCell ref="L103:M103"/>
    <mergeCell ref="A104:B104"/>
    <mergeCell ref="L104:M104"/>
    <mergeCell ref="L98:M98"/>
    <mergeCell ref="F78:H78"/>
    <mergeCell ref="G87:H87"/>
    <mergeCell ref="C87:D87"/>
    <mergeCell ref="E87:F87"/>
    <mergeCell ref="F82:H82"/>
    <mergeCell ref="A78:E78"/>
    <mergeCell ref="A82:E82"/>
    <mergeCell ref="C86:D86"/>
    <mergeCell ref="G86:H86"/>
    <mergeCell ref="A94:H94"/>
    <mergeCell ref="A81:E81"/>
    <mergeCell ref="F81:H81"/>
    <mergeCell ref="A36:B36"/>
    <mergeCell ref="C36:H36"/>
    <mergeCell ref="G95:H100"/>
    <mergeCell ref="A51:H51"/>
    <mergeCell ref="C49:H49"/>
    <mergeCell ref="I78:K78"/>
    <mergeCell ref="L105:M105"/>
    <mergeCell ref="A106:B106"/>
    <mergeCell ref="L106:M106"/>
    <mergeCell ref="L99:M99"/>
    <mergeCell ref="F80:H80"/>
    <mergeCell ref="A77:E77"/>
    <mergeCell ref="C63:H63"/>
    <mergeCell ref="A71:B71"/>
    <mergeCell ref="A58:C58"/>
    <mergeCell ref="D58:H58"/>
    <mergeCell ref="C65:H65"/>
    <mergeCell ref="A68:B68"/>
    <mergeCell ref="A67:B67"/>
    <mergeCell ref="G66:H66"/>
    <mergeCell ref="E66:F66"/>
    <mergeCell ref="A59:C59"/>
    <mergeCell ref="D59:H59"/>
    <mergeCell ref="A74:B74"/>
  </mergeCells>
  <hyperlinks>
    <hyperlink ref="C36" r:id="rId1"/>
  </hyperlinks>
  <printOptions horizontalCentered="1"/>
  <pageMargins left="0.39370078740157483" right="0.39370078740157483" top="0.78740157480314965"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62" max="16383" man="1"/>
    <brk id="138" max="16383" man="1"/>
    <brk id="17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70" t="s">
        <v>104</v>
      </c>
      <c r="C3" s="170"/>
      <c r="D3" s="170"/>
      <c r="E3" s="170"/>
      <c r="F3" s="170"/>
      <c r="G3" s="170"/>
      <c r="H3" s="170"/>
    </row>
    <row r="4" spans="1:9" x14ac:dyDescent="0.25">
      <c r="A4" s="2"/>
      <c r="B4" s="3" t="s">
        <v>105</v>
      </c>
      <c r="C4" s="3" t="s">
        <v>106</v>
      </c>
      <c r="D4" s="3" t="s">
        <v>71</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2025-07-09T09:47:28Z</cp:lastPrinted>
  <dcterms:created xsi:type="dcterms:W3CDTF">2019-07-16T09:29:46Z</dcterms:created>
  <dcterms:modified xsi:type="dcterms:W3CDTF">2025-07-09T09:49:01Z</dcterms:modified>
</cp:coreProperties>
</file>