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Pending\"/>
    </mc:Choice>
  </mc:AlternateContent>
  <bookViews>
    <workbookView xWindow="0" yWindow="0" windowWidth="20490" windowHeight="7620" tabRatio="725"/>
  </bookViews>
  <sheets>
    <sheet name="Report" sheetId="1" r:id="rId1"/>
    <sheet name="valuation" sheetId="5" r:id="rId2"/>
    <sheet name="Note" sheetId="4" r:id="rId3"/>
  </sheets>
  <definedNames>
    <definedName name="_xlnm.Print_Area" localSheetId="0">Report!$A$1:$H$308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1" l="1"/>
  <c r="C64" i="1" l="1"/>
  <c r="B231" i="1"/>
  <c r="D166" i="1"/>
  <c r="F166" i="1" s="1"/>
  <c r="D165" i="1"/>
  <c r="F165" i="1" s="1"/>
  <c r="J164" i="1"/>
  <c r="J163" i="1"/>
  <c r="D163" i="1"/>
  <c r="F163" i="1" s="1"/>
  <c r="D162" i="1"/>
  <c r="F162" i="1" s="1"/>
  <c r="G161" i="1"/>
  <c r="D161" i="1"/>
  <c r="F161" i="1" s="1"/>
  <c r="I160" i="1"/>
  <c r="D159" i="1"/>
  <c r="F159" i="1" s="1"/>
  <c r="D158" i="1"/>
  <c r="F158" i="1" s="1"/>
  <c r="J157" i="1"/>
  <c r="I157" i="1"/>
  <c r="D157" i="1"/>
  <c r="F157" i="1" s="1"/>
  <c r="J156" i="1"/>
  <c r="D156" i="1"/>
  <c r="F156" i="1" s="1"/>
  <c r="D155" i="1"/>
  <c r="F155" i="1" s="1"/>
  <c r="G154" i="1"/>
  <c r="D154" i="1"/>
  <c r="F154" i="1" s="1"/>
  <c r="D152" i="1"/>
  <c r="F152" i="1" s="1"/>
  <c r="D151" i="1"/>
  <c r="F151" i="1" s="1"/>
  <c r="D150" i="1"/>
  <c r="F150" i="1" s="1"/>
  <c r="D149" i="1"/>
  <c r="F149" i="1" s="1"/>
  <c r="D148" i="1"/>
  <c r="F148" i="1" s="1"/>
  <c r="A148" i="1"/>
  <c r="A149" i="1" s="1"/>
  <c r="A150" i="1" s="1"/>
  <c r="A151" i="1" s="1"/>
  <c r="A152" i="1" s="1"/>
  <c r="I147" i="1"/>
  <c r="G147" i="1"/>
  <c r="D147" i="1"/>
  <c r="F147" i="1" s="1"/>
  <c r="D145" i="1"/>
  <c r="F145" i="1" s="1"/>
  <c r="D144" i="1"/>
  <c r="F144" i="1" s="1"/>
  <c r="D143" i="1"/>
  <c r="F143" i="1" s="1"/>
  <c r="D142" i="1"/>
  <c r="F142" i="1" s="1"/>
  <c r="A142" i="1"/>
  <c r="A143" i="1" s="1"/>
  <c r="A144" i="1" s="1"/>
  <c r="A145" i="1" s="1"/>
  <c r="J141" i="1"/>
  <c r="I141" i="1"/>
  <c r="G141" i="1"/>
  <c r="D141" i="1"/>
  <c r="F141" i="1" s="1"/>
  <c r="D137" i="1"/>
  <c r="D136" i="1"/>
  <c r="D134" i="1"/>
  <c r="D133" i="1"/>
  <c r="D132" i="1"/>
  <c r="D128" i="1"/>
  <c r="D129" i="1"/>
  <c r="D130" i="1"/>
  <c r="D126" i="1"/>
  <c r="D125" i="1"/>
  <c r="D127" i="1"/>
  <c r="D122" i="1"/>
  <c r="D123" i="1"/>
  <c r="D121" i="1"/>
  <c r="D120" i="1"/>
  <c r="D119" i="1"/>
  <c r="D118" i="1"/>
  <c r="D116" i="1"/>
  <c r="D115" i="1"/>
  <c r="D114" i="1"/>
  <c r="D113" i="1"/>
  <c r="D112" i="1"/>
  <c r="C78" i="1"/>
  <c r="J89" i="1"/>
  <c r="J88" i="1"/>
  <c r="J87" i="1"/>
  <c r="J86" i="1"/>
  <c r="E102" i="1" l="1"/>
  <c r="C103" i="1"/>
  <c r="G103" i="1"/>
  <c r="E103" i="1"/>
  <c r="E104" i="1" s="1"/>
  <c r="C72" i="1" l="1"/>
  <c r="C73" i="1"/>
  <c r="E3" i="1"/>
  <c r="I128" i="1" l="1"/>
  <c r="I131" i="1"/>
  <c r="F137" i="1"/>
  <c r="F136" i="1"/>
  <c r="J135" i="1"/>
  <c r="J134" i="1"/>
  <c r="F134" i="1"/>
  <c r="F133" i="1"/>
  <c r="G132" i="1"/>
  <c r="F132" i="1"/>
  <c r="J128" i="1"/>
  <c r="F128" i="1"/>
  <c r="F130" i="1"/>
  <c r="F129" i="1"/>
  <c r="J127" i="1"/>
  <c r="J112" i="1"/>
  <c r="C102" i="1"/>
  <c r="C104" i="1" s="1"/>
  <c r="I112" i="1"/>
  <c r="I118" i="1" l="1"/>
  <c r="F126" i="1" l="1"/>
  <c r="F125" i="1"/>
  <c r="F122" i="1"/>
  <c r="F120" i="1"/>
  <c r="F121" i="1"/>
  <c r="F123" i="1"/>
  <c r="F119" i="1"/>
  <c r="A119" i="1"/>
  <c r="A120" i="1" s="1"/>
  <c r="A121" i="1" s="1"/>
  <c r="A122" i="1" s="1"/>
  <c r="A123" i="1" s="1"/>
  <c r="G118" i="1"/>
  <c r="F118" i="1"/>
  <c r="F127" i="1"/>
  <c r="G125" i="1"/>
  <c r="F116" i="1"/>
  <c r="E27" i="1" l="1"/>
  <c r="F113" i="1" l="1"/>
  <c r="F114" i="1"/>
  <c r="F115" i="1"/>
  <c r="F112" i="1"/>
  <c r="A113" i="1"/>
  <c r="A114" i="1" s="1"/>
  <c r="A115" i="1" s="1"/>
  <c r="A116" i="1" s="1"/>
  <c r="G112" i="1"/>
  <c r="G102" i="1" l="1"/>
  <c r="G104" i="1" s="1"/>
  <c r="F99" i="1"/>
  <c r="B169" i="1" l="1"/>
  <c r="C13" i="1" l="1"/>
  <c r="F11" i="5" l="1"/>
  <c r="G11" i="5" s="1"/>
  <c r="F10" i="5"/>
  <c r="G10" i="5" s="1"/>
  <c r="F9" i="5"/>
  <c r="G9" i="5" s="1"/>
  <c r="F8" i="5"/>
  <c r="G8" i="5" s="1"/>
  <c r="F7" i="5"/>
  <c r="G7" i="5" s="1"/>
  <c r="F6" i="5"/>
  <c r="G6" i="5" s="1"/>
  <c r="F5" i="5"/>
  <c r="G5" i="5" s="1"/>
  <c r="G12" i="5" s="1"/>
  <c r="D189" i="1"/>
  <c r="J75" i="1"/>
  <c r="J74" i="1"/>
  <c r="J73" i="1"/>
  <c r="J72" i="1"/>
  <c r="D52" i="1"/>
  <c r="G47" i="1"/>
  <c r="G48" i="1" s="1"/>
  <c r="C47" i="1"/>
  <c r="E40" i="1"/>
  <c r="E41" i="1" s="1"/>
  <c r="E24" i="1"/>
  <c r="E22" i="1"/>
  <c r="E7" i="1"/>
  <c r="D58" i="1"/>
  <c r="H65" i="1"/>
  <c r="D77" i="1" l="1"/>
  <c r="D75" i="1"/>
  <c r="D74" i="1"/>
  <c r="D73" i="1"/>
  <c r="D71" i="1"/>
  <c r="D70" i="1"/>
  <c r="D76" i="1"/>
  <c r="D72" i="1"/>
  <c r="J68" i="1"/>
  <c r="J69" i="1"/>
  <c r="C68" i="1" s="1"/>
  <c r="J67" i="1"/>
  <c r="J70" i="1"/>
  <c r="H79" i="1"/>
  <c r="D84" i="1" l="1"/>
  <c r="J81" i="1"/>
  <c r="D90" i="1"/>
  <c r="J83" i="1"/>
  <c r="C82" i="1" s="1"/>
  <c r="D86" i="1"/>
  <c r="D89" i="1"/>
  <c r="J82" i="1"/>
  <c r="D88" i="1"/>
  <c r="D85" i="1"/>
  <c r="D91" i="1"/>
  <c r="D87" i="1"/>
  <c r="J84" i="1"/>
  <c r="J85" i="1" s="1"/>
  <c r="J90" i="1" s="1"/>
  <c r="J91" i="1" s="1"/>
  <c r="C83" i="1" s="1"/>
  <c r="E82" i="1" s="1"/>
  <c r="J71" i="1"/>
  <c r="J76" i="1" s="1"/>
  <c r="D68" i="1"/>
  <c r="D83" i="1" l="1"/>
  <c r="G82" i="1"/>
  <c r="D82" i="1"/>
  <c r="I78" i="1" s="1"/>
  <c r="C80" i="1" s="1"/>
  <c r="J77" i="1"/>
  <c r="E68" i="1"/>
  <c r="I64" i="1" l="1"/>
  <c r="C66" i="1" s="1"/>
  <c r="D69" i="1"/>
  <c r="G68" i="1"/>
  <c r="D62" i="1" s="1"/>
  <c r="F63" i="1" s="1"/>
  <c r="D63" i="1" l="1"/>
</calcChain>
</file>

<file path=xl/sharedStrings.xml><?xml version="1.0" encoding="utf-8"?>
<sst xmlns="http://schemas.openxmlformats.org/spreadsheetml/2006/main" count="334" uniqueCount="218">
  <si>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</si>
  <si>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</si>
  <si>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</si>
  <si>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</si>
  <si>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</si>
  <si>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</si>
  <si>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</si>
  <si>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</si>
  <si>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</si>
  <si>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</si>
  <si>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</si>
  <si>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</si>
  <si>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</si>
  <si>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</si>
  <si>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</si>
  <si>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</si>
  <si>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</si>
  <si>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</si>
  <si>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</si>
  <si>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</si>
  <si>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</si>
  <si>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</si>
  <si>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</si>
  <si>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</si>
  <si>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</si>
  <si>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</si>
  <si>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</si>
  <si>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</si>
  <si>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</si>
  <si>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</si>
  <si>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</si>
  <si>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</si>
  <si>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</si>
  <si>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</si>
  <si>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</si>
  <si>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</si>
  <si>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</si>
  <si>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</si>
  <si>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</si>
  <si>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</si>
  <si>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</si>
  <si>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</si>
  <si>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</si>
  <si>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</si>
  <si>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</si>
  <si>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</si>
  <si>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</si>
  <si>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</si>
  <si>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</si>
  <si>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</si>
  <si>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</si>
  <si>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</si>
  <si>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</si>
  <si>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</si>
  <si>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</si>
  <si>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</si>
  <si>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</si>
  <si>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</si>
  <si>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</si>
  <si>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</si>
  <si>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</si>
  <si>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</si>
  <si>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</si>
  <si>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</si>
  <si>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</si>
  <si>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</si>
  <si>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</si>
  <si>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</si>
  <si>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</si>
  <si>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</si>
  <si>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</si>
  <si>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</si>
  <si>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</si>
  <si>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</si>
  <si>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</si>
  <si>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</si>
  <si>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</si>
  <si>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</si>
  <si>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</si>
  <si>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</si>
  <si>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</si>
  <si>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</si>
  <si>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</si>
  <si>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</si>
  <si>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</si>
  <si>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</si>
  <si>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</si>
  <si>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</si>
  <si>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</si>
  <si>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</si>
  <si>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</si>
  <si>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</si>
  <si>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</si>
  <si>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</si>
  <si>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</si>
  <si>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</si>
  <si>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</si>
  <si>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Excavation in process</t>
  </si>
  <si>
    <t>Excavation Completed</t>
  </si>
  <si>
    <t>Footing in Process</t>
  </si>
  <si>
    <t>Footing Completed</t>
  </si>
  <si>
    <t>Plinth completed</t>
  </si>
  <si>
    <t>All work Completed. OC Received.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</si>
  <si>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</si>
  <si>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</si>
  <si>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</si>
  <si>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</si>
  <si>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</si>
  <si>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</si>
  <si>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</si>
  <si>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</si>
  <si>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</si>
  <si>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</si>
  <si>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</si>
  <si>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</si>
  <si>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</si>
  <si>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</si>
  <si>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</si>
  <si>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Flat No.
(Sale Plan)</t>
  </si>
  <si>
    <t>Contact Details ( Name &amp; Contact No.)</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</si>
  <si>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</si>
  <si>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</si>
  <si>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</si>
  <si>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</si>
  <si>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</si>
  <si>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</si>
  <si>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</si>
  <si>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</si>
  <si>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</si>
  <si>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</si>
  <si>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</si>
  <si>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</si>
  <si>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</si>
  <si>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</si>
  <si>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</si>
  <si>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</si>
  <si>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</si>
  <si>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</si>
  <si>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</si>
  <si>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</si>
  <si>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</si>
  <si>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</si>
  <si>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</si>
  <si>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</si>
  <si>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</si>
  <si>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</si>
  <si>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Vitrified tiles flooring, Kitchen Platform, Decorative</t>
  </si>
  <si>
    <t xml:space="preserve">Violations Observed if any : </t>
  </si>
  <si>
    <t>Saleable area Loading :</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</si>
  <si>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</si>
  <si>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</si>
  <si>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</si>
  <si>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</si>
  <si>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</si>
  <si>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</si>
  <si>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Flat Per Sq. Ft.</t>
  </si>
  <si>
    <t>On Saleable Area</t>
  </si>
  <si>
    <t>2BHK</t>
  </si>
  <si>
    <t>1BHK</t>
  </si>
  <si>
    <t>Refuge Area</t>
  </si>
  <si>
    <t>Axis Sanpada</t>
  </si>
  <si>
    <t xml:space="preserve">M/s. Macrotech Developers Limited
</t>
  </si>
  <si>
    <t>Approved Plans, CC.</t>
  </si>
  <si>
    <t>Survey No</t>
  </si>
  <si>
    <t>Thane</t>
  </si>
  <si>
    <t>Kalyan - Silphata Road</t>
  </si>
  <si>
    <t>Dombivali east</t>
  </si>
  <si>
    <t xml:space="preserve">Kalyan </t>
  </si>
  <si>
    <t>Runwal MyCity</t>
  </si>
  <si>
    <t xml:space="preserve">4.7 KM from Dombivli
Railway Station
</t>
  </si>
  <si>
    <t>Ekveera Aai Apartment</t>
  </si>
  <si>
    <t xml:space="preserve">Kalyan - Shilphata road
</t>
  </si>
  <si>
    <t>Smart buy Manpada by Lodha</t>
  </si>
  <si>
    <t xml:space="preserve">Town Planning, Thane
</t>
  </si>
  <si>
    <t xml:space="preserve"> Sub station</t>
  </si>
  <si>
    <t>Mangaon - Hedutane</t>
  </si>
  <si>
    <t>We considered Gross carpet area = Net carpet + Balcony  + Dry Balcony + Chajja Area.</t>
  </si>
  <si>
    <t>Provisional Building Common Area Maintenance (CAM) Charges
for 18 months*</t>
  </si>
  <si>
    <t>Provisional Federation Common Area Maintenance (CAM) Charges
for 60 months*</t>
  </si>
  <si>
    <t>Utility Connection &amp;amp. Related Expenses*</t>
  </si>
  <si>
    <t>Electricity Deposit Reimbursement*</t>
  </si>
  <si>
    <t>Ekatmik Nagar Vasahat/M. Antarli, Khoni
&amp; Other/Sec- B.D.I.O&amp;P/SSTHANE/1384</t>
  </si>
  <si>
    <t>Liana C (Cluster - 15.03)</t>
  </si>
  <si>
    <t>65/15A of Mangaon &amp; 212/2 of Hedutane, Sector - O</t>
  </si>
  <si>
    <t>1st &amp; 2nd Floor</t>
  </si>
  <si>
    <t>3rd to 7th, 9th to 12th,
 14th to 17th Floor (15th to 18th Floor as per Builder)
19th to 23rd Floor (20th to 24th Floor as per Builder)
Floor for Residential</t>
  </si>
  <si>
    <t>8th, 13th Floor (14th Floor as per Builder)
18th Floor (19th Floor as per Builder)
(Part Refuge Area)</t>
  </si>
  <si>
    <t>Liana C - Type B
(Cluster - 15.03)</t>
  </si>
  <si>
    <t>Liana C &amp; D</t>
  </si>
  <si>
    <t>Liana Wing C = P51700034770
Liana Wing D = P51700046119</t>
  </si>
  <si>
    <t>2 Buildings</t>
  </si>
  <si>
    <t>Liana - Wing D - Type P.B(Cluster -15.03)= G/St + 1st to 23rd Floor</t>
  </si>
  <si>
    <t>Total</t>
  </si>
  <si>
    <t>Liana D - Type P.B
(Cluster - 15.03)</t>
  </si>
  <si>
    <t>Liana D (Cluster - 15.03)</t>
  </si>
  <si>
    <t>P.B - Type</t>
  </si>
  <si>
    <t>Ground Floor for Residential, Entrance Lobby &amp; Meter Room</t>
  </si>
  <si>
    <t>Antarli, Khoni, Hedutane, Kole, Gharivli, Katai, &amp; Mangav, Taluka Kalyan, M.Umbroli, Taluka Ambernath /SSTHANE/2959</t>
  </si>
  <si>
    <t>Liana - Wing C &amp; D (Cluster -15.03 ) = G/St + 1st to 23rd Floor</t>
  </si>
  <si>
    <t>We have updated Approved Revised plans of Liana Wing C &amp; D (on 29/04/2023)</t>
  </si>
  <si>
    <t xml:space="preserve">Layout : 
</t>
  </si>
  <si>
    <t>Flats - 280</t>
  </si>
  <si>
    <t>Liana - Wing C - Type P.B(Cluster -15.03)= G/St + 1st to 23rd Floor
Liana - Wing D - Type P.B(Cluster -15.03)= G/St + 1st to 23rd Floor</t>
  </si>
  <si>
    <t>Liana - Wing C - Type P.B(Cluster -15.03)= G/St + 1st to 23rd Floor</t>
  </si>
  <si>
    <t xml:space="preserve">Wing C - P.B Type (Cluster -15.03)
Wing D - P.B Type (Cluster 15.03) </t>
  </si>
  <si>
    <t>As per RERA - 
Wing C = 31/03/2026
Wing D = 31/08/2026</t>
  </si>
  <si>
    <t>Location Link :</t>
  </si>
  <si>
    <t>https://goo.gl/maps/ufAF3SxCg7KuthqY9?coh=178572&amp;entry=tt</t>
  </si>
  <si>
    <t xml:space="preserve">Office No. 1031, Wing J, Akshar Business Park, Plot No. 03 Sector 25, Near APMC Market, Vashi, Navi Mumbai, Maharashtra 400703 TEL: 022-46090378/79/80                                                                                                     E mail : vsjcapf@gmail.com. Web site : www.vsjadon.com
</t>
  </si>
  <si>
    <t xml:space="preserve">6800 to 7500 on 60% loading &amp; 400000 park by sanket &amp; Ganesh Sir on 14/09/2023 recording saved </t>
  </si>
  <si>
    <t>On Site, we meet Mr. Rajendra Giri : 9820248856.</t>
  </si>
  <si>
    <t>Latitude,Longitude</t>
  </si>
  <si>
    <t>19.1819563,73.0894868</t>
  </si>
  <si>
    <t>Pranita Mhatre</t>
  </si>
  <si>
    <t>Krishna Kambali</t>
  </si>
  <si>
    <t>Lodha Codename Premier - Liana C &amp; D</t>
  </si>
  <si>
    <t>We have understand stage of building is visce versa on 16/07/2025  
therfore as per dicuss with sir wing D Stage is not increased</t>
  </si>
  <si>
    <t>Construction work is in process at the time of Visit (Internal photo was not 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</si>
</sst>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color indexed="8"/>
      <name val="Times New Roman"/>
      <family val="1"/>
    </font>
    <font>
      <u/>
      <sz val="11"/>
      <color theme="10"/>
      <name val="Calibri"/>
      <family val="2"/>
    </font>
    <font>
      <b/>
      <sz val="18"/>
      <color rgb="FFFF0000"/>
      <name val="Times New Roman"/>
      <family val="1"/>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18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7" xfId="8" applyFont="1" applyFill="1" applyBorder="1" applyAlignment="1" applyProtection="1">
      <alignment horizontal="center" vertical="top" wrapText="1"/>
      <protection locked="0"/>
    </xf>
    <xf numFmtId="0" fontId="17" fillId="0" borderId="0" xfId="0" applyFont="1" applyProtection="1">
      <protection hidden="1"/>
    </xf>
    <xf numFmtId="0" fontId="7" fillId="0" borderId="9" xfId="1" applyFont="1" applyBorder="1" applyProtection="1">
      <protection hidden="1"/>
    </xf>
    <xf numFmtId="0" fontId="7" fillId="0" borderId="0" xfId="1" applyFont="1" applyProtection="1">
      <protection hidden="1"/>
    </xf>
    <xf numFmtId="0" fontId="17" fillId="0" borderId="12"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23" fillId="0" borderId="0" xfId="1" applyFont="1"/>
    <xf numFmtId="0" fontId="7" fillId="0" borderId="10" xfId="1" applyFont="1" applyBorder="1" applyProtection="1">
      <protection hidden="1"/>
    </xf>
    <xf numFmtId="0" fontId="7" fillId="0" borderId="11" xfId="1" applyFont="1" applyBorder="1" applyProtection="1">
      <protection hidden="1"/>
    </xf>
    <xf numFmtId="0" fontId="7" fillId="0" borderId="11" xfId="1" applyFont="1" applyBorder="1"/>
    <xf numFmtId="0" fontId="17" fillId="0" borderId="11" xfId="0" applyFont="1" applyBorder="1" applyProtection="1">
      <protection hidden="1"/>
    </xf>
    <xf numFmtId="1" fontId="0" fillId="0" borderId="11" xfId="0" applyNumberFormat="1" applyBorder="1"/>
    <xf numFmtId="1" fontId="0" fillId="0" borderId="11" xfId="0" applyNumberFormat="1" applyBorder="1" applyAlignment="1">
      <alignment horizontal="right"/>
    </xf>
    <xf numFmtId="1" fontId="0" fillId="0" borderId="13"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9" fontId="12" fillId="0" borderId="1" xfId="8" applyFont="1" applyFill="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7" fillId="0" borderId="0" xfId="1" applyFont="1" applyAlignment="1">
      <alignment horizontal="center" vertical="center"/>
    </xf>
    <xf numFmtId="1" fontId="8" fillId="0" borderId="2"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24" fillId="0" borderId="1" xfId="0" applyNumberFormat="1" applyFont="1" applyBorder="1" applyAlignment="1">
      <alignment horizontal="center" vertical="center" wrapText="1"/>
    </xf>
    <xf numFmtId="1" fontId="16" fillId="0" borderId="1" xfId="0" applyNumberFormat="1" applyFont="1" applyBorder="1" applyAlignment="1">
      <alignment horizontal="center"/>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0" fontId="12" fillId="0" borderId="6" xfId="1" applyFont="1" applyBorder="1" applyAlignment="1" applyProtection="1">
      <alignment horizontal="center" vertical="top" wrapText="1"/>
      <protection locked="0"/>
    </xf>
    <xf numFmtId="0" fontId="7" fillId="0" borderId="0" xfId="1" applyFont="1" applyAlignment="1">
      <alignment horizontal="center" vertical="center"/>
    </xf>
    <xf numFmtId="1" fontId="6" fillId="0" borderId="7" xfId="1" applyNumberFormat="1" applyFont="1" applyBorder="1" applyAlignment="1" applyProtection="1">
      <alignment horizontal="center" vertical="center" wrapText="1"/>
      <protection locked="0"/>
    </xf>
    <xf numFmtId="1" fontId="6" fillId="0" borderId="22"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22"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7" fillId="2" borderId="26" xfId="1" applyFont="1" applyFill="1" applyBorder="1" applyAlignment="1">
      <alignment horizontal="center" vertical="top" wrapText="1"/>
    </xf>
    <xf numFmtId="0" fontId="7" fillId="2" borderId="0" xfId="1" applyFont="1" applyFill="1" applyAlignment="1">
      <alignment horizontal="center" vertical="top" wrapText="1"/>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9" fontId="12" fillId="0" borderId="18"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13" xfId="8" applyFont="1" applyFill="1" applyBorder="1" applyAlignment="1" applyProtection="1">
      <alignment horizontal="center" vertical="center" wrapText="1"/>
      <protection locked="0"/>
    </xf>
    <xf numFmtId="0" fontId="12" fillId="0" borderId="2"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8" fillId="0" borderId="17" xfId="1" applyFont="1" applyBorder="1" applyAlignment="1" applyProtection="1">
      <alignment horizontal="left" vertical="top"/>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1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30" xfId="8" applyFont="1" applyFill="1" applyBorder="1" applyAlignment="1" applyProtection="1">
      <alignment horizontal="center" vertical="center" wrapText="1"/>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7"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6" fillId="0" borderId="7" xfId="0" applyNumberFormat="1" applyFont="1" applyBorder="1" applyAlignment="1" applyProtection="1">
      <alignment horizontal="center" vertical="center" wrapText="1"/>
      <protection locked="0"/>
    </xf>
    <xf numFmtId="1" fontId="6" fillId="0" borderId="8" xfId="0" applyNumberFormat="1"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1" fontId="7" fillId="0" borderId="7" xfId="0"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6" fillId="0" borderId="27"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67" fontId="13" fillId="0" borderId="1" xfId="9" applyNumberFormat="1" applyFont="1" applyFill="1" applyBorder="1" applyAlignment="1" applyProtection="1">
      <alignment horizontal="left" vertical="top"/>
      <protection locked="0"/>
    </xf>
    <xf numFmtId="1" fontId="8" fillId="0" borderId="7" xfId="0" applyNumberFormat="1" applyFont="1" applyBorder="1" applyAlignment="1" applyProtection="1">
      <alignment vertical="top" wrapText="1"/>
      <protection locked="0"/>
    </xf>
    <xf numFmtId="1" fontId="8" fillId="0" borderId="22"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0" fontId="12" fillId="0" borderId="1" xfId="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 fontId="13" fillId="0" borderId="7" xfId="0" applyNumberFormat="1" applyFont="1" applyBorder="1" applyAlignment="1" applyProtection="1">
      <alignment vertical="top" wrapText="1"/>
      <protection locked="0"/>
    </xf>
    <xf numFmtId="1" fontId="13" fillId="0" borderId="22"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0" fontId="10" fillId="0" borderId="1" xfId="0" applyFont="1" applyBorder="1" applyAlignment="1" applyProtection="1">
      <alignment horizontal="center" vertical="center"/>
      <protection locked="0"/>
    </xf>
    <xf numFmtId="0" fontId="13"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8" fillId="0" borderId="17" xfId="1" applyFont="1" applyBorder="1" applyAlignment="1" applyProtection="1">
      <alignment horizontal="center" vertical="top"/>
      <protection locked="0"/>
    </xf>
    <xf numFmtId="0" fontId="13" fillId="0" borderId="23"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0" fillId="0" borderId="7" xfId="1" applyFont="1" applyBorder="1" applyAlignment="1" applyProtection="1">
      <alignment horizontal="left"/>
      <protection locked="0"/>
    </xf>
    <xf numFmtId="0" fontId="10" fillId="0" borderId="22" xfId="1" applyFont="1" applyBorder="1" applyAlignment="1" applyProtection="1">
      <alignment horizontal="left"/>
      <protection locked="0"/>
    </xf>
    <xf numFmtId="0" fontId="10" fillId="0" borderId="8" xfId="1" applyFont="1" applyBorder="1" applyAlignment="1" applyProtection="1">
      <alignment horizontal="left"/>
      <protection locked="0"/>
    </xf>
    <xf numFmtId="0" fontId="25" fillId="0" borderId="7" xfId="10" applyBorder="1" applyAlignment="1" applyProtection="1">
      <alignment horizontal="left"/>
      <protection locked="0"/>
    </xf>
    <xf numFmtId="0" fontId="7" fillId="0" borderId="22" xfId="1" applyFont="1" applyBorder="1" applyAlignment="1" applyProtection="1">
      <alignment horizontal="left"/>
      <protection locked="0"/>
    </xf>
    <xf numFmtId="0" fontId="7" fillId="0" borderId="8" xfId="1" applyFont="1" applyBorder="1" applyAlignment="1" applyProtection="1">
      <alignment horizontal="left"/>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2"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13" fillId="0" borderId="7" xfId="1" applyFont="1" applyBorder="1" applyAlignment="1" applyProtection="1">
      <alignment horizontal="left" vertical="top" wrapText="1"/>
      <protection locked="0"/>
    </xf>
    <xf numFmtId="0" fontId="13" fillId="0" borderId="22"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31"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2"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9" fillId="0" borderId="1" xfId="5" applyFont="1" applyBorder="1" applyAlignment="1">
      <alignment horizontal="left"/>
    </xf>
    <xf numFmtId="0" fontId="13" fillId="0" borderId="14"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24" xfId="1" applyFont="1" applyBorder="1" applyAlignment="1" applyProtection="1">
      <alignment horizontal="left" vertical="top" wrapText="1"/>
      <protection locked="0"/>
    </xf>
    <xf numFmtId="0" fontId="26" fillId="0" borderId="32" xfId="1" applyFont="1" applyBorder="1" applyAlignment="1">
      <alignment horizontal="center" vertical="top" wrapText="1"/>
    </xf>
    <xf numFmtId="0" fontId="26" fillId="0" borderId="0" xfId="1" applyFont="1" applyBorder="1" applyAlignment="1">
      <alignment horizontal="center" vertical="top" wrapText="1"/>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jp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eg"/><Relationship Id="rId1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oneCellAnchor>
    <xdr:from>
      <xdr:col>0</xdr:col>
      <xdr:colOff>685800</xdr:colOff>
      <xdr:row>232</xdr:row>
      <xdr:rowOff>0</xdr:rowOff>
    </xdr:from>
    <xdr:ext cx="5368500" cy="7200000"/>
    <xdr:pic>
      <xdr:nvPicPr>
        <xdr:cNvPr id="8" name="Picture 7">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85800" y="54598957"/>
          <a:ext cx="5368500" cy="7200000"/>
        </a:xfrm>
        <a:prstGeom prst="rect">
          <a:avLst/>
        </a:prstGeom>
        <a:ln>
          <a:solidFill>
            <a:schemeClr val="tx1"/>
          </a:solidFill>
        </a:ln>
      </xdr:spPr>
    </xdr:pic>
    <xdr:clientData/>
  </xdr:oneCellAnchor>
  <xdr:twoCellAnchor>
    <xdr:from>
      <xdr:col>2</xdr:col>
      <xdr:colOff>838201</xdr:colOff>
      <xdr:row>242</xdr:row>
      <xdr:rowOff>152400</xdr:rowOff>
    </xdr:from>
    <xdr:to>
      <xdr:col>3</xdr:col>
      <xdr:colOff>733426</xdr:colOff>
      <xdr:row>247</xdr:row>
      <xdr:rowOff>19050</xdr:rowOff>
    </xdr:to>
    <xdr:sp macro="" textlink="">
      <xdr:nvSpPr>
        <xdr:cNvPr id="9" name="Freeform 8">
          <a:extLst>
            <a:ext uri="{FF2B5EF4-FFF2-40B4-BE49-F238E27FC236}">
              <a16:creationId xmlns:a16="http://schemas.microsoft.com/office/drawing/2014/main" id="{00000000-0008-0000-0000-000008000000}"/>
            </a:ext>
          </a:extLst>
        </xdr:cNvPr>
        <xdr:cNvSpPr/>
      </xdr:nvSpPr>
      <xdr:spPr>
        <a:xfrm>
          <a:off x="2486026" y="55845075"/>
          <a:ext cx="742950" cy="866775"/>
        </a:xfrm>
        <a:custGeom>
          <a:avLst/>
          <a:gdLst>
            <a:gd name="connsiteX0" fmla="*/ 85725 w 742950"/>
            <a:gd name="connsiteY0" fmla="*/ 95250 h 866775"/>
            <a:gd name="connsiteX1" fmla="*/ 0 w 742950"/>
            <a:gd name="connsiteY1" fmla="*/ 733425 h 866775"/>
            <a:gd name="connsiteX2" fmla="*/ 114300 w 742950"/>
            <a:gd name="connsiteY2" fmla="*/ 866775 h 866775"/>
            <a:gd name="connsiteX3" fmla="*/ 723900 w 742950"/>
            <a:gd name="connsiteY3" fmla="*/ 190500 h 866775"/>
            <a:gd name="connsiteX4" fmla="*/ 742950 w 742950"/>
            <a:gd name="connsiteY4" fmla="*/ 152400 h 866775"/>
            <a:gd name="connsiteX5" fmla="*/ 704850 w 742950"/>
            <a:gd name="connsiteY5" fmla="*/ 104775 h 866775"/>
            <a:gd name="connsiteX6" fmla="*/ 533400 w 742950"/>
            <a:gd name="connsiteY6" fmla="*/ 9525 h 866775"/>
            <a:gd name="connsiteX7" fmla="*/ 209550 w 742950"/>
            <a:gd name="connsiteY7" fmla="*/ 0 h 866775"/>
            <a:gd name="connsiteX8" fmla="*/ 85725 w 742950"/>
            <a:gd name="connsiteY8" fmla="*/ 95250 h 866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742950" h="866775">
              <a:moveTo>
                <a:pt x="85725" y="95250"/>
              </a:moveTo>
              <a:lnTo>
                <a:pt x="0" y="733425"/>
              </a:lnTo>
              <a:lnTo>
                <a:pt x="114300" y="866775"/>
              </a:lnTo>
              <a:lnTo>
                <a:pt x="723900" y="190500"/>
              </a:lnTo>
              <a:lnTo>
                <a:pt x="742950" y="152400"/>
              </a:lnTo>
              <a:lnTo>
                <a:pt x="704850" y="104775"/>
              </a:lnTo>
              <a:lnTo>
                <a:pt x="533400" y="9525"/>
              </a:lnTo>
              <a:lnTo>
                <a:pt x="209550" y="0"/>
              </a:lnTo>
              <a:lnTo>
                <a:pt x="85725" y="95250"/>
              </a:lnTo>
              <a:close/>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438151</xdr:colOff>
      <xdr:row>242</xdr:row>
      <xdr:rowOff>19050</xdr:rowOff>
    </xdr:from>
    <xdr:to>
      <xdr:col>3</xdr:col>
      <xdr:colOff>262382</xdr:colOff>
      <xdr:row>243</xdr:row>
      <xdr:rowOff>193166</xdr:rowOff>
    </xdr:to>
    <xdr:sp macro="" textlink="">
      <xdr:nvSpPr>
        <xdr:cNvPr id="10" name="TextBox 16">
          <a:extLst>
            <a:ext uri="{FF2B5EF4-FFF2-40B4-BE49-F238E27FC236}">
              <a16:creationId xmlns:a16="http://schemas.microsoft.com/office/drawing/2014/main" id="{00000000-0008-0000-0000-000032000000}"/>
            </a:ext>
          </a:extLst>
        </xdr:cNvPr>
        <xdr:cNvSpPr txBox="1"/>
      </xdr:nvSpPr>
      <xdr:spPr>
        <a:xfrm>
          <a:off x="1200151" y="55711725"/>
          <a:ext cx="1557781" cy="374141"/>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Liana A &amp; B</a:t>
          </a:r>
          <a:endParaRPr lang="en-IN" b="1">
            <a:solidFill>
              <a:srgbClr val="FF0000"/>
            </a:solidFill>
          </a:endParaRPr>
        </a:p>
      </xdr:txBody>
    </xdr:sp>
    <xdr:clientData/>
  </xdr:twoCellAnchor>
  <xdr:twoCellAnchor>
    <xdr:from>
      <xdr:col>2</xdr:col>
      <xdr:colOff>228601</xdr:colOff>
      <xdr:row>243</xdr:row>
      <xdr:rowOff>66675</xdr:rowOff>
    </xdr:from>
    <xdr:to>
      <xdr:col>3</xdr:col>
      <xdr:colOff>95251</xdr:colOff>
      <xdr:row>246</xdr:row>
      <xdr:rowOff>28575</xdr:rowOff>
    </xdr:to>
    <xdr:cxnSp macro="">
      <xdr:nvCxnSpPr>
        <xdr:cNvPr id="11" name="Straight Arrow Connector 10">
          <a:extLst>
            <a:ext uri="{FF2B5EF4-FFF2-40B4-BE49-F238E27FC236}">
              <a16:creationId xmlns:a16="http://schemas.microsoft.com/office/drawing/2014/main" id="{00000000-0008-0000-0000-00000A000000}"/>
            </a:ext>
          </a:extLst>
        </xdr:cNvPr>
        <xdr:cNvCxnSpPr/>
      </xdr:nvCxnSpPr>
      <xdr:spPr>
        <a:xfrm>
          <a:off x="1876426" y="55959375"/>
          <a:ext cx="714375" cy="5619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695326</xdr:colOff>
      <xdr:row>243</xdr:row>
      <xdr:rowOff>66675</xdr:rowOff>
    </xdr:from>
    <xdr:to>
      <xdr:col>3</xdr:col>
      <xdr:colOff>295276</xdr:colOff>
      <xdr:row>245</xdr:row>
      <xdr:rowOff>38100</xdr:rowOff>
    </xdr:to>
    <xdr:cxnSp macro="">
      <xdr:nvCxnSpPr>
        <xdr:cNvPr id="15" name="Straight Arrow Connector 14">
          <a:extLst>
            <a:ext uri="{FF2B5EF4-FFF2-40B4-BE49-F238E27FC236}">
              <a16:creationId xmlns:a16="http://schemas.microsoft.com/office/drawing/2014/main" id="{00000000-0008-0000-0000-000033000000}"/>
            </a:ext>
          </a:extLst>
        </xdr:cNvPr>
        <xdr:cNvCxnSpPr/>
      </xdr:nvCxnSpPr>
      <xdr:spPr>
        <a:xfrm>
          <a:off x="2343151" y="55959375"/>
          <a:ext cx="447675" cy="3714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95251</xdr:colOff>
      <xdr:row>238</xdr:row>
      <xdr:rowOff>171450</xdr:rowOff>
    </xdr:from>
    <xdr:to>
      <xdr:col>3</xdr:col>
      <xdr:colOff>805307</xdr:colOff>
      <xdr:row>240</xdr:row>
      <xdr:rowOff>145541</xdr:rowOff>
    </xdr:to>
    <xdr:sp macro="" textlink="">
      <xdr:nvSpPr>
        <xdr:cNvPr id="16" name="TextBox 16">
          <a:extLst>
            <a:ext uri="{FF2B5EF4-FFF2-40B4-BE49-F238E27FC236}">
              <a16:creationId xmlns:a16="http://schemas.microsoft.com/office/drawing/2014/main" id="{00000000-0008-0000-0000-000034000000}"/>
            </a:ext>
          </a:extLst>
        </xdr:cNvPr>
        <xdr:cNvSpPr txBox="1"/>
      </xdr:nvSpPr>
      <xdr:spPr>
        <a:xfrm>
          <a:off x="1743076" y="55064025"/>
          <a:ext cx="1557781" cy="374141"/>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Liana D &amp; C</a:t>
          </a:r>
          <a:endParaRPr lang="en-IN" b="1">
            <a:solidFill>
              <a:srgbClr val="FF0000"/>
            </a:solidFill>
          </a:endParaRPr>
        </a:p>
      </xdr:txBody>
    </xdr:sp>
    <xdr:clientData/>
  </xdr:twoCellAnchor>
  <xdr:twoCellAnchor>
    <xdr:from>
      <xdr:col>2</xdr:col>
      <xdr:colOff>733426</xdr:colOff>
      <xdr:row>240</xdr:row>
      <xdr:rowOff>9525</xdr:rowOff>
    </xdr:from>
    <xdr:to>
      <xdr:col>3</xdr:col>
      <xdr:colOff>266701</xdr:colOff>
      <xdr:row>243</xdr:row>
      <xdr:rowOff>104775</xdr:rowOff>
    </xdr:to>
    <xdr:cxnSp macro="">
      <xdr:nvCxnSpPr>
        <xdr:cNvPr id="17" name="Straight Arrow Connector 16">
          <a:extLst>
            <a:ext uri="{FF2B5EF4-FFF2-40B4-BE49-F238E27FC236}">
              <a16:creationId xmlns:a16="http://schemas.microsoft.com/office/drawing/2014/main" id="{00000000-0008-0000-0000-000036000000}"/>
            </a:ext>
          </a:extLst>
        </xdr:cNvPr>
        <xdr:cNvCxnSpPr/>
      </xdr:nvCxnSpPr>
      <xdr:spPr>
        <a:xfrm>
          <a:off x="2381251" y="55302150"/>
          <a:ext cx="381000" cy="6953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352426</xdr:colOff>
      <xdr:row>240</xdr:row>
      <xdr:rowOff>9525</xdr:rowOff>
    </xdr:from>
    <xdr:to>
      <xdr:col>3</xdr:col>
      <xdr:colOff>542926</xdr:colOff>
      <xdr:row>243</xdr:row>
      <xdr:rowOff>190500</xdr:rowOff>
    </xdr:to>
    <xdr:cxnSp macro="">
      <xdr:nvCxnSpPr>
        <xdr:cNvPr id="18" name="Straight Arrow Connector 17">
          <a:extLst>
            <a:ext uri="{FF2B5EF4-FFF2-40B4-BE49-F238E27FC236}">
              <a16:creationId xmlns:a16="http://schemas.microsoft.com/office/drawing/2014/main" id="{00000000-0008-0000-0000-000037000000}"/>
            </a:ext>
          </a:extLst>
        </xdr:cNvPr>
        <xdr:cNvCxnSpPr/>
      </xdr:nvCxnSpPr>
      <xdr:spPr>
        <a:xfrm>
          <a:off x="2847976" y="55302150"/>
          <a:ext cx="190500" cy="7810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400050</xdr:colOff>
      <xdr:row>274</xdr:row>
      <xdr:rowOff>0</xdr:rowOff>
    </xdr:from>
    <xdr:to>
      <xdr:col>7</xdr:col>
      <xdr:colOff>429113</xdr:colOff>
      <xdr:row>292</xdr:row>
      <xdr:rowOff>2725</xdr:rowOff>
    </xdr:to>
    <xdr:pic>
      <xdr:nvPicPr>
        <xdr:cNvPr id="19" name="Picture 18">
          <a:extLst>
            <a:ext uri="{FF2B5EF4-FFF2-40B4-BE49-F238E27FC236}">
              <a16:creationId xmlns:a16="http://schemas.microsoft.com/office/drawing/2014/main" id="{32E90931-FCDE-3F38-0F2D-8A0752052983}"/>
            </a:ext>
          </a:extLst>
        </xdr:cNvPr>
        <xdr:cNvPicPr>
          <a:picLocks noChangeAspect="1"/>
        </xdr:cNvPicPr>
      </xdr:nvPicPr>
      <xdr:blipFill rotWithShape="1">
        <a:blip xmlns:r="http://schemas.openxmlformats.org/officeDocument/2006/relationships" r:embed="rId2"/>
        <a:srcRect l="21548" t="20741" r="21190" b="16191"/>
        <a:stretch/>
      </xdr:blipFill>
      <xdr:spPr>
        <a:xfrm>
          <a:off x="400050" y="62493525"/>
          <a:ext cx="5810738" cy="3600000"/>
        </a:xfrm>
        <a:prstGeom prst="rect">
          <a:avLst/>
        </a:prstGeom>
        <a:ln>
          <a:solidFill>
            <a:sysClr val="windowText" lastClr="000000"/>
          </a:solidFill>
        </a:ln>
      </xdr:spPr>
    </xdr:pic>
    <xdr:clientData/>
  </xdr:twoCellAnchor>
  <xdr:twoCellAnchor editAs="oneCell">
    <xdr:from>
      <xdr:col>1</xdr:col>
      <xdr:colOff>716642</xdr:colOff>
      <xdr:row>292</xdr:row>
      <xdr:rowOff>92982</xdr:rowOff>
    </xdr:from>
    <xdr:to>
      <xdr:col>6</xdr:col>
      <xdr:colOff>58469</xdr:colOff>
      <xdr:row>305</xdr:row>
      <xdr:rowOff>12657</xdr:rowOff>
    </xdr:to>
    <xdr:pic>
      <xdr:nvPicPr>
        <xdr:cNvPr id="20" name="Picture 19">
          <a:extLst>
            <a:ext uri="{FF2B5EF4-FFF2-40B4-BE49-F238E27FC236}">
              <a16:creationId xmlns:a16="http://schemas.microsoft.com/office/drawing/2014/main" id="{BB7BC7EF-E56D-A29B-4E09-BAA35F43B0FA}"/>
            </a:ext>
          </a:extLst>
        </xdr:cNvPr>
        <xdr:cNvPicPr>
          <a:picLocks noChangeAspect="1"/>
        </xdr:cNvPicPr>
      </xdr:nvPicPr>
      <xdr:blipFill rotWithShape="1">
        <a:blip xmlns:r="http://schemas.openxmlformats.org/officeDocument/2006/relationships" r:embed="rId3"/>
        <a:srcRect l="28095" t="24339" r="34524" b="28889"/>
        <a:stretch/>
      </xdr:blipFill>
      <xdr:spPr>
        <a:xfrm>
          <a:off x="1478642" y="66186957"/>
          <a:ext cx="3580452" cy="2520000"/>
        </a:xfrm>
        <a:prstGeom prst="rect">
          <a:avLst/>
        </a:prstGeom>
        <a:ln>
          <a:solidFill>
            <a:sysClr val="windowText" lastClr="000000"/>
          </a:solidFill>
        </a:ln>
      </xdr:spPr>
    </xdr:pic>
    <xdr:clientData/>
  </xdr:twoCellAnchor>
  <xdr:twoCellAnchor>
    <xdr:from>
      <xdr:col>9</xdr:col>
      <xdr:colOff>72572</xdr:colOff>
      <xdr:row>191</xdr:row>
      <xdr:rowOff>42982</xdr:rowOff>
    </xdr:from>
    <xdr:to>
      <xdr:col>9</xdr:col>
      <xdr:colOff>164210</xdr:colOff>
      <xdr:row>193</xdr:row>
      <xdr:rowOff>46719</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flipH="1">
          <a:off x="7815036" y="47599946"/>
          <a:ext cx="91638" cy="398344"/>
        </a:xfrm>
        <a:prstGeom prst="straightConnector1">
          <a:avLst/>
        </a:prstGeom>
        <a:ln>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656409</xdr:colOff>
      <xdr:row>190</xdr:row>
      <xdr:rowOff>50074</xdr:rowOff>
    </xdr:from>
    <xdr:to>
      <xdr:col>16</xdr:col>
      <xdr:colOff>83249</xdr:colOff>
      <xdr:row>223</xdr:row>
      <xdr:rowOff>92637</xdr:rowOff>
    </xdr:to>
    <xdr:grpSp>
      <xdr:nvGrpSpPr>
        <xdr:cNvPr id="6" name="Group 5">
          <a:extLst>
            <a:ext uri="{FF2B5EF4-FFF2-40B4-BE49-F238E27FC236}">
              <a16:creationId xmlns:a16="http://schemas.microsoft.com/office/drawing/2014/main" id="{2254D90B-FBC9-21B4-05BF-7A94107AD51E}"/>
            </a:ext>
          </a:extLst>
        </xdr:cNvPr>
        <xdr:cNvGrpSpPr/>
      </xdr:nvGrpSpPr>
      <xdr:grpSpPr>
        <a:xfrm>
          <a:off x="7266759" y="46493974"/>
          <a:ext cx="5827640" cy="6633863"/>
          <a:chOff x="306644" y="213359"/>
          <a:chExt cx="6002356" cy="6572903"/>
        </a:xfrm>
      </xdr:grpSpPr>
      <xdr:pic>
        <xdr:nvPicPr>
          <xdr:cNvPr id="7" name="Picture 6">
            <a:extLst>
              <a:ext uri="{FF2B5EF4-FFF2-40B4-BE49-F238E27FC236}">
                <a16:creationId xmlns:a16="http://schemas.microsoft.com/office/drawing/2014/main" id="{F1BC07AB-0A26-359B-C5DE-8B5EBDA39DF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306644" y="213360"/>
            <a:ext cx="2880000" cy="3844005"/>
          </a:xfrm>
          <a:prstGeom prst="rect">
            <a:avLst/>
          </a:prstGeom>
          <a:ln>
            <a:solidFill>
              <a:schemeClr val="tx1"/>
            </a:solidFill>
          </a:ln>
        </xdr:spPr>
      </xdr:pic>
      <xdr:pic>
        <xdr:nvPicPr>
          <xdr:cNvPr id="12" name="Picture 11">
            <a:extLst>
              <a:ext uri="{FF2B5EF4-FFF2-40B4-BE49-F238E27FC236}">
                <a16:creationId xmlns:a16="http://schemas.microsoft.com/office/drawing/2014/main" id="{43436A53-D607-E835-DCDF-279D7DB0CFF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3429000" y="213359"/>
            <a:ext cx="2880000" cy="3844005"/>
          </a:xfrm>
          <a:prstGeom prst="rect">
            <a:avLst/>
          </a:prstGeom>
          <a:ln>
            <a:solidFill>
              <a:schemeClr val="tx1"/>
            </a:solidFill>
          </a:ln>
        </xdr:spPr>
      </xdr:pic>
      <xdr:pic>
        <xdr:nvPicPr>
          <xdr:cNvPr id="13" name="Picture 12">
            <a:extLst>
              <a:ext uri="{FF2B5EF4-FFF2-40B4-BE49-F238E27FC236}">
                <a16:creationId xmlns:a16="http://schemas.microsoft.com/office/drawing/2014/main" id="{A524684B-259A-928B-AF24-5FC6D194249B}"/>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569274" y="4266262"/>
            <a:ext cx="3346709" cy="2520000"/>
          </a:xfrm>
          <a:prstGeom prst="rect">
            <a:avLst/>
          </a:prstGeom>
          <a:ln>
            <a:solidFill>
              <a:schemeClr val="tx1"/>
            </a:solidFill>
          </a:ln>
        </xdr:spPr>
      </xdr:pic>
      <xdr:pic>
        <xdr:nvPicPr>
          <xdr:cNvPr id="14" name="Picture 13">
            <a:extLst>
              <a:ext uri="{FF2B5EF4-FFF2-40B4-BE49-F238E27FC236}">
                <a16:creationId xmlns:a16="http://schemas.microsoft.com/office/drawing/2014/main" id="{8C37FC51-B286-8E59-83FA-2AE176BE140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4158339" y="4266262"/>
            <a:ext cx="1888031" cy="2520000"/>
          </a:xfrm>
          <a:prstGeom prst="rect">
            <a:avLst/>
          </a:prstGeom>
          <a:ln>
            <a:solidFill>
              <a:schemeClr val="tx1"/>
            </a:solidFill>
          </a:ln>
        </xdr:spPr>
      </xdr:pic>
    </xdr:grpSp>
    <xdr:clientData/>
  </xdr:twoCellAnchor>
  <xdr:twoCellAnchor>
    <xdr:from>
      <xdr:col>1</xdr:col>
      <xdr:colOff>259817</xdr:colOff>
      <xdr:row>189</xdr:row>
      <xdr:rowOff>151999</xdr:rowOff>
    </xdr:from>
    <xdr:to>
      <xdr:col>6</xdr:col>
      <xdr:colOff>437030</xdr:colOff>
      <xdr:row>229</xdr:row>
      <xdr:rowOff>78442</xdr:rowOff>
    </xdr:to>
    <xdr:grpSp>
      <xdr:nvGrpSpPr>
        <xdr:cNvPr id="26" name="Group 25"/>
        <xdr:cNvGrpSpPr/>
      </xdr:nvGrpSpPr>
      <xdr:grpSpPr>
        <a:xfrm>
          <a:off x="1021817" y="46395874"/>
          <a:ext cx="4415838" cy="7917918"/>
          <a:chOff x="1166854" y="1080287"/>
          <a:chExt cx="3982612" cy="8181724"/>
        </a:xfrm>
      </xdr:grpSpPr>
      <xdr:pic>
        <xdr:nvPicPr>
          <xdr:cNvPr id="27" name="Picture 26" descr="https://vsjcllp.vsjadon.com/upload/insp-239709-2143.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807244" y="6489710"/>
            <a:ext cx="943405" cy="125787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39709-2144.jpg"/>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66854" y="1080287"/>
            <a:ext cx="3982612" cy="53101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39708-152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084139" y="7858460"/>
            <a:ext cx="1869668" cy="140355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39708-845.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829478" y="6489713"/>
            <a:ext cx="1675610" cy="125787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15</xdr:col>
      <xdr:colOff>172892</xdr:colOff>
      <xdr:row>63</xdr:row>
      <xdr:rowOff>174691</xdr:rowOff>
    </xdr:from>
    <xdr:to>
      <xdr:col>33</xdr:col>
      <xdr:colOff>257056</xdr:colOff>
      <xdr:row>73</xdr:row>
      <xdr:rowOff>88321</xdr:rowOff>
    </xdr:to>
    <xdr:pic>
      <xdr:nvPicPr>
        <xdr:cNvPr id="33" name="Picture 32"/>
        <xdr:cNvPicPr>
          <a:picLocks noChangeAspect="1"/>
        </xdr:cNvPicPr>
      </xdr:nvPicPr>
      <xdr:blipFill>
        <a:blip xmlns:r="http://schemas.openxmlformats.org/officeDocument/2006/relationships" r:embed="rId12"/>
        <a:stretch>
          <a:fillRect/>
        </a:stretch>
      </xdr:blipFill>
      <xdr:spPr>
        <a:xfrm>
          <a:off x="12432127" y="16580103"/>
          <a:ext cx="11155576" cy="2521799"/>
        </a:xfrm>
        <a:prstGeom prst="rect">
          <a:avLst/>
        </a:prstGeom>
      </xdr:spPr>
    </xdr:pic>
    <xdr:clientData/>
  </xdr:twoCellAnchor>
  <xdr:twoCellAnchor editAs="oneCell">
    <xdr:from>
      <xdr:col>12</xdr:col>
      <xdr:colOff>756409</xdr:colOff>
      <xdr:row>77</xdr:row>
      <xdr:rowOff>18288</xdr:rowOff>
    </xdr:from>
    <xdr:to>
      <xdr:col>20</xdr:col>
      <xdr:colOff>484893</xdr:colOff>
      <xdr:row>96</xdr:row>
      <xdr:rowOff>36314</xdr:rowOff>
    </xdr:to>
    <xdr:pic>
      <xdr:nvPicPr>
        <xdr:cNvPr id="34" name="Picture 33"/>
        <xdr:cNvPicPr>
          <a:picLocks noChangeAspect="1"/>
        </xdr:cNvPicPr>
      </xdr:nvPicPr>
      <xdr:blipFill>
        <a:blip xmlns:r="http://schemas.openxmlformats.org/officeDocument/2006/relationships" r:embed="rId13"/>
        <a:stretch>
          <a:fillRect/>
        </a:stretch>
      </xdr:blipFill>
      <xdr:spPr>
        <a:xfrm>
          <a:off x="10718438" y="19695817"/>
          <a:ext cx="5230573" cy="4253850"/>
        </a:xfrm>
        <a:prstGeom prst="rect">
          <a:avLst/>
        </a:prstGeom>
      </xdr:spPr>
    </xdr:pic>
    <xdr:clientData/>
  </xdr:twoCellAnchor>
  <xdr:twoCellAnchor editAs="oneCell">
    <xdr:from>
      <xdr:col>12</xdr:col>
      <xdr:colOff>6804</xdr:colOff>
      <xdr:row>79</xdr:row>
      <xdr:rowOff>98397</xdr:rowOff>
    </xdr:from>
    <xdr:to>
      <xdr:col>20</xdr:col>
      <xdr:colOff>499344</xdr:colOff>
      <xdr:row>97</xdr:row>
      <xdr:rowOff>71086</xdr:rowOff>
    </xdr:to>
    <xdr:pic>
      <xdr:nvPicPr>
        <xdr:cNvPr id="35" name="Picture 34"/>
        <xdr:cNvPicPr>
          <a:picLocks noChangeAspect="1"/>
        </xdr:cNvPicPr>
      </xdr:nvPicPr>
      <xdr:blipFill>
        <a:blip xmlns:r="http://schemas.openxmlformats.org/officeDocument/2006/relationships" r:embed="rId14"/>
        <a:stretch>
          <a:fillRect/>
        </a:stretch>
      </xdr:blipFill>
      <xdr:spPr>
        <a:xfrm>
          <a:off x="9926411" y="20305004"/>
          <a:ext cx="6003433" cy="4041225"/>
        </a:xfrm>
        <a:prstGeom prst="rect">
          <a:avLst/>
        </a:prstGeom>
      </xdr:spPr>
    </xdr:pic>
    <xdr:clientData/>
  </xdr:twoCellAnchor>
  <xdr:twoCellAnchor editAs="oneCell">
    <xdr:from>
      <xdr:col>15</xdr:col>
      <xdr:colOff>680796</xdr:colOff>
      <xdr:row>62</xdr:row>
      <xdr:rowOff>352386</xdr:rowOff>
    </xdr:from>
    <xdr:to>
      <xdr:col>25</xdr:col>
      <xdr:colOff>288863</xdr:colOff>
      <xdr:row>79</xdr:row>
      <xdr:rowOff>147335</xdr:rowOff>
    </xdr:to>
    <xdr:pic>
      <xdr:nvPicPr>
        <xdr:cNvPr id="36" name="Picture 35"/>
        <xdr:cNvPicPr>
          <a:picLocks noChangeAspect="1"/>
        </xdr:cNvPicPr>
      </xdr:nvPicPr>
      <xdr:blipFill>
        <a:blip xmlns:r="http://schemas.openxmlformats.org/officeDocument/2006/relationships" r:embed="rId15"/>
        <a:stretch>
          <a:fillRect/>
        </a:stretch>
      </xdr:blipFill>
      <xdr:spPr>
        <a:xfrm>
          <a:off x="12940031" y="16331974"/>
          <a:ext cx="5838538" cy="4048702"/>
        </a:xfrm>
        <a:prstGeom prst="rect">
          <a:avLst/>
        </a:prstGeom>
      </xdr:spPr>
    </xdr:pic>
    <xdr:clientData/>
  </xdr:twoCellAnchor>
  <xdr:twoCellAnchor editAs="oneCell">
    <xdr:from>
      <xdr:col>15</xdr:col>
      <xdr:colOff>718777</xdr:colOff>
      <xdr:row>64</xdr:row>
      <xdr:rowOff>106656</xdr:rowOff>
    </xdr:from>
    <xdr:to>
      <xdr:col>33</xdr:col>
      <xdr:colOff>322942</xdr:colOff>
      <xdr:row>69</xdr:row>
      <xdr:rowOff>183415</xdr:rowOff>
    </xdr:to>
    <xdr:pic>
      <xdr:nvPicPr>
        <xdr:cNvPr id="2" name="Picture 1"/>
        <xdr:cNvPicPr>
          <a:picLocks noChangeAspect="1"/>
        </xdr:cNvPicPr>
      </xdr:nvPicPr>
      <xdr:blipFill>
        <a:blip xmlns:r="http://schemas.openxmlformats.org/officeDocument/2006/relationships" r:embed="rId16"/>
        <a:stretch>
          <a:fillRect/>
        </a:stretch>
      </xdr:blipFill>
      <xdr:spPr>
        <a:xfrm>
          <a:off x="12978012" y="16713774"/>
          <a:ext cx="10675577" cy="16876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ufAF3SxCg7KuthqY9?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273"/>
  <sheetViews>
    <sheetView tabSelected="1" view="pageBreakPreview" topLeftCell="A61" zoomScaleNormal="100" zoomScaleSheetLayoutView="100" workbookViewId="0">
      <selection activeCell="J66" sqref="J66"/>
    </sheetView>
  </sheetViews>
  <sheetFormatPr defaultColWidth="9.140625" defaultRowHeight="15.75" x14ac:dyDescent="0.25"/>
  <cols>
    <col min="1" max="1" width="11.42578125" style="40" customWidth="1"/>
    <col min="2" max="2" width="13.28515625" style="40" customWidth="1"/>
    <col min="3" max="3" width="12.7109375" style="40" customWidth="1"/>
    <col min="4" max="4" width="14.140625" style="40" customWidth="1"/>
    <col min="5" max="7" width="11.7109375" style="40" customWidth="1"/>
    <col min="8" max="8" width="12.42578125" style="40" customWidth="1"/>
    <col min="9" max="9" width="17.42578125" style="21" customWidth="1"/>
    <col min="10" max="10" width="11.42578125" style="21" customWidth="1"/>
    <col min="11" max="11" width="10.5703125" style="21" bestFit="1" customWidth="1"/>
    <col min="12" max="12" width="10.5703125" style="21" customWidth="1"/>
    <col min="13" max="13" width="11.85546875" style="21" customWidth="1"/>
    <col min="14" max="14" width="12.5703125" style="21" customWidth="1"/>
    <col min="15" max="15" width="9.85546875" style="21" customWidth="1"/>
    <col min="16" max="16" width="11.7109375" style="21" customWidth="1"/>
    <col min="17"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9" ht="46.5" customHeight="1" x14ac:dyDescent="0.25">
      <c r="A1" s="133" t="s">
        <v>208</v>
      </c>
      <c r="B1" s="133"/>
      <c r="C1" s="133"/>
      <c r="D1" s="133"/>
      <c r="E1" s="133"/>
      <c r="F1" s="133"/>
      <c r="G1" s="133"/>
      <c r="H1" s="133"/>
    </row>
    <row r="2" spans="1:9" ht="16.5" customHeight="1" x14ac:dyDescent="0.25">
      <c r="A2" s="115" t="s">
        <v>0</v>
      </c>
      <c r="B2" s="115"/>
      <c r="C2" s="115"/>
      <c r="D2" s="115"/>
      <c r="E2" s="115"/>
      <c r="F2" s="115"/>
      <c r="G2" s="115"/>
      <c r="H2" s="115"/>
    </row>
    <row r="3" spans="1:9" x14ac:dyDescent="0.25">
      <c r="A3" s="113" t="s">
        <v>1</v>
      </c>
      <c r="B3" s="113"/>
      <c r="C3" s="113"/>
      <c r="D3" s="113"/>
      <c r="E3" s="134" t="str">
        <f ca="1">TEXT(TODAY(),"DD/MM/YYYY")</f>
        <v>16/07/2025</v>
      </c>
      <c r="F3" s="113"/>
      <c r="G3" s="113"/>
      <c r="H3" s="113"/>
    </row>
    <row r="4" spans="1:9" ht="15" customHeight="1" x14ac:dyDescent="0.25">
      <c r="A4" s="113" t="s">
        <v>2</v>
      </c>
      <c r="B4" s="113"/>
      <c r="C4" s="113"/>
      <c r="D4" s="113"/>
      <c r="E4" s="113" t="s">
        <v>160</v>
      </c>
      <c r="F4" s="113"/>
      <c r="G4" s="113"/>
      <c r="H4" s="113"/>
    </row>
    <row r="5" spans="1:9" x14ac:dyDescent="0.25">
      <c r="A5" s="113" t="s">
        <v>3</v>
      </c>
      <c r="B5" s="113"/>
      <c r="C5" s="113"/>
      <c r="D5" s="113"/>
      <c r="E5" s="134">
        <v>45846</v>
      </c>
      <c r="F5" s="134"/>
      <c r="G5" s="134"/>
      <c r="H5" s="134"/>
    </row>
    <row r="6" spans="1:9" ht="16.5" customHeight="1" x14ac:dyDescent="0.25">
      <c r="A6" s="113" t="s">
        <v>4</v>
      </c>
      <c r="B6" s="113"/>
      <c r="C6" s="113"/>
      <c r="D6" s="113"/>
      <c r="E6" s="135" t="s">
        <v>161</v>
      </c>
      <c r="F6" s="113"/>
      <c r="G6" s="113"/>
      <c r="H6" s="113"/>
    </row>
    <row r="7" spans="1:9" ht="15" customHeight="1" x14ac:dyDescent="0.25">
      <c r="A7" s="113" t="s">
        <v>5</v>
      </c>
      <c r="B7" s="113"/>
      <c r="C7" s="113"/>
      <c r="D7" s="113"/>
      <c r="E7" s="113" t="str">
        <f>E6</f>
        <v xml:space="preserve">M/s. Macrotech Developers Limited
</v>
      </c>
      <c r="F7" s="113"/>
      <c r="G7" s="113"/>
      <c r="H7" s="113"/>
    </row>
    <row r="8" spans="1:9" x14ac:dyDescent="0.25">
      <c r="A8" s="113" t="s">
        <v>6</v>
      </c>
      <c r="B8" s="113"/>
      <c r="C8" s="113"/>
      <c r="D8" s="113"/>
      <c r="E8" s="127" t="s">
        <v>188</v>
      </c>
      <c r="F8" s="127"/>
      <c r="G8" s="127"/>
      <c r="H8" s="127"/>
      <c r="I8" s="21" t="s">
        <v>215</v>
      </c>
    </row>
    <row r="9" spans="1:9" x14ac:dyDescent="0.25">
      <c r="A9" s="113" t="s">
        <v>119</v>
      </c>
      <c r="B9" s="113"/>
      <c r="C9" s="113"/>
      <c r="D9" s="113"/>
      <c r="E9" s="113">
        <v>8104395863</v>
      </c>
      <c r="F9" s="113"/>
      <c r="G9" s="113"/>
      <c r="H9" s="113"/>
    </row>
    <row r="10" spans="1:9" ht="32.25" customHeight="1" x14ac:dyDescent="0.25">
      <c r="A10" s="113" t="s">
        <v>7</v>
      </c>
      <c r="B10" s="113"/>
      <c r="C10" s="113"/>
      <c r="D10" s="113"/>
      <c r="E10" s="135" t="s">
        <v>204</v>
      </c>
      <c r="F10" s="113"/>
      <c r="G10" s="113"/>
      <c r="H10" s="113"/>
    </row>
    <row r="11" spans="1:9" x14ac:dyDescent="0.25">
      <c r="A11" s="65" t="s">
        <v>8</v>
      </c>
      <c r="B11" s="65"/>
      <c r="C11" s="65"/>
      <c r="D11" s="65"/>
      <c r="E11" s="135" t="s">
        <v>162</v>
      </c>
      <c r="F11" s="135"/>
      <c r="G11" s="135"/>
      <c r="H11" s="135"/>
    </row>
    <row r="12" spans="1:9" ht="34.5" customHeight="1" x14ac:dyDescent="0.25">
      <c r="A12" s="65" t="s">
        <v>9</v>
      </c>
      <c r="B12" s="65"/>
      <c r="C12" s="65"/>
      <c r="D12" s="65"/>
      <c r="E12" s="135" t="s">
        <v>189</v>
      </c>
      <c r="F12" s="113"/>
      <c r="G12" s="113"/>
      <c r="H12" s="113"/>
    </row>
    <row r="13" spans="1:9" ht="47.25" customHeight="1" x14ac:dyDescent="0.25">
      <c r="A13" s="64" t="s">
        <v>10</v>
      </c>
      <c r="B13" s="64"/>
      <c r="C13" s="64" t="str">
        <f>CONCATENATE((IF(OR(E8="",E8="NA"),"",E8)),", ",(IF(OR(A14="",A14="NA"),"",A14)),".",(IF(OR(C14="",C14="NA"),"",C14)),", near ",(IF(OR(C18="",C18="NA"),"",C18)),", ",(IF(OR(C15="",C15="NA"),"",C15)),", ",(IF(OR(G15="",G15="NA"),"",G15)),", ",(IF(OR(C16="",C16="NA"),"",C16)),", ",(IF(OR(C17="",C17="NA"),"",C17)),", ",(IF(OR(G16="",G16="NA"),"",G16))," - ",(IF(OR(G17="",G17="NA"),"",G17)),".")</f>
        <v>Liana C &amp; D, Survey No.65/15A of Mangaon &amp; 212/2 of Hedutane, Sector - O, near Runwal MyCity, Kalyan - Silphata Road, Mangaon - Hedutane, Dombivali east, Kalyan , Thane - 421203.</v>
      </c>
      <c r="D13" s="64"/>
      <c r="E13" s="64"/>
      <c r="F13" s="64"/>
      <c r="G13" s="64"/>
      <c r="H13" s="64"/>
    </row>
    <row r="14" spans="1:9" x14ac:dyDescent="0.25">
      <c r="A14" s="135" t="s">
        <v>163</v>
      </c>
      <c r="B14" s="135"/>
      <c r="C14" s="135" t="s">
        <v>183</v>
      </c>
      <c r="D14" s="135"/>
      <c r="E14" s="135"/>
      <c r="F14" s="135"/>
      <c r="G14" s="135"/>
      <c r="H14" s="135"/>
    </row>
    <row r="15" spans="1:9" ht="15.75" customHeight="1" x14ac:dyDescent="0.25">
      <c r="A15" s="64" t="s">
        <v>11</v>
      </c>
      <c r="B15" s="64"/>
      <c r="C15" s="113" t="s">
        <v>165</v>
      </c>
      <c r="D15" s="113"/>
      <c r="E15" s="64" t="s">
        <v>75</v>
      </c>
      <c r="F15" s="64"/>
      <c r="G15" s="135" t="s">
        <v>175</v>
      </c>
      <c r="H15" s="135"/>
    </row>
    <row r="16" spans="1:9" x14ac:dyDescent="0.25">
      <c r="A16" s="65" t="s">
        <v>13</v>
      </c>
      <c r="B16" s="65"/>
      <c r="C16" s="135" t="s">
        <v>166</v>
      </c>
      <c r="D16" s="135"/>
      <c r="E16" s="64" t="s">
        <v>12</v>
      </c>
      <c r="F16" s="64"/>
      <c r="G16" s="136" t="s">
        <v>164</v>
      </c>
      <c r="H16" s="136"/>
    </row>
    <row r="17" spans="1:8" x14ac:dyDescent="0.25">
      <c r="A17" s="65" t="s">
        <v>76</v>
      </c>
      <c r="B17" s="65"/>
      <c r="C17" s="135" t="s">
        <v>167</v>
      </c>
      <c r="D17" s="135"/>
      <c r="E17" s="64" t="s">
        <v>14</v>
      </c>
      <c r="F17" s="64"/>
      <c r="G17" s="135">
        <v>421203</v>
      </c>
      <c r="H17" s="135"/>
    </row>
    <row r="18" spans="1:8" ht="32.25" customHeight="1" x14ac:dyDescent="0.25">
      <c r="A18" s="65" t="s">
        <v>120</v>
      </c>
      <c r="B18" s="65"/>
      <c r="C18" s="135" t="s">
        <v>168</v>
      </c>
      <c r="D18" s="135"/>
      <c r="E18" s="64" t="s">
        <v>15</v>
      </c>
      <c r="F18" s="64"/>
      <c r="G18" s="135" t="s">
        <v>169</v>
      </c>
      <c r="H18" s="135"/>
    </row>
    <row r="19" spans="1:8" ht="15" customHeight="1" x14ac:dyDescent="0.25">
      <c r="A19" s="64" t="s">
        <v>78</v>
      </c>
      <c r="B19" s="64"/>
      <c r="C19" s="64"/>
      <c r="D19" s="64"/>
      <c r="E19" s="113" t="s">
        <v>16</v>
      </c>
      <c r="F19" s="113"/>
      <c r="G19" s="113"/>
      <c r="H19" s="113"/>
    </row>
    <row r="20" spans="1:8" ht="18.75" customHeight="1" x14ac:dyDescent="0.25">
      <c r="A20" s="64"/>
      <c r="B20" s="64"/>
      <c r="C20" s="64"/>
      <c r="D20" s="64"/>
      <c r="E20" s="113"/>
      <c r="F20" s="113"/>
      <c r="G20" s="113"/>
      <c r="H20" s="113"/>
    </row>
    <row r="21" spans="1:8" ht="15" customHeight="1" x14ac:dyDescent="0.25">
      <c r="A21" s="64" t="s">
        <v>17</v>
      </c>
      <c r="B21" s="64"/>
      <c r="C21" s="64"/>
      <c r="D21" s="64"/>
      <c r="E21" s="135" t="s">
        <v>18</v>
      </c>
      <c r="F21" s="135"/>
      <c r="G21" s="135"/>
      <c r="H21" s="135"/>
    </row>
    <row r="22" spans="1:8" ht="15" customHeight="1" x14ac:dyDescent="0.25">
      <c r="A22" s="65" t="s">
        <v>19</v>
      </c>
      <c r="B22" s="65"/>
      <c r="C22" s="65"/>
      <c r="D22" s="65"/>
      <c r="E22" s="135" t="str">
        <f>IF(AND(G16="Mumbai"),"Upper Class","Middle Class")</f>
        <v>Middle Class</v>
      </c>
      <c r="F22" s="135"/>
      <c r="G22" s="135"/>
      <c r="H22" s="135"/>
    </row>
    <row r="23" spans="1:8" x14ac:dyDescent="0.25">
      <c r="A23" s="65" t="s">
        <v>20</v>
      </c>
      <c r="B23" s="65"/>
      <c r="C23" s="65"/>
      <c r="D23" s="65"/>
      <c r="E23" s="135" t="s">
        <v>21</v>
      </c>
      <c r="F23" s="135"/>
      <c r="G23" s="135"/>
      <c r="H23" s="135"/>
    </row>
    <row r="24" spans="1:8" ht="15.75" customHeight="1" x14ac:dyDescent="0.25">
      <c r="A24" s="65" t="s">
        <v>22</v>
      </c>
      <c r="B24" s="65"/>
      <c r="C24" s="65"/>
      <c r="D24" s="65"/>
      <c r="E24" s="135" t="str">
        <f>IF(AND(G16="Mumbai"),"Developed","Developing")</f>
        <v>Developing</v>
      </c>
      <c r="F24" s="135"/>
      <c r="G24" s="135"/>
      <c r="H24" s="135"/>
    </row>
    <row r="25" spans="1:8" x14ac:dyDescent="0.25">
      <c r="A25" s="65" t="s">
        <v>23</v>
      </c>
      <c r="B25" s="65"/>
      <c r="C25" s="65"/>
      <c r="D25" s="65"/>
      <c r="E25" s="135" t="s">
        <v>24</v>
      </c>
      <c r="F25" s="135"/>
      <c r="G25" s="135"/>
      <c r="H25" s="135"/>
    </row>
    <row r="26" spans="1:8" ht="15.75" customHeight="1" x14ac:dyDescent="0.25">
      <c r="A26" s="65" t="s">
        <v>83</v>
      </c>
      <c r="B26" s="65"/>
      <c r="C26" s="65"/>
      <c r="D26" s="65"/>
      <c r="E26" s="135" t="s">
        <v>84</v>
      </c>
      <c r="F26" s="135"/>
      <c r="G26" s="135"/>
      <c r="H26" s="135"/>
    </row>
    <row r="27" spans="1:8" ht="15" customHeight="1" x14ac:dyDescent="0.25">
      <c r="A27" s="65" t="s">
        <v>33</v>
      </c>
      <c r="B27" s="65"/>
      <c r="C27" s="65"/>
      <c r="D27" s="65"/>
      <c r="E27" s="135" t="str">
        <f>IF(AND(ISNUMBER(SEARCH("Flat",D53)),ISNUMBER(SEARCH("Shop",D53)),ISNUMBER(SEARCH("Office",D53))),"Residential + Commercial",IF(AND(ISNUMBER(SEARCH("Flat",D53)),ISNUMBER(SEARCH("Shop",D53))),"Residential + Commercial",IF(AND(ISNUMBER(SEARCH("Flat",D53)),ISNUMBER(SEARCH("Office",D53))),"Residential + Commercial",IF(AND(ISNUMBER(SEARCH("Shop",D53)),ISNUMBER(SEARCH("Office",D53))),"Commercial",IF(ISNUMBER(SEARCH("Shop",D53)),"Commercial",IF(ISNUMBER(SEARCH("Office",D53)),"Commercial",IF(ISNUMBER(SEARCH("Flat",D53)),"Residentail")))))))</f>
        <v>Residentail</v>
      </c>
      <c r="F27" s="135"/>
      <c r="G27" s="135"/>
      <c r="H27" s="135"/>
    </row>
    <row r="28" spans="1:8" ht="15.75" customHeight="1" x14ac:dyDescent="0.25">
      <c r="A28" s="65" t="s">
        <v>95</v>
      </c>
      <c r="B28" s="65"/>
      <c r="C28" s="65"/>
      <c r="D28" s="65"/>
      <c r="E28" s="135" t="s">
        <v>34</v>
      </c>
      <c r="F28" s="135"/>
      <c r="G28" s="135"/>
      <c r="H28" s="135"/>
    </row>
    <row r="29" spans="1:8" s="22" customFormat="1" x14ac:dyDescent="0.25">
      <c r="A29" s="140" t="s">
        <v>96</v>
      </c>
      <c r="B29" s="140"/>
      <c r="C29" s="139" t="s">
        <v>29</v>
      </c>
      <c r="D29" s="139"/>
      <c r="E29" s="139"/>
      <c r="F29" s="139" t="s">
        <v>31</v>
      </c>
      <c r="G29" s="139"/>
      <c r="H29" s="139"/>
    </row>
    <row r="30" spans="1:8" s="22" customFormat="1" x14ac:dyDescent="0.25">
      <c r="A30" s="138" t="s">
        <v>25</v>
      </c>
      <c r="B30" s="138" t="s">
        <v>30</v>
      </c>
      <c r="C30" s="137" t="s">
        <v>30</v>
      </c>
      <c r="D30" s="137"/>
      <c r="E30" s="137"/>
      <c r="F30" s="137" t="s">
        <v>170</v>
      </c>
      <c r="G30" s="137"/>
      <c r="H30" s="137"/>
    </row>
    <row r="31" spans="1:8" x14ac:dyDescent="0.25">
      <c r="A31" s="138" t="s">
        <v>26</v>
      </c>
      <c r="B31" s="138" t="s">
        <v>30</v>
      </c>
      <c r="C31" s="137" t="s">
        <v>30</v>
      </c>
      <c r="D31" s="137"/>
      <c r="E31" s="137"/>
      <c r="F31" s="69" t="s">
        <v>171</v>
      </c>
      <c r="G31" s="137"/>
      <c r="H31" s="137"/>
    </row>
    <row r="32" spans="1:8" s="22" customFormat="1" x14ac:dyDescent="0.25">
      <c r="A32" s="138" t="s">
        <v>28</v>
      </c>
      <c r="B32" s="138" t="s">
        <v>30</v>
      </c>
      <c r="C32" s="137" t="s">
        <v>30</v>
      </c>
      <c r="D32" s="137"/>
      <c r="E32" s="137"/>
      <c r="F32" s="137" t="s">
        <v>174</v>
      </c>
      <c r="G32" s="137"/>
      <c r="H32" s="137"/>
    </row>
    <row r="33" spans="1:8" x14ac:dyDescent="0.25">
      <c r="A33" s="138" t="s">
        <v>27</v>
      </c>
      <c r="B33" s="138" t="s">
        <v>30</v>
      </c>
      <c r="C33" s="137" t="s">
        <v>30</v>
      </c>
      <c r="D33" s="137"/>
      <c r="E33" s="137"/>
      <c r="F33" s="137" t="s">
        <v>172</v>
      </c>
      <c r="G33" s="137"/>
      <c r="H33" s="137"/>
    </row>
    <row r="34" spans="1:8" x14ac:dyDescent="0.25">
      <c r="A34" s="65" t="s">
        <v>32</v>
      </c>
      <c r="B34" s="65"/>
      <c r="C34" s="65"/>
      <c r="D34" s="65"/>
      <c r="E34" s="65"/>
      <c r="F34" s="65"/>
      <c r="G34" s="65"/>
      <c r="H34" s="65"/>
    </row>
    <row r="35" spans="1:8" ht="15.75" customHeight="1" x14ac:dyDescent="0.25">
      <c r="A35" s="65" t="s">
        <v>211</v>
      </c>
      <c r="B35" s="65"/>
      <c r="C35" s="141" t="s">
        <v>212</v>
      </c>
      <c r="D35" s="142"/>
      <c r="E35" s="142"/>
      <c r="F35" s="142"/>
      <c r="G35" s="142"/>
      <c r="H35" s="143"/>
    </row>
    <row r="36" spans="1:8" ht="15.75" customHeight="1" x14ac:dyDescent="0.25">
      <c r="A36" s="65" t="s">
        <v>206</v>
      </c>
      <c r="B36" s="65"/>
      <c r="C36" s="144" t="s">
        <v>207</v>
      </c>
      <c r="D36" s="145"/>
      <c r="E36" s="145"/>
      <c r="F36" s="145"/>
      <c r="G36" s="145"/>
      <c r="H36" s="146"/>
    </row>
    <row r="37" spans="1:8" x14ac:dyDescent="0.25">
      <c r="A37" s="130" t="s">
        <v>35</v>
      </c>
      <c r="B37" s="130"/>
      <c r="C37" s="130"/>
      <c r="D37" s="130"/>
      <c r="E37" s="130"/>
      <c r="F37" s="130"/>
      <c r="G37" s="130"/>
      <c r="H37" s="130"/>
    </row>
    <row r="38" spans="1:8" x14ac:dyDescent="0.25">
      <c r="A38" s="65" t="s">
        <v>36</v>
      </c>
      <c r="B38" s="65"/>
      <c r="C38" s="65"/>
      <c r="D38" s="65"/>
      <c r="E38" s="172">
        <v>138266.9</v>
      </c>
      <c r="F38" s="172"/>
      <c r="G38" s="172"/>
      <c r="H38" s="172"/>
    </row>
    <row r="39" spans="1:8" x14ac:dyDescent="0.25">
      <c r="A39" s="65" t="s">
        <v>37</v>
      </c>
      <c r="B39" s="65"/>
      <c r="C39" s="65"/>
      <c r="D39" s="65"/>
      <c r="E39" s="173">
        <v>1.8</v>
      </c>
      <c r="F39" s="173"/>
      <c r="G39" s="173"/>
      <c r="H39" s="173"/>
    </row>
    <row r="40" spans="1:8" x14ac:dyDescent="0.25">
      <c r="A40" s="65" t="s">
        <v>38</v>
      </c>
      <c r="B40" s="65"/>
      <c r="C40" s="65"/>
      <c r="D40" s="65"/>
      <c r="E40" s="173">
        <f>E42/E38-E39</f>
        <v>0.76077202859108017</v>
      </c>
      <c r="F40" s="173"/>
      <c r="G40" s="173"/>
      <c r="H40" s="173"/>
    </row>
    <row r="41" spans="1:8" x14ac:dyDescent="0.25">
      <c r="A41" s="65" t="s">
        <v>39</v>
      </c>
      <c r="B41" s="65"/>
      <c r="C41" s="65"/>
      <c r="D41" s="65"/>
      <c r="E41" s="173">
        <f>E39+E40</f>
        <v>2.5607720285910802</v>
      </c>
      <c r="F41" s="173"/>
      <c r="G41" s="173"/>
      <c r="H41" s="173"/>
    </row>
    <row r="42" spans="1:8" x14ac:dyDescent="0.25">
      <c r="A42" s="65" t="s">
        <v>94</v>
      </c>
      <c r="B42" s="65"/>
      <c r="C42" s="65"/>
      <c r="D42" s="65"/>
      <c r="E42" s="174">
        <v>354070.01</v>
      </c>
      <c r="F42" s="174"/>
      <c r="G42" s="174"/>
      <c r="H42" s="174"/>
    </row>
    <row r="43" spans="1:8" x14ac:dyDescent="0.25">
      <c r="A43" s="113" t="s">
        <v>40</v>
      </c>
      <c r="B43" s="113"/>
      <c r="C43" s="113"/>
      <c r="D43" s="113"/>
      <c r="E43" s="113" t="s">
        <v>190</v>
      </c>
      <c r="F43" s="113"/>
      <c r="G43" s="113"/>
      <c r="H43" s="113"/>
    </row>
    <row r="44" spans="1:8" x14ac:dyDescent="0.25">
      <c r="A44" s="130" t="s">
        <v>41</v>
      </c>
      <c r="B44" s="130"/>
      <c r="C44" s="130"/>
      <c r="D44" s="130"/>
      <c r="E44" s="130"/>
      <c r="F44" s="130"/>
      <c r="G44" s="130"/>
      <c r="H44" s="130"/>
    </row>
    <row r="45" spans="1:8" ht="33.75" customHeight="1" x14ac:dyDescent="0.25">
      <c r="A45" s="149" t="s">
        <v>149</v>
      </c>
      <c r="B45" s="150"/>
      <c r="C45" s="158" t="s">
        <v>173</v>
      </c>
      <c r="D45" s="159"/>
      <c r="E45" s="159"/>
      <c r="F45" s="159"/>
      <c r="G45" s="159"/>
      <c r="H45" s="160"/>
    </row>
    <row r="46" spans="1:8" ht="63" customHeight="1" x14ac:dyDescent="0.25">
      <c r="A46" s="149" t="s">
        <v>42</v>
      </c>
      <c r="B46" s="150"/>
      <c r="C46" s="149" t="s">
        <v>197</v>
      </c>
      <c r="D46" s="151"/>
      <c r="E46" s="150"/>
      <c r="F46" s="20" t="s">
        <v>43</v>
      </c>
      <c r="G46" s="152">
        <v>44910</v>
      </c>
      <c r="H46" s="150"/>
    </row>
    <row r="47" spans="1:8" ht="63.75" customHeight="1" x14ac:dyDescent="0.25">
      <c r="A47" s="149" t="s">
        <v>44</v>
      </c>
      <c r="B47" s="150"/>
      <c r="C47" s="149" t="str">
        <f>C46</f>
        <v>Antarli, Khoni, Hedutane, Kole, Gharivli, Katai, &amp; Mangav, Taluka Kalyan, M.Umbroli, Taluka Ambernath /SSTHANE/2959</v>
      </c>
      <c r="D47" s="151"/>
      <c r="E47" s="150"/>
      <c r="F47" s="20" t="s">
        <v>43</v>
      </c>
      <c r="G47" s="152">
        <f>G46</f>
        <v>44910</v>
      </c>
      <c r="H47" s="153"/>
    </row>
    <row r="48" spans="1:8" s="23" customFormat="1" ht="31.5" customHeight="1" x14ac:dyDescent="0.25">
      <c r="A48" s="164" t="s">
        <v>153</v>
      </c>
      <c r="B48" s="165"/>
      <c r="C48" s="149" t="s">
        <v>181</v>
      </c>
      <c r="D48" s="151"/>
      <c r="E48" s="150"/>
      <c r="F48" s="20" t="s">
        <v>43</v>
      </c>
      <c r="G48" s="152">
        <f>G47</f>
        <v>44910</v>
      </c>
      <c r="H48" s="153"/>
    </row>
    <row r="49" spans="1:14" s="23" customFormat="1" x14ac:dyDescent="0.25">
      <c r="A49" s="166"/>
      <c r="B49" s="167"/>
      <c r="C49" s="149" t="s">
        <v>198</v>
      </c>
      <c r="D49" s="151"/>
      <c r="E49" s="151"/>
      <c r="F49" s="151"/>
      <c r="G49" s="151"/>
      <c r="H49" s="150"/>
    </row>
    <row r="50" spans="1:14" x14ac:dyDescent="0.25">
      <c r="A50" s="155" t="s">
        <v>45</v>
      </c>
      <c r="B50" s="156"/>
      <c r="C50" s="155" t="s">
        <v>103</v>
      </c>
      <c r="D50" s="157"/>
      <c r="E50" s="156"/>
      <c r="F50" s="47" t="s">
        <v>43</v>
      </c>
      <c r="G50" s="147" t="s">
        <v>30</v>
      </c>
      <c r="H50" s="148"/>
    </row>
    <row r="51" spans="1:14" x14ac:dyDescent="0.25">
      <c r="A51" s="171" t="s">
        <v>47</v>
      </c>
      <c r="B51" s="171"/>
      <c r="C51" s="171"/>
      <c r="D51" s="171"/>
      <c r="E51" s="171"/>
      <c r="F51" s="171"/>
      <c r="G51" s="171"/>
      <c r="H51" s="171"/>
    </row>
    <row r="52" spans="1:14" x14ac:dyDescent="0.25">
      <c r="A52" s="64" t="s">
        <v>93</v>
      </c>
      <c r="B52" s="64"/>
      <c r="C52" s="64"/>
      <c r="D52" s="113">
        <f>E42</f>
        <v>354070.01</v>
      </c>
      <c r="E52" s="113"/>
      <c r="F52" s="113"/>
      <c r="G52" s="113"/>
      <c r="H52" s="113"/>
    </row>
    <row r="53" spans="1:14" x14ac:dyDescent="0.25">
      <c r="A53" s="135" t="s">
        <v>48</v>
      </c>
      <c r="B53" s="113"/>
      <c r="C53" s="113"/>
      <c r="D53" s="113" t="s">
        <v>201</v>
      </c>
      <c r="E53" s="113"/>
      <c r="F53" s="113"/>
      <c r="G53" s="113"/>
      <c r="H53" s="113"/>
      <c r="I53" s="24"/>
    </row>
    <row r="54" spans="1:14" ht="30.75" customHeight="1" x14ac:dyDescent="0.25">
      <c r="A54" s="161" t="s">
        <v>49</v>
      </c>
      <c r="B54" s="162"/>
      <c r="C54" s="163"/>
      <c r="D54" s="77" t="s">
        <v>202</v>
      </c>
      <c r="E54" s="154"/>
      <c r="F54" s="154"/>
      <c r="G54" s="154"/>
      <c r="H54" s="154"/>
    </row>
    <row r="55" spans="1:14" ht="15.75" customHeight="1" x14ac:dyDescent="0.25">
      <c r="A55" s="161" t="s">
        <v>91</v>
      </c>
      <c r="B55" s="162"/>
      <c r="C55" s="163"/>
      <c r="D55" s="77" t="s">
        <v>203</v>
      </c>
      <c r="E55" s="154"/>
      <c r="F55" s="154"/>
      <c r="G55" s="154"/>
      <c r="H55" s="154"/>
    </row>
    <row r="56" spans="1:14" ht="15.75" customHeight="1" x14ac:dyDescent="0.25">
      <c r="A56" s="168"/>
      <c r="B56" s="169"/>
      <c r="C56" s="170"/>
      <c r="D56" s="77" t="s">
        <v>191</v>
      </c>
      <c r="E56" s="154"/>
      <c r="F56" s="154"/>
      <c r="G56" s="154"/>
      <c r="H56" s="154"/>
    </row>
    <row r="57" spans="1:14" ht="48.75" customHeight="1" x14ac:dyDescent="0.25">
      <c r="A57" s="65" t="s">
        <v>46</v>
      </c>
      <c r="B57" s="65"/>
      <c r="C57" s="65"/>
      <c r="D57" s="135" t="s">
        <v>205</v>
      </c>
      <c r="E57" s="135"/>
      <c r="F57" s="135"/>
      <c r="G57" s="135"/>
      <c r="H57" s="135"/>
      <c r="J57" s="25"/>
      <c r="K57" s="24"/>
      <c r="N57" s="24"/>
    </row>
    <row r="58" spans="1:14" ht="15.75" customHeight="1" x14ac:dyDescent="0.25">
      <c r="A58" s="65" t="s">
        <v>89</v>
      </c>
      <c r="B58" s="65"/>
      <c r="C58" s="65"/>
      <c r="D58" s="175" t="str">
        <f>(IF(G50="NA","60 Years After Completion",IF(G50&lt;&gt;"NA",""&amp;60-ROUNDDOWN((E3-G50)/360,0)&amp;" Years"," ")))</f>
        <v>60 Years After Completion</v>
      </c>
      <c r="E58" s="175"/>
      <c r="F58" s="175"/>
      <c r="G58" s="175"/>
      <c r="H58" s="175"/>
      <c r="N58" s="24"/>
    </row>
    <row r="59" spans="1:14" ht="15.75" customHeight="1" x14ac:dyDescent="0.25">
      <c r="A59" s="65" t="s">
        <v>90</v>
      </c>
      <c r="B59" s="65"/>
      <c r="C59" s="65"/>
      <c r="D59" s="64" t="s">
        <v>24</v>
      </c>
      <c r="E59" s="64"/>
      <c r="F59" s="64"/>
      <c r="G59" s="64"/>
      <c r="H59" s="64"/>
      <c r="J59" s="16"/>
      <c r="K59" s="16"/>
    </row>
    <row r="60" spans="1:14" ht="15" hidden="1" customHeight="1" x14ac:dyDescent="0.25">
      <c r="A60" s="65" t="s">
        <v>77</v>
      </c>
      <c r="B60" s="65"/>
      <c r="C60" s="65"/>
      <c r="D60" s="135" t="s">
        <v>146</v>
      </c>
      <c r="E60" s="64"/>
      <c r="F60" s="64"/>
      <c r="G60" s="64"/>
      <c r="H60" s="64"/>
    </row>
    <row r="61" spans="1:14" x14ac:dyDescent="0.25">
      <c r="A61" s="64" t="s">
        <v>147</v>
      </c>
      <c r="B61" s="64"/>
      <c r="C61" s="64"/>
      <c r="D61" s="64" t="s">
        <v>30</v>
      </c>
      <c r="E61" s="64"/>
      <c r="F61" s="64"/>
      <c r="G61" s="64"/>
      <c r="H61" s="64"/>
      <c r="I61" s="26"/>
      <c r="J61" s="26"/>
      <c r="K61" s="26"/>
      <c r="L61" s="26"/>
      <c r="M61" s="26"/>
      <c r="N61" s="26"/>
    </row>
    <row r="62" spans="1:14" ht="15.75" customHeight="1" x14ac:dyDescent="0.25">
      <c r="A62" s="176" t="s">
        <v>88</v>
      </c>
      <c r="B62" s="176"/>
      <c r="C62" s="176"/>
      <c r="D62" s="77" t="str">
        <f ca="1">(IF(G68&gt;95%,"Nothing",IF(G68&gt;0%,"Cement, Aggregate, Steel, etc",IF(G68=0%,"Work not yet Started"))))</f>
        <v>Cement, Aggregate, Steel, etc</v>
      </c>
      <c r="E62" s="77"/>
      <c r="F62" s="77"/>
      <c r="G62" s="77"/>
      <c r="H62" s="77"/>
      <c r="J62" s="16"/>
    </row>
    <row r="63" spans="1:14" ht="33.75" customHeight="1" thickBot="1" x14ac:dyDescent="0.3">
      <c r="A63" s="77" t="s">
        <v>116</v>
      </c>
      <c r="B63" s="77"/>
      <c r="C63" s="77"/>
      <c r="D63" s="77" t="str">
        <f ca="1">(IF(D62="Nothing","Yes",IF(D62="Cement, Aggregate, Steel, etc","Under Construction",IF(D62="Work not yet Started","Work not yet Started"))))</f>
        <v>Under Construction</v>
      </c>
      <c r="E63" s="77"/>
      <c r="F63" s="77" t="str">
        <f ca="1">(IF(D62="Nothing","Yes",IF(D62="Cement, Aggregate, Steel, etc","Under Construction",IF(D62="Work not yet Started","Work not yet Started"))))</f>
        <v>Under Construction</v>
      </c>
      <c r="G63" s="77"/>
      <c r="H63" s="77"/>
    </row>
    <row r="64" spans="1:14" ht="15.75" customHeight="1" x14ac:dyDescent="0.25">
      <c r="A64" s="124" t="s">
        <v>138</v>
      </c>
      <c r="B64" s="125"/>
      <c r="C64" s="178" t="str">
        <f>D55</f>
        <v>Liana - Wing C - Type P.B(Cluster -15.03)= G/St + 1st to 23rd Floor</v>
      </c>
      <c r="D64" s="179"/>
      <c r="E64" s="179"/>
      <c r="F64" s="179"/>
      <c r="G64" s="179"/>
      <c r="H64" s="180"/>
      <c r="I64" s="15" t="str">
        <f ca="1">(IF(E68&gt;99%,"All work completed. Please provide OC.",IF(E68&gt;89.8%,"Plinth, RCC, Brick, Plaster, Flooring, Painting work Completed. Finishing work is in process.",IF(E68&lt;94%,(IF(C68=0,"Work not yet Started.",IF(D68=25%,"Piling work in process",IF(D68=50%,"Excavation work in process",IF(D68=100%,"Excavation work Completed. ","0")))&amp;(IF(C69=0%,"",IF(C69=J70,"Footing work is process",IF(C69=J71,"Footing work Completed",IF(C69=J72,"1st Basement Completed",IF(C69=J73,"1st &amp; 2nd Basement Completed",IF(C69=J74,"1st to 3rd Basement Completed",IF(C69=J75,"1st to 4th Basement Completed",IF(C69=J76,"Plinth work is process",IF(C69=J77,"Plinth work completed","0")))))))))))&amp;(IF(C70=(D65+F65+H65),", RCC Slab Completed",IF(C70&gt;0,", RCC upto "&amp;C70&amp;" Slab Completed",""))&amp;(IF(C71=H65,", Brickwork Completed",IF(C71&gt;0,", Brickwork upto "&amp;C71&amp;" Floor Completed",""))&amp;(IF(C72=H65,", Internal Plaster Completed",IF(C72&gt;0,", Internal Plaster upto "&amp;C72&amp;" Floor Completed",""))&amp;(IF(C73=H65,", External Plaster Completed",IF(C73&gt;0,", External Plaster upto "&amp;C73&amp;" Floor Completed",""))&amp;(IF(C74=H65,", Flooring Completed",IF(C74&gt;0,", Flooring upto "&amp;C74&amp;" Floor Completed",""))&amp;(IF(C75=H65,", Painting Completed",IF(C75&gt;0,", Painting upto "&amp;C75&amp;" Floor Completed",""))&amp;(IF(C76&gt;0,", Finishing upto "&amp;C76&amp;" Floor Completed","")&amp;(IF(C70&gt;0.5,".",""))))))))))))))</f>
        <v>Excavation work Completed. Plinth work completed, RCC upto 23 Slab Completed, Brickwork upto 22 Floor Completed, Internal Plaster upto 18.7 Floor Completed, External Plaster upto 17.6 Floor Completed, Flooring upto 6 Floor Completed.</v>
      </c>
      <c r="J64" s="27"/>
    </row>
    <row r="65" spans="1:15" x14ac:dyDescent="0.25">
      <c r="A65" s="18" t="s">
        <v>140</v>
      </c>
      <c r="B65" s="54">
        <v>0</v>
      </c>
      <c r="C65" s="54" t="s">
        <v>74</v>
      </c>
      <c r="D65" s="54">
        <v>1</v>
      </c>
      <c r="E65" s="54" t="s">
        <v>73</v>
      </c>
      <c r="F65" s="54">
        <v>0</v>
      </c>
      <c r="G65" s="54" t="s">
        <v>82</v>
      </c>
      <c r="H65" s="19">
        <f ca="1">--TRIM(RIGHT(SUBSTITUTE(LEFT(C64,_xlfn.AGGREGATE(16,6,FIND({0,1,2,3,4,5,6,7,8,9},C64,ROW(INDIRECT("1:"&amp;LEN(C64)))),1))," ",REPT(" ",LEN(C64))),LEN(C64)))</f>
        <v>23</v>
      </c>
      <c r="I65" s="16"/>
      <c r="J65" s="28"/>
    </row>
    <row r="66" spans="1:15" ht="63" customHeight="1" x14ac:dyDescent="0.25">
      <c r="A66" s="126" t="s">
        <v>92</v>
      </c>
      <c r="B66" s="127"/>
      <c r="C66" s="78" t="str">
        <f ca="1">(IF($G$50="NA",I64,"All work Completed. OC Received."))</f>
        <v>Excavation work Completed. Plinth work completed, RCC upto 23 Slab Completed, Brickwork upto 22 Floor Completed, Internal Plaster upto 18.7 Floor Completed, External Plaster upto 17.6 Floor Completed, Flooring upto 6 Floor Completed.</v>
      </c>
      <c r="D66" s="78"/>
      <c r="E66" s="78"/>
      <c r="F66" s="78"/>
      <c r="G66" s="78"/>
      <c r="H66" s="79"/>
      <c r="I66" s="16" t="s">
        <v>102</v>
      </c>
      <c r="J66" s="28"/>
    </row>
    <row r="67" spans="1:15" ht="15.75" customHeight="1" x14ac:dyDescent="0.25">
      <c r="A67" s="68" t="s">
        <v>50</v>
      </c>
      <c r="B67" s="69"/>
      <c r="C67" s="53" t="s">
        <v>137</v>
      </c>
      <c r="D67" s="53" t="s">
        <v>85</v>
      </c>
      <c r="E67" s="69" t="s">
        <v>87</v>
      </c>
      <c r="F67" s="69"/>
      <c r="G67" s="69" t="s">
        <v>86</v>
      </c>
      <c r="H67" s="70"/>
      <c r="I67" s="14" t="s">
        <v>139</v>
      </c>
      <c r="J67" s="29">
        <f ca="1">H65*25%</f>
        <v>5.75</v>
      </c>
    </row>
    <row r="68" spans="1:15" ht="15.75" customHeight="1" x14ac:dyDescent="0.25">
      <c r="A68" s="68" t="s">
        <v>126</v>
      </c>
      <c r="B68" s="69"/>
      <c r="C68" s="53">
        <f ca="1">J69</f>
        <v>23</v>
      </c>
      <c r="D68" s="43">
        <f ca="1">((100/H65)*C68)/100</f>
        <v>1</v>
      </c>
      <c r="E68" s="71">
        <f ca="1">(((C69/H65*10)+(40/(D65+F65+H65)*C70)+(7.5/(H65)*C71)+(7.5/(H65)*C72)+(10/H65*C73)+(10/H65*C74)+(5/H65*C75)+(5/H65*C76)+(5/H65*C77))/100)</f>
        <v>0.71865942028985497</v>
      </c>
      <c r="F68" s="83"/>
      <c r="G68" s="71">
        <f ca="1">((((C68/H65)*20)+((C69/H65)*25)+(30/(H65+F65+D65)*C70)+(5/H65*C71)+(5/H65*C72)+(5/H65*C73)+(5/H65*C74)+(0/H65*C75)+(0/H65*C76)+(5/H65*C77))/100)</f>
        <v>0.877282608695652</v>
      </c>
      <c r="H68" s="72"/>
      <c r="I68" s="14" t="s">
        <v>97</v>
      </c>
      <c r="J68" s="30">
        <f ca="1">H65*50%</f>
        <v>11.5</v>
      </c>
      <c r="K68" s="181" t="s">
        <v>216</v>
      </c>
      <c r="L68" s="182"/>
      <c r="M68" s="182"/>
      <c r="N68" s="182"/>
      <c r="O68" s="182"/>
    </row>
    <row r="69" spans="1:15" x14ac:dyDescent="0.25">
      <c r="A69" s="68" t="s">
        <v>51</v>
      </c>
      <c r="B69" s="69"/>
      <c r="C69" s="45">
        <v>23</v>
      </c>
      <c r="D69" s="43">
        <f ca="1">((100/H65)*C69)/100</f>
        <v>1</v>
      </c>
      <c r="E69" s="73"/>
      <c r="F69" s="84"/>
      <c r="G69" s="73"/>
      <c r="H69" s="74"/>
      <c r="I69" s="14" t="s">
        <v>98</v>
      </c>
      <c r="J69" s="30">
        <f ca="1">H65</f>
        <v>23</v>
      </c>
      <c r="K69" s="181"/>
      <c r="L69" s="182"/>
      <c r="M69" s="182"/>
      <c r="N69" s="182"/>
      <c r="O69" s="182"/>
    </row>
    <row r="70" spans="1:15" ht="15.75" customHeight="1" x14ac:dyDescent="0.25">
      <c r="A70" s="68" t="s">
        <v>127</v>
      </c>
      <c r="B70" s="69"/>
      <c r="C70" s="53">
        <v>23</v>
      </c>
      <c r="D70" s="43">
        <f ca="1">((100/(D65+F65+H65))*C70)/100</f>
        <v>0.95833333333333348</v>
      </c>
      <c r="E70" s="73"/>
      <c r="F70" s="84"/>
      <c r="G70" s="73"/>
      <c r="H70" s="74"/>
      <c r="I70" s="14" t="s">
        <v>99</v>
      </c>
      <c r="J70" s="31">
        <f ca="1">(IF(B65&gt;1,(H65/(B65+2)),H65/4))</f>
        <v>5.75</v>
      </c>
      <c r="K70" s="181"/>
      <c r="L70" s="182"/>
      <c r="M70" s="182"/>
      <c r="N70" s="182"/>
      <c r="O70" s="182"/>
    </row>
    <row r="71" spans="1:15" ht="15.75" customHeight="1" x14ac:dyDescent="0.25">
      <c r="A71" s="68" t="s">
        <v>134</v>
      </c>
      <c r="B71" s="69" t="s">
        <v>128</v>
      </c>
      <c r="C71" s="53">
        <f>C70-1</f>
        <v>22</v>
      </c>
      <c r="D71" s="43">
        <f ca="1">((100/H65)*C71)/100</f>
        <v>0.9565217391304347</v>
      </c>
      <c r="E71" s="73"/>
      <c r="F71" s="84"/>
      <c r="G71" s="73"/>
      <c r="H71" s="74"/>
      <c r="I71" s="14" t="s">
        <v>100</v>
      </c>
      <c r="J71" s="31">
        <f ca="1">(IF(B65&gt;1,(H65/(B65+2)+J70),H65/4+J70))</f>
        <v>11.5</v>
      </c>
      <c r="K71" s="181"/>
      <c r="L71" s="182"/>
      <c r="M71" s="182"/>
      <c r="N71" s="182"/>
      <c r="O71" s="182"/>
    </row>
    <row r="72" spans="1:15" ht="15.75" customHeight="1" x14ac:dyDescent="0.25">
      <c r="A72" s="68" t="s">
        <v>135</v>
      </c>
      <c r="B72" s="69" t="s">
        <v>128</v>
      </c>
      <c r="C72" s="45">
        <f>C71*0.85</f>
        <v>18.7</v>
      </c>
      <c r="D72" s="43">
        <f ca="1">((100/H65)*C72)/100</f>
        <v>0.81304347826086953</v>
      </c>
      <c r="E72" s="73"/>
      <c r="F72" s="84"/>
      <c r="G72" s="73"/>
      <c r="H72" s="74"/>
      <c r="I72" s="14" t="s">
        <v>144</v>
      </c>
      <c r="J72" s="31">
        <f>(IF(B65&gt;1,(H65/(B65+2)+J71),0))</f>
        <v>0</v>
      </c>
      <c r="K72" s="181"/>
      <c r="L72" s="182"/>
      <c r="M72" s="182"/>
      <c r="N72" s="182"/>
      <c r="O72" s="182"/>
    </row>
    <row r="73" spans="1:15" ht="15" customHeight="1" x14ac:dyDescent="0.25">
      <c r="A73" s="68" t="s">
        <v>133</v>
      </c>
      <c r="B73" s="69" t="s">
        <v>130</v>
      </c>
      <c r="C73" s="45">
        <f>C71*0.8</f>
        <v>17.600000000000001</v>
      </c>
      <c r="D73" s="43">
        <f ca="1">((100/(H65))*C73)/100</f>
        <v>0.76521739130434785</v>
      </c>
      <c r="E73" s="73"/>
      <c r="F73" s="84"/>
      <c r="G73" s="73"/>
      <c r="H73" s="74"/>
      <c r="I73" s="14" t="s">
        <v>141</v>
      </c>
      <c r="J73" s="31">
        <f>(IF(B65&gt;2,(H65/(B65+2)+J72),0))</f>
        <v>0</v>
      </c>
      <c r="K73" s="181"/>
      <c r="L73" s="182"/>
      <c r="M73" s="182"/>
      <c r="N73" s="182"/>
      <c r="O73" s="182"/>
    </row>
    <row r="74" spans="1:15" ht="15.75" customHeight="1" x14ac:dyDescent="0.25">
      <c r="A74" s="68" t="s">
        <v>129</v>
      </c>
      <c r="B74" s="69" t="s">
        <v>129</v>
      </c>
      <c r="C74" s="53">
        <v>6</v>
      </c>
      <c r="D74" s="43">
        <f ca="1">((100/H65)*C74)/100</f>
        <v>0.2608695652173913</v>
      </c>
      <c r="E74" s="73"/>
      <c r="F74" s="84"/>
      <c r="G74" s="73"/>
      <c r="H74" s="74"/>
      <c r="I74" s="14" t="s">
        <v>142</v>
      </c>
      <c r="J74" s="32">
        <f>(IF(B65&gt;3,(H65/(B65+2)+J73),0))</f>
        <v>0</v>
      </c>
      <c r="K74" s="181"/>
      <c r="L74" s="182"/>
      <c r="M74" s="182"/>
      <c r="N74" s="182"/>
      <c r="O74" s="182"/>
    </row>
    <row r="75" spans="1:15" ht="15.75" customHeight="1" x14ac:dyDescent="0.25">
      <c r="A75" s="68" t="s">
        <v>136</v>
      </c>
      <c r="B75" s="69"/>
      <c r="C75" s="53">
        <v>0</v>
      </c>
      <c r="D75" s="43">
        <f ca="1">((100/H65)*C75)/100</f>
        <v>0</v>
      </c>
      <c r="E75" s="73"/>
      <c r="F75" s="84"/>
      <c r="G75" s="73"/>
      <c r="H75" s="74"/>
      <c r="I75" s="14" t="s">
        <v>143</v>
      </c>
      <c r="J75" s="31">
        <f>(IF(B65&gt;4,(H65/(B65+2)+J74),0))</f>
        <v>0</v>
      </c>
    </row>
    <row r="76" spans="1:15" ht="15.75" customHeight="1" x14ac:dyDescent="0.25">
      <c r="A76" s="68" t="s">
        <v>131</v>
      </c>
      <c r="B76" s="69" t="s">
        <v>131</v>
      </c>
      <c r="C76" s="53">
        <v>0</v>
      </c>
      <c r="D76" s="43">
        <f ca="1">((100/(H65))*C76)/100</f>
        <v>0</v>
      </c>
      <c r="E76" s="73"/>
      <c r="F76" s="84"/>
      <c r="G76" s="73"/>
      <c r="H76" s="74"/>
      <c r="I76" s="14" t="s">
        <v>145</v>
      </c>
      <c r="J76" s="31">
        <f ca="1">(IF(B65=1,(H65/(B65+3)+J71),IF(B65=0,(H65/4+J71),IF(B65&gt;1,0))))</f>
        <v>17.25</v>
      </c>
    </row>
    <row r="77" spans="1:15" ht="16.5" thickBot="1" x14ac:dyDescent="0.3">
      <c r="A77" s="81" t="s">
        <v>132</v>
      </c>
      <c r="B77" s="82"/>
      <c r="C77" s="55">
        <v>0</v>
      </c>
      <c r="D77" s="44">
        <f ca="1">((100/(H65))*C77)/100</f>
        <v>0</v>
      </c>
      <c r="E77" s="75"/>
      <c r="F77" s="85"/>
      <c r="G77" s="75"/>
      <c r="H77" s="76"/>
      <c r="I77" s="17" t="s">
        <v>101</v>
      </c>
      <c r="J77" s="33">
        <f ca="1">(IF(B65&gt;1.5,(H65/(B65+2)+J71+MAX(0,J72-J71)+MAX(0,J73-J72)+MAX(0,J74-J73)+MAX(0,J75-J74)+MAX(0,J76-J75)),IF(B65=1,(H65/(B65+3)+J76),IF(B65=0,H65/4+J76))))</f>
        <v>23</v>
      </c>
    </row>
    <row r="78" spans="1:15" ht="15.75" customHeight="1" x14ac:dyDescent="0.25">
      <c r="A78" s="124" t="s">
        <v>138</v>
      </c>
      <c r="B78" s="125"/>
      <c r="C78" s="178" t="str">
        <f>D56</f>
        <v>Liana - Wing D - Type P.B(Cluster -15.03)= G/St + 1st to 23rd Floor</v>
      </c>
      <c r="D78" s="179"/>
      <c r="E78" s="179"/>
      <c r="F78" s="179"/>
      <c r="G78" s="179"/>
      <c r="H78" s="180"/>
      <c r="I78" s="15" t="str">
        <f ca="1">(IF(E82&gt;99%,"All work completed. Please provide OC.",IF(E82&gt;89.8%,"Plinth, RCC, Brick, Plaster, Flooring, Painting work Completed. Finishing work is in process.",IF(E82&lt;94%,(IF(C82=0,"Work not yet Started.",IF(D82=25%,"Piling work in process",IF(D82=50%,"Excavation work in process",IF(D82=100%,"Excavation work Completed. ","0")))&amp;(IF(C83=0%,"",IF(C83=J84,"Footing work is process",IF(C83=J85,"Footing work Completed",IF(C83=J86,"1st Basement Completed",IF(C83=J87,"1st &amp; 2nd Basement Completed",IF(C83=J88,"1st to 3rd Basement Completed",IF(C83=J89,"1st to 4th Basement Completed",IF(C83=J90,"Plinth work is process",IF(C83=J91,"Plinth work completed","0")))))))))))&amp;(IF(C84=(D79+F79+H79),", RCC Slab Completed",IF(C84&gt;0,", RCC upto "&amp;C84&amp;" Slab Completed",""))&amp;(IF(C85=H79,", Brickwork Completed",IF(C85&gt;0,", Brickwork upto "&amp;C85&amp;" Floor Completed",""))&amp;(IF(C86=H79,", Internal Plaster Completed",IF(C86&gt;0,", Internal Plaster upto "&amp;C86&amp;" Floor Completed",""))&amp;(IF(C87=H79,", External Plaster Completed",IF(C87&gt;0,", External Plaster upto "&amp;C87&amp;" Floor Completed",""))&amp;(IF(C88=H79,", Flooring Completed",IF(C88&gt;0,", Flooring upto "&amp;C88&amp;" Floor Completed",""))&amp;(IF(C89=H79,", Painting Completed",IF(C89&gt;0,", Painting upto "&amp;C89&amp;" Floor Completed",""))&amp;(IF(C90&gt;0,", Finishing upto "&amp;C90&amp;" Floor Completed","")&amp;(IF(C84&gt;0.5,".",""))))))))))))))</f>
        <v>Excavation work Completed. Plinth work completed, RCC Slab Completed, Brickwork Completed, Internal Plaster upto 20 Floor Completed, External Plaster upto 20 Floor Completed, Flooring upto 18 Floor Completed, Painting upto 10 Floor Completed.</v>
      </c>
      <c r="J78" s="27"/>
    </row>
    <row r="79" spans="1:15" x14ac:dyDescent="0.25">
      <c r="A79" s="18" t="s">
        <v>140</v>
      </c>
      <c r="B79" s="54">
        <v>0</v>
      </c>
      <c r="C79" s="54" t="s">
        <v>74</v>
      </c>
      <c r="D79" s="54">
        <v>1</v>
      </c>
      <c r="E79" s="54" t="s">
        <v>73</v>
      </c>
      <c r="F79" s="54">
        <v>0</v>
      </c>
      <c r="G79" s="54" t="s">
        <v>82</v>
      </c>
      <c r="H79" s="19">
        <f ca="1">--TRIM(RIGHT(SUBSTITUTE(LEFT(C78,_xlfn.AGGREGATE(16,6,FIND({0,1,2,3,4,5,6,7,8,9},C78,ROW(INDIRECT("1:"&amp;LEN(C78)))),1))," ",REPT(" ",LEN(C78))),LEN(C78)))</f>
        <v>23</v>
      </c>
      <c r="I79" s="16"/>
      <c r="J79" s="28"/>
    </row>
    <row r="80" spans="1:15" ht="48" customHeight="1" x14ac:dyDescent="0.25">
      <c r="A80" s="126" t="s">
        <v>92</v>
      </c>
      <c r="B80" s="127"/>
      <c r="C80" s="78" t="str">
        <f ca="1">(IF($G$50="NA",I78,"All work Completed. OC Received."))</f>
        <v>Excavation work Completed. Plinth work completed, RCC Slab Completed, Brickwork Completed, Internal Plaster upto 20 Floor Completed, External Plaster upto 20 Floor Completed, Flooring upto 18 Floor Completed, Painting upto 10 Floor Completed.</v>
      </c>
      <c r="D80" s="78"/>
      <c r="E80" s="78"/>
      <c r="F80" s="78"/>
      <c r="G80" s="78"/>
      <c r="H80" s="79"/>
      <c r="I80" s="16" t="s">
        <v>102</v>
      </c>
      <c r="J80" s="28"/>
    </row>
    <row r="81" spans="1:13" ht="15.75" customHeight="1" x14ac:dyDescent="0.25">
      <c r="A81" s="68" t="s">
        <v>50</v>
      </c>
      <c r="B81" s="69"/>
      <c r="C81" s="53" t="s">
        <v>137</v>
      </c>
      <c r="D81" s="53" t="s">
        <v>85</v>
      </c>
      <c r="E81" s="69" t="s">
        <v>87</v>
      </c>
      <c r="F81" s="69"/>
      <c r="G81" s="69" t="s">
        <v>86</v>
      </c>
      <c r="H81" s="70"/>
      <c r="I81" s="14" t="s">
        <v>139</v>
      </c>
      <c r="J81" s="29">
        <f ca="1">H79*25%</f>
        <v>5.75</v>
      </c>
    </row>
    <row r="82" spans="1:13" x14ac:dyDescent="0.25">
      <c r="A82" s="68" t="s">
        <v>126</v>
      </c>
      <c r="B82" s="69"/>
      <c r="C82" s="53">
        <f ca="1">J83</f>
        <v>23</v>
      </c>
      <c r="D82" s="43">
        <f ca="1">((100/H79)*C82)/100</f>
        <v>1</v>
      </c>
      <c r="E82" s="71">
        <f ca="1">(((C83/H79*10)+(40/(D79+F79+H79)*C84)+(7.5/(H79)*C85)+(7.5/(H79)*C86)+(10/H79*C87)+(10/H79*C88)+(5/H79*C89)+(5/H79*C90)+(5/H79*C91))/100)</f>
        <v>0.82717391304347831</v>
      </c>
      <c r="F82" s="83"/>
      <c r="G82" s="71">
        <f ca="1">((((C82/H79)*20)+((C83/H79)*25)+(30/(H79+F79+D79)*C84)+(5/H79*C85)+(5/H79*C86)+(5/H79*C87)+(5/H79*C88)+(0/H79*C89)+(0/H79*C90)+(5/H79*C91))/100)</f>
        <v>0.92608695652173911</v>
      </c>
      <c r="H82" s="72"/>
      <c r="I82" s="14" t="s">
        <v>97</v>
      </c>
      <c r="J82" s="30">
        <f ca="1">H79*50%</f>
        <v>11.5</v>
      </c>
    </row>
    <row r="83" spans="1:13" x14ac:dyDescent="0.25">
      <c r="A83" s="68" t="s">
        <v>51</v>
      </c>
      <c r="B83" s="69"/>
      <c r="C83" s="45">
        <f ca="1">J91</f>
        <v>23</v>
      </c>
      <c r="D83" s="43">
        <f ca="1">((100/H79)*C83)/100</f>
        <v>1</v>
      </c>
      <c r="E83" s="73"/>
      <c r="F83" s="84"/>
      <c r="G83" s="73"/>
      <c r="H83" s="74"/>
      <c r="I83" s="14" t="s">
        <v>98</v>
      </c>
      <c r="J83" s="30">
        <f ca="1">H79</f>
        <v>23</v>
      </c>
    </row>
    <row r="84" spans="1:13" ht="15.75" customHeight="1" x14ac:dyDescent="0.25">
      <c r="A84" s="68" t="s">
        <v>127</v>
      </c>
      <c r="B84" s="69"/>
      <c r="C84" s="53">
        <v>24</v>
      </c>
      <c r="D84" s="43">
        <f ca="1">((100/(D79+F79+H79))*C84)/100</f>
        <v>1</v>
      </c>
      <c r="E84" s="73"/>
      <c r="F84" s="84"/>
      <c r="G84" s="73"/>
      <c r="H84" s="74"/>
      <c r="I84" s="14" t="s">
        <v>99</v>
      </c>
      <c r="J84" s="31">
        <f ca="1">(IF(B79&gt;1,(H79/(B79+2)),H79/4))</f>
        <v>5.75</v>
      </c>
    </row>
    <row r="85" spans="1:13" ht="15.75" customHeight="1" x14ac:dyDescent="0.25">
      <c r="A85" s="68" t="s">
        <v>134</v>
      </c>
      <c r="B85" s="69" t="s">
        <v>128</v>
      </c>
      <c r="C85" s="53">
        <v>23</v>
      </c>
      <c r="D85" s="43">
        <f ca="1">((100/H79)*C85)/100</f>
        <v>1</v>
      </c>
      <c r="E85" s="73"/>
      <c r="F85" s="84"/>
      <c r="G85" s="73"/>
      <c r="H85" s="74"/>
      <c r="I85" s="14" t="s">
        <v>100</v>
      </c>
      <c r="J85" s="31">
        <f ca="1">(IF(B79&gt;1,(H79/(B79+2)+J84),H79/4+J84))</f>
        <v>11.5</v>
      </c>
    </row>
    <row r="86" spans="1:13" ht="15.75" customHeight="1" x14ac:dyDescent="0.25">
      <c r="A86" s="68" t="s">
        <v>135</v>
      </c>
      <c r="B86" s="69" t="s">
        <v>128</v>
      </c>
      <c r="C86" s="45">
        <v>20</v>
      </c>
      <c r="D86" s="43">
        <f ca="1">((100/H79)*C86)/100</f>
        <v>0.86956521739130432</v>
      </c>
      <c r="E86" s="73"/>
      <c r="F86" s="84"/>
      <c r="G86" s="73"/>
      <c r="H86" s="74"/>
      <c r="I86" s="14" t="s">
        <v>144</v>
      </c>
      <c r="J86" s="31">
        <f>(IF(B79&gt;1,(H79/(B79+2)+J85),0))</f>
        <v>0</v>
      </c>
    </row>
    <row r="87" spans="1:13" ht="15" customHeight="1" x14ac:dyDescent="0.25">
      <c r="A87" s="68" t="s">
        <v>133</v>
      </c>
      <c r="B87" s="69" t="s">
        <v>130</v>
      </c>
      <c r="C87" s="45">
        <v>20</v>
      </c>
      <c r="D87" s="43">
        <f ca="1">((100/(H79))*C87)/100</f>
        <v>0.86956521739130432</v>
      </c>
      <c r="E87" s="73"/>
      <c r="F87" s="84"/>
      <c r="G87" s="73"/>
      <c r="H87" s="74"/>
      <c r="I87" s="14" t="s">
        <v>141</v>
      </c>
      <c r="J87" s="31">
        <f>(IF(B79&gt;2,(H79/(B79+2)+J86),0))</f>
        <v>0</v>
      </c>
    </row>
    <row r="88" spans="1:13" ht="15.75" customHeight="1" x14ac:dyDescent="0.25">
      <c r="A88" s="68" t="s">
        <v>129</v>
      </c>
      <c r="B88" s="69" t="s">
        <v>129</v>
      </c>
      <c r="C88" s="53">
        <v>18</v>
      </c>
      <c r="D88" s="43">
        <f ca="1">((100/H79)*C88)/100</f>
        <v>0.78260869565217395</v>
      </c>
      <c r="E88" s="73"/>
      <c r="F88" s="84"/>
      <c r="G88" s="73"/>
      <c r="H88" s="74"/>
      <c r="I88" s="14" t="s">
        <v>142</v>
      </c>
      <c r="J88" s="32">
        <f>(IF(B79&gt;3,(H79/(B79+2)+J87),0))</f>
        <v>0</v>
      </c>
    </row>
    <row r="89" spans="1:13" ht="15.75" customHeight="1" x14ac:dyDescent="0.25">
      <c r="A89" s="68" t="s">
        <v>136</v>
      </c>
      <c r="B89" s="69"/>
      <c r="C89" s="53">
        <v>10</v>
      </c>
      <c r="D89" s="43">
        <f ca="1">((100/H79)*C89)/100</f>
        <v>0.43478260869565216</v>
      </c>
      <c r="E89" s="73"/>
      <c r="F89" s="84"/>
      <c r="G89" s="73"/>
      <c r="H89" s="74"/>
      <c r="I89" s="14" t="s">
        <v>143</v>
      </c>
      <c r="J89" s="31">
        <f>(IF(B79&gt;4,(H79/(B79+2)+J88),0))</f>
        <v>0</v>
      </c>
    </row>
    <row r="90" spans="1:13" ht="15.75" customHeight="1" x14ac:dyDescent="0.25">
      <c r="A90" s="68" t="s">
        <v>131</v>
      </c>
      <c r="B90" s="69" t="s">
        <v>131</v>
      </c>
      <c r="C90" s="53">
        <v>0</v>
      </c>
      <c r="D90" s="43">
        <f ca="1">((100/(H79))*C90)/100</f>
        <v>0</v>
      </c>
      <c r="E90" s="73"/>
      <c r="F90" s="84"/>
      <c r="G90" s="73"/>
      <c r="H90" s="74"/>
      <c r="I90" s="14" t="s">
        <v>145</v>
      </c>
      <c r="J90" s="31">
        <f ca="1">(IF(B79=1,(H79/(B79+3)+J85),IF(B79=0,(H79/4+J85),IF(B79&gt;1,0))))</f>
        <v>17.25</v>
      </c>
    </row>
    <row r="91" spans="1:13" ht="16.5" thickBot="1" x14ac:dyDescent="0.3">
      <c r="A91" s="81" t="s">
        <v>132</v>
      </c>
      <c r="B91" s="82"/>
      <c r="C91" s="55">
        <v>0</v>
      </c>
      <c r="D91" s="44">
        <f ca="1">((100/(H79))*C91)/100</f>
        <v>0</v>
      </c>
      <c r="E91" s="75"/>
      <c r="F91" s="85"/>
      <c r="G91" s="75"/>
      <c r="H91" s="76"/>
      <c r="I91" s="17" t="s">
        <v>101</v>
      </c>
      <c r="J91" s="33">
        <f ca="1">(IF(B79&gt;1.5,(H79/(B79+2)+J85+MAX(0,J86-J85)+MAX(0,J87-J86)+MAX(0,J88-J87)+MAX(0,J89-J88)+MAX(0,J90-J89)),IF(B79=1,(H79/(B79+3)+J90),IF(B79=0,H79/4+J90))))</f>
        <v>23</v>
      </c>
    </row>
    <row r="92" spans="1:13" x14ac:dyDescent="0.25">
      <c r="A92" s="80" t="s">
        <v>154</v>
      </c>
      <c r="B92" s="80"/>
      <c r="C92" s="80"/>
      <c r="D92" s="80"/>
      <c r="E92" s="80"/>
      <c r="F92" s="123" t="s">
        <v>156</v>
      </c>
      <c r="G92" s="123"/>
      <c r="H92" s="123"/>
    </row>
    <row r="93" spans="1:13" x14ac:dyDescent="0.25">
      <c r="A93" s="65" t="s">
        <v>155</v>
      </c>
      <c r="B93" s="65"/>
      <c r="C93" s="65"/>
      <c r="D93" s="65"/>
      <c r="E93" s="65"/>
      <c r="F93" s="109">
        <v>7500</v>
      </c>
      <c r="G93" s="109"/>
      <c r="H93" s="109"/>
      <c r="I93" s="66" t="s">
        <v>209</v>
      </c>
      <c r="J93" s="67"/>
      <c r="K93" s="67"/>
      <c r="L93" s="67"/>
      <c r="M93" s="67"/>
    </row>
    <row r="94" spans="1:13" s="34" customFormat="1" x14ac:dyDescent="0.25">
      <c r="A94" s="64" t="s">
        <v>177</v>
      </c>
      <c r="B94" s="65"/>
      <c r="C94" s="65"/>
      <c r="D94" s="65"/>
      <c r="E94" s="65"/>
      <c r="F94" s="63">
        <v>70000</v>
      </c>
      <c r="G94" s="63"/>
      <c r="H94" s="63"/>
      <c r="I94" s="66"/>
      <c r="J94" s="67"/>
      <c r="K94" s="67"/>
      <c r="L94" s="67"/>
      <c r="M94" s="67"/>
    </row>
    <row r="95" spans="1:13" s="34" customFormat="1" x14ac:dyDescent="0.25">
      <c r="A95" s="64" t="s">
        <v>178</v>
      </c>
      <c r="B95" s="65"/>
      <c r="C95" s="65"/>
      <c r="D95" s="65"/>
      <c r="E95" s="65"/>
      <c r="F95" s="63">
        <v>180000</v>
      </c>
      <c r="G95" s="63"/>
      <c r="H95" s="63"/>
    </row>
    <row r="96" spans="1:13" s="34" customFormat="1" x14ac:dyDescent="0.25">
      <c r="A96" s="65" t="s">
        <v>179</v>
      </c>
      <c r="B96" s="65"/>
      <c r="C96" s="65"/>
      <c r="D96" s="65"/>
      <c r="E96" s="65"/>
      <c r="F96" s="63">
        <v>90000</v>
      </c>
      <c r="G96" s="63"/>
      <c r="H96" s="63"/>
    </row>
    <row r="97" spans="1:14" s="34" customFormat="1" x14ac:dyDescent="0.25">
      <c r="A97" s="65" t="s">
        <v>180</v>
      </c>
      <c r="B97" s="65"/>
      <c r="C97" s="65"/>
      <c r="D97" s="65"/>
      <c r="E97" s="65"/>
      <c r="F97" s="63">
        <v>5000</v>
      </c>
      <c r="G97" s="63"/>
      <c r="H97" s="63"/>
    </row>
    <row r="98" spans="1:14" x14ac:dyDescent="0.25">
      <c r="A98" s="65" t="s">
        <v>52</v>
      </c>
      <c r="B98" s="65"/>
      <c r="C98" s="65"/>
      <c r="D98" s="65"/>
      <c r="E98" s="65"/>
      <c r="F98" s="63">
        <v>400000</v>
      </c>
      <c r="G98" s="63"/>
      <c r="H98" s="63"/>
    </row>
    <row r="99" spans="1:14" s="35" customFormat="1" x14ac:dyDescent="0.25">
      <c r="A99" s="130" t="s">
        <v>53</v>
      </c>
      <c r="B99" s="130"/>
      <c r="C99" s="130"/>
      <c r="D99" s="130"/>
      <c r="E99" s="130"/>
      <c r="F99" s="63">
        <f>F93*0.8</f>
        <v>6000</v>
      </c>
      <c r="G99" s="63"/>
      <c r="H99" s="63"/>
    </row>
    <row r="100" spans="1:14" s="36" customFormat="1" x14ac:dyDescent="0.25">
      <c r="A100" s="131" t="s">
        <v>72</v>
      </c>
      <c r="B100" s="131"/>
      <c r="C100" s="131"/>
      <c r="D100" s="131"/>
      <c r="E100" s="131"/>
      <c r="F100" s="131"/>
      <c r="G100" s="131"/>
      <c r="H100" s="131"/>
    </row>
    <row r="101" spans="1:14" s="36" customFormat="1" ht="15.75" customHeight="1" x14ac:dyDescent="0.25">
      <c r="A101" s="87" t="s">
        <v>54</v>
      </c>
      <c r="B101" s="87"/>
      <c r="C101" s="119" t="s">
        <v>80</v>
      </c>
      <c r="D101" s="119"/>
      <c r="E101" s="114" t="s">
        <v>55</v>
      </c>
      <c r="F101" s="114"/>
      <c r="G101" s="87" t="s">
        <v>56</v>
      </c>
      <c r="H101" s="87"/>
    </row>
    <row r="102" spans="1:14" s="36" customFormat="1" ht="32.25" customHeight="1" x14ac:dyDescent="0.25">
      <c r="A102" s="121" t="s">
        <v>187</v>
      </c>
      <c r="B102" s="121"/>
      <c r="C102" s="122">
        <f>COUNT(D112:D116)+COUNT(D118:D123)*2+COUNT(D125:D130)*18+COUNT(D132:D134,D136:D137)*3</f>
        <v>140</v>
      </c>
      <c r="D102" s="122"/>
      <c r="E102" s="96">
        <f>SUM(D112:D116)+SUM(D118:D123)*2+SUM(D125:D130)*18+SUM(D132:D134,D136:D137)*3</f>
        <v>80278.342560000019</v>
      </c>
      <c r="F102" s="96"/>
      <c r="G102" s="96">
        <f>SUM(F112:F116)+SUM(F118:F123)*2+SUM(F125:F130)*18+SUM(F132:F134,F136:F137)*3</f>
        <v>128445.34809599999</v>
      </c>
      <c r="H102" s="96"/>
    </row>
    <row r="103" spans="1:14" s="36" customFormat="1" ht="32.25" customHeight="1" x14ac:dyDescent="0.25">
      <c r="A103" s="121" t="s">
        <v>193</v>
      </c>
      <c r="B103" s="121"/>
      <c r="C103" s="122">
        <f>COUNT(D141:D145)+COUNT(D147:D152)*2+COUNT(D154:D159)*18+COUNT(D161:D163,D165:D166)*3</f>
        <v>140</v>
      </c>
      <c r="D103" s="122"/>
      <c r="E103" s="96">
        <f>SUM(D141:D145)+SUM(D147:D152)*2+SUM(D154:D159)*18+SUM(D161:D163,D165:D166)*3</f>
        <v>80278.342560000019</v>
      </c>
      <c r="F103" s="96"/>
      <c r="G103" s="96">
        <f>SUM(F141:F145)+SUM(F147:F152)*2+SUM(F154:F159)*18+SUM(F161:F163,F165:F166)*3</f>
        <v>128445.34809599999</v>
      </c>
      <c r="H103" s="96"/>
    </row>
    <row r="104" spans="1:14" s="36" customFormat="1" ht="32.25" customHeight="1" x14ac:dyDescent="0.25">
      <c r="A104" s="97" t="s">
        <v>192</v>
      </c>
      <c r="B104" s="98"/>
      <c r="C104" s="99">
        <f>SUM(C102:C103)</f>
        <v>280</v>
      </c>
      <c r="D104" s="100"/>
      <c r="E104" s="101">
        <f>SUM(E102:E103)</f>
        <v>160556.68512000004</v>
      </c>
      <c r="F104" s="102"/>
      <c r="G104" s="101">
        <f>SUM(G102:G103)</f>
        <v>256890.69619199997</v>
      </c>
      <c r="H104" s="102"/>
    </row>
    <row r="105" spans="1:14" s="35" customFormat="1" x14ac:dyDescent="0.25">
      <c r="A105" s="115" t="s">
        <v>57</v>
      </c>
      <c r="B105" s="115"/>
      <c r="C105" s="115"/>
      <c r="D105" s="115"/>
      <c r="E105" s="115"/>
      <c r="F105" s="115"/>
      <c r="G105" s="115"/>
      <c r="H105" s="115"/>
    </row>
    <row r="106" spans="1:14" x14ac:dyDescent="0.25">
      <c r="A106" s="115" t="s">
        <v>58</v>
      </c>
      <c r="B106" s="115"/>
      <c r="C106" s="115"/>
      <c r="D106" s="115"/>
      <c r="E106" s="115"/>
      <c r="F106" s="115"/>
      <c r="G106" s="115"/>
      <c r="H106" s="115"/>
    </row>
    <row r="107" spans="1:14" ht="47.25" customHeight="1" x14ac:dyDescent="0.25">
      <c r="A107" s="92" t="s">
        <v>117</v>
      </c>
      <c r="B107" s="92" t="s">
        <v>118</v>
      </c>
      <c r="C107" s="88" t="s">
        <v>59</v>
      </c>
      <c r="D107" s="88" t="s">
        <v>60</v>
      </c>
      <c r="E107" s="90" t="s">
        <v>61</v>
      </c>
      <c r="F107" s="49" t="s">
        <v>148</v>
      </c>
      <c r="G107" s="92" t="s">
        <v>62</v>
      </c>
      <c r="H107" s="93"/>
      <c r="I107" s="37"/>
    </row>
    <row r="108" spans="1:14" s="48" customFormat="1" x14ac:dyDescent="0.25">
      <c r="A108" s="94"/>
      <c r="B108" s="94"/>
      <c r="C108" s="89"/>
      <c r="D108" s="89"/>
      <c r="E108" s="91"/>
      <c r="F108" s="13">
        <v>0.6</v>
      </c>
      <c r="G108" s="94"/>
      <c r="H108" s="95"/>
      <c r="I108" s="37"/>
    </row>
    <row r="109" spans="1:14" x14ac:dyDescent="0.25">
      <c r="A109" s="115" t="s">
        <v>182</v>
      </c>
      <c r="B109" s="115"/>
      <c r="C109" s="115"/>
      <c r="D109" s="115"/>
      <c r="E109" s="115"/>
      <c r="F109" s="115"/>
      <c r="G109" s="115"/>
      <c r="H109" s="115"/>
    </row>
    <row r="110" spans="1:14" x14ac:dyDescent="0.25">
      <c r="A110" s="115" t="s">
        <v>195</v>
      </c>
      <c r="B110" s="115"/>
      <c r="C110" s="115"/>
      <c r="D110" s="115"/>
      <c r="E110" s="115"/>
      <c r="F110" s="115"/>
      <c r="G110" s="115"/>
      <c r="H110" s="115"/>
    </row>
    <row r="111" spans="1:14" s="48" customFormat="1" x14ac:dyDescent="0.25">
      <c r="A111" s="60" t="s">
        <v>196</v>
      </c>
      <c r="B111" s="61"/>
      <c r="C111" s="61"/>
      <c r="D111" s="61"/>
      <c r="E111" s="61"/>
      <c r="F111" s="61"/>
      <c r="G111" s="61"/>
      <c r="H111" s="62"/>
      <c r="J111" s="37"/>
    </row>
    <row r="112" spans="1:14" s="48" customFormat="1" ht="15.75" customHeight="1" x14ac:dyDescent="0.25">
      <c r="A112" s="57">
        <v>1</v>
      </c>
      <c r="B112" s="59"/>
      <c r="C112" s="51" t="s">
        <v>157</v>
      </c>
      <c r="D112" s="52">
        <f>(51.01)*10.764</f>
        <v>549.07163999999989</v>
      </c>
      <c r="E112" s="42">
        <v>0</v>
      </c>
      <c r="F112" s="42">
        <f t="shared" ref="F112:F116" si="0">D112*(($F$108)+1)+(IF(E112&lt;101,E112,IF(E112&lt;201,E112/2,IF(E112&lt;=301,E112/3,E112/4))))</f>
        <v>878.51462399999991</v>
      </c>
      <c r="G112" s="103" t="str">
        <f>A111</f>
        <v>Ground Floor for Residential, Entrance Lobby &amp; Meter Room</v>
      </c>
      <c r="H112" s="104"/>
      <c r="I112" s="37">
        <f>(4.32*3.05+2.6*2.13+2.9*2.75+1.4*0.6+2.75*2.9+1.7*0.6+2.28*1.38+1.5*2.28+0.74*0.8+0.9*2.11)</f>
        <v>45.581400000000002</v>
      </c>
      <c r="J112" s="48">
        <f>10.764</f>
        <v>10.763999999999999</v>
      </c>
      <c r="L112" s="56"/>
      <c r="M112" s="56"/>
      <c r="N112" s="37"/>
    </row>
    <row r="113" spans="1:14" s="48" customFormat="1" ht="15.75" customHeight="1" x14ac:dyDescent="0.25">
      <c r="A113" s="57">
        <f t="shared" ref="A113:A116" si="1">A112+1</f>
        <v>2</v>
      </c>
      <c r="B113" s="59"/>
      <c r="C113" s="51" t="s">
        <v>157</v>
      </c>
      <c r="D113" s="52">
        <f>(51.01)*10.764</f>
        <v>549.07163999999989</v>
      </c>
      <c r="E113" s="42">
        <v>0</v>
      </c>
      <c r="F113" s="42">
        <f t="shared" si="0"/>
        <v>878.51462399999991</v>
      </c>
      <c r="G113" s="105"/>
      <c r="H113" s="106"/>
      <c r="I113" s="37"/>
      <c r="L113" s="56"/>
      <c r="M113" s="56"/>
      <c r="N113" s="37"/>
    </row>
    <row r="114" spans="1:14" s="48" customFormat="1" ht="15.75" customHeight="1" x14ac:dyDescent="0.25">
      <c r="A114" s="57">
        <f t="shared" si="1"/>
        <v>3</v>
      </c>
      <c r="B114" s="59"/>
      <c r="C114" s="51" t="s">
        <v>157</v>
      </c>
      <c r="D114" s="52">
        <f>(51.01)*10.764</f>
        <v>549.07163999999989</v>
      </c>
      <c r="E114" s="42">
        <v>0</v>
      </c>
      <c r="F114" s="42">
        <f t="shared" si="0"/>
        <v>878.51462399999991</v>
      </c>
      <c r="G114" s="105"/>
      <c r="H114" s="106"/>
      <c r="I114" s="37"/>
      <c r="L114" s="56"/>
      <c r="M114" s="56"/>
      <c r="N114" s="37"/>
    </row>
    <row r="115" spans="1:14" s="48" customFormat="1" ht="15.75" customHeight="1" x14ac:dyDescent="0.25">
      <c r="A115" s="57">
        <f t="shared" si="1"/>
        <v>4</v>
      </c>
      <c r="B115" s="59"/>
      <c r="C115" s="51" t="s">
        <v>157</v>
      </c>
      <c r="D115" s="52">
        <f>(51.01)*10.764</f>
        <v>549.07163999999989</v>
      </c>
      <c r="E115" s="42">
        <v>0</v>
      </c>
      <c r="F115" s="42">
        <f t="shared" si="0"/>
        <v>878.51462399999991</v>
      </c>
      <c r="G115" s="105"/>
      <c r="H115" s="106"/>
      <c r="I115" s="37"/>
      <c r="L115" s="56"/>
      <c r="M115" s="56"/>
      <c r="N115" s="37"/>
    </row>
    <row r="116" spans="1:14" s="48" customFormat="1" ht="15.75" customHeight="1" x14ac:dyDescent="0.25">
      <c r="A116" s="57">
        <f t="shared" si="1"/>
        <v>5</v>
      </c>
      <c r="B116" s="59"/>
      <c r="C116" s="51" t="s">
        <v>158</v>
      </c>
      <c r="D116" s="52">
        <f>(44.36)*10.764</f>
        <v>477.49103999999994</v>
      </c>
      <c r="E116" s="42">
        <v>0</v>
      </c>
      <c r="F116" s="42">
        <f t="shared" si="0"/>
        <v>763.98566399999993</v>
      </c>
      <c r="G116" s="107"/>
      <c r="H116" s="108"/>
      <c r="I116" s="37"/>
      <c r="L116" s="56"/>
      <c r="M116" s="56"/>
      <c r="N116" s="37"/>
    </row>
    <row r="117" spans="1:14" s="48" customFormat="1" x14ac:dyDescent="0.25">
      <c r="A117" s="60" t="s">
        <v>184</v>
      </c>
      <c r="B117" s="61"/>
      <c r="C117" s="61"/>
      <c r="D117" s="61"/>
      <c r="E117" s="61"/>
      <c r="F117" s="61"/>
      <c r="G117" s="61"/>
      <c r="H117" s="62"/>
      <c r="J117" s="37"/>
    </row>
    <row r="118" spans="1:14" s="48" customFormat="1" ht="15.75" customHeight="1" x14ac:dyDescent="0.25">
      <c r="A118" s="57">
        <v>1</v>
      </c>
      <c r="B118" s="59"/>
      <c r="C118" s="42" t="s">
        <v>157</v>
      </c>
      <c r="D118" s="52">
        <f>(50.34)*10.764</f>
        <v>541.85976000000005</v>
      </c>
      <c r="E118" s="42">
        <v>0</v>
      </c>
      <c r="F118" s="42">
        <f t="shared" ref="F118:F123" si="2">D118*(($F$108)+1)+(IF(E118&lt;101,E118,IF(E118&lt;201,E118/2,IF(E118&lt;=301,E118/3,E118/4))))</f>
        <v>866.97561600000017</v>
      </c>
      <c r="G118" s="103" t="str">
        <f>A117</f>
        <v>1st &amp; 2nd Floor</v>
      </c>
      <c r="H118" s="104"/>
      <c r="I118" s="37">
        <f>6*21+3*5</f>
        <v>141</v>
      </c>
      <c r="L118" s="56"/>
      <c r="M118" s="56"/>
      <c r="N118" s="37"/>
    </row>
    <row r="119" spans="1:14" s="48" customFormat="1" ht="15.75" customHeight="1" x14ac:dyDescent="0.25">
      <c r="A119" s="57">
        <f t="shared" ref="A119:A123" si="3">A118+1</f>
        <v>2</v>
      </c>
      <c r="B119" s="59"/>
      <c r="C119" s="42" t="s">
        <v>157</v>
      </c>
      <c r="D119" s="52">
        <f>(50.34)*10.764</f>
        <v>541.85976000000005</v>
      </c>
      <c r="E119" s="42">
        <v>0</v>
      </c>
      <c r="F119" s="42">
        <f t="shared" si="2"/>
        <v>866.97561600000017</v>
      </c>
      <c r="G119" s="105"/>
      <c r="H119" s="106"/>
      <c r="I119" s="37"/>
      <c r="L119" s="56"/>
      <c r="M119" s="56"/>
      <c r="N119" s="37"/>
    </row>
    <row r="120" spans="1:14" s="48" customFormat="1" ht="15.75" customHeight="1" x14ac:dyDescent="0.25">
      <c r="A120" s="57">
        <f t="shared" si="3"/>
        <v>3</v>
      </c>
      <c r="B120" s="59"/>
      <c r="C120" s="42" t="s">
        <v>157</v>
      </c>
      <c r="D120" s="52">
        <f>(53.42)*10.764</f>
        <v>575.01288</v>
      </c>
      <c r="E120" s="42">
        <v>0</v>
      </c>
      <c r="F120" s="42">
        <f t="shared" si="2"/>
        <v>920.02060800000004</v>
      </c>
      <c r="G120" s="105"/>
      <c r="H120" s="106"/>
      <c r="I120" s="37"/>
      <c r="L120" s="56"/>
      <c r="M120" s="56"/>
      <c r="N120" s="37"/>
    </row>
    <row r="121" spans="1:14" s="48" customFormat="1" ht="15.75" customHeight="1" x14ac:dyDescent="0.25">
      <c r="A121" s="57">
        <f t="shared" si="3"/>
        <v>4</v>
      </c>
      <c r="B121" s="59"/>
      <c r="C121" s="42" t="s">
        <v>157</v>
      </c>
      <c r="D121" s="52">
        <f>(53.42)*10.764</f>
        <v>575.01288</v>
      </c>
      <c r="E121" s="42">
        <v>0</v>
      </c>
      <c r="F121" s="42">
        <f t="shared" si="2"/>
        <v>920.02060800000004</v>
      </c>
      <c r="G121" s="105"/>
      <c r="H121" s="106"/>
      <c r="I121" s="37"/>
      <c r="L121" s="56"/>
      <c r="M121" s="56"/>
      <c r="N121" s="37"/>
    </row>
    <row r="122" spans="1:14" s="48" customFormat="1" ht="15.75" customHeight="1" x14ac:dyDescent="0.25">
      <c r="A122" s="57">
        <f t="shared" si="3"/>
        <v>5</v>
      </c>
      <c r="B122" s="59"/>
      <c r="C122" s="42" t="s">
        <v>157</v>
      </c>
      <c r="D122" s="52">
        <f>(61.7)*10.764</f>
        <v>664.13879999999995</v>
      </c>
      <c r="E122" s="42">
        <v>0</v>
      </c>
      <c r="F122" s="42">
        <f t="shared" si="2"/>
        <v>1062.6220799999999</v>
      </c>
      <c r="G122" s="105"/>
      <c r="H122" s="106"/>
      <c r="I122" s="37"/>
      <c r="L122" s="56"/>
      <c r="M122" s="56"/>
      <c r="N122" s="37"/>
    </row>
    <row r="123" spans="1:14" s="48" customFormat="1" ht="15.75" customHeight="1" x14ac:dyDescent="0.25">
      <c r="A123" s="57">
        <f t="shared" si="3"/>
        <v>6</v>
      </c>
      <c r="B123" s="59"/>
      <c r="C123" s="42" t="s">
        <v>157</v>
      </c>
      <c r="D123" s="52">
        <f>(53.42)*10.764</f>
        <v>575.01288</v>
      </c>
      <c r="E123" s="42">
        <v>0</v>
      </c>
      <c r="F123" s="42">
        <f t="shared" si="2"/>
        <v>920.02060800000004</v>
      </c>
      <c r="G123" s="107"/>
      <c r="H123" s="108"/>
      <c r="I123" s="37"/>
      <c r="L123" s="56"/>
      <c r="M123" s="56"/>
      <c r="N123" s="37"/>
    </row>
    <row r="124" spans="1:14" s="48" customFormat="1" ht="65.25" customHeight="1" x14ac:dyDescent="0.25">
      <c r="A124" s="60" t="s">
        <v>185</v>
      </c>
      <c r="B124" s="61"/>
      <c r="C124" s="61"/>
      <c r="D124" s="61"/>
      <c r="E124" s="61"/>
      <c r="F124" s="61"/>
      <c r="G124" s="61"/>
      <c r="H124" s="62"/>
      <c r="I124" s="48">
        <v>5</v>
      </c>
      <c r="J124" s="37"/>
    </row>
    <row r="125" spans="1:14" s="48" customFormat="1" ht="15.75" customHeight="1" x14ac:dyDescent="0.25">
      <c r="A125" s="57">
        <v>1</v>
      </c>
      <c r="B125" s="59"/>
      <c r="C125" s="42" t="s">
        <v>157</v>
      </c>
      <c r="D125" s="52">
        <f>(53.27)*10.764</f>
        <v>573.39828</v>
      </c>
      <c r="E125" s="42">
        <v>0</v>
      </c>
      <c r="F125" s="42">
        <f t="shared" ref="F125:F127" si="4">D125*(($F$108)+1)+(IF(E125&lt;101,E125,IF(E125&lt;201,E125/2,IF(E125&lt;=301,E125/3,E125/4))))</f>
        <v>917.43724800000007</v>
      </c>
      <c r="G125" s="103" t="str">
        <f>A124</f>
        <v>3rd to 7th, 9th to 12th,
 14th to 17th Floor (15th to 18th Floor as per Builder)
19th to 23rd Floor (20th to 24th Floor as per Builder)
Floor for Residential</v>
      </c>
      <c r="H125" s="104"/>
      <c r="I125" s="37">
        <v>4</v>
      </c>
      <c r="L125" s="56"/>
      <c r="M125" s="56"/>
      <c r="N125" s="37"/>
    </row>
    <row r="126" spans="1:14" s="48" customFormat="1" ht="15.75" customHeight="1" x14ac:dyDescent="0.25">
      <c r="A126" s="57">
        <v>2</v>
      </c>
      <c r="B126" s="59"/>
      <c r="C126" s="42" t="s">
        <v>157</v>
      </c>
      <c r="D126" s="52">
        <f>(53.27)*10.764</f>
        <v>573.39828</v>
      </c>
      <c r="E126" s="42">
        <v>0</v>
      </c>
      <c r="F126" s="42">
        <f t="shared" si="4"/>
        <v>917.43724800000007</v>
      </c>
      <c r="G126" s="105"/>
      <c r="H126" s="106"/>
      <c r="I126" s="37">
        <v>4</v>
      </c>
      <c r="L126" s="56"/>
      <c r="M126" s="56"/>
      <c r="N126" s="37"/>
    </row>
    <row r="127" spans="1:14" s="48" customFormat="1" ht="15.75" customHeight="1" x14ac:dyDescent="0.25">
      <c r="A127" s="57">
        <v>3</v>
      </c>
      <c r="B127" s="59"/>
      <c r="C127" s="42" t="s">
        <v>157</v>
      </c>
      <c r="D127" s="52">
        <f>(53.42)*10.764</f>
        <v>575.01288</v>
      </c>
      <c r="E127" s="42">
        <v>0</v>
      </c>
      <c r="F127" s="42">
        <f t="shared" si="4"/>
        <v>920.02060800000004</v>
      </c>
      <c r="G127" s="105"/>
      <c r="H127" s="106"/>
      <c r="I127" s="37">
        <v>5</v>
      </c>
      <c r="J127" s="48">
        <f>10.764</f>
        <v>10.763999999999999</v>
      </c>
      <c r="L127" s="56"/>
      <c r="M127" s="56"/>
      <c r="N127" s="37"/>
    </row>
    <row r="128" spans="1:14" s="48" customFormat="1" ht="15.75" customHeight="1" x14ac:dyDescent="0.25">
      <c r="A128" s="57">
        <v>4</v>
      </c>
      <c r="B128" s="59"/>
      <c r="C128" s="42" t="s">
        <v>157</v>
      </c>
      <c r="D128" s="52">
        <f t="shared" ref="D128:D130" si="5">(53.42)*10.764</f>
        <v>575.01288</v>
      </c>
      <c r="E128" s="42">
        <v>0</v>
      </c>
      <c r="F128" s="42">
        <f t="shared" ref="F128" si="6">D128*(($F$108)+1)+(IF(E128&lt;101,E128,IF(E128&lt;201,E128/2,IF(E128&lt;=301,E128/3,E128/4))))</f>
        <v>920.02060800000004</v>
      </c>
      <c r="G128" s="105"/>
      <c r="H128" s="106"/>
      <c r="I128" s="37">
        <f>SUM(I124:I127)</f>
        <v>18</v>
      </c>
      <c r="J128" s="48">
        <f>10.764</f>
        <v>10.763999999999999</v>
      </c>
      <c r="L128" s="56"/>
      <c r="M128" s="56"/>
      <c r="N128" s="37"/>
    </row>
    <row r="129" spans="1:14" s="48" customFormat="1" ht="15.75" customHeight="1" x14ac:dyDescent="0.25">
      <c r="A129" s="57">
        <v>5</v>
      </c>
      <c r="B129" s="59"/>
      <c r="C129" s="42" t="s">
        <v>157</v>
      </c>
      <c r="D129" s="52">
        <f t="shared" si="5"/>
        <v>575.01288</v>
      </c>
      <c r="E129" s="42">
        <v>0</v>
      </c>
      <c r="F129" s="42">
        <f t="shared" ref="F129:F130" si="7">D129*(($F$108)+1)+(IF(E129&lt;101,E129,IF(E129&lt;201,E129/2,IF(E129&lt;=301,E129/3,E129/4))))</f>
        <v>920.02060800000004</v>
      </c>
      <c r="G129" s="105"/>
      <c r="H129" s="106"/>
      <c r="I129" s="37"/>
      <c r="L129" s="56"/>
      <c r="M129" s="56"/>
      <c r="N129" s="37"/>
    </row>
    <row r="130" spans="1:14" s="48" customFormat="1" ht="15.75" customHeight="1" x14ac:dyDescent="0.25">
      <c r="A130" s="57">
        <v>6</v>
      </c>
      <c r="B130" s="59"/>
      <c r="C130" s="42" t="s">
        <v>157</v>
      </c>
      <c r="D130" s="52">
        <f t="shared" si="5"/>
        <v>575.01288</v>
      </c>
      <c r="E130" s="42">
        <v>0</v>
      </c>
      <c r="F130" s="42">
        <f t="shared" si="7"/>
        <v>920.02060800000004</v>
      </c>
      <c r="G130" s="107"/>
      <c r="H130" s="108"/>
      <c r="I130" s="37"/>
      <c r="L130" s="56"/>
      <c r="M130" s="56"/>
      <c r="N130" s="37"/>
    </row>
    <row r="131" spans="1:14" s="48" customFormat="1" ht="52.5" customHeight="1" x14ac:dyDescent="0.25">
      <c r="A131" s="60" t="s">
        <v>186</v>
      </c>
      <c r="B131" s="61"/>
      <c r="C131" s="61"/>
      <c r="D131" s="61"/>
      <c r="E131" s="61"/>
      <c r="F131" s="61"/>
      <c r="G131" s="61"/>
      <c r="H131" s="62"/>
      <c r="I131" s="48">
        <f>23-5</f>
        <v>18</v>
      </c>
      <c r="J131" s="37"/>
    </row>
    <row r="132" spans="1:14" s="48" customFormat="1" ht="15.75" customHeight="1" x14ac:dyDescent="0.25">
      <c r="A132" s="57">
        <v>1</v>
      </c>
      <c r="B132" s="59"/>
      <c r="C132" s="42" t="s">
        <v>157</v>
      </c>
      <c r="D132" s="52">
        <f>(53.27)*10.764</f>
        <v>573.39828</v>
      </c>
      <c r="E132" s="42">
        <v>0</v>
      </c>
      <c r="F132" s="42">
        <f t="shared" ref="F132:F137" si="8">D132*(($F$108)+1)+(IF(E132&lt;101,E132,IF(E132&lt;201,E132/2,IF(E132&lt;=301,E132/3,E132/4))))</f>
        <v>917.43724800000007</v>
      </c>
      <c r="G132" s="103" t="str">
        <f>A131</f>
        <v>8th, 13th Floor (14th Floor as per Builder)
18th Floor (19th Floor as per Builder)
(Part Refuge Area)</v>
      </c>
      <c r="H132" s="104"/>
      <c r="I132" s="37"/>
      <c r="L132" s="56"/>
      <c r="M132" s="56"/>
      <c r="N132" s="37"/>
    </row>
    <row r="133" spans="1:14" s="48" customFormat="1" ht="15.75" customHeight="1" x14ac:dyDescent="0.25">
      <c r="A133" s="57">
        <v>2</v>
      </c>
      <c r="B133" s="59"/>
      <c r="C133" s="42" t="s">
        <v>157</v>
      </c>
      <c r="D133" s="52">
        <f>(53.27)*10.764</f>
        <v>573.39828</v>
      </c>
      <c r="E133" s="42">
        <v>0</v>
      </c>
      <c r="F133" s="42">
        <f t="shared" si="8"/>
        <v>917.43724800000007</v>
      </c>
      <c r="G133" s="105"/>
      <c r="H133" s="106"/>
      <c r="I133" s="37"/>
      <c r="L133" s="56"/>
      <c r="M133" s="56"/>
      <c r="N133" s="37"/>
    </row>
    <row r="134" spans="1:14" s="48" customFormat="1" ht="15.75" customHeight="1" x14ac:dyDescent="0.25">
      <c r="A134" s="57">
        <v>3</v>
      </c>
      <c r="B134" s="59"/>
      <c r="C134" s="42" t="s">
        <v>157</v>
      </c>
      <c r="D134" s="52">
        <f>(53.42)*10.764</f>
        <v>575.01288</v>
      </c>
      <c r="E134" s="42">
        <v>0</v>
      </c>
      <c r="F134" s="42">
        <f t="shared" si="8"/>
        <v>920.02060800000004</v>
      </c>
      <c r="G134" s="105"/>
      <c r="H134" s="106"/>
      <c r="I134" s="37"/>
      <c r="J134" s="48">
        <f>10.764</f>
        <v>10.763999999999999</v>
      </c>
      <c r="L134" s="56"/>
      <c r="M134" s="56"/>
      <c r="N134" s="37"/>
    </row>
    <row r="135" spans="1:14" s="48" customFormat="1" ht="15.75" customHeight="1" x14ac:dyDescent="0.25">
      <c r="A135" s="57">
        <v>4</v>
      </c>
      <c r="B135" s="59"/>
      <c r="C135" s="57" t="s">
        <v>159</v>
      </c>
      <c r="D135" s="58"/>
      <c r="E135" s="58"/>
      <c r="F135" s="59"/>
      <c r="G135" s="105"/>
      <c r="H135" s="106"/>
      <c r="I135" s="37"/>
      <c r="J135" s="48">
        <f>10.764</f>
        <v>10.763999999999999</v>
      </c>
      <c r="L135" s="56"/>
      <c r="M135" s="56"/>
      <c r="N135" s="37"/>
    </row>
    <row r="136" spans="1:14" s="48" customFormat="1" ht="15.75" customHeight="1" x14ac:dyDescent="0.25">
      <c r="A136" s="57">
        <v>5</v>
      </c>
      <c r="B136" s="59"/>
      <c r="C136" s="42" t="s">
        <v>157</v>
      </c>
      <c r="D136" s="52">
        <f t="shared" ref="D136:D137" si="9">(53.42)*10.764</f>
        <v>575.01288</v>
      </c>
      <c r="E136" s="42">
        <v>0</v>
      </c>
      <c r="F136" s="42">
        <f t="shared" si="8"/>
        <v>920.02060800000004</v>
      </c>
      <c r="G136" s="105"/>
      <c r="H136" s="106"/>
      <c r="I136" s="37"/>
      <c r="L136" s="56"/>
      <c r="M136" s="56"/>
      <c r="N136" s="37"/>
    </row>
    <row r="137" spans="1:14" s="48" customFormat="1" ht="15.75" customHeight="1" x14ac:dyDescent="0.25">
      <c r="A137" s="57">
        <v>6</v>
      </c>
      <c r="B137" s="59"/>
      <c r="C137" s="42" t="s">
        <v>157</v>
      </c>
      <c r="D137" s="52">
        <f t="shared" si="9"/>
        <v>575.01288</v>
      </c>
      <c r="E137" s="42">
        <v>0</v>
      </c>
      <c r="F137" s="42">
        <f t="shared" si="8"/>
        <v>920.02060800000004</v>
      </c>
      <c r="G137" s="107"/>
      <c r="H137" s="108"/>
      <c r="I137" s="37"/>
      <c r="L137" s="56"/>
      <c r="M137" s="56"/>
      <c r="N137" s="37"/>
    </row>
    <row r="138" spans="1:14" x14ac:dyDescent="0.25">
      <c r="A138" s="115" t="s">
        <v>194</v>
      </c>
      <c r="B138" s="115"/>
      <c r="C138" s="115"/>
      <c r="D138" s="115"/>
      <c r="E138" s="115"/>
      <c r="F138" s="115"/>
      <c r="G138" s="115"/>
      <c r="H138" s="115"/>
    </row>
    <row r="139" spans="1:14" x14ac:dyDescent="0.25">
      <c r="A139" s="115" t="s">
        <v>195</v>
      </c>
      <c r="B139" s="115"/>
      <c r="C139" s="115"/>
      <c r="D139" s="115"/>
      <c r="E139" s="115"/>
      <c r="F139" s="115"/>
      <c r="G139" s="115"/>
      <c r="H139" s="115"/>
    </row>
    <row r="140" spans="1:14" s="48" customFormat="1" x14ac:dyDescent="0.25">
      <c r="A140" s="60" t="s">
        <v>196</v>
      </c>
      <c r="B140" s="61"/>
      <c r="C140" s="61"/>
      <c r="D140" s="61"/>
      <c r="E140" s="61"/>
      <c r="F140" s="61"/>
      <c r="G140" s="61"/>
      <c r="H140" s="62"/>
      <c r="J140" s="37"/>
    </row>
    <row r="141" spans="1:14" s="48" customFormat="1" ht="15.75" customHeight="1" x14ac:dyDescent="0.25">
      <c r="A141" s="57">
        <v>1</v>
      </c>
      <c r="B141" s="59"/>
      <c r="C141" s="51" t="s">
        <v>157</v>
      </c>
      <c r="D141" s="52">
        <f>(51.01)*10.764</f>
        <v>549.07163999999989</v>
      </c>
      <c r="E141" s="42">
        <v>0</v>
      </c>
      <c r="F141" s="42">
        <f t="shared" ref="F141:F145" si="10">D141*(($F$108)+1)+(IF(E141&lt;101,E141,IF(E141&lt;201,E141/2,IF(E141&lt;=301,E141/3,E141/4))))</f>
        <v>878.51462399999991</v>
      </c>
      <c r="G141" s="103" t="str">
        <f>A140</f>
        <v>Ground Floor for Residential, Entrance Lobby &amp; Meter Room</v>
      </c>
      <c r="H141" s="104"/>
      <c r="I141" s="37">
        <f>(4.32*3.05+2.6*2.13+2.9*2.75+1.4*0.6+2.75*2.9+1.7*0.6+2.28*1.38+1.5*2.28+0.74*0.8+0.9*2.11)</f>
        <v>45.581400000000002</v>
      </c>
      <c r="J141" s="48">
        <f>10.764</f>
        <v>10.763999999999999</v>
      </c>
      <c r="L141" s="56"/>
      <c r="M141" s="56"/>
      <c r="N141" s="37"/>
    </row>
    <row r="142" spans="1:14" s="48" customFormat="1" ht="15.75" customHeight="1" x14ac:dyDescent="0.25">
      <c r="A142" s="57">
        <f t="shared" ref="A142:A145" si="11">A141+1</f>
        <v>2</v>
      </c>
      <c r="B142" s="59"/>
      <c r="C142" s="51" t="s">
        <v>157</v>
      </c>
      <c r="D142" s="52">
        <f>(51.01)*10.764</f>
        <v>549.07163999999989</v>
      </c>
      <c r="E142" s="42">
        <v>0</v>
      </c>
      <c r="F142" s="42">
        <f t="shared" si="10"/>
        <v>878.51462399999991</v>
      </c>
      <c r="G142" s="105"/>
      <c r="H142" s="106"/>
      <c r="I142" s="37"/>
      <c r="L142" s="56"/>
      <c r="M142" s="56"/>
      <c r="N142" s="37"/>
    </row>
    <row r="143" spans="1:14" s="48" customFormat="1" ht="15.75" customHeight="1" x14ac:dyDescent="0.25">
      <c r="A143" s="57">
        <f t="shared" si="11"/>
        <v>3</v>
      </c>
      <c r="B143" s="59"/>
      <c r="C143" s="51" t="s">
        <v>157</v>
      </c>
      <c r="D143" s="52">
        <f>(51.01)*10.764</f>
        <v>549.07163999999989</v>
      </c>
      <c r="E143" s="42">
        <v>0</v>
      </c>
      <c r="F143" s="42">
        <f t="shared" si="10"/>
        <v>878.51462399999991</v>
      </c>
      <c r="G143" s="105"/>
      <c r="H143" s="106"/>
      <c r="I143" s="37"/>
      <c r="L143" s="56"/>
      <c r="M143" s="56"/>
      <c r="N143" s="37"/>
    </row>
    <row r="144" spans="1:14" s="48" customFormat="1" ht="15.75" customHeight="1" x14ac:dyDescent="0.25">
      <c r="A144" s="57">
        <f t="shared" si="11"/>
        <v>4</v>
      </c>
      <c r="B144" s="59"/>
      <c r="C144" s="51" t="s">
        <v>157</v>
      </c>
      <c r="D144" s="52">
        <f>(51.01)*10.764</f>
        <v>549.07163999999989</v>
      </c>
      <c r="E144" s="42">
        <v>0</v>
      </c>
      <c r="F144" s="42">
        <f t="shared" si="10"/>
        <v>878.51462399999991</v>
      </c>
      <c r="G144" s="105"/>
      <c r="H144" s="106"/>
      <c r="I144" s="37"/>
      <c r="L144" s="56"/>
      <c r="M144" s="56"/>
      <c r="N144" s="37"/>
    </row>
    <row r="145" spans="1:14" s="48" customFormat="1" ht="15.75" customHeight="1" x14ac:dyDescent="0.25">
      <c r="A145" s="57">
        <f t="shared" si="11"/>
        <v>5</v>
      </c>
      <c r="B145" s="59"/>
      <c r="C145" s="51" t="s">
        <v>158</v>
      </c>
      <c r="D145" s="52">
        <f>(44.36)*10.764</f>
        <v>477.49103999999994</v>
      </c>
      <c r="E145" s="42">
        <v>0</v>
      </c>
      <c r="F145" s="42">
        <f t="shared" si="10"/>
        <v>763.98566399999993</v>
      </c>
      <c r="G145" s="107"/>
      <c r="H145" s="108"/>
      <c r="I145" s="37"/>
      <c r="L145" s="56"/>
      <c r="M145" s="56"/>
      <c r="N145" s="37"/>
    </row>
    <row r="146" spans="1:14" s="48" customFormat="1" x14ac:dyDescent="0.25">
      <c r="A146" s="60" t="s">
        <v>184</v>
      </c>
      <c r="B146" s="61"/>
      <c r="C146" s="61"/>
      <c r="D146" s="61"/>
      <c r="E146" s="61"/>
      <c r="F146" s="61"/>
      <c r="G146" s="61"/>
      <c r="H146" s="62"/>
      <c r="J146" s="37"/>
    </row>
    <row r="147" spans="1:14" s="48" customFormat="1" ht="15.75" customHeight="1" x14ac:dyDescent="0.25">
      <c r="A147" s="57">
        <v>1</v>
      </c>
      <c r="B147" s="59"/>
      <c r="C147" s="42" t="s">
        <v>157</v>
      </c>
      <c r="D147" s="52">
        <f>(50.34)*10.764</f>
        <v>541.85976000000005</v>
      </c>
      <c r="E147" s="42">
        <v>0</v>
      </c>
      <c r="F147" s="42">
        <f t="shared" ref="F147:F152" si="12">D147*(($F$108)+1)+(IF(E147&lt;101,E147,IF(E147&lt;201,E147/2,IF(E147&lt;=301,E147/3,E147/4))))</f>
        <v>866.97561600000017</v>
      </c>
      <c r="G147" s="103" t="str">
        <f>A146</f>
        <v>1st &amp; 2nd Floor</v>
      </c>
      <c r="H147" s="104"/>
      <c r="I147" s="37">
        <f>6*21+3*5</f>
        <v>141</v>
      </c>
      <c r="L147" s="56"/>
      <c r="M147" s="56"/>
      <c r="N147" s="37"/>
    </row>
    <row r="148" spans="1:14" s="48" customFormat="1" ht="15.75" customHeight="1" x14ac:dyDescent="0.25">
      <c r="A148" s="57">
        <f t="shared" ref="A148:A152" si="13">A147+1</f>
        <v>2</v>
      </c>
      <c r="B148" s="59"/>
      <c r="C148" s="42" t="s">
        <v>157</v>
      </c>
      <c r="D148" s="52">
        <f>(50.34)*10.764</f>
        <v>541.85976000000005</v>
      </c>
      <c r="E148" s="42">
        <v>0</v>
      </c>
      <c r="F148" s="42">
        <f t="shared" si="12"/>
        <v>866.97561600000017</v>
      </c>
      <c r="G148" s="105"/>
      <c r="H148" s="106"/>
      <c r="I148" s="37"/>
      <c r="L148" s="56"/>
      <c r="M148" s="56"/>
      <c r="N148" s="37"/>
    </row>
    <row r="149" spans="1:14" s="48" customFormat="1" ht="15.75" customHeight="1" x14ac:dyDescent="0.25">
      <c r="A149" s="57">
        <f t="shared" si="13"/>
        <v>3</v>
      </c>
      <c r="B149" s="59"/>
      <c r="C149" s="42" t="s">
        <v>157</v>
      </c>
      <c r="D149" s="52">
        <f>(53.42)*10.764</f>
        <v>575.01288</v>
      </c>
      <c r="E149" s="42">
        <v>0</v>
      </c>
      <c r="F149" s="42">
        <f t="shared" si="12"/>
        <v>920.02060800000004</v>
      </c>
      <c r="G149" s="105"/>
      <c r="H149" s="106"/>
      <c r="I149" s="37"/>
      <c r="L149" s="56"/>
      <c r="M149" s="56"/>
      <c r="N149" s="37"/>
    </row>
    <row r="150" spans="1:14" s="48" customFormat="1" ht="15.75" customHeight="1" x14ac:dyDescent="0.25">
      <c r="A150" s="57">
        <f t="shared" si="13"/>
        <v>4</v>
      </c>
      <c r="B150" s="59"/>
      <c r="C150" s="42" t="s">
        <v>157</v>
      </c>
      <c r="D150" s="52">
        <f>(53.42)*10.764</f>
        <v>575.01288</v>
      </c>
      <c r="E150" s="42">
        <v>0</v>
      </c>
      <c r="F150" s="42">
        <f t="shared" si="12"/>
        <v>920.02060800000004</v>
      </c>
      <c r="G150" s="105"/>
      <c r="H150" s="106"/>
      <c r="I150" s="37"/>
      <c r="L150" s="56"/>
      <c r="M150" s="56"/>
      <c r="N150" s="37"/>
    </row>
    <row r="151" spans="1:14" s="48" customFormat="1" ht="15.75" customHeight="1" x14ac:dyDescent="0.25">
      <c r="A151" s="57">
        <f t="shared" si="13"/>
        <v>5</v>
      </c>
      <c r="B151" s="59"/>
      <c r="C151" s="42" t="s">
        <v>157</v>
      </c>
      <c r="D151" s="52">
        <f>(61.7)*10.764</f>
        <v>664.13879999999995</v>
      </c>
      <c r="E151" s="42">
        <v>0</v>
      </c>
      <c r="F151" s="42">
        <f t="shared" si="12"/>
        <v>1062.6220799999999</v>
      </c>
      <c r="G151" s="105"/>
      <c r="H151" s="106"/>
      <c r="I151" s="37"/>
      <c r="L151" s="56"/>
      <c r="M151" s="56"/>
      <c r="N151" s="37"/>
    </row>
    <row r="152" spans="1:14" s="48" customFormat="1" ht="15.75" customHeight="1" x14ac:dyDescent="0.25">
      <c r="A152" s="57">
        <f t="shared" si="13"/>
        <v>6</v>
      </c>
      <c r="B152" s="59"/>
      <c r="C152" s="42" t="s">
        <v>157</v>
      </c>
      <c r="D152" s="52">
        <f>(53.42)*10.764</f>
        <v>575.01288</v>
      </c>
      <c r="E152" s="42">
        <v>0</v>
      </c>
      <c r="F152" s="42">
        <f t="shared" si="12"/>
        <v>920.02060800000004</v>
      </c>
      <c r="G152" s="107"/>
      <c r="H152" s="108"/>
      <c r="I152" s="37"/>
      <c r="L152" s="56"/>
      <c r="M152" s="56"/>
      <c r="N152" s="37"/>
    </row>
    <row r="153" spans="1:14" s="48" customFormat="1" ht="65.25" customHeight="1" x14ac:dyDescent="0.25">
      <c r="A153" s="60" t="s">
        <v>185</v>
      </c>
      <c r="B153" s="61"/>
      <c r="C153" s="61"/>
      <c r="D153" s="61"/>
      <c r="E153" s="61"/>
      <c r="F153" s="61"/>
      <c r="G153" s="61"/>
      <c r="H153" s="62"/>
      <c r="I153" s="48">
        <v>5</v>
      </c>
      <c r="J153" s="37"/>
    </row>
    <row r="154" spans="1:14" s="48" customFormat="1" ht="15.75" customHeight="1" x14ac:dyDescent="0.25">
      <c r="A154" s="57">
        <v>1</v>
      </c>
      <c r="B154" s="59"/>
      <c r="C154" s="42" t="s">
        <v>157</v>
      </c>
      <c r="D154" s="52">
        <f>(53.27)*10.764</f>
        <v>573.39828</v>
      </c>
      <c r="E154" s="42">
        <v>0</v>
      </c>
      <c r="F154" s="42">
        <f t="shared" ref="F154:F159" si="14">D154*(($F$108)+1)+(IF(E154&lt;101,E154,IF(E154&lt;201,E154/2,IF(E154&lt;=301,E154/3,E154/4))))</f>
        <v>917.43724800000007</v>
      </c>
      <c r="G154" s="103" t="str">
        <f>A153</f>
        <v>3rd to 7th, 9th to 12th,
 14th to 17th Floor (15th to 18th Floor as per Builder)
19th to 23rd Floor (20th to 24th Floor as per Builder)
Floor for Residential</v>
      </c>
      <c r="H154" s="104"/>
      <c r="I154" s="37">
        <v>4</v>
      </c>
      <c r="L154" s="56"/>
      <c r="M154" s="56"/>
      <c r="N154" s="37"/>
    </row>
    <row r="155" spans="1:14" s="48" customFormat="1" ht="15.75" customHeight="1" x14ac:dyDescent="0.25">
      <c r="A155" s="57">
        <v>2</v>
      </c>
      <c r="B155" s="59"/>
      <c r="C155" s="42" t="s">
        <v>157</v>
      </c>
      <c r="D155" s="52">
        <f>(53.27)*10.764</f>
        <v>573.39828</v>
      </c>
      <c r="E155" s="42">
        <v>0</v>
      </c>
      <c r="F155" s="42">
        <f t="shared" si="14"/>
        <v>917.43724800000007</v>
      </c>
      <c r="G155" s="105"/>
      <c r="H155" s="106"/>
      <c r="I155" s="37">
        <v>4</v>
      </c>
      <c r="L155" s="56"/>
      <c r="M155" s="56"/>
      <c r="N155" s="37"/>
    </row>
    <row r="156" spans="1:14" s="48" customFormat="1" ht="15.75" customHeight="1" x14ac:dyDescent="0.25">
      <c r="A156" s="57">
        <v>3</v>
      </c>
      <c r="B156" s="59"/>
      <c r="C156" s="42" t="s">
        <v>157</v>
      </c>
      <c r="D156" s="52">
        <f>(53.42)*10.764</f>
        <v>575.01288</v>
      </c>
      <c r="E156" s="42">
        <v>0</v>
      </c>
      <c r="F156" s="42">
        <f t="shared" si="14"/>
        <v>920.02060800000004</v>
      </c>
      <c r="G156" s="105"/>
      <c r="H156" s="106"/>
      <c r="I156" s="37">
        <v>5</v>
      </c>
      <c r="J156" s="48">
        <f>10.764</f>
        <v>10.763999999999999</v>
      </c>
      <c r="L156" s="56"/>
      <c r="M156" s="56"/>
      <c r="N156" s="37"/>
    </row>
    <row r="157" spans="1:14" s="48" customFormat="1" ht="15.75" customHeight="1" x14ac:dyDescent="0.25">
      <c r="A157" s="57">
        <v>4</v>
      </c>
      <c r="B157" s="59"/>
      <c r="C157" s="42" t="s">
        <v>157</v>
      </c>
      <c r="D157" s="52">
        <f t="shared" ref="D157:D159" si="15">(53.42)*10.764</f>
        <v>575.01288</v>
      </c>
      <c r="E157" s="42">
        <v>0</v>
      </c>
      <c r="F157" s="42">
        <f t="shared" si="14"/>
        <v>920.02060800000004</v>
      </c>
      <c r="G157" s="105"/>
      <c r="H157" s="106"/>
      <c r="I157" s="37">
        <f>SUM(I153:I156)</f>
        <v>18</v>
      </c>
      <c r="J157" s="48">
        <f>10.764</f>
        <v>10.763999999999999</v>
      </c>
      <c r="L157" s="56"/>
      <c r="M157" s="56"/>
      <c r="N157" s="37"/>
    </row>
    <row r="158" spans="1:14" s="48" customFormat="1" ht="15.75" customHeight="1" x14ac:dyDescent="0.25">
      <c r="A158" s="57">
        <v>5</v>
      </c>
      <c r="B158" s="59"/>
      <c r="C158" s="42" t="s">
        <v>157</v>
      </c>
      <c r="D158" s="52">
        <f t="shared" si="15"/>
        <v>575.01288</v>
      </c>
      <c r="E158" s="42">
        <v>0</v>
      </c>
      <c r="F158" s="42">
        <f t="shared" si="14"/>
        <v>920.02060800000004</v>
      </c>
      <c r="G158" s="105"/>
      <c r="H158" s="106"/>
      <c r="I158" s="37"/>
      <c r="L158" s="56"/>
      <c r="M158" s="56"/>
      <c r="N158" s="37"/>
    </row>
    <row r="159" spans="1:14" s="48" customFormat="1" ht="15.75" customHeight="1" x14ac:dyDescent="0.25">
      <c r="A159" s="57">
        <v>6</v>
      </c>
      <c r="B159" s="59"/>
      <c r="C159" s="42" t="s">
        <v>157</v>
      </c>
      <c r="D159" s="52">
        <f t="shared" si="15"/>
        <v>575.01288</v>
      </c>
      <c r="E159" s="42">
        <v>0</v>
      </c>
      <c r="F159" s="42">
        <f t="shared" si="14"/>
        <v>920.02060800000004</v>
      </c>
      <c r="G159" s="107"/>
      <c r="H159" s="108"/>
      <c r="I159" s="37"/>
      <c r="L159" s="56"/>
      <c r="M159" s="56"/>
      <c r="N159" s="37"/>
    </row>
    <row r="160" spans="1:14" s="48" customFormat="1" ht="52.5" customHeight="1" x14ac:dyDescent="0.25">
      <c r="A160" s="60" t="s">
        <v>186</v>
      </c>
      <c r="B160" s="61"/>
      <c r="C160" s="61"/>
      <c r="D160" s="61"/>
      <c r="E160" s="61"/>
      <c r="F160" s="61"/>
      <c r="G160" s="61"/>
      <c r="H160" s="62"/>
      <c r="I160" s="48">
        <f>23-5</f>
        <v>18</v>
      </c>
      <c r="J160" s="37"/>
    </row>
    <row r="161" spans="1:14" s="48" customFormat="1" ht="15.75" customHeight="1" x14ac:dyDescent="0.25">
      <c r="A161" s="57">
        <v>1</v>
      </c>
      <c r="B161" s="59"/>
      <c r="C161" s="42" t="s">
        <v>157</v>
      </c>
      <c r="D161" s="52">
        <f>(53.27)*10.764</f>
        <v>573.39828</v>
      </c>
      <c r="E161" s="42">
        <v>0</v>
      </c>
      <c r="F161" s="42">
        <f t="shared" ref="F161:F163" si="16">D161*(($F$108)+1)+(IF(E161&lt;101,E161,IF(E161&lt;201,E161/2,IF(E161&lt;=301,E161/3,E161/4))))</f>
        <v>917.43724800000007</v>
      </c>
      <c r="G161" s="103" t="str">
        <f>A160</f>
        <v>8th, 13th Floor (14th Floor as per Builder)
18th Floor (19th Floor as per Builder)
(Part Refuge Area)</v>
      </c>
      <c r="H161" s="104"/>
      <c r="I161" s="37"/>
      <c r="L161" s="56"/>
      <c r="M161" s="56"/>
      <c r="N161" s="37"/>
    </row>
    <row r="162" spans="1:14" s="48" customFormat="1" ht="15.75" customHeight="1" x14ac:dyDescent="0.25">
      <c r="A162" s="57">
        <v>2</v>
      </c>
      <c r="B162" s="59"/>
      <c r="C162" s="42" t="s">
        <v>157</v>
      </c>
      <c r="D162" s="52">
        <f>(53.27)*10.764</f>
        <v>573.39828</v>
      </c>
      <c r="E162" s="42">
        <v>0</v>
      </c>
      <c r="F162" s="42">
        <f t="shared" si="16"/>
        <v>917.43724800000007</v>
      </c>
      <c r="G162" s="105"/>
      <c r="H162" s="106"/>
      <c r="I162" s="37"/>
      <c r="L162" s="56"/>
      <c r="M162" s="56"/>
      <c r="N162" s="37"/>
    </row>
    <row r="163" spans="1:14" s="48" customFormat="1" ht="15.75" customHeight="1" x14ac:dyDescent="0.25">
      <c r="A163" s="57">
        <v>3</v>
      </c>
      <c r="B163" s="59"/>
      <c r="C163" s="42" t="s">
        <v>157</v>
      </c>
      <c r="D163" s="52">
        <f>(53.42)*10.764</f>
        <v>575.01288</v>
      </c>
      <c r="E163" s="42">
        <v>0</v>
      </c>
      <c r="F163" s="42">
        <f t="shared" si="16"/>
        <v>920.02060800000004</v>
      </c>
      <c r="G163" s="105"/>
      <c r="H163" s="106"/>
      <c r="I163" s="37"/>
      <c r="J163" s="48">
        <f>10.764</f>
        <v>10.763999999999999</v>
      </c>
      <c r="L163" s="56"/>
      <c r="M163" s="56"/>
      <c r="N163" s="37"/>
    </row>
    <row r="164" spans="1:14" s="48" customFormat="1" ht="15.75" customHeight="1" x14ac:dyDescent="0.25">
      <c r="A164" s="57">
        <v>4</v>
      </c>
      <c r="B164" s="59"/>
      <c r="C164" s="57" t="s">
        <v>159</v>
      </c>
      <c r="D164" s="58"/>
      <c r="E164" s="58"/>
      <c r="F164" s="59"/>
      <c r="G164" s="105"/>
      <c r="H164" s="106"/>
      <c r="I164" s="37"/>
      <c r="J164" s="48">
        <f>10.764</f>
        <v>10.763999999999999</v>
      </c>
      <c r="L164" s="56"/>
      <c r="M164" s="56"/>
      <c r="N164" s="37"/>
    </row>
    <row r="165" spans="1:14" s="48" customFormat="1" ht="15.75" customHeight="1" x14ac:dyDescent="0.25">
      <c r="A165" s="57">
        <v>5</v>
      </c>
      <c r="B165" s="59"/>
      <c r="C165" s="42" t="s">
        <v>157</v>
      </c>
      <c r="D165" s="52">
        <f t="shared" ref="D165:D166" si="17">(53.42)*10.764</f>
        <v>575.01288</v>
      </c>
      <c r="E165" s="42">
        <v>0</v>
      </c>
      <c r="F165" s="42">
        <f t="shared" ref="F165:F166" si="18">D165*(($F$108)+1)+(IF(E165&lt;101,E165,IF(E165&lt;201,E165/2,IF(E165&lt;=301,E165/3,E165/4))))</f>
        <v>920.02060800000004</v>
      </c>
      <c r="G165" s="105"/>
      <c r="H165" s="106"/>
      <c r="I165" s="37"/>
      <c r="L165" s="56"/>
      <c r="M165" s="56"/>
      <c r="N165" s="37"/>
    </row>
    <row r="166" spans="1:14" s="48" customFormat="1" ht="15.75" customHeight="1" x14ac:dyDescent="0.25">
      <c r="A166" s="57">
        <v>6</v>
      </c>
      <c r="B166" s="59"/>
      <c r="C166" s="42" t="s">
        <v>157</v>
      </c>
      <c r="D166" s="52">
        <f t="shared" si="17"/>
        <v>575.01288</v>
      </c>
      <c r="E166" s="42">
        <v>0</v>
      </c>
      <c r="F166" s="42">
        <f t="shared" si="18"/>
        <v>920.02060800000004</v>
      </c>
      <c r="G166" s="107"/>
      <c r="H166" s="108"/>
      <c r="I166" s="37"/>
      <c r="L166" s="56"/>
      <c r="M166" s="56"/>
      <c r="N166" s="37"/>
    </row>
    <row r="167" spans="1:14" s="36" customFormat="1" x14ac:dyDescent="0.25">
      <c r="A167" s="132" t="s">
        <v>70</v>
      </c>
      <c r="B167" s="132"/>
      <c r="C167" s="132"/>
      <c r="D167" s="132"/>
      <c r="E167" s="132"/>
      <c r="F167" s="132"/>
      <c r="G167" s="132"/>
      <c r="H167" s="132"/>
    </row>
    <row r="168" spans="1:14" s="36" customFormat="1" x14ac:dyDescent="0.25">
      <c r="A168" s="46" t="s">
        <v>151</v>
      </c>
      <c r="B168" s="116" t="s">
        <v>217</v>
      </c>
      <c r="C168" s="117"/>
      <c r="D168" s="117"/>
      <c r="E168" s="117"/>
      <c r="F168" s="117"/>
      <c r="G168" s="117"/>
      <c r="H168" s="118"/>
    </row>
    <row r="169" spans="1:14" s="36" customFormat="1" x14ac:dyDescent="0.25">
      <c r="A169" s="50" t="s">
        <v>151</v>
      </c>
      <c r="B169" s="116" t="str">
        <f>(IF(F107="Saleable area Loading :","We have considered Saleable area of Flats as per our Calculation.","We considered Saleable area of Flat as per Builder area Sheet."))</f>
        <v>We have considered Saleable area of Flats as per our Calculation.</v>
      </c>
      <c r="C169" s="117"/>
      <c r="D169" s="117"/>
      <c r="E169" s="117"/>
      <c r="F169" s="117"/>
      <c r="G169" s="117"/>
      <c r="H169" s="118"/>
    </row>
    <row r="170" spans="1:14" s="36" customFormat="1" x14ac:dyDescent="0.25">
      <c r="A170" s="50" t="s">
        <v>151</v>
      </c>
      <c r="B170" s="110" t="s">
        <v>121</v>
      </c>
      <c r="C170" s="111"/>
      <c r="D170" s="111"/>
      <c r="E170" s="111"/>
      <c r="F170" s="111"/>
      <c r="G170" s="111"/>
      <c r="H170" s="112"/>
    </row>
    <row r="171" spans="1:14" s="36" customFormat="1" x14ac:dyDescent="0.25">
      <c r="A171" s="50" t="s">
        <v>151</v>
      </c>
      <c r="B171" s="110" t="s">
        <v>176</v>
      </c>
      <c r="C171" s="111"/>
      <c r="D171" s="111"/>
      <c r="E171" s="111"/>
      <c r="F171" s="111"/>
      <c r="G171" s="111"/>
      <c r="H171" s="112"/>
    </row>
    <row r="172" spans="1:14" s="36" customFormat="1" x14ac:dyDescent="0.25">
      <c r="A172" s="50" t="s">
        <v>151</v>
      </c>
      <c r="B172" s="110" t="s">
        <v>150</v>
      </c>
      <c r="C172" s="111"/>
      <c r="D172" s="111"/>
      <c r="E172" s="111"/>
      <c r="F172" s="111"/>
      <c r="G172" s="111"/>
      <c r="H172" s="112"/>
    </row>
    <row r="173" spans="1:14" s="36" customFormat="1" x14ac:dyDescent="0.25">
      <c r="A173" s="50" t="s">
        <v>151</v>
      </c>
      <c r="B173" s="110" t="s">
        <v>122</v>
      </c>
      <c r="C173" s="111"/>
      <c r="D173" s="111"/>
      <c r="E173" s="111"/>
      <c r="F173" s="111"/>
      <c r="G173" s="111"/>
      <c r="H173" s="112"/>
    </row>
    <row r="174" spans="1:14" s="36" customFormat="1" ht="34.5" customHeight="1" x14ac:dyDescent="0.25">
      <c r="A174" s="50" t="s">
        <v>151</v>
      </c>
      <c r="B174" s="110" t="s">
        <v>152</v>
      </c>
      <c r="C174" s="111"/>
      <c r="D174" s="111"/>
      <c r="E174" s="111"/>
      <c r="F174" s="111"/>
      <c r="G174" s="111"/>
      <c r="H174" s="112"/>
    </row>
    <row r="175" spans="1:14" s="36" customFormat="1" x14ac:dyDescent="0.25">
      <c r="A175" s="50" t="s">
        <v>151</v>
      </c>
      <c r="B175" s="110" t="s">
        <v>123</v>
      </c>
      <c r="C175" s="111"/>
      <c r="D175" s="111"/>
      <c r="E175" s="111"/>
      <c r="F175" s="111"/>
      <c r="G175" s="111"/>
      <c r="H175" s="112"/>
    </row>
    <row r="176" spans="1:14" s="36" customFormat="1" x14ac:dyDescent="0.25">
      <c r="A176" s="46" t="s">
        <v>151</v>
      </c>
      <c r="B176" s="116" t="s">
        <v>199</v>
      </c>
      <c r="C176" s="117"/>
      <c r="D176" s="117"/>
      <c r="E176" s="117"/>
      <c r="F176" s="117"/>
      <c r="G176" s="117"/>
      <c r="H176" s="118"/>
    </row>
    <row r="177" spans="1:8" s="36" customFormat="1" x14ac:dyDescent="0.25">
      <c r="A177" s="46" t="s">
        <v>151</v>
      </c>
      <c r="B177" s="116" t="s">
        <v>210</v>
      </c>
      <c r="C177" s="117"/>
      <c r="D177" s="117"/>
      <c r="E177" s="117"/>
      <c r="F177" s="117"/>
      <c r="G177" s="117"/>
      <c r="H177" s="118"/>
    </row>
    <row r="178" spans="1:8" x14ac:dyDescent="0.25">
      <c r="A178" s="120" t="s">
        <v>63</v>
      </c>
      <c r="B178" s="120"/>
      <c r="C178" s="120"/>
      <c r="D178" s="120"/>
      <c r="E178" s="120"/>
      <c r="F178" s="120"/>
      <c r="G178" s="120"/>
      <c r="H178" s="120"/>
    </row>
    <row r="179" spans="1:8" x14ac:dyDescent="0.25">
      <c r="A179" s="113" t="s">
        <v>64</v>
      </c>
      <c r="B179" s="113"/>
      <c r="C179" s="113"/>
      <c r="D179" s="113"/>
      <c r="E179" s="113"/>
      <c r="F179" s="113"/>
      <c r="G179" s="113"/>
      <c r="H179" s="113"/>
    </row>
    <row r="180" spans="1:8" ht="15.75" customHeight="1" x14ac:dyDescent="0.25">
      <c r="A180" s="86" t="s">
        <v>65</v>
      </c>
      <c r="B180" s="86"/>
      <c r="C180" s="86"/>
      <c r="D180" s="86"/>
      <c r="E180" s="86"/>
      <c r="F180" s="86"/>
      <c r="G180" s="86"/>
      <c r="H180" s="86"/>
    </row>
    <row r="181" spans="1:8" x14ac:dyDescent="0.25">
      <c r="A181" s="65" t="s">
        <v>66</v>
      </c>
      <c r="B181" s="65"/>
      <c r="C181" s="65"/>
      <c r="D181" s="65"/>
      <c r="E181" s="65"/>
      <c r="F181" s="65"/>
      <c r="G181" s="65"/>
      <c r="H181" s="65"/>
    </row>
    <row r="182" spans="1:8" x14ac:dyDescent="0.25">
      <c r="A182" s="65" t="s">
        <v>67</v>
      </c>
      <c r="B182" s="65"/>
      <c r="C182" s="65"/>
      <c r="D182" s="65"/>
      <c r="E182" s="65"/>
      <c r="F182" s="65"/>
      <c r="G182" s="65"/>
      <c r="H182" s="65"/>
    </row>
    <row r="183" spans="1:8" x14ac:dyDescent="0.25">
      <c r="A183" s="65" t="s">
        <v>124</v>
      </c>
      <c r="B183" s="65"/>
      <c r="C183" s="65"/>
      <c r="D183" s="65"/>
      <c r="E183" s="65"/>
      <c r="F183" s="65"/>
      <c r="G183" s="65"/>
      <c r="H183" s="65"/>
    </row>
    <row r="184" spans="1:8" ht="35.25" customHeight="1" x14ac:dyDescent="0.25">
      <c r="A184" s="64" t="s">
        <v>125</v>
      </c>
      <c r="B184" s="64"/>
      <c r="C184" s="64"/>
      <c r="D184" s="64"/>
      <c r="E184" s="64"/>
      <c r="F184" s="64"/>
      <c r="G184" s="64"/>
      <c r="H184" s="64"/>
    </row>
    <row r="185" spans="1:8" x14ac:dyDescent="0.25">
      <c r="A185" s="129" t="s">
        <v>79</v>
      </c>
      <c r="B185" s="129"/>
      <c r="C185" s="129" t="s">
        <v>214</v>
      </c>
      <c r="D185" s="129"/>
      <c r="E185" s="129" t="s">
        <v>104</v>
      </c>
      <c r="F185" s="129"/>
      <c r="G185" s="129" t="s">
        <v>213</v>
      </c>
      <c r="H185" s="129"/>
    </row>
    <row r="186" spans="1:8" x14ac:dyDescent="0.25">
      <c r="A186" s="128" t="s">
        <v>81</v>
      </c>
      <c r="B186" s="128"/>
      <c r="C186" s="128"/>
      <c r="D186" s="128"/>
      <c r="E186" s="128"/>
      <c r="F186" s="128"/>
      <c r="G186" s="128"/>
      <c r="H186" s="128"/>
    </row>
    <row r="187" spans="1:8" x14ac:dyDescent="0.25">
      <c r="A187" s="128"/>
      <c r="B187" s="128"/>
      <c r="C187" s="128"/>
      <c r="D187" s="128"/>
      <c r="E187" s="128"/>
      <c r="F187" s="128"/>
      <c r="G187" s="128"/>
      <c r="H187" s="128"/>
    </row>
    <row r="188" spans="1:8" x14ac:dyDescent="0.25">
      <c r="A188" s="128"/>
      <c r="B188" s="128"/>
      <c r="C188" s="128"/>
      <c r="D188" s="128"/>
      <c r="E188" s="128"/>
      <c r="F188" s="128"/>
      <c r="G188" s="128"/>
      <c r="H188" s="128"/>
    </row>
    <row r="189" spans="1:8" x14ac:dyDescent="0.25">
      <c r="A189" s="38" t="s">
        <v>68</v>
      </c>
      <c r="B189" s="39"/>
      <c r="C189" s="39"/>
      <c r="D189" s="38" t="str">
        <f>E8</f>
        <v>Liana C &amp; D</v>
      </c>
      <c r="F189" s="39"/>
      <c r="G189" s="39"/>
      <c r="H189" s="39"/>
    </row>
    <row r="190" spans="1:8" x14ac:dyDescent="0.25">
      <c r="A190" s="39"/>
      <c r="B190" s="39"/>
      <c r="C190" s="39"/>
      <c r="D190" s="39"/>
      <c r="E190" s="39"/>
      <c r="F190" s="39"/>
      <c r="G190" s="39"/>
      <c r="H190" s="39"/>
    </row>
    <row r="191" spans="1:8" x14ac:dyDescent="0.25">
      <c r="A191" s="39"/>
      <c r="B191" s="39"/>
      <c r="C191" s="39"/>
      <c r="D191" s="39"/>
      <c r="E191" s="39"/>
      <c r="F191" s="39"/>
      <c r="G191" s="39"/>
      <c r="H191" s="39"/>
    </row>
    <row r="192" spans="1:8" ht="15" customHeight="1" x14ac:dyDescent="0.25"/>
    <row r="231" spans="1:8" ht="15.75" customHeight="1" x14ac:dyDescent="0.25">
      <c r="A231" s="39" t="s">
        <v>200</v>
      </c>
      <c r="B231" s="39" t="str">
        <f>E8</f>
        <v>Liana C &amp; D</v>
      </c>
      <c r="C231" s="39"/>
      <c r="D231" s="38"/>
      <c r="F231" s="39"/>
      <c r="G231" s="39"/>
      <c r="H231" s="39"/>
    </row>
    <row r="232" spans="1:8" x14ac:dyDescent="0.25">
      <c r="A232" s="39"/>
      <c r="B232" s="39"/>
      <c r="C232" s="39"/>
      <c r="D232" s="39"/>
      <c r="E232" s="39"/>
      <c r="F232" s="39"/>
      <c r="G232" s="39"/>
      <c r="H232" s="39"/>
    </row>
    <row r="233" spans="1:8" x14ac:dyDescent="0.25">
      <c r="A233" s="39"/>
      <c r="B233" s="39"/>
      <c r="C233" s="39"/>
      <c r="D233" s="39"/>
      <c r="E233" s="39"/>
      <c r="F233" s="39"/>
      <c r="G233" s="39"/>
      <c r="H233" s="39"/>
    </row>
    <row r="234" spans="1:8" ht="15" customHeight="1" x14ac:dyDescent="0.25"/>
    <row r="273" spans="1:1" x14ac:dyDescent="0.25">
      <c r="A273" s="41" t="s">
        <v>69</v>
      </c>
    </row>
  </sheetData>
  <mergeCells count="351">
    <mergeCell ref="K68:O74"/>
    <mergeCell ref="A160:H160"/>
    <mergeCell ref="A161:B161"/>
    <mergeCell ref="G161:H166"/>
    <mergeCell ref="L161:M161"/>
    <mergeCell ref="A162:B162"/>
    <mergeCell ref="L162:M162"/>
    <mergeCell ref="A163:B163"/>
    <mergeCell ref="L163:M163"/>
    <mergeCell ref="A164:B164"/>
    <mergeCell ref="C164:F164"/>
    <mergeCell ref="L164:M164"/>
    <mergeCell ref="A165:B165"/>
    <mergeCell ref="L165:M165"/>
    <mergeCell ref="A166:B166"/>
    <mergeCell ref="L166:M166"/>
    <mergeCell ref="L142:M142"/>
    <mergeCell ref="A143:B143"/>
    <mergeCell ref="L151:M151"/>
    <mergeCell ref="L152:M152"/>
    <mergeCell ref="A153:H153"/>
    <mergeCell ref="A154:B154"/>
    <mergeCell ref="G154:H159"/>
    <mergeCell ref="L154:M154"/>
    <mergeCell ref="A155:B155"/>
    <mergeCell ref="L155:M155"/>
    <mergeCell ref="A156:B156"/>
    <mergeCell ref="L156:M156"/>
    <mergeCell ref="A157:B157"/>
    <mergeCell ref="L157:M157"/>
    <mergeCell ref="A158:B158"/>
    <mergeCell ref="L158:M158"/>
    <mergeCell ref="A159:B159"/>
    <mergeCell ref="L159:M159"/>
    <mergeCell ref="B169:H169"/>
    <mergeCell ref="B170:H170"/>
    <mergeCell ref="D59:H59"/>
    <mergeCell ref="E67:F67"/>
    <mergeCell ref="A60:C60"/>
    <mergeCell ref="D60:H60"/>
    <mergeCell ref="A63:C63"/>
    <mergeCell ref="D63:H63"/>
    <mergeCell ref="A61:C61"/>
    <mergeCell ref="D61:H61"/>
    <mergeCell ref="A62:C62"/>
    <mergeCell ref="G125:H130"/>
    <mergeCell ref="G132:H137"/>
    <mergeCell ref="A137:B137"/>
    <mergeCell ref="A148:B148"/>
    <mergeCell ref="A149:B149"/>
    <mergeCell ref="A150:B150"/>
    <mergeCell ref="A146:H146"/>
    <mergeCell ref="A147:B147"/>
    <mergeCell ref="G147:H152"/>
    <mergeCell ref="A152:B152"/>
    <mergeCell ref="A138:H138"/>
    <mergeCell ref="A139:H139"/>
    <mergeCell ref="A140:H140"/>
    <mergeCell ref="A110:H110"/>
    <mergeCell ref="F95:H95"/>
    <mergeCell ref="L143:M143"/>
    <mergeCell ref="A144:B144"/>
    <mergeCell ref="L144:M144"/>
    <mergeCell ref="A145:B145"/>
    <mergeCell ref="L145:M145"/>
    <mergeCell ref="D58:H58"/>
    <mergeCell ref="B168:H168"/>
    <mergeCell ref="L121:M121"/>
    <mergeCell ref="L122:M122"/>
    <mergeCell ref="L118:M118"/>
    <mergeCell ref="L119:M119"/>
    <mergeCell ref="L120:M120"/>
    <mergeCell ref="L123:M123"/>
    <mergeCell ref="L147:M147"/>
    <mergeCell ref="L148:M148"/>
    <mergeCell ref="L149:M149"/>
    <mergeCell ref="L150:M150"/>
    <mergeCell ref="A141:B141"/>
    <mergeCell ref="G141:H145"/>
    <mergeCell ref="A151:B151"/>
    <mergeCell ref="L141:M141"/>
    <mergeCell ref="A142:B142"/>
    <mergeCell ref="A38:D38"/>
    <mergeCell ref="E38:H38"/>
    <mergeCell ref="A40:D40"/>
    <mergeCell ref="E40:H40"/>
    <mergeCell ref="E41:H41"/>
    <mergeCell ref="E42:H42"/>
    <mergeCell ref="E43:H43"/>
    <mergeCell ref="A41:D41"/>
    <mergeCell ref="A42:D42"/>
    <mergeCell ref="A43:D43"/>
    <mergeCell ref="E39:H39"/>
    <mergeCell ref="A39:D39"/>
    <mergeCell ref="A45:B45"/>
    <mergeCell ref="C45:H45"/>
    <mergeCell ref="D54:H54"/>
    <mergeCell ref="A54:C54"/>
    <mergeCell ref="G47:H47"/>
    <mergeCell ref="A48:B49"/>
    <mergeCell ref="D57:H57"/>
    <mergeCell ref="A47:B47"/>
    <mergeCell ref="D56:H56"/>
    <mergeCell ref="A55:C56"/>
    <mergeCell ref="A51:H51"/>
    <mergeCell ref="C49:H49"/>
    <mergeCell ref="C36:H36"/>
    <mergeCell ref="A44:H44"/>
    <mergeCell ref="A52:C52"/>
    <mergeCell ref="A53:C53"/>
    <mergeCell ref="D53:H53"/>
    <mergeCell ref="G50:H50"/>
    <mergeCell ref="A57:C57"/>
    <mergeCell ref="A71:B71"/>
    <mergeCell ref="A74:B74"/>
    <mergeCell ref="A67:B67"/>
    <mergeCell ref="A70:B70"/>
    <mergeCell ref="A66:B66"/>
    <mergeCell ref="A64:B64"/>
    <mergeCell ref="A58:C58"/>
    <mergeCell ref="A46:B46"/>
    <mergeCell ref="C46:E46"/>
    <mergeCell ref="G46:H46"/>
    <mergeCell ref="G48:H48"/>
    <mergeCell ref="D52:H52"/>
    <mergeCell ref="C48:E48"/>
    <mergeCell ref="D55:H55"/>
    <mergeCell ref="C47:E47"/>
    <mergeCell ref="A50:B50"/>
    <mergeCell ref="C50:E50"/>
    <mergeCell ref="F29:H29"/>
    <mergeCell ref="A30:B30"/>
    <mergeCell ref="A29:B29"/>
    <mergeCell ref="C30:E30"/>
    <mergeCell ref="A31:B31"/>
    <mergeCell ref="C31:E31"/>
    <mergeCell ref="A34:H34"/>
    <mergeCell ref="A33:B33"/>
    <mergeCell ref="A35:B35"/>
    <mergeCell ref="C35:H35"/>
    <mergeCell ref="A37:H37"/>
    <mergeCell ref="C33:E33"/>
    <mergeCell ref="E23:H23"/>
    <mergeCell ref="A25:D25"/>
    <mergeCell ref="E25:H25"/>
    <mergeCell ref="A22:D22"/>
    <mergeCell ref="E22:H22"/>
    <mergeCell ref="A26:D26"/>
    <mergeCell ref="E26:H26"/>
    <mergeCell ref="A23:D23"/>
    <mergeCell ref="A32:B32"/>
    <mergeCell ref="C32:E32"/>
    <mergeCell ref="A27:D27"/>
    <mergeCell ref="E27:H27"/>
    <mergeCell ref="A28:D28"/>
    <mergeCell ref="E28:H28"/>
    <mergeCell ref="A24:D24"/>
    <mergeCell ref="E24:H24"/>
    <mergeCell ref="F30:H30"/>
    <mergeCell ref="F31:H31"/>
    <mergeCell ref="C29:E29"/>
    <mergeCell ref="F32:H32"/>
    <mergeCell ref="F33:H33"/>
    <mergeCell ref="A36:B36"/>
    <mergeCell ref="A19:D20"/>
    <mergeCell ref="E19:H20"/>
    <mergeCell ref="E12:H12"/>
    <mergeCell ref="A13:B13"/>
    <mergeCell ref="C13:H13"/>
    <mergeCell ref="C14:H14"/>
    <mergeCell ref="A21:D21"/>
    <mergeCell ref="E21:H21"/>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10:D10"/>
    <mergeCell ref="E10:H10"/>
    <mergeCell ref="A5:D5"/>
    <mergeCell ref="E5:H5"/>
    <mergeCell ref="A6:D6"/>
    <mergeCell ref="E6:H6"/>
    <mergeCell ref="A7:D7"/>
    <mergeCell ref="E7:H7"/>
    <mergeCell ref="A14:B14"/>
    <mergeCell ref="A11:D11"/>
    <mergeCell ref="E11:H11"/>
    <mergeCell ref="A12:D12"/>
    <mergeCell ref="A1:H1"/>
    <mergeCell ref="A2:H2"/>
    <mergeCell ref="A3:D3"/>
    <mergeCell ref="E3:H3"/>
    <mergeCell ref="A4:D4"/>
    <mergeCell ref="A8:D8"/>
    <mergeCell ref="E8:H8"/>
    <mergeCell ref="A9:D9"/>
    <mergeCell ref="E9:H9"/>
    <mergeCell ref="E4:H4"/>
    <mergeCell ref="A186:H188"/>
    <mergeCell ref="A185:B185"/>
    <mergeCell ref="E185:F185"/>
    <mergeCell ref="C185:D185"/>
    <mergeCell ref="G185:H185"/>
    <mergeCell ref="A98:E98"/>
    <mergeCell ref="F98:H98"/>
    <mergeCell ref="A99:E99"/>
    <mergeCell ref="F99:H99"/>
    <mergeCell ref="A102:B102"/>
    <mergeCell ref="A181:H181"/>
    <mergeCell ref="A100:H100"/>
    <mergeCell ref="A184:H184"/>
    <mergeCell ref="A182:H182"/>
    <mergeCell ref="A167:H167"/>
    <mergeCell ref="B107:B108"/>
    <mergeCell ref="A124:H124"/>
    <mergeCell ref="A125:B125"/>
    <mergeCell ref="A126:B126"/>
    <mergeCell ref="A130:B130"/>
    <mergeCell ref="A114:B114"/>
    <mergeCell ref="A112:B112"/>
    <mergeCell ref="A113:B113"/>
    <mergeCell ref="A107:A108"/>
    <mergeCell ref="L115:M115"/>
    <mergeCell ref="A75:B75"/>
    <mergeCell ref="C102:D102"/>
    <mergeCell ref="E102:F102"/>
    <mergeCell ref="F97:H97"/>
    <mergeCell ref="A93:E93"/>
    <mergeCell ref="A97:E97"/>
    <mergeCell ref="L114:M114"/>
    <mergeCell ref="A96:E96"/>
    <mergeCell ref="F96:H96"/>
    <mergeCell ref="F92:H92"/>
    <mergeCell ref="G112:H116"/>
    <mergeCell ref="A78:B78"/>
    <mergeCell ref="C78:H78"/>
    <mergeCell ref="A80:B80"/>
    <mergeCell ref="C80:H80"/>
    <mergeCell ref="A81:B81"/>
    <mergeCell ref="E81:F81"/>
    <mergeCell ref="A89:B89"/>
    <mergeCell ref="A90:B90"/>
    <mergeCell ref="A91:B91"/>
    <mergeCell ref="E68:F77"/>
    <mergeCell ref="G101:H101"/>
    <mergeCell ref="A111:H111"/>
    <mergeCell ref="A73:B73"/>
    <mergeCell ref="F93:H93"/>
    <mergeCell ref="G102:H102"/>
    <mergeCell ref="A128:B128"/>
    <mergeCell ref="A129:B129"/>
    <mergeCell ref="B175:H175"/>
    <mergeCell ref="A179:H179"/>
    <mergeCell ref="E101:F101"/>
    <mergeCell ref="A105:H105"/>
    <mergeCell ref="A106:H106"/>
    <mergeCell ref="C107:C108"/>
    <mergeCell ref="B176:H176"/>
    <mergeCell ref="B177:H177"/>
    <mergeCell ref="A121:B121"/>
    <mergeCell ref="C101:D101"/>
    <mergeCell ref="A127:B127"/>
    <mergeCell ref="A178:H178"/>
    <mergeCell ref="A109:H109"/>
    <mergeCell ref="B174:H174"/>
    <mergeCell ref="B173:H173"/>
    <mergeCell ref="B172:H172"/>
    <mergeCell ref="B171:H171"/>
    <mergeCell ref="A103:B103"/>
    <mergeCell ref="C103:D103"/>
    <mergeCell ref="A84:B84"/>
    <mergeCell ref="A85:B85"/>
    <mergeCell ref="A86:B86"/>
    <mergeCell ref="A87:B87"/>
    <mergeCell ref="A88:B88"/>
    <mergeCell ref="A183:H183"/>
    <mergeCell ref="A180:H180"/>
    <mergeCell ref="A101:B101"/>
    <mergeCell ref="D107:D108"/>
    <mergeCell ref="E107:E108"/>
    <mergeCell ref="G107:H108"/>
    <mergeCell ref="E103:F103"/>
    <mergeCell ref="G103:H103"/>
    <mergeCell ref="A104:B104"/>
    <mergeCell ref="C104:D104"/>
    <mergeCell ref="E104:F104"/>
    <mergeCell ref="G104:H104"/>
    <mergeCell ref="A122:B122"/>
    <mergeCell ref="A123:B123"/>
    <mergeCell ref="A117:H117"/>
    <mergeCell ref="A118:B118"/>
    <mergeCell ref="A119:B119"/>
    <mergeCell ref="A120:B120"/>
    <mergeCell ref="G118:H123"/>
    <mergeCell ref="L112:M112"/>
    <mergeCell ref="L113:M113"/>
    <mergeCell ref="F94:H94"/>
    <mergeCell ref="A94:E94"/>
    <mergeCell ref="A95:E95"/>
    <mergeCell ref="A115:B115"/>
    <mergeCell ref="I93:M94"/>
    <mergeCell ref="A59:C59"/>
    <mergeCell ref="C64:H64"/>
    <mergeCell ref="A72:B72"/>
    <mergeCell ref="A69:B69"/>
    <mergeCell ref="A68:B68"/>
    <mergeCell ref="G67:H67"/>
    <mergeCell ref="G82:H91"/>
    <mergeCell ref="D62:H62"/>
    <mergeCell ref="C66:H66"/>
    <mergeCell ref="A92:E92"/>
    <mergeCell ref="G68:H77"/>
    <mergeCell ref="A76:B76"/>
    <mergeCell ref="A77:B77"/>
    <mergeCell ref="G81:H81"/>
    <mergeCell ref="A82:B82"/>
    <mergeCell ref="E82:F91"/>
    <mergeCell ref="A83:B83"/>
    <mergeCell ref="L116:M116"/>
    <mergeCell ref="L126:M126"/>
    <mergeCell ref="L127:M127"/>
    <mergeCell ref="L125:M125"/>
    <mergeCell ref="L137:M137"/>
    <mergeCell ref="C135:F135"/>
    <mergeCell ref="A134:B134"/>
    <mergeCell ref="L134:M134"/>
    <mergeCell ref="A135:B135"/>
    <mergeCell ref="L135:M135"/>
    <mergeCell ref="A136:B136"/>
    <mergeCell ref="L136:M136"/>
    <mergeCell ref="L128:M128"/>
    <mergeCell ref="L129:M129"/>
    <mergeCell ref="L130:M130"/>
    <mergeCell ref="A131:H131"/>
    <mergeCell ref="A132:B132"/>
    <mergeCell ref="L132:M132"/>
    <mergeCell ref="A133:B133"/>
    <mergeCell ref="L133:M133"/>
    <mergeCell ref="A116:B116"/>
  </mergeCells>
  <hyperlinks>
    <hyperlink ref="C36" r:id="rId1"/>
  </hyperlinks>
  <printOptions horizontalCentered="1"/>
  <pageMargins left="0.39370078740157483" right="0.39370078740157483" top="0.78740157480314965" bottom="0.78740157480314965" header="0.15748031496062992" footer="0.19685039370078741"/>
  <pageSetup paperSize="2" scale="99" fitToHeight="0" orientation="portrait" r:id="rId2"/>
  <headerFooter>
    <oddHeader>&amp;C&amp;G</oddHeader>
    <oddFooter>&amp;L&amp;"Times New Roman,Bold"&amp;12Ref No: &amp;F&amp;C&amp;G&amp;R&amp;"Times New Roman,Bold"&amp;12&amp;P</oddFooter>
  </headerFooter>
  <rowBreaks count="5" manualBreakCount="5">
    <brk id="63" max="7" man="1"/>
    <brk id="166" max="7" man="1"/>
    <brk id="188" max="16383" man="1"/>
    <brk id="230" max="7" man="1"/>
    <brk id="27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0" sqref="C20"/>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177" t="s">
        <v>105</v>
      </c>
      <c r="C3" s="177"/>
      <c r="D3" s="177"/>
      <c r="E3" s="177"/>
      <c r="F3" s="177"/>
      <c r="G3" s="177"/>
      <c r="H3" s="177"/>
    </row>
    <row r="4" spans="1:9" x14ac:dyDescent="0.25">
      <c r="A4" s="2"/>
      <c r="B4" s="3" t="s">
        <v>106</v>
      </c>
      <c r="C4" s="3" t="s">
        <v>107</v>
      </c>
      <c r="D4" s="3" t="s">
        <v>71</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E24" sqref="E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2025-07-16T12:35:34Z</cp:lastPrinted>
  <dcterms:created xsi:type="dcterms:W3CDTF">2019-07-16T09:29:46Z</dcterms:created>
  <dcterms:modified xsi:type="dcterms:W3CDTF">2025-07-16T12:35:56Z</dcterms:modified>
</cp:coreProperties>
</file>