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Report!$A$1:$H$370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1" l="1"/>
  <c r="J83" i="1"/>
  <c r="J82" i="1"/>
  <c r="J81" i="1"/>
  <c r="H74" i="1"/>
  <c r="J78" i="1" l="1"/>
  <c r="C77" i="1" s="1"/>
  <c r="D77" i="1" s="1"/>
  <c r="J76" i="1"/>
  <c r="J77" i="1"/>
  <c r="D86" i="1"/>
  <c r="D84" i="1"/>
  <c r="D82" i="1"/>
  <c r="D80" i="1"/>
  <c r="J79" i="1"/>
  <c r="J80" i="1" s="1"/>
  <c r="J85" i="1" s="1"/>
  <c r="J86" i="1" s="1"/>
  <c r="C78" i="1" s="1"/>
  <c r="D85" i="1"/>
  <c r="D83" i="1"/>
  <c r="D81" i="1"/>
  <c r="D79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L212" i="1"/>
  <c r="K212" i="1"/>
  <c r="L202" i="1"/>
  <c r="L203" i="1"/>
  <c r="L204" i="1"/>
  <c r="L205" i="1"/>
  <c r="L206" i="1"/>
  <c r="L207" i="1"/>
  <c r="L208" i="1"/>
  <c r="L209" i="1"/>
  <c r="L201" i="1"/>
  <c r="K202" i="1"/>
  <c r="K203" i="1"/>
  <c r="K204" i="1"/>
  <c r="K205" i="1"/>
  <c r="K206" i="1"/>
  <c r="K207" i="1"/>
  <c r="K208" i="1"/>
  <c r="K209" i="1"/>
  <c r="K210" i="1"/>
  <c r="L210" i="1"/>
  <c r="K201" i="1"/>
  <c r="J98" i="1"/>
  <c r="J97" i="1"/>
  <c r="J96" i="1"/>
  <c r="J95" i="1"/>
  <c r="J70" i="1"/>
  <c r="J69" i="1"/>
  <c r="J68" i="1"/>
  <c r="J67" i="1"/>
  <c r="H88" i="1"/>
  <c r="H60" i="1"/>
  <c r="E77" i="1" l="1"/>
  <c r="I73" i="1" s="1"/>
  <c r="C75" i="1" s="1"/>
  <c r="D78" i="1"/>
  <c r="G77" i="1"/>
  <c r="J92" i="1"/>
  <c r="D91" i="1" s="1"/>
  <c r="J90" i="1"/>
  <c r="D96" i="1"/>
  <c r="D100" i="1"/>
  <c r="D99" i="1"/>
  <c r="D95" i="1"/>
  <c r="J91" i="1"/>
  <c r="J93" i="1"/>
  <c r="J94" i="1" s="1"/>
  <c r="J99" i="1" s="1"/>
  <c r="D93" i="1"/>
  <c r="D98" i="1"/>
  <c r="D94" i="1"/>
  <c r="D97" i="1"/>
  <c r="D65" i="1"/>
  <c r="D72" i="1"/>
  <c r="J64" i="1"/>
  <c r="C63" i="1" s="1"/>
  <c r="J62" i="1"/>
  <c r="D68" i="1"/>
  <c r="D71" i="1"/>
  <c r="D67" i="1"/>
  <c r="J63" i="1"/>
  <c r="D70" i="1"/>
  <c r="D66" i="1"/>
  <c r="J65" i="1"/>
  <c r="J66" i="1" s="1"/>
  <c r="J71" i="1" s="1"/>
  <c r="J72" i="1" s="1"/>
  <c r="C64" i="1" s="1"/>
  <c r="D69" i="1"/>
  <c r="G91" i="1" l="1"/>
  <c r="J100" i="1"/>
  <c r="E63" i="1"/>
  <c r="D64" i="1"/>
  <c r="G63" i="1"/>
  <c r="D63" i="1"/>
  <c r="D58" i="1" l="1"/>
  <c r="F101" i="1"/>
  <c r="I59" i="1"/>
  <c r="C61" i="1" s="1"/>
  <c r="E91" i="1"/>
  <c r="I87" i="1" s="1"/>
  <c r="C89" i="1" s="1"/>
  <c r="D92" i="1"/>
  <c r="I239" i="1" l="1"/>
  <c r="I228" i="1"/>
  <c r="I170" i="1"/>
  <c r="I152" i="1"/>
  <c r="I136" i="1"/>
  <c r="G121" i="1"/>
  <c r="G122" i="1"/>
  <c r="G126" i="1"/>
  <c r="G127" i="1"/>
  <c r="G128" i="1"/>
  <c r="G3" i="4"/>
  <c r="G4" i="4"/>
  <c r="G5" i="4"/>
  <c r="G6" i="4"/>
  <c r="G7" i="4"/>
  <c r="G8" i="4"/>
  <c r="G9" i="4"/>
  <c r="G10" i="4"/>
  <c r="G11" i="4"/>
  <c r="G12" i="4"/>
  <c r="G13" i="4"/>
  <c r="G2" i="4"/>
  <c r="D280" i="1"/>
  <c r="D279" i="1"/>
  <c r="D278" i="1"/>
  <c r="D277" i="1"/>
  <c r="D276" i="1"/>
  <c r="D275" i="1"/>
  <c r="D274" i="1"/>
  <c r="D273" i="1"/>
  <c r="D272" i="1"/>
  <c r="D271" i="1"/>
  <c r="D270" i="1"/>
  <c r="D269" i="1"/>
  <c r="E277" i="1"/>
  <c r="E276" i="1"/>
  <c r="E271" i="1"/>
  <c r="E270" i="1"/>
  <c r="E266" i="1"/>
  <c r="E267" i="1"/>
  <c r="E265" i="1"/>
  <c r="E264" i="1"/>
  <c r="E263" i="1"/>
  <c r="E262" i="1"/>
  <c r="E261" i="1"/>
  <c r="E260" i="1"/>
  <c r="E259" i="1"/>
  <c r="E258" i="1"/>
  <c r="E257" i="1"/>
  <c r="E256" i="1"/>
  <c r="D264" i="1"/>
  <c r="D263" i="1"/>
  <c r="D260" i="1"/>
  <c r="D261" i="1"/>
  <c r="D262" i="1"/>
  <c r="D259" i="1"/>
  <c r="D258" i="1"/>
  <c r="D257" i="1"/>
  <c r="D265" i="1"/>
  <c r="D266" i="1"/>
  <c r="D267" i="1"/>
  <c r="D256" i="1"/>
  <c r="G243" i="1"/>
  <c r="G232" i="1"/>
  <c r="G221" i="1"/>
  <c r="G200" i="1"/>
  <c r="G189" i="1"/>
  <c r="G169" i="1"/>
  <c r="E239" i="1"/>
  <c r="D241" i="1"/>
  <c r="D240" i="1"/>
  <c r="D239" i="1"/>
  <c r="D238" i="1"/>
  <c r="D237" i="1"/>
  <c r="D236" i="1"/>
  <c r="D235" i="1"/>
  <c r="D234" i="1"/>
  <c r="D233" i="1"/>
  <c r="D232" i="1"/>
  <c r="E191" i="1"/>
  <c r="D198" i="1"/>
  <c r="D197" i="1"/>
  <c r="D196" i="1"/>
  <c r="D195" i="1"/>
  <c r="D194" i="1"/>
  <c r="D193" i="1"/>
  <c r="D192" i="1"/>
  <c r="D191" i="1"/>
  <c r="D190" i="1"/>
  <c r="D189" i="1"/>
  <c r="E252" i="1"/>
  <c r="E251" i="1"/>
  <c r="E250" i="1"/>
  <c r="E249" i="1"/>
  <c r="E248" i="1"/>
  <c r="E247" i="1"/>
  <c r="E246" i="1"/>
  <c r="E245" i="1"/>
  <c r="E244" i="1"/>
  <c r="E243" i="1"/>
  <c r="I209" i="1"/>
  <c r="I208" i="1"/>
  <c r="I207" i="1"/>
  <c r="I206" i="1"/>
  <c r="I205" i="1"/>
  <c r="I204" i="1"/>
  <c r="I203" i="1"/>
  <c r="I202" i="1"/>
  <c r="I201" i="1"/>
  <c r="I200" i="1"/>
  <c r="D252" i="1"/>
  <c r="D251" i="1"/>
  <c r="D250" i="1"/>
  <c r="D249" i="1"/>
  <c r="D248" i="1"/>
  <c r="D247" i="1"/>
  <c r="D246" i="1"/>
  <c r="D245" i="1"/>
  <c r="D244" i="1"/>
  <c r="D243" i="1"/>
  <c r="E208" i="1"/>
  <c r="E205" i="1"/>
  <c r="E206" i="1"/>
  <c r="E207" i="1"/>
  <c r="E204" i="1"/>
  <c r="E202" i="1"/>
  <c r="E201" i="1"/>
  <c r="E200" i="1"/>
  <c r="E209" i="1"/>
  <c r="E203" i="1"/>
  <c r="D209" i="1"/>
  <c r="D208" i="1"/>
  <c r="D207" i="1"/>
  <c r="D206" i="1"/>
  <c r="D205" i="1"/>
  <c r="D204" i="1"/>
  <c r="D203" i="1"/>
  <c r="D202" i="1"/>
  <c r="D201" i="1"/>
  <c r="D200" i="1"/>
  <c r="E228" i="1"/>
  <c r="E230" i="1"/>
  <c r="D230" i="1"/>
  <c r="E229" i="1"/>
  <c r="D229" i="1"/>
  <c r="D228" i="1"/>
  <c r="D227" i="1"/>
  <c r="D226" i="1"/>
  <c r="D225" i="1"/>
  <c r="D224" i="1"/>
  <c r="D223" i="1"/>
  <c r="D222" i="1"/>
  <c r="J196" i="1"/>
  <c r="I196" i="1"/>
  <c r="J195" i="1"/>
  <c r="I195" i="1"/>
  <c r="J194" i="1"/>
  <c r="I194" i="1"/>
  <c r="D179" i="1"/>
  <c r="I193" i="1"/>
  <c r="I192" i="1"/>
  <c r="I191" i="1"/>
  <c r="I190" i="1"/>
  <c r="I189" i="1"/>
  <c r="I188" i="1"/>
  <c r="D221" i="1"/>
  <c r="E178" i="1"/>
  <c r="E179" i="1"/>
  <c r="E180" i="1"/>
  <c r="J179" i="1"/>
  <c r="J185" i="1" s="1"/>
  <c r="G178" i="1"/>
  <c r="D187" i="1"/>
  <c r="D186" i="1"/>
  <c r="D185" i="1"/>
  <c r="D184" i="1"/>
  <c r="D183" i="1"/>
  <c r="D182" i="1"/>
  <c r="D181" i="1"/>
  <c r="D180" i="1"/>
  <c r="D178" i="1"/>
  <c r="E219" i="1"/>
  <c r="E218" i="1"/>
  <c r="E215" i="1"/>
  <c r="E216" i="1"/>
  <c r="E217" i="1"/>
  <c r="E214" i="1"/>
  <c r="E213" i="1"/>
  <c r="E212" i="1"/>
  <c r="D219" i="1"/>
  <c r="D218" i="1"/>
  <c r="D217" i="1"/>
  <c r="D216" i="1"/>
  <c r="D215" i="1"/>
  <c r="D213" i="1"/>
  <c r="D214" i="1"/>
  <c r="D212" i="1"/>
  <c r="G152" i="1"/>
  <c r="D153" i="1"/>
  <c r="C46" i="1"/>
  <c r="G123" i="1" l="1"/>
  <c r="E127" i="1"/>
  <c r="G129" i="1"/>
  <c r="E128" i="1"/>
  <c r="C127" i="1"/>
  <c r="C128" i="1"/>
  <c r="J183" i="1"/>
  <c r="J184" i="1"/>
  <c r="K195" i="1"/>
  <c r="K194" i="1"/>
  <c r="K196" i="1"/>
  <c r="J182" i="1"/>
  <c r="U244" i="1"/>
  <c r="U245" i="1" s="1"/>
  <c r="U246" i="1" s="1"/>
  <c r="U247" i="1" s="1"/>
  <c r="U248" i="1" s="1"/>
  <c r="U249" i="1" s="1"/>
  <c r="U250" i="1" s="1"/>
  <c r="U251" i="1" s="1"/>
  <c r="U252" i="1" s="1"/>
  <c r="V242" i="1"/>
  <c r="U233" i="1"/>
  <c r="U234" i="1" s="1"/>
  <c r="U235" i="1" s="1"/>
  <c r="U236" i="1" s="1"/>
  <c r="U237" i="1" s="1"/>
  <c r="U238" i="1" s="1"/>
  <c r="U239" i="1" s="1"/>
  <c r="U240" i="1" s="1"/>
  <c r="U241" i="1" s="1"/>
  <c r="V231" i="1"/>
  <c r="U201" i="1"/>
  <c r="U202" i="1" s="1"/>
  <c r="U203" i="1" s="1"/>
  <c r="U204" i="1" s="1"/>
  <c r="U205" i="1" s="1"/>
  <c r="U206" i="1" s="1"/>
  <c r="U207" i="1" s="1"/>
  <c r="U208" i="1" s="1"/>
  <c r="U209" i="1" s="1"/>
  <c r="V199" i="1"/>
  <c r="U190" i="1"/>
  <c r="U191" i="1" s="1"/>
  <c r="U192" i="1" s="1"/>
  <c r="U193" i="1" s="1"/>
  <c r="U194" i="1" s="1"/>
  <c r="U195" i="1" s="1"/>
  <c r="U196" i="1" s="1"/>
  <c r="U197" i="1" s="1"/>
  <c r="U198" i="1" s="1"/>
  <c r="V188" i="1"/>
  <c r="V232" i="1"/>
  <c r="W242" i="1"/>
  <c r="V243" i="1"/>
  <c r="V200" i="1"/>
  <c r="W188" i="1"/>
  <c r="W199" i="1"/>
  <c r="V189" i="1"/>
  <c r="W231" i="1"/>
  <c r="V244" i="1" l="1"/>
  <c r="V233" i="1"/>
  <c r="V201" i="1"/>
  <c r="V190" i="1"/>
  <c r="U179" i="1"/>
  <c r="U180" i="1" s="1"/>
  <c r="U181" i="1" s="1"/>
  <c r="U182" i="1" s="1"/>
  <c r="U183" i="1" s="1"/>
  <c r="U184" i="1" s="1"/>
  <c r="U185" i="1" s="1"/>
  <c r="U186" i="1" s="1"/>
  <c r="U187" i="1" s="1"/>
  <c r="V177" i="1"/>
  <c r="D176" i="1"/>
  <c r="D175" i="1"/>
  <c r="D174" i="1"/>
  <c r="D173" i="1"/>
  <c r="D172" i="1"/>
  <c r="D171" i="1"/>
  <c r="D170" i="1"/>
  <c r="D169" i="1"/>
  <c r="D166" i="1"/>
  <c r="D165" i="1"/>
  <c r="D164" i="1"/>
  <c r="D163" i="1"/>
  <c r="D162" i="1"/>
  <c r="D161" i="1"/>
  <c r="D159" i="1"/>
  <c r="D160" i="1"/>
  <c r="D158" i="1"/>
  <c r="D157" i="1"/>
  <c r="D156" i="1"/>
  <c r="D155" i="1"/>
  <c r="D154" i="1"/>
  <c r="D152" i="1"/>
  <c r="V178" i="1"/>
  <c r="W200" i="1"/>
  <c r="W189" i="1"/>
  <c r="W243" i="1"/>
  <c r="W232" i="1"/>
  <c r="C122" i="1" l="1"/>
  <c r="E122" i="1"/>
  <c r="E126" i="1"/>
  <c r="E129" i="1" s="1"/>
  <c r="C126" i="1"/>
  <c r="C129" i="1" s="1"/>
  <c r="W244" i="1"/>
  <c r="W245" i="1" s="1"/>
  <c r="W246" i="1" s="1"/>
  <c r="W247" i="1" s="1"/>
  <c r="W248" i="1" s="1"/>
  <c r="W249" i="1" s="1"/>
  <c r="W250" i="1" s="1"/>
  <c r="W251" i="1" s="1"/>
  <c r="W252" i="1" s="1"/>
  <c r="S243" i="1"/>
  <c r="V245" i="1"/>
  <c r="W233" i="1"/>
  <c r="W234" i="1" s="1"/>
  <c r="W235" i="1" s="1"/>
  <c r="W236" i="1" s="1"/>
  <c r="W237" i="1" s="1"/>
  <c r="W238" i="1" s="1"/>
  <c r="W239" i="1" s="1"/>
  <c r="W240" i="1" s="1"/>
  <c r="W241" i="1" s="1"/>
  <c r="S232" i="1"/>
  <c r="V234" i="1"/>
  <c r="W201" i="1"/>
  <c r="W202" i="1" s="1"/>
  <c r="W203" i="1" s="1"/>
  <c r="W204" i="1" s="1"/>
  <c r="W205" i="1" s="1"/>
  <c r="W206" i="1" s="1"/>
  <c r="W207" i="1" s="1"/>
  <c r="W208" i="1" s="1"/>
  <c r="W209" i="1" s="1"/>
  <c r="S200" i="1"/>
  <c r="V202" i="1"/>
  <c r="W190" i="1"/>
  <c r="W191" i="1" s="1"/>
  <c r="W192" i="1" s="1"/>
  <c r="W193" i="1" s="1"/>
  <c r="W194" i="1" s="1"/>
  <c r="W195" i="1" s="1"/>
  <c r="W196" i="1" s="1"/>
  <c r="W197" i="1" s="1"/>
  <c r="W198" i="1" s="1"/>
  <c r="S189" i="1"/>
  <c r="V191" i="1"/>
  <c r="V179" i="1"/>
  <c r="S178" i="1"/>
  <c r="A178" i="1" s="1"/>
  <c r="D148" i="1"/>
  <c r="D147" i="1"/>
  <c r="D149" i="1"/>
  <c r="D150" i="1"/>
  <c r="D146" i="1"/>
  <c r="D145" i="1"/>
  <c r="D144" i="1"/>
  <c r="D143" i="1"/>
  <c r="D142" i="1"/>
  <c r="D141" i="1"/>
  <c r="D140" i="1"/>
  <c r="D139" i="1"/>
  <c r="D138" i="1"/>
  <c r="D137" i="1"/>
  <c r="D136" i="1"/>
  <c r="C121" i="1" l="1"/>
  <c r="C123" i="1" s="1"/>
  <c r="E121" i="1"/>
  <c r="E123" i="1" s="1"/>
  <c r="S244" i="1"/>
  <c r="S245" i="1"/>
  <c r="V246" i="1"/>
  <c r="S233" i="1"/>
  <c r="S234" i="1"/>
  <c r="V235" i="1"/>
  <c r="S201" i="1"/>
  <c r="S202" i="1"/>
  <c r="V203" i="1"/>
  <c r="S190" i="1"/>
  <c r="S191" i="1"/>
  <c r="V192" i="1"/>
  <c r="V180" i="1"/>
  <c r="S179" i="1"/>
  <c r="A179" i="1" s="1"/>
  <c r="U270" i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G269" i="1"/>
  <c r="V268" i="1"/>
  <c r="U257" i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G256" i="1"/>
  <c r="V255" i="1"/>
  <c r="E176" i="1"/>
  <c r="E175" i="1"/>
  <c r="E174" i="1"/>
  <c r="E172" i="1"/>
  <c r="E173" i="1"/>
  <c r="E171" i="1"/>
  <c r="E170" i="1"/>
  <c r="E169" i="1"/>
  <c r="W255" i="1"/>
  <c r="V269" i="1"/>
  <c r="W268" i="1"/>
  <c r="V256" i="1"/>
  <c r="V247" i="1" l="1"/>
  <c r="S246" i="1"/>
  <c r="V236" i="1"/>
  <c r="S235" i="1"/>
  <c r="V204" i="1"/>
  <c r="S203" i="1"/>
  <c r="V193" i="1"/>
  <c r="S192" i="1"/>
  <c r="V181" i="1"/>
  <c r="S180" i="1"/>
  <c r="A180" i="1" s="1"/>
  <c r="V270" i="1"/>
  <c r="V257" i="1"/>
  <c r="U170" i="1"/>
  <c r="U171" i="1" s="1"/>
  <c r="U172" i="1" s="1"/>
  <c r="U173" i="1" s="1"/>
  <c r="U174" i="1" s="1"/>
  <c r="U175" i="1" s="1"/>
  <c r="U176" i="1" s="1"/>
  <c r="V168" i="1"/>
  <c r="U222" i="1"/>
  <c r="U223" i="1" s="1"/>
  <c r="U224" i="1" s="1"/>
  <c r="U225" i="1" s="1"/>
  <c r="U226" i="1" s="1"/>
  <c r="U227" i="1" s="1"/>
  <c r="U228" i="1" s="1"/>
  <c r="U229" i="1" s="1"/>
  <c r="U230" i="1" s="1"/>
  <c r="V220" i="1"/>
  <c r="V211" i="1"/>
  <c r="V169" i="1"/>
  <c r="W256" i="1"/>
  <c r="V212" i="1"/>
  <c r="W269" i="1"/>
  <c r="V221" i="1"/>
  <c r="V248" i="1" l="1"/>
  <c r="S247" i="1"/>
  <c r="V237" i="1"/>
  <c r="S236" i="1"/>
  <c r="S204" i="1"/>
  <c r="V205" i="1"/>
  <c r="S193" i="1"/>
  <c r="V194" i="1"/>
  <c r="V182" i="1"/>
  <c r="S181" i="1"/>
  <c r="A181" i="1" s="1"/>
  <c r="W270" i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S269" i="1"/>
  <c r="V271" i="1"/>
  <c r="W257" i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S256" i="1"/>
  <c r="V258" i="1"/>
  <c r="V170" i="1"/>
  <c r="S169" i="1"/>
  <c r="A169" i="1" s="1"/>
  <c r="V222" i="1"/>
  <c r="S221" i="1"/>
  <c r="A221" i="1" s="1"/>
  <c r="S212" i="1"/>
  <c r="U213" i="1"/>
  <c r="U214" i="1" s="1"/>
  <c r="U215" i="1" s="1"/>
  <c r="U216" i="1" s="1"/>
  <c r="U217" i="1" s="1"/>
  <c r="U218" i="1" s="1"/>
  <c r="V213" i="1"/>
  <c r="S213" i="1" s="1"/>
  <c r="V249" i="1" l="1"/>
  <c r="S248" i="1"/>
  <c r="V238" i="1"/>
  <c r="S237" i="1"/>
  <c r="V206" i="1"/>
  <c r="S205" i="1"/>
  <c r="V195" i="1"/>
  <c r="S194" i="1"/>
  <c r="V183" i="1"/>
  <c r="S182" i="1"/>
  <c r="A182" i="1" s="1"/>
  <c r="V272" i="1"/>
  <c r="S271" i="1"/>
  <c r="S270" i="1"/>
  <c r="S257" i="1"/>
  <c r="V259" i="1"/>
  <c r="S258" i="1"/>
  <c r="V171" i="1"/>
  <c r="S170" i="1"/>
  <c r="A170" i="1" s="1"/>
  <c r="V214" i="1"/>
  <c r="S214" i="1" s="1"/>
  <c r="V223" i="1"/>
  <c r="S222" i="1"/>
  <c r="A222" i="1" s="1"/>
  <c r="I161" i="1"/>
  <c r="S249" i="1" l="1"/>
  <c r="V250" i="1"/>
  <c r="S238" i="1"/>
  <c r="V239" i="1"/>
  <c r="S206" i="1"/>
  <c r="V207" i="1"/>
  <c r="S195" i="1"/>
  <c r="V196" i="1"/>
  <c r="V184" i="1"/>
  <c r="S183" i="1"/>
  <c r="A183" i="1" s="1"/>
  <c r="S272" i="1"/>
  <c r="V273" i="1"/>
  <c r="V260" i="1"/>
  <c r="S259" i="1"/>
  <c r="V172" i="1"/>
  <c r="S171" i="1"/>
  <c r="A171" i="1" s="1"/>
  <c r="V215" i="1"/>
  <c r="S215" i="1" s="1"/>
  <c r="V224" i="1"/>
  <c r="S223" i="1"/>
  <c r="A223" i="1" s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V251" i="1" l="1"/>
  <c r="S250" i="1"/>
  <c r="V240" i="1"/>
  <c r="S239" i="1"/>
  <c r="V208" i="1"/>
  <c r="S207" i="1"/>
  <c r="V197" i="1"/>
  <c r="S196" i="1"/>
  <c r="V185" i="1"/>
  <c r="S184" i="1"/>
  <c r="A184" i="1" s="1"/>
  <c r="V274" i="1"/>
  <c r="S273" i="1"/>
  <c r="S260" i="1"/>
  <c r="V261" i="1"/>
  <c r="V173" i="1"/>
  <c r="S172" i="1"/>
  <c r="A172" i="1" s="1"/>
  <c r="V216" i="1"/>
  <c r="S216" i="1" s="1"/>
  <c r="S224" i="1"/>
  <c r="A224" i="1" s="1"/>
  <c r="V225" i="1"/>
  <c r="G46" i="1"/>
  <c r="E40" i="1"/>
  <c r="E41" i="1" s="1"/>
  <c r="C13" i="1"/>
  <c r="V252" i="1" l="1"/>
  <c r="S252" i="1" s="1"/>
  <c r="S251" i="1"/>
  <c r="V241" i="1"/>
  <c r="S241" i="1" s="1"/>
  <c r="S240" i="1"/>
  <c r="S208" i="1"/>
  <c r="V209" i="1"/>
  <c r="S209" i="1" s="1"/>
  <c r="S197" i="1"/>
  <c r="V198" i="1"/>
  <c r="S198" i="1" s="1"/>
  <c r="S185" i="1"/>
  <c r="A185" i="1" s="1"/>
  <c r="V186" i="1"/>
  <c r="S274" i="1"/>
  <c r="V275" i="1"/>
  <c r="V262" i="1"/>
  <c r="S261" i="1"/>
  <c r="V174" i="1"/>
  <c r="S173" i="1"/>
  <c r="A173" i="1" s="1"/>
  <c r="V217" i="1"/>
  <c r="V218" i="1" s="1"/>
  <c r="S218" i="1" s="1"/>
  <c r="V226" i="1"/>
  <c r="S225" i="1"/>
  <c r="A225" i="1" s="1"/>
  <c r="G136" i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E3" i="1"/>
  <c r="V187" i="1" l="1"/>
  <c r="S187" i="1" s="1"/>
  <c r="A187" i="1" s="1"/>
  <c r="S186" i="1"/>
  <c r="A186" i="1" s="1"/>
  <c r="V276" i="1"/>
  <c r="S275" i="1"/>
  <c r="V263" i="1"/>
  <c r="S262" i="1"/>
  <c r="V175" i="1"/>
  <c r="S174" i="1"/>
  <c r="A174" i="1" s="1"/>
  <c r="S217" i="1"/>
  <c r="V227" i="1"/>
  <c r="S226" i="1"/>
  <c r="A226" i="1" s="1"/>
  <c r="V277" i="1" l="1"/>
  <c r="S276" i="1"/>
  <c r="S263" i="1"/>
  <c r="V264" i="1"/>
  <c r="V176" i="1"/>
  <c r="S176" i="1" s="1"/>
  <c r="A176" i="1" s="1"/>
  <c r="S175" i="1"/>
  <c r="A175" i="1" s="1"/>
  <c r="V228" i="1"/>
  <c r="S227" i="1"/>
  <c r="A227" i="1" s="1"/>
  <c r="U219" i="1"/>
  <c r="G212" i="1"/>
  <c r="E24" i="1"/>
  <c r="E22" i="1"/>
  <c r="V278" i="1" l="1"/>
  <c r="S277" i="1"/>
  <c r="S264" i="1"/>
  <c r="V265" i="1"/>
  <c r="V229" i="1"/>
  <c r="S228" i="1"/>
  <c r="A228" i="1" s="1"/>
  <c r="A212" i="1"/>
  <c r="A213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S278" i="1" l="1"/>
  <c r="V279" i="1"/>
  <c r="V266" i="1"/>
  <c r="S265" i="1"/>
  <c r="V230" i="1"/>
  <c r="S229" i="1"/>
  <c r="A229" i="1" s="1"/>
  <c r="A214" i="1"/>
  <c r="G12" i="5"/>
  <c r="V280" i="1" l="1"/>
  <c r="S280" i="1" s="1"/>
  <c r="S279" i="1"/>
  <c r="V267" i="1"/>
  <c r="S267" i="1" s="1"/>
  <c r="S266" i="1"/>
  <c r="S230" i="1"/>
  <c r="A230" i="1" s="1"/>
  <c r="A215" i="1"/>
  <c r="E7" i="1" l="1"/>
  <c r="A216" i="1" l="1"/>
  <c r="A217" i="1"/>
  <c r="D295" i="1"/>
  <c r="F118" i="1"/>
  <c r="D51" i="1"/>
  <c r="V219" i="1" l="1"/>
  <c r="A218" i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S219" i="1" l="1"/>
  <c r="A219" i="1" s="1"/>
  <c r="L34" i="3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<sst xmlns="http://schemas.openxmlformats.org/spreadsheetml/2006/main" count="579" uniqueCount="292">
  <si>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</si>
  <si>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</si>
  <si>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</si>
  <si>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</si>
  <si>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</si>
  <si>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</si>
  <si>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</si>
  <si>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</si>
  <si>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</si>
  <si>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</si>
  <si>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</si>
  <si>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</si>
  <si>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</si>
  <si>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</si>
  <si>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</si>
  <si>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</si>
  <si>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</si>
  <si>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</si>
  <si>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</si>
  <si>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</si>
  <si>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</si>
  <si>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</si>
  <si>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</si>
  <si>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</si>
  <si>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</si>
  <si>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</si>
  <si>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</si>
  <si>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</si>
  <si>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</si>
  <si>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</si>
  <si>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</si>
  <si>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</si>
  <si>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</si>
  <si>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</si>
  <si>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</si>
  <si>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</si>
  <si>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</si>
  <si>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</si>
  <si>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</si>
  <si>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</si>
  <si>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</si>
  <si>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</si>
  <si>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</si>
  <si>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</si>
  <si>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</si>
  <si>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</si>
  <si>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</si>
  <si>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</si>
  <si>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</si>
  <si>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</si>
  <si>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</si>
  <si>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</si>
  <si>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</si>
  <si>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</si>
  <si>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</si>
  <si>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</si>
  <si>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</si>
  <si>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</si>
  <si>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</si>
  <si>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</si>
  <si>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</si>
  <si>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</si>
  <si>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</si>
  <si>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</si>
  <si>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</si>
  <si>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</si>
  <si>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</si>
  <si>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</si>
  <si>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</si>
  <si>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</si>
  <si>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</si>
  <si>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</si>
  <si>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</si>
  <si>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</si>
  <si>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</si>
  <si>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</si>
  <si>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</si>
  <si>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</si>
  <si>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</si>
  <si>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</si>
  <si>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</si>
  <si>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</si>
  <si>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</si>
  <si>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</si>
  <si>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</si>
  <si>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</si>
  <si>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</si>
  <si>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</si>
  <si>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</si>
  <si>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</si>
  <si>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</si>
  <si>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</si>
  <si>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</si>
  <si>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</si>
  <si>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</si>
  <si>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</si>
  <si>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</si>
  <si>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</si>
  <si>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</si>
  <si>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</si>
  <si>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</si>
  <si>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</si>
  <si>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</si>
  <si>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</si>
  <si>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</si>
  <si>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</si>
  <si>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</si>
  <si>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</si>
  <si>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</si>
  <si>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</si>
  <si>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</si>
  <si>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</si>
  <si>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</si>
  <si>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</si>
  <si>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</si>
  <si>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</si>
  <si>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</si>
  <si>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</si>
  <si>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</si>
  <si>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</si>
  <si>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</si>
  <si>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</si>
  <si>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</si>
  <si>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</si>
  <si>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</si>
  <si>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</si>
  <si>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</si>
  <si>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</si>
  <si>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</si>
  <si>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</si>
  <si>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</si>
  <si>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</si>
  <si>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</si>
  <si>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</si>
  <si>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</si>
  <si>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</si>
  <si>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</si>
  <si>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</si>
  <si>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</si>
  <si>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</si>
  <si>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</si>
  <si>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</si>
  <si>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</si>
  <si>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</si>
  <si>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</si>
  <si>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</si>
  <si>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</si>
  <si>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</si>
  <si>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</si>
  <si>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</si>
  <si>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</si>
  <si>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</si>
  <si>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</si>
  <si>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</si>
  <si>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</si>
  <si>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</si>
  <si>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</si>
  <si>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</si>
  <si>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</si>
  <si>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</si>
  <si>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</si>
  <si>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</si>
  <si>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</si>
  <si>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</si>
  <si>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,..,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</si>
  <si>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</si>
  <si>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</si>
  <si>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 xml:space="preserve"> &amp; </t>
  </si>
  <si>
    <t>Contact Details ( Name &amp; Contact No.)</t>
  </si>
  <si>
    <t>Axis Sanpada</t>
  </si>
  <si>
    <t xml:space="preserve">P52000021393
</t>
  </si>
  <si>
    <t>Happy Homes</t>
  </si>
  <si>
    <t>M/s. Ratneshwar Developers</t>
  </si>
  <si>
    <t>7045452299/7045458899</t>
  </si>
  <si>
    <t>Building No. 1 (Wing A &amp; B)
Building No. 2</t>
  </si>
  <si>
    <t>L.N.A.1(B)/S.R.159/2018.</t>
  </si>
  <si>
    <t>11/06/2019.</t>
  </si>
  <si>
    <t>Valid Up to:  
Building No.1 (wing A &amp; B) = Gr + 7th Floor
Building No.2 = Gr + 7th Floor</t>
  </si>
  <si>
    <t>Building No.1 (wing A &amp; B) = Gr + 7th Floor
Building No.2 = Gr + 7th Floor</t>
  </si>
  <si>
    <t>Building No. 1</t>
  </si>
  <si>
    <t>Wing A &amp; B</t>
  </si>
  <si>
    <t>Shop</t>
  </si>
  <si>
    <t>1st Floor for Commercial</t>
  </si>
  <si>
    <t>Office</t>
  </si>
  <si>
    <t>Ground Floor for Commercial, Parking &amp; Amenities</t>
  </si>
  <si>
    <t>90/1A &amp; 91</t>
  </si>
  <si>
    <t>Karadekhurd</t>
  </si>
  <si>
    <t>Raigad</t>
  </si>
  <si>
    <t>Panvel</t>
  </si>
  <si>
    <t>1st Floor for Residential</t>
  </si>
  <si>
    <t>Wing A</t>
  </si>
  <si>
    <t>1BHK</t>
  </si>
  <si>
    <t>1RK</t>
  </si>
  <si>
    <t>Wing B</t>
  </si>
  <si>
    <t xml:space="preserve">2nd Floor </t>
  </si>
  <si>
    <t>Building No. 2</t>
  </si>
  <si>
    <t xml:space="preserve">Ground Floor for Parking </t>
  </si>
  <si>
    <t>1st, 3rd, 5th &amp; 7th Floor</t>
  </si>
  <si>
    <t>2nd, 4th &amp; 6th Floor</t>
  </si>
  <si>
    <t>Savroli-Kharpada Road</t>
  </si>
  <si>
    <t>Open Plot</t>
  </si>
  <si>
    <t>Suvey No</t>
  </si>
  <si>
    <t>Chryso India Pvt Ltd</t>
  </si>
  <si>
    <t>5.1Km from Rasayani Railway Station</t>
  </si>
  <si>
    <t>2nd Floor</t>
  </si>
  <si>
    <t>2BHK</t>
  </si>
  <si>
    <t>4th &amp; 6th Floor</t>
  </si>
  <si>
    <t>MASA/L.N.A.1(B)/S.R.159/2018.</t>
  </si>
  <si>
    <t>3rd, 5th, 7th Floor</t>
  </si>
  <si>
    <t xml:space="preserve">, </t>
  </si>
  <si>
    <t>301, 501, 701</t>
  </si>
  <si>
    <t>302, 502, 702</t>
  </si>
  <si>
    <t>303, 503, 703</t>
  </si>
  <si>
    <t>304, 504, 704</t>
  </si>
  <si>
    <t>305, 505, 705</t>
  </si>
  <si>
    <t>306, 506, 706</t>
  </si>
  <si>
    <t>307, 507, 707</t>
  </si>
  <si>
    <t>308, 508, 708</t>
  </si>
  <si>
    <t>309, 509, 709</t>
  </si>
  <si>
    <t>310, 510, 710</t>
  </si>
  <si>
    <t>401 &amp; 601</t>
  </si>
  <si>
    <t>402 &amp; 602</t>
  </si>
  <si>
    <t>403 &amp; 603</t>
  </si>
  <si>
    <t>404 &amp; 604</t>
  </si>
  <si>
    <t>405 &amp; 605</t>
  </si>
  <si>
    <t>406 &amp; 606</t>
  </si>
  <si>
    <t>407 &amp; 607</t>
  </si>
  <si>
    <t>408 &amp; 608</t>
  </si>
  <si>
    <t>409 &amp; 609</t>
  </si>
  <si>
    <t>410 &amp; 610</t>
  </si>
  <si>
    <t>101, 301, 501, 701</t>
  </si>
  <si>
    <t>102, 302, 502, 702</t>
  </si>
  <si>
    <t>103, 303, 503, 703</t>
  </si>
  <si>
    <t>104, 304, 504, 704</t>
  </si>
  <si>
    <t>105, 305, 505, 705</t>
  </si>
  <si>
    <t>106, 306, 506, 706</t>
  </si>
  <si>
    <t>107, 307, 507, 707</t>
  </si>
  <si>
    <t>108, 308, 508, 708</t>
  </si>
  <si>
    <t>109, 309, 509, 709</t>
  </si>
  <si>
    <t>110, 310, 510, 710</t>
  </si>
  <si>
    <t>111, 311, 511, 711</t>
  </si>
  <si>
    <t>112, 312, 512, 712</t>
  </si>
  <si>
    <t>201, 401, 601</t>
  </si>
  <si>
    <t>202, 402, 602</t>
  </si>
  <si>
    <t>203, 403, 603</t>
  </si>
  <si>
    <t>204, 404, 604</t>
  </si>
  <si>
    <t>205, 405, 605</t>
  </si>
  <si>
    <t>206, 406, 606</t>
  </si>
  <si>
    <t>207, 407, 607</t>
  </si>
  <si>
    <t>208, 408, 608</t>
  </si>
  <si>
    <t>209, 409, 609</t>
  </si>
  <si>
    <t>210, 410, 610</t>
  </si>
  <si>
    <t>211, 411, 611</t>
  </si>
  <si>
    <t>212, 412, 612</t>
  </si>
  <si>
    <t>Flats - 220, Shops - 23, Offices - 7</t>
  </si>
  <si>
    <t>Builder Saleable area</t>
  </si>
  <si>
    <t>Recommended rate of the shop Per Sq. Ft. ( on Saleable area)
Ground Floor</t>
  </si>
  <si>
    <t>Recommended rate of the shop Per Sq. Ft. ( on Saleable area)
1st Floor</t>
  </si>
  <si>
    <t>Approved Plans, CC, Builder Saleable Area, Cost Sheet.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</si>
  <si>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</si>
  <si>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</si>
  <si>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</si>
  <si>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</si>
  <si>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</si>
  <si>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</si>
  <si>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</si>
  <si>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</si>
  <si>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</si>
  <si>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</si>
  <si>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</si>
  <si>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</si>
  <si>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</si>
  <si>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</si>
  <si>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</si>
  <si>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</si>
  <si>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</si>
  <si>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</si>
  <si>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Building No. 2 = Gr + 1st to 7th Floor</t>
  </si>
  <si>
    <t>Advance Maintenance Charges For 1 Year</t>
  </si>
  <si>
    <t xml:space="preserve">Development Charges </t>
  </si>
  <si>
    <t>RCC(Including podiums)</t>
  </si>
  <si>
    <t>3 Building</t>
  </si>
  <si>
    <t>As per RERA - 30/03/2026</t>
  </si>
  <si>
    <t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</t>
  </si>
  <si>
    <t>Location Link</t>
  </si>
  <si>
    <t>https://goo.gl/maps/ejMNhSKMiHCt5hyu6</t>
  </si>
  <si>
    <t>Building No.1 (Wing A) = Gr + 1st to 7th Floor</t>
  </si>
  <si>
    <t>Building No.1 (Wing B) = Gr + 1st to 7th Floor</t>
  </si>
  <si>
    <t xml:space="preserve"> smith</t>
  </si>
  <si>
    <t>Nitesh patil</t>
  </si>
  <si>
    <t>Pranita Mhatre</t>
  </si>
  <si>
    <t xml:space="preserve">1.Building No. 1 = Construction work is in process at the time of visit (Labour found).
   Building No. 2 = Work not yet started.
2. We considered  Saleable area  as per Builder area sheet.
3. We considered Carpet area as per Approved Plan.
4. We considered Gross carpet area = Net carpet + Enclose balcony + D.B Area.
5. We have considered rate by verifying it from market inquire.
6. Car parking is subjected to authentic documentation.
7. Recommended Rates/Other Charges of the Property have been revised on 20/12/2023.
8. Since building no.2 have received CC on 11/06/2019, but as of construction work is not
started.
9. On site we meet Mr.Arvind Patil : 7045459988.
10. Recommended Rates / Other charges of the Property have been revised on 27/05/2024 &amp; 05/10/2024.
11. Since the project has received first CC on 11/06/2019, but still Building No. 1 &amp; 2 is not yet completed.
8. Fire Noc is provided dated 22/11/2018, Airport authority is provided NOC dated 13/07/2018.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</si>
</sst>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78">
    <xf numFmtId="0" fontId="0" fillId="0" borderId="0" xfId="0"/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2" fillId="0" borderId="5" xfId="1" applyFont="1" applyBorder="1" applyAlignment="1" applyProtection="1">
      <alignment horizontal="center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7" fillId="0" borderId="12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2" xfId="0" applyNumberFormat="1" applyBorder="1"/>
    <xf numFmtId="2" fontId="0" fillId="0" borderId="0" xfId="0" applyNumberFormat="1"/>
    <xf numFmtId="165" fontId="0" fillId="0" borderId="0" xfId="0" applyNumberFormat="1"/>
    <xf numFmtId="2" fontId="17" fillId="0" borderId="0" xfId="0" applyNumberFormat="1" applyFont="1" applyProtection="1">
      <protection hidden="1"/>
    </xf>
    <xf numFmtId="1" fontId="0" fillId="0" borderId="12" xfId="0" applyNumberForma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0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7" fillId="3" borderId="0" xfId="1" applyFont="1" applyFill="1"/>
    <xf numFmtId="14" fontId="7" fillId="3" borderId="0" xfId="1" applyNumberFormat="1" applyFont="1" applyFill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9" xfId="1" applyNumberFormat="1" applyFont="1" applyBorder="1" applyAlignment="1" applyProtection="1">
      <alignment horizontal="center" vertical="center" wrapText="1"/>
      <protection hidden="1"/>
    </xf>
    <xf numFmtId="9" fontId="12" fillId="0" borderId="20" xfId="1" applyNumberFormat="1" applyFont="1" applyBorder="1" applyAlignment="1" applyProtection="1">
      <alignment horizontal="center" vertical="center" wrapText="1"/>
      <protection hidden="1"/>
    </xf>
    <xf numFmtId="9" fontId="12" fillId="0" borderId="25" xfId="1" applyNumberFormat="1" applyFont="1" applyBorder="1" applyAlignment="1" applyProtection="1">
      <alignment horizontal="center" vertical="center" wrapText="1"/>
      <protection hidden="1"/>
    </xf>
    <xf numFmtId="9" fontId="12" fillId="0" borderId="24" xfId="1" applyNumberFormat="1" applyFont="1" applyBorder="1" applyAlignment="1" applyProtection="1">
      <alignment horizontal="center" vertical="center" wrapText="1"/>
      <protection hidden="1"/>
    </xf>
    <xf numFmtId="9" fontId="12" fillId="0" borderId="30" xfId="1" applyNumberFormat="1" applyFont="1" applyBorder="1" applyAlignment="1" applyProtection="1">
      <alignment horizontal="center" vertical="center" wrapText="1"/>
      <protection hidden="1"/>
    </xf>
    <xf numFmtId="9" fontId="12" fillId="0" borderId="31" xfId="1" applyNumberFormat="1" applyFont="1" applyBorder="1" applyAlignment="1" applyProtection="1">
      <alignment horizontal="center" vertical="center" wrapText="1"/>
      <protection hidden="1"/>
    </xf>
    <xf numFmtId="9" fontId="12" fillId="0" borderId="29" xfId="1" applyNumberFormat="1" applyFont="1" applyBorder="1" applyAlignment="1" applyProtection="1">
      <alignment horizontal="center" vertical="center" wrapText="1"/>
      <protection hidden="1"/>
    </xf>
    <xf numFmtId="9" fontId="12" fillId="0" borderId="12" xfId="1" applyNumberFormat="1" applyFont="1" applyBorder="1" applyAlignment="1" applyProtection="1">
      <alignment horizontal="center" vertical="center" wrapText="1"/>
      <protection hidden="1"/>
    </xf>
    <xf numFmtId="9" fontId="12" fillId="0" borderId="14" xfId="1" applyNumberFormat="1" applyFont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8" xfId="0" applyNumberFormat="1" applyFont="1" applyBorder="1" applyAlignment="1" applyProtection="1">
      <alignment horizontal="center" vertical="top" wrapText="1"/>
      <protection locked="0"/>
    </xf>
    <xf numFmtId="1" fontId="10" fillId="0" borderId="9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3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2" fillId="0" borderId="1" xfId="8" applyFill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2" fillId="0" borderId="28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7.jpe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24" Type="http://schemas.openxmlformats.org/officeDocument/2006/relationships/image" Target="../media/image23.jpe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jpeg"/><Relationship Id="rId10" Type="http://schemas.openxmlformats.org/officeDocument/2006/relationships/image" Target="../media/image10.png"/><Relationship Id="rId19" Type="http://schemas.openxmlformats.org/officeDocument/2006/relationships/image" Target="../media/image18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370816</xdr:colOff>
      <xdr:row>352</xdr:row>
      <xdr:rowOff>184658</xdr:rowOff>
    </xdr:from>
    <xdr:to>
      <xdr:col>6</xdr:col>
      <xdr:colOff>415637</xdr:colOff>
      <xdr:row>367</xdr:row>
      <xdr:rowOff>41617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2816" y="71024681"/>
          <a:ext cx="4053980" cy="28443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370816</xdr:colOff>
      <xdr:row>338</xdr:row>
      <xdr:rowOff>18846</xdr:rowOff>
    </xdr:from>
    <xdr:to>
      <xdr:col>6</xdr:col>
      <xdr:colOff>406605</xdr:colOff>
      <xdr:row>352</xdr:row>
      <xdr:rowOff>74965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2816" y="68070641"/>
          <a:ext cx="4044948" cy="28443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610395</xdr:colOff>
      <xdr:row>298</xdr:row>
      <xdr:rowOff>168275</xdr:rowOff>
    </xdr:from>
    <xdr:to>
      <xdr:col>9</xdr:col>
      <xdr:colOff>316275</xdr:colOff>
      <xdr:row>300</xdr:row>
      <xdr:rowOff>52183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992145" y="64319150"/>
          <a:ext cx="1067955" cy="2839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ysClr val="windowText" lastClr="000000"/>
              </a:solidFill>
            </a:rPr>
            <a:t>Building No.1</a:t>
          </a:r>
        </a:p>
      </xdr:txBody>
    </xdr:sp>
    <xdr:clientData/>
  </xdr:twoCellAnchor>
  <xdr:twoCellAnchor>
    <xdr:from>
      <xdr:col>12</xdr:col>
      <xdr:colOff>159611</xdr:colOff>
      <xdr:row>298</xdr:row>
      <xdr:rowOff>168275</xdr:rowOff>
    </xdr:from>
    <xdr:to>
      <xdr:col>13</xdr:col>
      <xdr:colOff>438723</xdr:colOff>
      <xdr:row>300</xdr:row>
      <xdr:rowOff>52183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875111" y="64319150"/>
          <a:ext cx="1069687" cy="2839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ysClr val="windowText" lastClr="000000"/>
              </a:solidFill>
            </a:rPr>
            <a:t>Building No.1</a:t>
          </a:r>
        </a:p>
      </xdr:txBody>
    </xdr:sp>
    <xdr:clientData/>
  </xdr:twoCellAnchor>
  <xdr:twoCellAnchor>
    <xdr:from>
      <xdr:col>8</xdr:col>
      <xdr:colOff>781845</xdr:colOff>
      <xdr:row>303</xdr:row>
      <xdr:rowOff>139700</xdr:rowOff>
    </xdr:from>
    <xdr:to>
      <xdr:col>9</xdr:col>
      <xdr:colOff>139700</xdr:colOff>
      <xdr:row>305</xdr:row>
      <xdr:rowOff>26205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449345" y="66084450"/>
          <a:ext cx="786605" cy="2802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1 (A)</a:t>
          </a:r>
        </a:p>
      </xdr:txBody>
    </xdr:sp>
    <xdr:clientData/>
  </xdr:twoCellAnchor>
  <xdr:twoCellAnchor>
    <xdr:from>
      <xdr:col>11</xdr:col>
      <xdr:colOff>381000</xdr:colOff>
      <xdr:row>303</xdr:row>
      <xdr:rowOff>28575</xdr:rowOff>
    </xdr:from>
    <xdr:to>
      <xdr:col>13</xdr:col>
      <xdr:colOff>48780</xdr:colOff>
      <xdr:row>304</xdr:row>
      <xdr:rowOff>112508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9486900" y="65055750"/>
          <a:ext cx="1067955" cy="2839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ysClr val="windowText" lastClr="000000"/>
              </a:solidFill>
            </a:rPr>
            <a:t>Building No.1</a:t>
          </a:r>
        </a:p>
      </xdr:txBody>
    </xdr:sp>
    <xdr:clientData/>
  </xdr:twoCellAnchor>
  <xdr:twoCellAnchor>
    <xdr:from>
      <xdr:col>10</xdr:col>
      <xdr:colOff>667545</xdr:colOff>
      <xdr:row>294</xdr:row>
      <xdr:rowOff>168275</xdr:rowOff>
    </xdr:from>
    <xdr:to>
      <xdr:col>12</xdr:col>
      <xdr:colOff>373425</xdr:colOff>
      <xdr:row>296</xdr:row>
      <xdr:rowOff>52183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068595" y="63804800"/>
          <a:ext cx="1067955" cy="2839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ysClr val="windowText" lastClr="000000"/>
              </a:solidFill>
            </a:rPr>
            <a:t>Building No.1</a:t>
          </a:r>
        </a:p>
      </xdr:txBody>
    </xdr:sp>
    <xdr:clientData/>
  </xdr:twoCellAnchor>
  <xdr:twoCellAnchor>
    <xdr:from>
      <xdr:col>11</xdr:col>
      <xdr:colOff>19050</xdr:colOff>
      <xdr:row>295</xdr:row>
      <xdr:rowOff>76200</xdr:rowOff>
    </xdr:from>
    <xdr:to>
      <xdr:col>12</xdr:col>
      <xdr:colOff>477405</xdr:colOff>
      <xdr:row>296</xdr:row>
      <xdr:rowOff>160133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172575" y="63912750"/>
          <a:ext cx="1067955" cy="2839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ysClr val="windowText" lastClr="000000"/>
              </a:solidFill>
            </a:rPr>
            <a:t>Building No.1</a:t>
          </a:r>
        </a:p>
      </xdr:txBody>
    </xdr:sp>
    <xdr:clientData/>
  </xdr:twoCellAnchor>
  <xdr:twoCellAnchor>
    <xdr:from>
      <xdr:col>8</xdr:col>
      <xdr:colOff>596900</xdr:colOff>
      <xdr:row>294</xdr:row>
      <xdr:rowOff>130175</xdr:rowOff>
    </xdr:from>
    <xdr:to>
      <xdr:col>17</xdr:col>
      <xdr:colOff>91980</xdr:colOff>
      <xdr:row>335</xdr:row>
      <xdr:rowOff>155575</xdr:rowOff>
    </xdr:to>
    <xdr:grpSp>
      <xdr:nvGrpSpPr>
        <xdr:cNvPr id="12" name="Group 11"/>
        <xdr:cNvGrpSpPr/>
      </xdr:nvGrpSpPr>
      <xdr:grpSpPr>
        <a:xfrm>
          <a:off x="6950635" y="64261440"/>
          <a:ext cx="6106551" cy="8284135"/>
          <a:chOff x="120650" y="64439800"/>
          <a:chExt cx="6397530" cy="8089900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42806" y="71049919"/>
            <a:ext cx="1348125" cy="14797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4274" y="64439800"/>
            <a:ext cx="202218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77568" y="64439800"/>
            <a:ext cx="202218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5921" y="64439800"/>
            <a:ext cx="202218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69146546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70055" y="67243173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5353" y="67243173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1" y="67243173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2952" y="69146546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1513" y="69146546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69045" y="71049919"/>
            <a:ext cx="1348125" cy="14797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6742" y="71049919"/>
            <a:ext cx="2396667" cy="14797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3017121" y="64579500"/>
            <a:ext cx="786605" cy="280205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1 (A)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5131618" y="64503300"/>
            <a:ext cx="786605" cy="280205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1 (B)</a:t>
            </a:r>
          </a:p>
        </xdr:txBody>
      </xdr:sp>
    </xdr:grpSp>
    <xdr:clientData/>
  </xdr:twoCellAnchor>
  <xdr:twoCellAnchor>
    <xdr:from>
      <xdr:col>0</xdr:col>
      <xdr:colOff>152400</xdr:colOff>
      <xdr:row>295</xdr:row>
      <xdr:rowOff>66675</xdr:rowOff>
    </xdr:from>
    <xdr:to>
      <xdr:col>7</xdr:col>
      <xdr:colOff>628650</xdr:colOff>
      <xdr:row>334</xdr:row>
      <xdr:rowOff>133350</xdr:rowOff>
    </xdr:to>
    <xdr:grpSp>
      <xdr:nvGrpSpPr>
        <xdr:cNvPr id="38" name="Group 37"/>
        <xdr:cNvGrpSpPr/>
      </xdr:nvGrpSpPr>
      <xdr:grpSpPr>
        <a:xfrm>
          <a:off x="152400" y="64399646"/>
          <a:ext cx="6000750" cy="7921998"/>
          <a:chOff x="438430" y="-286035"/>
          <a:chExt cx="7066624" cy="8624271"/>
        </a:xfrm>
      </xdr:grpSpPr>
      <xdr:pic>
        <xdr:nvPicPr>
          <xdr:cNvPr id="39" name="Picture 38" descr="https://vsjcllp.vsjadon.com/upload/insp-23971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16866" y="6479049"/>
            <a:ext cx="1388188" cy="18534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9710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93370" y="6484744"/>
            <a:ext cx="1388188" cy="18534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9710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8430" y="6479049"/>
            <a:ext cx="1388188" cy="18534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9710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5935" y="4417178"/>
            <a:ext cx="2548968" cy="19143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9710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7675" y="4417178"/>
            <a:ext cx="1433795" cy="19143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39710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64876" y="-286034"/>
            <a:ext cx="3368138" cy="44970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39710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9796" y="6479049"/>
            <a:ext cx="2467889" cy="18534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39710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8216" y="4417178"/>
            <a:ext cx="2548968" cy="191438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39710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1544" y="-286035"/>
            <a:ext cx="3368138" cy="44970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jMNhSKMiHCt5hyu6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338"/>
  <sheetViews>
    <sheetView tabSelected="1" view="pageBreakPreview" topLeftCell="A280" zoomScale="85" zoomScaleNormal="100" zoomScaleSheetLayoutView="85" zoomScalePageLayoutView="85" workbookViewId="0">
      <selection activeCell="K283" sqref="K283"/>
    </sheetView>
  </sheetViews>
  <sheetFormatPr defaultColWidth="9.140625" defaultRowHeight="15.75" x14ac:dyDescent="0.25"/>
  <cols>
    <col min="1" max="1" width="11.42578125" style="61" customWidth="1"/>
    <col min="2" max="2" width="11.140625" style="61" customWidth="1"/>
    <col min="3" max="3" width="12.5703125" style="61" customWidth="1"/>
    <col min="4" max="4" width="12.85546875" style="61" customWidth="1"/>
    <col min="5" max="7" width="11.5703125" style="61" customWidth="1"/>
    <col min="8" max="8" width="12.42578125" style="61" customWidth="1"/>
    <col min="9" max="9" width="20.42578125" style="31" customWidth="1"/>
    <col min="10" max="10" width="9.85546875" style="31" bestFit="1" customWidth="1"/>
    <col min="11" max="11" width="11.42578125" style="31" bestFit="1" customWidth="1"/>
    <col min="12" max="12" width="9.140625" style="31"/>
    <col min="13" max="13" width="11.85546875" style="31" bestFit="1" customWidth="1"/>
    <col min="14" max="18" width="9.140625" style="31"/>
    <col min="19" max="19" width="11.140625" style="31" hidden="1" customWidth="1"/>
    <col min="20" max="21" width="9.140625" style="31" hidden="1" customWidth="1"/>
    <col min="22" max="22" width="10.5703125" style="31" hidden="1" customWidth="1"/>
    <col min="23" max="23" width="13.42578125" style="31" hidden="1" customWidth="1"/>
    <col min="24" max="254" width="9.140625" style="31"/>
    <col min="255" max="255" width="8.5703125" style="31" customWidth="1"/>
    <col min="256" max="256" width="9.85546875" style="31" customWidth="1"/>
    <col min="257" max="257" width="14.42578125" style="31" customWidth="1"/>
    <col min="258" max="258" width="7.42578125" style="31" customWidth="1"/>
    <col min="259" max="259" width="5.5703125" style="31" customWidth="1"/>
    <col min="260" max="260" width="9" style="31" customWidth="1"/>
    <col min="261" max="262" width="9.85546875" style="31" customWidth="1"/>
    <col min="263" max="263" width="11.140625" style="31" customWidth="1"/>
    <col min="264" max="264" width="2.85546875" style="31" customWidth="1"/>
    <col min="265" max="265" width="3.5703125" style="31" customWidth="1"/>
    <col min="266" max="510" width="9.140625" style="31"/>
    <col min="511" max="511" width="8.5703125" style="31" customWidth="1"/>
    <col min="512" max="512" width="9.85546875" style="31" customWidth="1"/>
    <col min="513" max="513" width="14.42578125" style="31" customWidth="1"/>
    <col min="514" max="514" width="7.42578125" style="31" customWidth="1"/>
    <col min="515" max="515" width="5.5703125" style="31" customWidth="1"/>
    <col min="516" max="516" width="9" style="31" customWidth="1"/>
    <col min="517" max="518" width="9.85546875" style="31" customWidth="1"/>
    <col min="519" max="519" width="11.140625" style="31" customWidth="1"/>
    <col min="520" max="520" width="2.85546875" style="31" customWidth="1"/>
    <col min="521" max="521" width="3.5703125" style="31" customWidth="1"/>
    <col min="522" max="766" width="9.140625" style="31"/>
    <col min="767" max="767" width="8.5703125" style="31" customWidth="1"/>
    <col min="768" max="768" width="9.85546875" style="31" customWidth="1"/>
    <col min="769" max="769" width="14.42578125" style="31" customWidth="1"/>
    <col min="770" max="770" width="7.42578125" style="31" customWidth="1"/>
    <col min="771" max="771" width="5.5703125" style="31" customWidth="1"/>
    <col min="772" max="772" width="9" style="31" customWidth="1"/>
    <col min="773" max="774" width="9.85546875" style="31" customWidth="1"/>
    <col min="775" max="775" width="11.140625" style="31" customWidth="1"/>
    <col min="776" max="776" width="2.85546875" style="31" customWidth="1"/>
    <col min="777" max="777" width="3.5703125" style="31" customWidth="1"/>
    <col min="778" max="1022" width="9.140625" style="31"/>
    <col min="1023" max="1023" width="8.5703125" style="31" customWidth="1"/>
    <col min="1024" max="1024" width="9.85546875" style="31" customWidth="1"/>
    <col min="1025" max="1025" width="14.42578125" style="31" customWidth="1"/>
    <col min="1026" max="1026" width="7.42578125" style="31" customWidth="1"/>
    <col min="1027" max="1027" width="5.5703125" style="31" customWidth="1"/>
    <col min="1028" max="1028" width="9" style="31" customWidth="1"/>
    <col min="1029" max="1030" width="9.85546875" style="31" customWidth="1"/>
    <col min="1031" max="1031" width="11.140625" style="31" customWidth="1"/>
    <col min="1032" max="1032" width="2.85546875" style="31" customWidth="1"/>
    <col min="1033" max="1033" width="3.5703125" style="31" customWidth="1"/>
    <col min="1034" max="1278" width="9.140625" style="31"/>
    <col min="1279" max="1279" width="8.5703125" style="31" customWidth="1"/>
    <col min="1280" max="1280" width="9.85546875" style="31" customWidth="1"/>
    <col min="1281" max="1281" width="14.42578125" style="31" customWidth="1"/>
    <col min="1282" max="1282" width="7.42578125" style="31" customWidth="1"/>
    <col min="1283" max="1283" width="5.5703125" style="31" customWidth="1"/>
    <col min="1284" max="1284" width="9" style="31" customWidth="1"/>
    <col min="1285" max="1286" width="9.85546875" style="31" customWidth="1"/>
    <col min="1287" max="1287" width="11.140625" style="31" customWidth="1"/>
    <col min="1288" max="1288" width="2.85546875" style="31" customWidth="1"/>
    <col min="1289" max="1289" width="3.5703125" style="31" customWidth="1"/>
    <col min="1290" max="1534" width="9.140625" style="31"/>
    <col min="1535" max="1535" width="8.5703125" style="31" customWidth="1"/>
    <col min="1536" max="1536" width="9.85546875" style="31" customWidth="1"/>
    <col min="1537" max="1537" width="14.42578125" style="31" customWidth="1"/>
    <col min="1538" max="1538" width="7.42578125" style="31" customWidth="1"/>
    <col min="1539" max="1539" width="5.5703125" style="31" customWidth="1"/>
    <col min="1540" max="1540" width="9" style="31" customWidth="1"/>
    <col min="1541" max="1542" width="9.85546875" style="31" customWidth="1"/>
    <col min="1543" max="1543" width="11.140625" style="31" customWidth="1"/>
    <col min="1544" max="1544" width="2.85546875" style="31" customWidth="1"/>
    <col min="1545" max="1545" width="3.5703125" style="31" customWidth="1"/>
    <col min="1546" max="1790" width="9.140625" style="31"/>
    <col min="1791" max="1791" width="8.5703125" style="31" customWidth="1"/>
    <col min="1792" max="1792" width="9.85546875" style="31" customWidth="1"/>
    <col min="1793" max="1793" width="14.42578125" style="31" customWidth="1"/>
    <col min="1794" max="1794" width="7.42578125" style="31" customWidth="1"/>
    <col min="1795" max="1795" width="5.5703125" style="31" customWidth="1"/>
    <col min="1796" max="1796" width="9" style="31" customWidth="1"/>
    <col min="1797" max="1798" width="9.85546875" style="31" customWidth="1"/>
    <col min="1799" max="1799" width="11.140625" style="31" customWidth="1"/>
    <col min="1800" max="1800" width="2.85546875" style="31" customWidth="1"/>
    <col min="1801" max="1801" width="3.5703125" style="31" customWidth="1"/>
    <col min="1802" max="2046" width="9.140625" style="31"/>
    <col min="2047" max="2047" width="8.5703125" style="31" customWidth="1"/>
    <col min="2048" max="2048" width="9.85546875" style="31" customWidth="1"/>
    <col min="2049" max="2049" width="14.42578125" style="31" customWidth="1"/>
    <col min="2050" max="2050" width="7.42578125" style="31" customWidth="1"/>
    <col min="2051" max="2051" width="5.5703125" style="31" customWidth="1"/>
    <col min="2052" max="2052" width="9" style="31" customWidth="1"/>
    <col min="2053" max="2054" width="9.85546875" style="31" customWidth="1"/>
    <col min="2055" max="2055" width="11.140625" style="31" customWidth="1"/>
    <col min="2056" max="2056" width="2.85546875" style="31" customWidth="1"/>
    <col min="2057" max="2057" width="3.5703125" style="31" customWidth="1"/>
    <col min="2058" max="2302" width="9.140625" style="31"/>
    <col min="2303" max="2303" width="8.5703125" style="31" customWidth="1"/>
    <col min="2304" max="2304" width="9.85546875" style="31" customWidth="1"/>
    <col min="2305" max="2305" width="14.42578125" style="31" customWidth="1"/>
    <col min="2306" max="2306" width="7.42578125" style="31" customWidth="1"/>
    <col min="2307" max="2307" width="5.5703125" style="31" customWidth="1"/>
    <col min="2308" max="2308" width="9" style="31" customWidth="1"/>
    <col min="2309" max="2310" width="9.85546875" style="31" customWidth="1"/>
    <col min="2311" max="2311" width="11.140625" style="31" customWidth="1"/>
    <col min="2312" max="2312" width="2.85546875" style="31" customWidth="1"/>
    <col min="2313" max="2313" width="3.5703125" style="31" customWidth="1"/>
    <col min="2314" max="2558" width="9.140625" style="31"/>
    <col min="2559" max="2559" width="8.5703125" style="31" customWidth="1"/>
    <col min="2560" max="2560" width="9.85546875" style="31" customWidth="1"/>
    <col min="2561" max="2561" width="14.42578125" style="31" customWidth="1"/>
    <col min="2562" max="2562" width="7.42578125" style="31" customWidth="1"/>
    <col min="2563" max="2563" width="5.5703125" style="31" customWidth="1"/>
    <col min="2564" max="2564" width="9" style="31" customWidth="1"/>
    <col min="2565" max="2566" width="9.85546875" style="31" customWidth="1"/>
    <col min="2567" max="2567" width="11.140625" style="31" customWidth="1"/>
    <col min="2568" max="2568" width="2.85546875" style="31" customWidth="1"/>
    <col min="2569" max="2569" width="3.5703125" style="31" customWidth="1"/>
    <col min="2570" max="2814" width="9.140625" style="31"/>
    <col min="2815" max="2815" width="8.5703125" style="31" customWidth="1"/>
    <col min="2816" max="2816" width="9.85546875" style="31" customWidth="1"/>
    <col min="2817" max="2817" width="14.42578125" style="31" customWidth="1"/>
    <col min="2818" max="2818" width="7.42578125" style="31" customWidth="1"/>
    <col min="2819" max="2819" width="5.5703125" style="31" customWidth="1"/>
    <col min="2820" max="2820" width="9" style="31" customWidth="1"/>
    <col min="2821" max="2822" width="9.85546875" style="31" customWidth="1"/>
    <col min="2823" max="2823" width="11.140625" style="31" customWidth="1"/>
    <col min="2824" max="2824" width="2.85546875" style="31" customWidth="1"/>
    <col min="2825" max="2825" width="3.5703125" style="31" customWidth="1"/>
    <col min="2826" max="3070" width="9.140625" style="31"/>
    <col min="3071" max="3071" width="8.5703125" style="31" customWidth="1"/>
    <col min="3072" max="3072" width="9.85546875" style="31" customWidth="1"/>
    <col min="3073" max="3073" width="14.42578125" style="31" customWidth="1"/>
    <col min="3074" max="3074" width="7.42578125" style="31" customWidth="1"/>
    <col min="3075" max="3075" width="5.5703125" style="31" customWidth="1"/>
    <col min="3076" max="3076" width="9" style="31" customWidth="1"/>
    <col min="3077" max="3078" width="9.85546875" style="31" customWidth="1"/>
    <col min="3079" max="3079" width="11.140625" style="31" customWidth="1"/>
    <col min="3080" max="3080" width="2.85546875" style="31" customWidth="1"/>
    <col min="3081" max="3081" width="3.5703125" style="31" customWidth="1"/>
    <col min="3082" max="3326" width="9.140625" style="31"/>
    <col min="3327" max="3327" width="8.5703125" style="31" customWidth="1"/>
    <col min="3328" max="3328" width="9.85546875" style="31" customWidth="1"/>
    <col min="3329" max="3329" width="14.42578125" style="31" customWidth="1"/>
    <col min="3330" max="3330" width="7.42578125" style="31" customWidth="1"/>
    <col min="3331" max="3331" width="5.5703125" style="31" customWidth="1"/>
    <col min="3332" max="3332" width="9" style="31" customWidth="1"/>
    <col min="3333" max="3334" width="9.85546875" style="31" customWidth="1"/>
    <col min="3335" max="3335" width="11.140625" style="31" customWidth="1"/>
    <col min="3336" max="3336" width="2.85546875" style="31" customWidth="1"/>
    <col min="3337" max="3337" width="3.5703125" style="31" customWidth="1"/>
    <col min="3338" max="3582" width="9.140625" style="31"/>
    <col min="3583" max="3583" width="8.5703125" style="31" customWidth="1"/>
    <col min="3584" max="3584" width="9.85546875" style="31" customWidth="1"/>
    <col min="3585" max="3585" width="14.42578125" style="31" customWidth="1"/>
    <col min="3586" max="3586" width="7.42578125" style="31" customWidth="1"/>
    <col min="3587" max="3587" width="5.5703125" style="31" customWidth="1"/>
    <col min="3588" max="3588" width="9" style="31" customWidth="1"/>
    <col min="3589" max="3590" width="9.85546875" style="31" customWidth="1"/>
    <col min="3591" max="3591" width="11.140625" style="31" customWidth="1"/>
    <col min="3592" max="3592" width="2.85546875" style="31" customWidth="1"/>
    <col min="3593" max="3593" width="3.5703125" style="31" customWidth="1"/>
    <col min="3594" max="3838" width="9.140625" style="31"/>
    <col min="3839" max="3839" width="8.5703125" style="31" customWidth="1"/>
    <col min="3840" max="3840" width="9.85546875" style="31" customWidth="1"/>
    <col min="3841" max="3841" width="14.42578125" style="31" customWidth="1"/>
    <col min="3842" max="3842" width="7.42578125" style="31" customWidth="1"/>
    <col min="3843" max="3843" width="5.5703125" style="31" customWidth="1"/>
    <col min="3844" max="3844" width="9" style="31" customWidth="1"/>
    <col min="3845" max="3846" width="9.85546875" style="31" customWidth="1"/>
    <col min="3847" max="3847" width="11.140625" style="31" customWidth="1"/>
    <col min="3848" max="3848" width="2.85546875" style="31" customWidth="1"/>
    <col min="3849" max="3849" width="3.5703125" style="31" customWidth="1"/>
    <col min="3850" max="4094" width="9.140625" style="31"/>
    <col min="4095" max="4095" width="8.5703125" style="31" customWidth="1"/>
    <col min="4096" max="4096" width="9.85546875" style="31" customWidth="1"/>
    <col min="4097" max="4097" width="14.42578125" style="31" customWidth="1"/>
    <col min="4098" max="4098" width="7.42578125" style="31" customWidth="1"/>
    <col min="4099" max="4099" width="5.5703125" style="31" customWidth="1"/>
    <col min="4100" max="4100" width="9" style="31" customWidth="1"/>
    <col min="4101" max="4102" width="9.85546875" style="31" customWidth="1"/>
    <col min="4103" max="4103" width="11.140625" style="31" customWidth="1"/>
    <col min="4104" max="4104" width="2.85546875" style="31" customWidth="1"/>
    <col min="4105" max="4105" width="3.5703125" style="31" customWidth="1"/>
    <col min="4106" max="4350" width="9.140625" style="31"/>
    <col min="4351" max="4351" width="8.5703125" style="31" customWidth="1"/>
    <col min="4352" max="4352" width="9.85546875" style="31" customWidth="1"/>
    <col min="4353" max="4353" width="14.42578125" style="31" customWidth="1"/>
    <col min="4354" max="4354" width="7.42578125" style="31" customWidth="1"/>
    <col min="4355" max="4355" width="5.5703125" style="31" customWidth="1"/>
    <col min="4356" max="4356" width="9" style="31" customWidth="1"/>
    <col min="4357" max="4358" width="9.85546875" style="31" customWidth="1"/>
    <col min="4359" max="4359" width="11.140625" style="31" customWidth="1"/>
    <col min="4360" max="4360" width="2.85546875" style="31" customWidth="1"/>
    <col min="4361" max="4361" width="3.5703125" style="31" customWidth="1"/>
    <col min="4362" max="4606" width="9.140625" style="31"/>
    <col min="4607" max="4607" width="8.5703125" style="31" customWidth="1"/>
    <col min="4608" max="4608" width="9.85546875" style="31" customWidth="1"/>
    <col min="4609" max="4609" width="14.42578125" style="31" customWidth="1"/>
    <col min="4610" max="4610" width="7.42578125" style="31" customWidth="1"/>
    <col min="4611" max="4611" width="5.5703125" style="31" customWidth="1"/>
    <col min="4612" max="4612" width="9" style="31" customWidth="1"/>
    <col min="4613" max="4614" width="9.85546875" style="31" customWidth="1"/>
    <col min="4615" max="4615" width="11.140625" style="31" customWidth="1"/>
    <col min="4616" max="4616" width="2.85546875" style="31" customWidth="1"/>
    <col min="4617" max="4617" width="3.5703125" style="31" customWidth="1"/>
    <col min="4618" max="4862" width="9.140625" style="31"/>
    <col min="4863" max="4863" width="8.5703125" style="31" customWidth="1"/>
    <col min="4864" max="4864" width="9.85546875" style="31" customWidth="1"/>
    <col min="4865" max="4865" width="14.42578125" style="31" customWidth="1"/>
    <col min="4866" max="4866" width="7.42578125" style="31" customWidth="1"/>
    <col min="4867" max="4867" width="5.5703125" style="31" customWidth="1"/>
    <col min="4868" max="4868" width="9" style="31" customWidth="1"/>
    <col min="4869" max="4870" width="9.85546875" style="31" customWidth="1"/>
    <col min="4871" max="4871" width="11.140625" style="31" customWidth="1"/>
    <col min="4872" max="4872" width="2.85546875" style="31" customWidth="1"/>
    <col min="4873" max="4873" width="3.5703125" style="31" customWidth="1"/>
    <col min="4874" max="5118" width="9.140625" style="31"/>
    <col min="5119" max="5119" width="8.5703125" style="31" customWidth="1"/>
    <col min="5120" max="5120" width="9.85546875" style="31" customWidth="1"/>
    <col min="5121" max="5121" width="14.42578125" style="31" customWidth="1"/>
    <col min="5122" max="5122" width="7.42578125" style="31" customWidth="1"/>
    <col min="5123" max="5123" width="5.5703125" style="31" customWidth="1"/>
    <col min="5124" max="5124" width="9" style="31" customWidth="1"/>
    <col min="5125" max="5126" width="9.85546875" style="31" customWidth="1"/>
    <col min="5127" max="5127" width="11.140625" style="31" customWidth="1"/>
    <col min="5128" max="5128" width="2.85546875" style="31" customWidth="1"/>
    <col min="5129" max="5129" width="3.5703125" style="31" customWidth="1"/>
    <col min="5130" max="5374" width="9.140625" style="31"/>
    <col min="5375" max="5375" width="8.5703125" style="31" customWidth="1"/>
    <col min="5376" max="5376" width="9.85546875" style="31" customWidth="1"/>
    <col min="5377" max="5377" width="14.42578125" style="31" customWidth="1"/>
    <col min="5378" max="5378" width="7.42578125" style="31" customWidth="1"/>
    <col min="5379" max="5379" width="5.5703125" style="31" customWidth="1"/>
    <col min="5380" max="5380" width="9" style="31" customWidth="1"/>
    <col min="5381" max="5382" width="9.85546875" style="31" customWidth="1"/>
    <col min="5383" max="5383" width="11.140625" style="31" customWidth="1"/>
    <col min="5384" max="5384" width="2.85546875" style="31" customWidth="1"/>
    <col min="5385" max="5385" width="3.5703125" style="31" customWidth="1"/>
    <col min="5386" max="5630" width="9.140625" style="31"/>
    <col min="5631" max="5631" width="8.5703125" style="31" customWidth="1"/>
    <col min="5632" max="5632" width="9.85546875" style="31" customWidth="1"/>
    <col min="5633" max="5633" width="14.42578125" style="31" customWidth="1"/>
    <col min="5634" max="5634" width="7.42578125" style="31" customWidth="1"/>
    <col min="5635" max="5635" width="5.5703125" style="31" customWidth="1"/>
    <col min="5636" max="5636" width="9" style="31" customWidth="1"/>
    <col min="5637" max="5638" width="9.85546875" style="31" customWidth="1"/>
    <col min="5639" max="5639" width="11.140625" style="31" customWidth="1"/>
    <col min="5640" max="5640" width="2.85546875" style="31" customWidth="1"/>
    <col min="5641" max="5641" width="3.5703125" style="31" customWidth="1"/>
    <col min="5642" max="5886" width="9.140625" style="31"/>
    <col min="5887" max="5887" width="8.5703125" style="31" customWidth="1"/>
    <col min="5888" max="5888" width="9.85546875" style="31" customWidth="1"/>
    <col min="5889" max="5889" width="14.42578125" style="31" customWidth="1"/>
    <col min="5890" max="5890" width="7.42578125" style="31" customWidth="1"/>
    <col min="5891" max="5891" width="5.5703125" style="31" customWidth="1"/>
    <col min="5892" max="5892" width="9" style="31" customWidth="1"/>
    <col min="5893" max="5894" width="9.85546875" style="31" customWidth="1"/>
    <col min="5895" max="5895" width="11.140625" style="31" customWidth="1"/>
    <col min="5896" max="5896" width="2.85546875" style="31" customWidth="1"/>
    <col min="5897" max="5897" width="3.5703125" style="31" customWidth="1"/>
    <col min="5898" max="6142" width="9.140625" style="31"/>
    <col min="6143" max="6143" width="8.5703125" style="31" customWidth="1"/>
    <col min="6144" max="6144" width="9.85546875" style="31" customWidth="1"/>
    <col min="6145" max="6145" width="14.42578125" style="31" customWidth="1"/>
    <col min="6146" max="6146" width="7.42578125" style="31" customWidth="1"/>
    <col min="6147" max="6147" width="5.5703125" style="31" customWidth="1"/>
    <col min="6148" max="6148" width="9" style="31" customWidth="1"/>
    <col min="6149" max="6150" width="9.85546875" style="31" customWidth="1"/>
    <col min="6151" max="6151" width="11.140625" style="31" customWidth="1"/>
    <col min="6152" max="6152" width="2.85546875" style="31" customWidth="1"/>
    <col min="6153" max="6153" width="3.5703125" style="31" customWidth="1"/>
    <col min="6154" max="6398" width="9.140625" style="31"/>
    <col min="6399" max="6399" width="8.5703125" style="31" customWidth="1"/>
    <col min="6400" max="6400" width="9.85546875" style="31" customWidth="1"/>
    <col min="6401" max="6401" width="14.42578125" style="31" customWidth="1"/>
    <col min="6402" max="6402" width="7.42578125" style="31" customWidth="1"/>
    <col min="6403" max="6403" width="5.5703125" style="31" customWidth="1"/>
    <col min="6404" max="6404" width="9" style="31" customWidth="1"/>
    <col min="6405" max="6406" width="9.85546875" style="31" customWidth="1"/>
    <col min="6407" max="6407" width="11.140625" style="31" customWidth="1"/>
    <col min="6408" max="6408" width="2.85546875" style="31" customWidth="1"/>
    <col min="6409" max="6409" width="3.5703125" style="31" customWidth="1"/>
    <col min="6410" max="6654" width="9.140625" style="31"/>
    <col min="6655" max="6655" width="8.5703125" style="31" customWidth="1"/>
    <col min="6656" max="6656" width="9.85546875" style="31" customWidth="1"/>
    <col min="6657" max="6657" width="14.42578125" style="31" customWidth="1"/>
    <col min="6658" max="6658" width="7.42578125" style="31" customWidth="1"/>
    <col min="6659" max="6659" width="5.5703125" style="31" customWidth="1"/>
    <col min="6660" max="6660" width="9" style="31" customWidth="1"/>
    <col min="6661" max="6662" width="9.85546875" style="31" customWidth="1"/>
    <col min="6663" max="6663" width="11.140625" style="31" customWidth="1"/>
    <col min="6664" max="6664" width="2.85546875" style="31" customWidth="1"/>
    <col min="6665" max="6665" width="3.5703125" style="31" customWidth="1"/>
    <col min="6666" max="6910" width="9.140625" style="31"/>
    <col min="6911" max="6911" width="8.5703125" style="31" customWidth="1"/>
    <col min="6912" max="6912" width="9.85546875" style="31" customWidth="1"/>
    <col min="6913" max="6913" width="14.42578125" style="31" customWidth="1"/>
    <col min="6914" max="6914" width="7.42578125" style="31" customWidth="1"/>
    <col min="6915" max="6915" width="5.5703125" style="31" customWidth="1"/>
    <col min="6916" max="6916" width="9" style="31" customWidth="1"/>
    <col min="6917" max="6918" width="9.85546875" style="31" customWidth="1"/>
    <col min="6919" max="6919" width="11.140625" style="31" customWidth="1"/>
    <col min="6920" max="6920" width="2.85546875" style="31" customWidth="1"/>
    <col min="6921" max="6921" width="3.5703125" style="31" customWidth="1"/>
    <col min="6922" max="7166" width="9.140625" style="31"/>
    <col min="7167" max="7167" width="8.5703125" style="31" customWidth="1"/>
    <col min="7168" max="7168" width="9.85546875" style="31" customWidth="1"/>
    <col min="7169" max="7169" width="14.42578125" style="31" customWidth="1"/>
    <col min="7170" max="7170" width="7.42578125" style="31" customWidth="1"/>
    <col min="7171" max="7171" width="5.5703125" style="31" customWidth="1"/>
    <col min="7172" max="7172" width="9" style="31" customWidth="1"/>
    <col min="7173" max="7174" width="9.85546875" style="31" customWidth="1"/>
    <col min="7175" max="7175" width="11.140625" style="31" customWidth="1"/>
    <col min="7176" max="7176" width="2.85546875" style="31" customWidth="1"/>
    <col min="7177" max="7177" width="3.5703125" style="31" customWidth="1"/>
    <col min="7178" max="7422" width="9.140625" style="31"/>
    <col min="7423" max="7423" width="8.5703125" style="31" customWidth="1"/>
    <col min="7424" max="7424" width="9.85546875" style="31" customWidth="1"/>
    <col min="7425" max="7425" width="14.42578125" style="31" customWidth="1"/>
    <col min="7426" max="7426" width="7.42578125" style="31" customWidth="1"/>
    <col min="7427" max="7427" width="5.5703125" style="31" customWidth="1"/>
    <col min="7428" max="7428" width="9" style="31" customWidth="1"/>
    <col min="7429" max="7430" width="9.85546875" style="31" customWidth="1"/>
    <col min="7431" max="7431" width="11.140625" style="31" customWidth="1"/>
    <col min="7432" max="7432" width="2.85546875" style="31" customWidth="1"/>
    <col min="7433" max="7433" width="3.5703125" style="31" customWidth="1"/>
    <col min="7434" max="7678" width="9.140625" style="31"/>
    <col min="7679" max="7679" width="8.5703125" style="31" customWidth="1"/>
    <col min="7680" max="7680" width="9.85546875" style="31" customWidth="1"/>
    <col min="7681" max="7681" width="14.42578125" style="31" customWidth="1"/>
    <col min="7682" max="7682" width="7.42578125" style="31" customWidth="1"/>
    <col min="7683" max="7683" width="5.5703125" style="31" customWidth="1"/>
    <col min="7684" max="7684" width="9" style="31" customWidth="1"/>
    <col min="7685" max="7686" width="9.85546875" style="31" customWidth="1"/>
    <col min="7687" max="7687" width="11.140625" style="31" customWidth="1"/>
    <col min="7688" max="7688" width="2.85546875" style="31" customWidth="1"/>
    <col min="7689" max="7689" width="3.5703125" style="31" customWidth="1"/>
    <col min="7690" max="7934" width="9.140625" style="31"/>
    <col min="7935" max="7935" width="8.5703125" style="31" customWidth="1"/>
    <col min="7936" max="7936" width="9.85546875" style="31" customWidth="1"/>
    <col min="7937" max="7937" width="14.42578125" style="31" customWidth="1"/>
    <col min="7938" max="7938" width="7.42578125" style="31" customWidth="1"/>
    <col min="7939" max="7939" width="5.5703125" style="31" customWidth="1"/>
    <col min="7940" max="7940" width="9" style="31" customWidth="1"/>
    <col min="7941" max="7942" width="9.85546875" style="31" customWidth="1"/>
    <col min="7943" max="7943" width="11.140625" style="31" customWidth="1"/>
    <col min="7944" max="7944" width="2.85546875" style="31" customWidth="1"/>
    <col min="7945" max="7945" width="3.5703125" style="31" customWidth="1"/>
    <col min="7946" max="8190" width="9.140625" style="31"/>
    <col min="8191" max="8191" width="8.5703125" style="31" customWidth="1"/>
    <col min="8192" max="8192" width="9.85546875" style="31" customWidth="1"/>
    <col min="8193" max="8193" width="14.42578125" style="31" customWidth="1"/>
    <col min="8194" max="8194" width="7.42578125" style="31" customWidth="1"/>
    <col min="8195" max="8195" width="5.5703125" style="31" customWidth="1"/>
    <col min="8196" max="8196" width="9" style="31" customWidth="1"/>
    <col min="8197" max="8198" width="9.85546875" style="31" customWidth="1"/>
    <col min="8199" max="8199" width="11.140625" style="31" customWidth="1"/>
    <col min="8200" max="8200" width="2.85546875" style="31" customWidth="1"/>
    <col min="8201" max="8201" width="3.5703125" style="31" customWidth="1"/>
    <col min="8202" max="8446" width="9.140625" style="31"/>
    <col min="8447" max="8447" width="8.5703125" style="31" customWidth="1"/>
    <col min="8448" max="8448" width="9.85546875" style="31" customWidth="1"/>
    <col min="8449" max="8449" width="14.42578125" style="31" customWidth="1"/>
    <col min="8450" max="8450" width="7.42578125" style="31" customWidth="1"/>
    <col min="8451" max="8451" width="5.5703125" style="31" customWidth="1"/>
    <col min="8452" max="8452" width="9" style="31" customWidth="1"/>
    <col min="8453" max="8454" width="9.85546875" style="31" customWidth="1"/>
    <col min="8455" max="8455" width="11.140625" style="31" customWidth="1"/>
    <col min="8456" max="8456" width="2.85546875" style="31" customWidth="1"/>
    <col min="8457" max="8457" width="3.5703125" style="31" customWidth="1"/>
    <col min="8458" max="8702" width="9.140625" style="31"/>
    <col min="8703" max="8703" width="8.5703125" style="31" customWidth="1"/>
    <col min="8704" max="8704" width="9.85546875" style="31" customWidth="1"/>
    <col min="8705" max="8705" width="14.42578125" style="31" customWidth="1"/>
    <col min="8706" max="8706" width="7.42578125" style="31" customWidth="1"/>
    <col min="8707" max="8707" width="5.5703125" style="31" customWidth="1"/>
    <col min="8708" max="8708" width="9" style="31" customWidth="1"/>
    <col min="8709" max="8710" width="9.85546875" style="31" customWidth="1"/>
    <col min="8711" max="8711" width="11.140625" style="31" customWidth="1"/>
    <col min="8712" max="8712" width="2.85546875" style="31" customWidth="1"/>
    <col min="8713" max="8713" width="3.5703125" style="31" customWidth="1"/>
    <col min="8714" max="8958" width="9.140625" style="31"/>
    <col min="8959" max="8959" width="8.5703125" style="31" customWidth="1"/>
    <col min="8960" max="8960" width="9.85546875" style="31" customWidth="1"/>
    <col min="8961" max="8961" width="14.42578125" style="31" customWidth="1"/>
    <col min="8962" max="8962" width="7.42578125" style="31" customWidth="1"/>
    <col min="8963" max="8963" width="5.5703125" style="31" customWidth="1"/>
    <col min="8964" max="8964" width="9" style="31" customWidth="1"/>
    <col min="8965" max="8966" width="9.85546875" style="31" customWidth="1"/>
    <col min="8967" max="8967" width="11.140625" style="31" customWidth="1"/>
    <col min="8968" max="8968" width="2.85546875" style="31" customWidth="1"/>
    <col min="8969" max="8969" width="3.5703125" style="31" customWidth="1"/>
    <col min="8970" max="9214" width="9.140625" style="31"/>
    <col min="9215" max="9215" width="8.5703125" style="31" customWidth="1"/>
    <col min="9216" max="9216" width="9.85546875" style="31" customWidth="1"/>
    <col min="9217" max="9217" width="14.42578125" style="31" customWidth="1"/>
    <col min="9218" max="9218" width="7.42578125" style="31" customWidth="1"/>
    <col min="9219" max="9219" width="5.5703125" style="31" customWidth="1"/>
    <col min="9220" max="9220" width="9" style="31" customWidth="1"/>
    <col min="9221" max="9222" width="9.85546875" style="31" customWidth="1"/>
    <col min="9223" max="9223" width="11.140625" style="31" customWidth="1"/>
    <col min="9224" max="9224" width="2.85546875" style="31" customWidth="1"/>
    <col min="9225" max="9225" width="3.5703125" style="31" customWidth="1"/>
    <col min="9226" max="9470" width="9.140625" style="31"/>
    <col min="9471" max="9471" width="8.5703125" style="31" customWidth="1"/>
    <col min="9472" max="9472" width="9.85546875" style="31" customWidth="1"/>
    <col min="9473" max="9473" width="14.42578125" style="31" customWidth="1"/>
    <col min="9474" max="9474" width="7.42578125" style="31" customWidth="1"/>
    <col min="9475" max="9475" width="5.5703125" style="31" customWidth="1"/>
    <col min="9476" max="9476" width="9" style="31" customWidth="1"/>
    <col min="9477" max="9478" width="9.85546875" style="31" customWidth="1"/>
    <col min="9479" max="9479" width="11.140625" style="31" customWidth="1"/>
    <col min="9480" max="9480" width="2.85546875" style="31" customWidth="1"/>
    <col min="9481" max="9481" width="3.5703125" style="31" customWidth="1"/>
    <col min="9482" max="9726" width="9.140625" style="31"/>
    <col min="9727" max="9727" width="8.5703125" style="31" customWidth="1"/>
    <col min="9728" max="9728" width="9.85546875" style="31" customWidth="1"/>
    <col min="9729" max="9729" width="14.42578125" style="31" customWidth="1"/>
    <col min="9730" max="9730" width="7.42578125" style="31" customWidth="1"/>
    <col min="9731" max="9731" width="5.5703125" style="31" customWidth="1"/>
    <col min="9732" max="9732" width="9" style="31" customWidth="1"/>
    <col min="9733" max="9734" width="9.85546875" style="31" customWidth="1"/>
    <col min="9735" max="9735" width="11.140625" style="31" customWidth="1"/>
    <col min="9736" max="9736" width="2.85546875" style="31" customWidth="1"/>
    <col min="9737" max="9737" width="3.5703125" style="31" customWidth="1"/>
    <col min="9738" max="9982" width="9.140625" style="31"/>
    <col min="9983" max="9983" width="8.5703125" style="31" customWidth="1"/>
    <col min="9984" max="9984" width="9.85546875" style="31" customWidth="1"/>
    <col min="9985" max="9985" width="14.42578125" style="31" customWidth="1"/>
    <col min="9986" max="9986" width="7.42578125" style="31" customWidth="1"/>
    <col min="9987" max="9987" width="5.5703125" style="31" customWidth="1"/>
    <col min="9988" max="9988" width="9" style="31" customWidth="1"/>
    <col min="9989" max="9990" width="9.85546875" style="31" customWidth="1"/>
    <col min="9991" max="9991" width="11.140625" style="31" customWidth="1"/>
    <col min="9992" max="9992" width="2.85546875" style="31" customWidth="1"/>
    <col min="9993" max="9993" width="3.5703125" style="31" customWidth="1"/>
    <col min="9994" max="10238" width="9.140625" style="31"/>
    <col min="10239" max="10239" width="8.5703125" style="31" customWidth="1"/>
    <col min="10240" max="10240" width="9.85546875" style="31" customWidth="1"/>
    <col min="10241" max="10241" width="14.42578125" style="31" customWidth="1"/>
    <col min="10242" max="10242" width="7.42578125" style="31" customWidth="1"/>
    <col min="10243" max="10243" width="5.5703125" style="31" customWidth="1"/>
    <col min="10244" max="10244" width="9" style="31" customWidth="1"/>
    <col min="10245" max="10246" width="9.85546875" style="31" customWidth="1"/>
    <col min="10247" max="10247" width="11.140625" style="31" customWidth="1"/>
    <col min="10248" max="10248" width="2.85546875" style="31" customWidth="1"/>
    <col min="10249" max="10249" width="3.5703125" style="31" customWidth="1"/>
    <col min="10250" max="10494" width="9.140625" style="31"/>
    <col min="10495" max="10495" width="8.5703125" style="31" customWidth="1"/>
    <col min="10496" max="10496" width="9.85546875" style="31" customWidth="1"/>
    <col min="10497" max="10497" width="14.42578125" style="31" customWidth="1"/>
    <col min="10498" max="10498" width="7.42578125" style="31" customWidth="1"/>
    <col min="10499" max="10499" width="5.5703125" style="31" customWidth="1"/>
    <col min="10500" max="10500" width="9" style="31" customWidth="1"/>
    <col min="10501" max="10502" width="9.85546875" style="31" customWidth="1"/>
    <col min="10503" max="10503" width="11.140625" style="31" customWidth="1"/>
    <col min="10504" max="10504" width="2.85546875" style="31" customWidth="1"/>
    <col min="10505" max="10505" width="3.5703125" style="31" customWidth="1"/>
    <col min="10506" max="10750" width="9.140625" style="31"/>
    <col min="10751" max="10751" width="8.5703125" style="31" customWidth="1"/>
    <col min="10752" max="10752" width="9.85546875" style="31" customWidth="1"/>
    <col min="10753" max="10753" width="14.42578125" style="31" customWidth="1"/>
    <col min="10754" max="10754" width="7.42578125" style="31" customWidth="1"/>
    <col min="10755" max="10755" width="5.5703125" style="31" customWidth="1"/>
    <col min="10756" max="10756" width="9" style="31" customWidth="1"/>
    <col min="10757" max="10758" width="9.85546875" style="31" customWidth="1"/>
    <col min="10759" max="10759" width="11.140625" style="31" customWidth="1"/>
    <col min="10760" max="10760" width="2.85546875" style="31" customWidth="1"/>
    <col min="10761" max="10761" width="3.5703125" style="31" customWidth="1"/>
    <col min="10762" max="11006" width="9.140625" style="31"/>
    <col min="11007" max="11007" width="8.5703125" style="31" customWidth="1"/>
    <col min="11008" max="11008" width="9.85546875" style="31" customWidth="1"/>
    <col min="11009" max="11009" width="14.42578125" style="31" customWidth="1"/>
    <col min="11010" max="11010" width="7.42578125" style="31" customWidth="1"/>
    <col min="11011" max="11011" width="5.5703125" style="31" customWidth="1"/>
    <col min="11012" max="11012" width="9" style="31" customWidth="1"/>
    <col min="11013" max="11014" width="9.85546875" style="31" customWidth="1"/>
    <col min="11015" max="11015" width="11.140625" style="31" customWidth="1"/>
    <col min="11016" max="11016" width="2.85546875" style="31" customWidth="1"/>
    <col min="11017" max="11017" width="3.5703125" style="31" customWidth="1"/>
    <col min="11018" max="11262" width="9.140625" style="31"/>
    <col min="11263" max="11263" width="8.5703125" style="31" customWidth="1"/>
    <col min="11264" max="11264" width="9.85546875" style="31" customWidth="1"/>
    <col min="11265" max="11265" width="14.42578125" style="31" customWidth="1"/>
    <col min="11266" max="11266" width="7.42578125" style="31" customWidth="1"/>
    <col min="11267" max="11267" width="5.5703125" style="31" customWidth="1"/>
    <col min="11268" max="11268" width="9" style="31" customWidth="1"/>
    <col min="11269" max="11270" width="9.85546875" style="31" customWidth="1"/>
    <col min="11271" max="11271" width="11.140625" style="31" customWidth="1"/>
    <col min="11272" max="11272" width="2.85546875" style="31" customWidth="1"/>
    <col min="11273" max="11273" width="3.5703125" style="31" customWidth="1"/>
    <col min="11274" max="11518" width="9.140625" style="31"/>
    <col min="11519" max="11519" width="8.5703125" style="31" customWidth="1"/>
    <col min="11520" max="11520" width="9.85546875" style="31" customWidth="1"/>
    <col min="11521" max="11521" width="14.42578125" style="31" customWidth="1"/>
    <col min="11522" max="11522" width="7.42578125" style="31" customWidth="1"/>
    <col min="11523" max="11523" width="5.5703125" style="31" customWidth="1"/>
    <col min="11524" max="11524" width="9" style="31" customWidth="1"/>
    <col min="11525" max="11526" width="9.85546875" style="31" customWidth="1"/>
    <col min="11527" max="11527" width="11.140625" style="31" customWidth="1"/>
    <col min="11528" max="11528" width="2.85546875" style="31" customWidth="1"/>
    <col min="11529" max="11529" width="3.5703125" style="31" customWidth="1"/>
    <col min="11530" max="11774" width="9.140625" style="31"/>
    <col min="11775" max="11775" width="8.5703125" style="31" customWidth="1"/>
    <col min="11776" max="11776" width="9.85546875" style="31" customWidth="1"/>
    <col min="11777" max="11777" width="14.42578125" style="31" customWidth="1"/>
    <col min="11778" max="11778" width="7.42578125" style="31" customWidth="1"/>
    <col min="11779" max="11779" width="5.5703125" style="31" customWidth="1"/>
    <col min="11780" max="11780" width="9" style="31" customWidth="1"/>
    <col min="11781" max="11782" width="9.85546875" style="31" customWidth="1"/>
    <col min="11783" max="11783" width="11.140625" style="31" customWidth="1"/>
    <col min="11784" max="11784" width="2.85546875" style="31" customWidth="1"/>
    <col min="11785" max="11785" width="3.5703125" style="31" customWidth="1"/>
    <col min="11786" max="12030" width="9.140625" style="31"/>
    <col min="12031" max="12031" width="8.5703125" style="31" customWidth="1"/>
    <col min="12032" max="12032" width="9.85546875" style="31" customWidth="1"/>
    <col min="12033" max="12033" width="14.42578125" style="31" customWidth="1"/>
    <col min="12034" max="12034" width="7.42578125" style="31" customWidth="1"/>
    <col min="12035" max="12035" width="5.5703125" style="31" customWidth="1"/>
    <col min="12036" max="12036" width="9" style="31" customWidth="1"/>
    <col min="12037" max="12038" width="9.85546875" style="31" customWidth="1"/>
    <col min="12039" max="12039" width="11.140625" style="31" customWidth="1"/>
    <col min="12040" max="12040" width="2.85546875" style="31" customWidth="1"/>
    <col min="12041" max="12041" width="3.5703125" style="31" customWidth="1"/>
    <col min="12042" max="12286" width="9.140625" style="31"/>
    <col min="12287" max="12287" width="8.5703125" style="31" customWidth="1"/>
    <col min="12288" max="12288" width="9.85546875" style="31" customWidth="1"/>
    <col min="12289" max="12289" width="14.42578125" style="31" customWidth="1"/>
    <col min="12290" max="12290" width="7.42578125" style="31" customWidth="1"/>
    <col min="12291" max="12291" width="5.5703125" style="31" customWidth="1"/>
    <col min="12292" max="12292" width="9" style="31" customWidth="1"/>
    <col min="12293" max="12294" width="9.85546875" style="31" customWidth="1"/>
    <col min="12295" max="12295" width="11.140625" style="31" customWidth="1"/>
    <col min="12296" max="12296" width="2.85546875" style="31" customWidth="1"/>
    <col min="12297" max="12297" width="3.5703125" style="31" customWidth="1"/>
    <col min="12298" max="12542" width="9.140625" style="31"/>
    <col min="12543" max="12543" width="8.5703125" style="31" customWidth="1"/>
    <col min="12544" max="12544" width="9.85546875" style="31" customWidth="1"/>
    <col min="12545" max="12545" width="14.42578125" style="31" customWidth="1"/>
    <col min="12546" max="12546" width="7.42578125" style="31" customWidth="1"/>
    <col min="12547" max="12547" width="5.5703125" style="31" customWidth="1"/>
    <col min="12548" max="12548" width="9" style="31" customWidth="1"/>
    <col min="12549" max="12550" width="9.85546875" style="31" customWidth="1"/>
    <col min="12551" max="12551" width="11.140625" style="31" customWidth="1"/>
    <col min="12552" max="12552" width="2.85546875" style="31" customWidth="1"/>
    <col min="12553" max="12553" width="3.5703125" style="31" customWidth="1"/>
    <col min="12554" max="12798" width="9.140625" style="31"/>
    <col min="12799" max="12799" width="8.5703125" style="31" customWidth="1"/>
    <col min="12800" max="12800" width="9.85546875" style="31" customWidth="1"/>
    <col min="12801" max="12801" width="14.42578125" style="31" customWidth="1"/>
    <col min="12802" max="12802" width="7.42578125" style="31" customWidth="1"/>
    <col min="12803" max="12803" width="5.5703125" style="31" customWidth="1"/>
    <col min="12804" max="12804" width="9" style="31" customWidth="1"/>
    <col min="12805" max="12806" width="9.85546875" style="31" customWidth="1"/>
    <col min="12807" max="12807" width="11.140625" style="31" customWidth="1"/>
    <col min="12808" max="12808" width="2.85546875" style="31" customWidth="1"/>
    <col min="12809" max="12809" width="3.5703125" style="31" customWidth="1"/>
    <col min="12810" max="13054" width="9.140625" style="31"/>
    <col min="13055" max="13055" width="8.5703125" style="31" customWidth="1"/>
    <col min="13056" max="13056" width="9.85546875" style="31" customWidth="1"/>
    <col min="13057" max="13057" width="14.42578125" style="31" customWidth="1"/>
    <col min="13058" max="13058" width="7.42578125" style="31" customWidth="1"/>
    <col min="13059" max="13059" width="5.5703125" style="31" customWidth="1"/>
    <col min="13060" max="13060" width="9" style="31" customWidth="1"/>
    <col min="13061" max="13062" width="9.85546875" style="31" customWidth="1"/>
    <col min="13063" max="13063" width="11.140625" style="31" customWidth="1"/>
    <col min="13064" max="13064" width="2.85546875" style="31" customWidth="1"/>
    <col min="13065" max="13065" width="3.5703125" style="31" customWidth="1"/>
    <col min="13066" max="13310" width="9.140625" style="31"/>
    <col min="13311" max="13311" width="8.5703125" style="31" customWidth="1"/>
    <col min="13312" max="13312" width="9.85546875" style="31" customWidth="1"/>
    <col min="13313" max="13313" width="14.42578125" style="31" customWidth="1"/>
    <col min="13314" max="13314" width="7.42578125" style="31" customWidth="1"/>
    <col min="13315" max="13315" width="5.5703125" style="31" customWidth="1"/>
    <col min="13316" max="13316" width="9" style="31" customWidth="1"/>
    <col min="13317" max="13318" width="9.85546875" style="31" customWidth="1"/>
    <col min="13319" max="13319" width="11.140625" style="31" customWidth="1"/>
    <col min="13320" max="13320" width="2.85546875" style="31" customWidth="1"/>
    <col min="13321" max="13321" width="3.5703125" style="31" customWidth="1"/>
    <col min="13322" max="13566" width="9.140625" style="31"/>
    <col min="13567" max="13567" width="8.5703125" style="31" customWidth="1"/>
    <col min="13568" max="13568" width="9.85546875" style="31" customWidth="1"/>
    <col min="13569" max="13569" width="14.42578125" style="31" customWidth="1"/>
    <col min="13570" max="13570" width="7.42578125" style="31" customWidth="1"/>
    <col min="13571" max="13571" width="5.5703125" style="31" customWidth="1"/>
    <col min="13572" max="13572" width="9" style="31" customWidth="1"/>
    <col min="13573" max="13574" width="9.85546875" style="31" customWidth="1"/>
    <col min="13575" max="13575" width="11.140625" style="31" customWidth="1"/>
    <col min="13576" max="13576" width="2.85546875" style="31" customWidth="1"/>
    <col min="13577" max="13577" width="3.5703125" style="31" customWidth="1"/>
    <col min="13578" max="13822" width="9.140625" style="31"/>
    <col min="13823" max="13823" width="8.5703125" style="31" customWidth="1"/>
    <col min="13824" max="13824" width="9.85546875" style="31" customWidth="1"/>
    <col min="13825" max="13825" width="14.42578125" style="31" customWidth="1"/>
    <col min="13826" max="13826" width="7.42578125" style="31" customWidth="1"/>
    <col min="13827" max="13827" width="5.5703125" style="31" customWidth="1"/>
    <col min="13828" max="13828" width="9" style="31" customWidth="1"/>
    <col min="13829" max="13830" width="9.85546875" style="31" customWidth="1"/>
    <col min="13831" max="13831" width="11.140625" style="31" customWidth="1"/>
    <col min="13832" max="13832" width="2.85546875" style="31" customWidth="1"/>
    <col min="13833" max="13833" width="3.5703125" style="31" customWidth="1"/>
    <col min="13834" max="14078" width="9.140625" style="31"/>
    <col min="14079" max="14079" width="8.5703125" style="31" customWidth="1"/>
    <col min="14080" max="14080" width="9.85546875" style="31" customWidth="1"/>
    <col min="14081" max="14081" width="14.42578125" style="31" customWidth="1"/>
    <col min="14082" max="14082" width="7.42578125" style="31" customWidth="1"/>
    <col min="14083" max="14083" width="5.5703125" style="31" customWidth="1"/>
    <col min="14084" max="14084" width="9" style="31" customWidth="1"/>
    <col min="14085" max="14086" width="9.85546875" style="31" customWidth="1"/>
    <col min="14087" max="14087" width="11.140625" style="31" customWidth="1"/>
    <col min="14088" max="14088" width="2.85546875" style="31" customWidth="1"/>
    <col min="14089" max="14089" width="3.5703125" style="31" customWidth="1"/>
    <col min="14090" max="14334" width="9.140625" style="31"/>
    <col min="14335" max="14335" width="8.5703125" style="31" customWidth="1"/>
    <col min="14336" max="14336" width="9.85546875" style="31" customWidth="1"/>
    <col min="14337" max="14337" width="14.42578125" style="31" customWidth="1"/>
    <col min="14338" max="14338" width="7.42578125" style="31" customWidth="1"/>
    <col min="14339" max="14339" width="5.5703125" style="31" customWidth="1"/>
    <col min="14340" max="14340" width="9" style="31" customWidth="1"/>
    <col min="14341" max="14342" width="9.85546875" style="31" customWidth="1"/>
    <col min="14343" max="14343" width="11.140625" style="31" customWidth="1"/>
    <col min="14344" max="14344" width="2.85546875" style="31" customWidth="1"/>
    <col min="14345" max="14345" width="3.5703125" style="31" customWidth="1"/>
    <col min="14346" max="14590" width="9.140625" style="31"/>
    <col min="14591" max="14591" width="8.5703125" style="31" customWidth="1"/>
    <col min="14592" max="14592" width="9.85546875" style="31" customWidth="1"/>
    <col min="14593" max="14593" width="14.42578125" style="31" customWidth="1"/>
    <col min="14594" max="14594" width="7.42578125" style="31" customWidth="1"/>
    <col min="14595" max="14595" width="5.5703125" style="31" customWidth="1"/>
    <col min="14596" max="14596" width="9" style="31" customWidth="1"/>
    <col min="14597" max="14598" width="9.85546875" style="31" customWidth="1"/>
    <col min="14599" max="14599" width="11.140625" style="31" customWidth="1"/>
    <col min="14600" max="14600" width="2.85546875" style="31" customWidth="1"/>
    <col min="14601" max="14601" width="3.5703125" style="31" customWidth="1"/>
    <col min="14602" max="14846" width="9.140625" style="31"/>
    <col min="14847" max="14847" width="8.5703125" style="31" customWidth="1"/>
    <col min="14848" max="14848" width="9.85546875" style="31" customWidth="1"/>
    <col min="14849" max="14849" width="14.42578125" style="31" customWidth="1"/>
    <col min="14850" max="14850" width="7.42578125" style="31" customWidth="1"/>
    <col min="14851" max="14851" width="5.5703125" style="31" customWidth="1"/>
    <col min="14852" max="14852" width="9" style="31" customWidth="1"/>
    <col min="14853" max="14854" width="9.85546875" style="31" customWidth="1"/>
    <col min="14855" max="14855" width="11.140625" style="31" customWidth="1"/>
    <col min="14856" max="14856" width="2.85546875" style="31" customWidth="1"/>
    <col min="14857" max="14857" width="3.5703125" style="31" customWidth="1"/>
    <col min="14858" max="15102" width="9.140625" style="31"/>
    <col min="15103" max="15103" width="8.5703125" style="31" customWidth="1"/>
    <col min="15104" max="15104" width="9.85546875" style="31" customWidth="1"/>
    <col min="15105" max="15105" width="14.42578125" style="31" customWidth="1"/>
    <col min="15106" max="15106" width="7.42578125" style="31" customWidth="1"/>
    <col min="15107" max="15107" width="5.5703125" style="31" customWidth="1"/>
    <col min="15108" max="15108" width="9" style="31" customWidth="1"/>
    <col min="15109" max="15110" width="9.85546875" style="31" customWidth="1"/>
    <col min="15111" max="15111" width="11.140625" style="31" customWidth="1"/>
    <col min="15112" max="15112" width="2.85546875" style="31" customWidth="1"/>
    <col min="15113" max="15113" width="3.5703125" style="31" customWidth="1"/>
    <col min="15114" max="15358" width="9.140625" style="31"/>
    <col min="15359" max="15359" width="8.5703125" style="31" customWidth="1"/>
    <col min="15360" max="15360" width="9.85546875" style="31" customWidth="1"/>
    <col min="15361" max="15361" width="14.42578125" style="31" customWidth="1"/>
    <col min="15362" max="15362" width="7.42578125" style="31" customWidth="1"/>
    <col min="15363" max="15363" width="5.5703125" style="31" customWidth="1"/>
    <col min="15364" max="15364" width="9" style="31" customWidth="1"/>
    <col min="15365" max="15366" width="9.85546875" style="31" customWidth="1"/>
    <col min="15367" max="15367" width="11.140625" style="31" customWidth="1"/>
    <col min="15368" max="15368" width="2.85546875" style="31" customWidth="1"/>
    <col min="15369" max="15369" width="3.5703125" style="31" customWidth="1"/>
    <col min="15370" max="15614" width="9.140625" style="31"/>
    <col min="15615" max="15615" width="8.5703125" style="31" customWidth="1"/>
    <col min="15616" max="15616" width="9.85546875" style="31" customWidth="1"/>
    <col min="15617" max="15617" width="14.42578125" style="31" customWidth="1"/>
    <col min="15618" max="15618" width="7.42578125" style="31" customWidth="1"/>
    <col min="15619" max="15619" width="5.5703125" style="31" customWidth="1"/>
    <col min="15620" max="15620" width="9" style="31" customWidth="1"/>
    <col min="15621" max="15622" width="9.85546875" style="31" customWidth="1"/>
    <col min="15623" max="15623" width="11.140625" style="31" customWidth="1"/>
    <col min="15624" max="15624" width="2.85546875" style="31" customWidth="1"/>
    <col min="15625" max="15625" width="3.5703125" style="31" customWidth="1"/>
    <col min="15626" max="15870" width="9.140625" style="31"/>
    <col min="15871" max="15871" width="8.5703125" style="31" customWidth="1"/>
    <col min="15872" max="15872" width="9.85546875" style="31" customWidth="1"/>
    <col min="15873" max="15873" width="14.42578125" style="31" customWidth="1"/>
    <col min="15874" max="15874" width="7.42578125" style="31" customWidth="1"/>
    <col min="15875" max="15875" width="5.5703125" style="31" customWidth="1"/>
    <col min="15876" max="15876" width="9" style="31" customWidth="1"/>
    <col min="15877" max="15878" width="9.85546875" style="31" customWidth="1"/>
    <col min="15879" max="15879" width="11.140625" style="31" customWidth="1"/>
    <col min="15880" max="15880" width="2.85546875" style="31" customWidth="1"/>
    <col min="15881" max="15881" width="3.5703125" style="31" customWidth="1"/>
    <col min="15882" max="16126" width="9.140625" style="31"/>
    <col min="16127" max="16127" width="8.5703125" style="31" customWidth="1"/>
    <col min="16128" max="16128" width="9.85546875" style="31" customWidth="1"/>
    <col min="16129" max="16129" width="14.42578125" style="31" customWidth="1"/>
    <col min="16130" max="16130" width="7.42578125" style="31" customWidth="1"/>
    <col min="16131" max="16131" width="5.5703125" style="31" customWidth="1"/>
    <col min="16132" max="16132" width="9" style="31" customWidth="1"/>
    <col min="16133" max="16134" width="9.85546875" style="31" customWidth="1"/>
    <col min="16135" max="16135" width="11.140625" style="31" customWidth="1"/>
    <col min="16136" max="16136" width="2.85546875" style="31" customWidth="1"/>
    <col min="16137" max="16137" width="3.5703125" style="31" customWidth="1"/>
    <col min="16138" max="16384" width="9.140625" style="31"/>
  </cols>
  <sheetData>
    <row r="1" spans="1:8" ht="46.5" customHeight="1" x14ac:dyDescent="0.25">
      <c r="A1" s="142" t="s">
        <v>283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</row>
    <row r="3" spans="1:8" x14ac:dyDescent="0.25">
      <c r="A3" s="72" t="s">
        <v>1</v>
      </c>
      <c r="B3" s="72"/>
      <c r="C3" s="72"/>
      <c r="D3" s="72"/>
      <c r="E3" s="143" t="str">
        <f ca="1">TEXT(TODAY(),"DD/MM/YYYY")</f>
        <v>10/07/2025</v>
      </c>
      <c r="F3" s="143"/>
      <c r="G3" s="143"/>
      <c r="H3" s="143"/>
    </row>
    <row r="4" spans="1:8" ht="15" customHeight="1" x14ac:dyDescent="0.25">
      <c r="A4" s="72" t="s">
        <v>2</v>
      </c>
      <c r="B4" s="72"/>
      <c r="C4" s="72"/>
      <c r="D4" s="72"/>
      <c r="E4" s="144" t="s">
        <v>169</v>
      </c>
      <c r="F4" s="144"/>
      <c r="G4" s="144"/>
      <c r="H4" s="144"/>
    </row>
    <row r="5" spans="1:8" x14ac:dyDescent="0.25">
      <c r="A5" s="72" t="s">
        <v>3</v>
      </c>
      <c r="B5" s="72"/>
      <c r="C5" s="72"/>
      <c r="D5" s="72"/>
      <c r="E5" s="143">
        <v>45847</v>
      </c>
      <c r="F5" s="143"/>
      <c r="G5" s="143"/>
      <c r="H5" s="143"/>
    </row>
    <row r="6" spans="1:8" ht="16.5" customHeight="1" x14ac:dyDescent="0.25">
      <c r="A6" s="72" t="s">
        <v>4</v>
      </c>
      <c r="B6" s="72"/>
      <c r="C6" s="72"/>
      <c r="D6" s="72"/>
      <c r="E6" s="70" t="s">
        <v>172</v>
      </c>
      <c r="F6" s="70"/>
      <c r="G6" s="70"/>
      <c r="H6" s="70"/>
    </row>
    <row r="7" spans="1:8" ht="15" customHeight="1" x14ac:dyDescent="0.25">
      <c r="A7" s="72" t="s">
        <v>5</v>
      </c>
      <c r="B7" s="72"/>
      <c r="C7" s="72"/>
      <c r="D7" s="72"/>
      <c r="E7" s="70" t="str">
        <f>E6</f>
        <v>M/s. Ratneshwar Developers</v>
      </c>
      <c r="F7" s="70"/>
      <c r="G7" s="70"/>
      <c r="H7" s="70"/>
    </row>
    <row r="8" spans="1:8" x14ac:dyDescent="0.25">
      <c r="A8" s="72" t="s">
        <v>6</v>
      </c>
      <c r="B8" s="72"/>
      <c r="C8" s="72"/>
      <c r="D8" s="72"/>
      <c r="E8" s="134" t="s">
        <v>171</v>
      </c>
      <c r="F8" s="134"/>
      <c r="G8" s="134"/>
      <c r="H8" s="134"/>
    </row>
    <row r="9" spans="1:8" x14ac:dyDescent="0.25">
      <c r="A9" s="72" t="s">
        <v>168</v>
      </c>
      <c r="B9" s="72"/>
      <c r="C9" s="72"/>
      <c r="D9" s="72"/>
      <c r="E9" s="72" t="s">
        <v>173</v>
      </c>
      <c r="F9" s="72"/>
      <c r="G9" s="72"/>
      <c r="H9" s="72"/>
    </row>
    <row r="10" spans="1:8" ht="33" customHeight="1" x14ac:dyDescent="0.25">
      <c r="A10" s="74" t="s">
        <v>7</v>
      </c>
      <c r="B10" s="74"/>
      <c r="C10" s="74"/>
      <c r="D10" s="74"/>
      <c r="E10" s="133" t="s">
        <v>174</v>
      </c>
      <c r="F10" s="74"/>
      <c r="G10" s="74"/>
      <c r="H10" s="74"/>
    </row>
    <row r="11" spans="1:8" ht="33.75" customHeight="1" x14ac:dyDescent="0.25">
      <c r="A11" s="72" t="s">
        <v>8</v>
      </c>
      <c r="B11" s="72"/>
      <c r="C11" s="72"/>
      <c r="D11" s="72"/>
      <c r="E11" s="133" t="s">
        <v>258</v>
      </c>
      <c r="F11" s="133"/>
      <c r="G11" s="133"/>
      <c r="H11" s="133"/>
    </row>
    <row r="12" spans="1:8" x14ac:dyDescent="0.25">
      <c r="A12" s="72" t="s">
        <v>9</v>
      </c>
      <c r="B12" s="72"/>
      <c r="C12" s="72"/>
      <c r="D12" s="72"/>
      <c r="E12" s="133" t="s">
        <v>170</v>
      </c>
      <c r="F12" s="74"/>
      <c r="G12" s="74"/>
      <c r="H12" s="74"/>
    </row>
    <row r="13" spans="1:8" ht="35.25" customHeight="1" x14ac:dyDescent="0.25">
      <c r="A13" s="70" t="s">
        <v>10</v>
      </c>
      <c r="B13" s="70"/>
      <c r="C13" s="70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",(IF(OR(G16="",G16="NA"),"",G16)),".")</f>
        <v>Happy Homes, Suvey No.90/1A &amp; 91, Savroli-Kharpada Road, Karadekhurd, Panvel, Panvel, Raigad.</v>
      </c>
      <c r="D13" s="70"/>
      <c r="E13" s="70"/>
      <c r="F13" s="70"/>
      <c r="G13" s="70"/>
      <c r="H13" s="70"/>
    </row>
    <row r="14" spans="1:8" x14ac:dyDescent="0.25">
      <c r="A14" s="133" t="s">
        <v>201</v>
      </c>
      <c r="B14" s="133"/>
      <c r="C14" s="133" t="s">
        <v>185</v>
      </c>
      <c r="D14" s="133"/>
      <c r="E14" s="133"/>
      <c r="F14" s="133"/>
      <c r="G14" s="133"/>
      <c r="H14" s="133"/>
    </row>
    <row r="15" spans="1:8" ht="15.75" customHeight="1" x14ac:dyDescent="0.25">
      <c r="A15" s="70" t="s">
        <v>11</v>
      </c>
      <c r="B15" s="70"/>
      <c r="C15" s="74" t="s">
        <v>199</v>
      </c>
      <c r="D15" s="74"/>
      <c r="E15" s="70" t="s">
        <v>108</v>
      </c>
      <c r="F15" s="70"/>
      <c r="G15" s="133" t="s">
        <v>186</v>
      </c>
      <c r="H15" s="133"/>
    </row>
    <row r="16" spans="1:8" x14ac:dyDescent="0.25">
      <c r="A16" s="72" t="s">
        <v>13</v>
      </c>
      <c r="B16" s="72"/>
      <c r="C16" s="133" t="s">
        <v>188</v>
      </c>
      <c r="D16" s="133"/>
      <c r="E16" s="70" t="s">
        <v>12</v>
      </c>
      <c r="F16" s="70"/>
      <c r="G16" s="138" t="s">
        <v>187</v>
      </c>
      <c r="H16" s="138"/>
    </row>
    <row r="17" spans="1:8" x14ac:dyDescent="0.25">
      <c r="A17" s="72" t="s">
        <v>109</v>
      </c>
      <c r="B17" s="72"/>
      <c r="C17" s="133" t="s">
        <v>188</v>
      </c>
      <c r="D17" s="133"/>
      <c r="E17" s="70" t="s">
        <v>14</v>
      </c>
      <c r="F17" s="70"/>
      <c r="G17" s="133">
        <v>410206</v>
      </c>
      <c r="H17" s="133"/>
    </row>
    <row r="18" spans="1:8" ht="32.25" customHeight="1" x14ac:dyDescent="0.25">
      <c r="A18" s="72" t="s">
        <v>15</v>
      </c>
      <c r="B18" s="72"/>
      <c r="C18" s="70" t="s">
        <v>202</v>
      </c>
      <c r="D18" s="70"/>
      <c r="E18" s="70" t="s">
        <v>16</v>
      </c>
      <c r="F18" s="70"/>
      <c r="G18" s="133" t="s">
        <v>203</v>
      </c>
      <c r="H18" s="133"/>
    </row>
    <row r="19" spans="1:8" ht="15" customHeight="1" x14ac:dyDescent="0.25">
      <c r="A19" s="70" t="s">
        <v>114</v>
      </c>
      <c r="B19" s="70"/>
      <c r="C19" s="70"/>
      <c r="D19" s="70"/>
      <c r="E19" s="74" t="s">
        <v>17</v>
      </c>
      <c r="F19" s="74"/>
      <c r="G19" s="74"/>
      <c r="H19" s="74"/>
    </row>
    <row r="20" spans="1:8" ht="18.75" customHeight="1" x14ac:dyDescent="0.25">
      <c r="A20" s="70"/>
      <c r="B20" s="70"/>
      <c r="C20" s="70"/>
      <c r="D20" s="70"/>
      <c r="E20" s="74"/>
      <c r="F20" s="74"/>
      <c r="G20" s="74"/>
      <c r="H20" s="74"/>
    </row>
    <row r="21" spans="1:8" ht="15" customHeight="1" x14ac:dyDescent="0.25">
      <c r="A21" s="70" t="s">
        <v>18</v>
      </c>
      <c r="B21" s="70"/>
      <c r="C21" s="70"/>
      <c r="D21" s="70"/>
      <c r="E21" s="133" t="s">
        <v>19</v>
      </c>
      <c r="F21" s="133"/>
      <c r="G21" s="133"/>
      <c r="H21" s="133"/>
    </row>
    <row r="22" spans="1:8" ht="15" customHeight="1" x14ac:dyDescent="0.25">
      <c r="A22" s="72" t="s">
        <v>20</v>
      </c>
      <c r="B22" s="72"/>
      <c r="C22" s="72"/>
      <c r="D22" s="72"/>
      <c r="E22" s="133" t="str">
        <f>IF(AND(G16="Mumbai"),"Upper Class","Middle Class")</f>
        <v>Middle Class</v>
      </c>
      <c r="F22" s="133"/>
      <c r="G22" s="133"/>
      <c r="H22" s="133"/>
    </row>
    <row r="23" spans="1:8" x14ac:dyDescent="0.25">
      <c r="A23" s="72" t="s">
        <v>21</v>
      </c>
      <c r="B23" s="72"/>
      <c r="C23" s="72"/>
      <c r="D23" s="72"/>
      <c r="E23" s="133" t="s">
        <v>22</v>
      </c>
      <c r="F23" s="133"/>
      <c r="G23" s="133"/>
      <c r="H23" s="133"/>
    </row>
    <row r="24" spans="1:8" ht="15.75" customHeight="1" x14ac:dyDescent="0.25">
      <c r="A24" s="72" t="s">
        <v>23</v>
      </c>
      <c r="B24" s="72"/>
      <c r="C24" s="72"/>
      <c r="D24" s="72"/>
      <c r="E24" s="133" t="str">
        <f>IF(AND(G16="Mumbai"),"Developed","Developing")</f>
        <v>Developing</v>
      </c>
      <c r="F24" s="133"/>
      <c r="G24" s="133"/>
      <c r="H24" s="133"/>
    </row>
    <row r="25" spans="1:8" x14ac:dyDescent="0.25">
      <c r="A25" s="72" t="s">
        <v>24</v>
      </c>
      <c r="B25" s="72"/>
      <c r="C25" s="72"/>
      <c r="D25" s="72"/>
      <c r="E25" s="133" t="s">
        <v>25</v>
      </c>
      <c r="F25" s="133"/>
      <c r="G25" s="133"/>
      <c r="H25" s="133"/>
    </row>
    <row r="26" spans="1:8" x14ac:dyDescent="0.25">
      <c r="A26" s="72" t="s">
        <v>121</v>
      </c>
      <c r="B26" s="72"/>
      <c r="C26" s="72"/>
      <c r="D26" s="72"/>
      <c r="E26" s="133" t="s">
        <v>122</v>
      </c>
      <c r="F26" s="133"/>
      <c r="G26" s="133"/>
      <c r="H26" s="133"/>
    </row>
    <row r="27" spans="1:8" ht="15" customHeight="1" x14ac:dyDescent="0.25">
      <c r="A27" s="70" t="s">
        <v>36</v>
      </c>
      <c r="B27" s="70"/>
      <c r="C27" s="70"/>
      <c r="D27" s="70"/>
      <c r="E27" s="144" t="s">
        <v>118</v>
      </c>
      <c r="F27" s="144"/>
      <c r="G27" s="144"/>
      <c r="H27" s="144"/>
    </row>
    <row r="28" spans="1:8" x14ac:dyDescent="0.25">
      <c r="A28" s="70" t="s">
        <v>134</v>
      </c>
      <c r="B28" s="70"/>
      <c r="C28" s="70"/>
      <c r="D28" s="70"/>
      <c r="E28" s="70" t="s">
        <v>37</v>
      </c>
      <c r="F28" s="70"/>
      <c r="G28" s="70"/>
      <c r="H28" s="70"/>
    </row>
    <row r="29" spans="1:8" s="32" customFormat="1" x14ac:dyDescent="0.25">
      <c r="A29" s="149" t="s">
        <v>135</v>
      </c>
      <c r="B29" s="149"/>
      <c r="C29" s="146" t="s">
        <v>30</v>
      </c>
      <c r="D29" s="146"/>
      <c r="E29" s="146"/>
      <c r="F29" s="146" t="s">
        <v>32</v>
      </c>
      <c r="G29" s="146"/>
      <c r="H29" s="146"/>
    </row>
    <row r="30" spans="1:8" s="32" customFormat="1" x14ac:dyDescent="0.25">
      <c r="A30" s="139" t="s">
        <v>26</v>
      </c>
      <c r="B30" s="139" t="s">
        <v>31</v>
      </c>
      <c r="C30" s="87" t="s">
        <v>31</v>
      </c>
      <c r="D30" s="87"/>
      <c r="E30" s="87"/>
      <c r="F30" s="87" t="s">
        <v>199</v>
      </c>
      <c r="G30" s="87"/>
      <c r="H30" s="87"/>
    </row>
    <row r="31" spans="1:8" x14ac:dyDescent="0.25">
      <c r="A31" s="139" t="s">
        <v>27</v>
      </c>
      <c r="B31" s="139" t="s">
        <v>31</v>
      </c>
      <c r="C31" s="87" t="s">
        <v>31</v>
      </c>
      <c r="D31" s="87"/>
      <c r="E31" s="87"/>
      <c r="F31" s="87" t="s">
        <v>200</v>
      </c>
      <c r="G31" s="87"/>
      <c r="H31" s="87"/>
    </row>
    <row r="32" spans="1:8" s="32" customFormat="1" x14ac:dyDescent="0.25">
      <c r="A32" s="139" t="s">
        <v>29</v>
      </c>
      <c r="B32" s="139" t="s">
        <v>31</v>
      </c>
      <c r="C32" s="87" t="s">
        <v>31</v>
      </c>
      <c r="D32" s="87"/>
      <c r="E32" s="87"/>
      <c r="F32" s="87" t="s">
        <v>200</v>
      </c>
      <c r="G32" s="87"/>
      <c r="H32" s="87"/>
    </row>
    <row r="33" spans="1:8" x14ac:dyDescent="0.25">
      <c r="A33" s="139" t="s">
        <v>28</v>
      </c>
      <c r="B33" s="139" t="s">
        <v>31</v>
      </c>
      <c r="C33" s="87" t="s">
        <v>31</v>
      </c>
      <c r="D33" s="87"/>
      <c r="E33" s="87"/>
      <c r="F33" s="87" t="s">
        <v>200</v>
      </c>
      <c r="G33" s="87"/>
      <c r="H33" s="87"/>
    </row>
    <row r="34" spans="1:8" x14ac:dyDescent="0.25">
      <c r="A34" s="72" t="s">
        <v>33</v>
      </c>
      <c r="B34" s="72"/>
      <c r="C34" s="72"/>
      <c r="D34" s="72"/>
      <c r="E34" s="72"/>
      <c r="F34" s="72"/>
      <c r="G34" s="72"/>
      <c r="H34" s="72"/>
    </row>
    <row r="35" spans="1:8" ht="15.75" customHeight="1" x14ac:dyDescent="0.25">
      <c r="A35" s="126" t="s">
        <v>34</v>
      </c>
      <c r="B35" s="126"/>
      <c r="C35" s="147">
        <v>18.875412505</v>
      </c>
      <c r="D35" s="147"/>
      <c r="E35" s="126" t="s">
        <v>35</v>
      </c>
      <c r="F35" s="126"/>
      <c r="G35" s="148">
        <v>73.162146566339999</v>
      </c>
      <c r="H35" s="148"/>
    </row>
    <row r="36" spans="1:8" ht="15.75" customHeight="1" x14ac:dyDescent="0.25">
      <c r="A36" s="126" t="s">
        <v>284</v>
      </c>
      <c r="B36" s="126"/>
      <c r="C36" s="150" t="s">
        <v>285</v>
      </c>
      <c r="D36" s="151"/>
      <c r="E36" s="151"/>
      <c r="F36" s="151"/>
      <c r="G36" s="151"/>
      <c r="H36" s="151"/>
    </row>
    <row r="37" spans="1:8" x14ac:dyDescent="0.25">
      <c r="A37" s="134" t="s">
        <v>38</v>
      </c>
      <c r="B37" s="134"/>
      <c r="C37" s="134"/>
      <c r="D37" s="134"/>
      <c r="E37" s="134"/>
      <c r="F37" s="134"/>
      <c r="G37" s="134"/>
      <c r="H37" s="134"/>
    </row>
    <row r="38" spans="1:8" x14ac:dyDescent="0.25">
      <c r="A38" s="72" t="s">
        <v>39</v>
      </c>
      <c r="B38" s="72"/>
      <c r="C38" s="72"/>
      <c r="D38" s="72"/>
      <c r="E38" s="145">
        <v>6192</v>
      </c>
      <c r="F38" s="145"/>
      <c r="G38" s="145"/>
      <c r="H38" s="145"/>
    </row>
    <row r="39" spans="1:8" x14ac:dyDescent="0.25">
      <c r="A39" s="72" t="s">
        <v>40</v>
      </c>
      <c r="B39" s="72"/>
      <c r="C39" s="72"/>
      <c r="D39" s="72"/>
      <c r="E39" s="152">
        <v>1.2</v>
      </c>
      <c r="F39" s="152"/>
      <c r="G39" s="152"/>
      <c r="H39" s="152"/>
    </row>
    <row r="40" spans="1:8" x14ac:dyDescent="0.25">
      <c r="A40" s="72" t="s">
        <v>41</v>
      </c>
      <c r="B40" s="72"/>
      <c r="C40" s="72"/>
      <c r="D40" s="72"/>
      <c r="E40" s="152">
        <f>E42/E38-E39</f>
        <v>0</v>
      </c>
      <c r="F40" s="152"/>
      <c r="G40" s="152"/>
      <c r="H40" s="152"/>
    </row>
    <row r="41" spans="1:8" x14ac:dyDescent="0.25">
      <c r="A41" s="72" t="s">
        <v>42</v>
      </c>
      <c r="B41" s="72"/>
      <c r="C41" s="72"/>
      <c r="D41" s="72"/>
      <c r="E41" s="152">
        <f>E39+E40</f>
        <v>1.2</v>
      </c>
      <c r="F41" s="152"/>
      <c r="G41" s="152"/>
      <c r="H41" s="152"/>
    </row>
    <row r="42" spans="1:8" x14ac:dyDescent="0.25">
      <c r="A42" s="72" t="s">
        <v>133</v>
      </c>
      <c r="B42" s="72"/>
      <c r="C42" s="72"/>
      <c r="D42" s="72"/>
      <c r="E42" s="154">
        <v>7430.4</v>
      </c>
      <c r="F42" s="154"/>
      <c r="G42" s="154"/>
      <c r="H42" s="154"/>
    </row>
    <row r="43" spans="1:8" x14ac:dyDescent="0.25">
      <c r="A43" s="74" t="s">
        <v>43</v>
      </c>
      <c r="B43" s="74"/>
      <c r="C43" s="74"/>
      <c r="D43" s="74"/>
      <c r="E43" s="74" t="s">
        <v>281</v>
      </c>
      <c r="F43" s="74"/>
      <c r="G43" s="74"/>
      <c r="H43" s="74"/>
    </row>
    <row r="44" spans="1:8" x14ac:dyDescent="0.25">
      <c r="A44" s="134" t="s">
        <v>44</v>
      </c>
      <c r="B44" s="134"/>
      <c r="C44" s="134"/>
      <c r="D44" s="134"/>
      <c r="E44" s="134"/>
      <c r="F44" s="134"/>
      <c r="G44" s="134"/>
      <c r="H44" s="134"/>
    </row>
    <row r="45" spans="1:8" x14ac:dyDescent="0.25">
      <c r="A45" s="70" t="s">
        <v>45</v>
      </c>
      <c r="B45" s="70"/>
      <c r="C45" s="133" t="s">
        <v>207</v>
      </c>
      <c r="D45" s="133"/>
      <c r="E45" s="133"/>
      <c r="F45" s="28" t="s">
        <v>46</v>
      </c>
      <c r="G45" s="153">
        <v>43627</v>
      </c>
      <c r="H45" s="153"/>
    </row>
    <row r="46" spans="1:8" x14ac:dyDescent="0.25">
      <c r="A46" s="70" t="s">
        <v>47</v>
      </c>
      <c r="B46" s="70"/>
      <c r="C46" s="133" t="str">
        <f>C45</f>
        <v>MASA/L.N.A.1(B)/S.R.159/2018.</v>
      </c>
      <c r="D46" s="133"/>
      <c r="E46" s="133"/>
      <c r="F46" s="28" t="s">
        <v>46</v>
      </c>
      <c r="G46" s="153">
        <f>G45</f>
        <v>43627</v>
      </c>
      <c r="H46" s="153"/>
    </row>
    <row r="47" spans="1:8" s="34" customFormat="1" ht="18" customHeight="1" x14ac:dyDescent="0.25">
      <c r="A47" s="133" t="s">
        <v>48</v>
      </c>
      <c r="B47" s="133"/>
      <c r="C47" s="133" t="s">
        <v>175</v>
      </c>
      <c r="D47" s="74"/>
      <c r="E47" s="74"/>
      <c r="F47" s="33" t="s">
        <v>46</v>
      </c>
      <c r="G47" s="153" t="s">
        <v>176</v>
      </c>
      <c r="H47" s="153"/>
    </row>
    <row r="48" spans="1:8" s="34" customFormat="1" ht="49.5" customHeight="1" x14ac:dyDescent="0.25">
      <c r="A48" s="133"/>
      <c r="B48" s="133"/>
      <c r="C48" s="156" t="s">
        <v>177</v>
      </c>
      <c r="D48" s="157"/>
      <c r="E48" s="157"/>
      <c r="F48" s="157"/>
      <c r="G48" s="157"/>
      <c r="H48" s="158"/>
    </row>
    <row r="49" spans="1:11" x14ac:dyDescent="0.25">
      <c r="A49" s="140" t="s">
        <v>49</v>
      </c>
      <c r="B49" s="140"/>
      <c r="C49" s="73" t="s">
        <v>149</v>
      </c>
      <c r="D49" s="71"/>
      <c r="E49" s="71" t="s">
        <v>50</v>
      </c>
      <c r="F49" s="26" t="s">
        <v>46</v>
      </c>
      <c r="G49" s="155" t="s">
        <v>31</v>
      </c>
      <c r="H49" s="155"/>
    </row>
    <row r="50" spans="1:11" x14ac:dyDescent="0.25">
      <c r="A50" s="141" t="s">
        <v>52</v>
      </c>
      <c r="B50" s="141"/>
      <c r="C50" s="141"/>
      <c r="D50" s="141"/>
      <c r="E50" s="141"/>
      <c r="F50" s="141"/>
      <c r="G50" s="141"/>
      <c r="H50" s="141"/>
    </row>
    <row r="51" spans="1:11" x14ac:dyDescent="0.25">
      <c r="A51" s="70" t="s">
        <v>132</v>
      </c>
      <c r="B51" s="70"/>
      <c r="C51" s="70"/>
      <c r="D51" s="72">
        <f>E42</f>
        <v>7430.4</v>
      </c>
      <c r="E51" s="72"/>
      <c r="F51" s="72"/>
      <c r="G51" s="72"/>
      <c r="H51" s="72"/>
    </row>
    <row r="52" spans="1:11" x14ac:dyDescent="0.25">
      <c r="A52" s="133" t="s">
        <v>53</v>
      </c>
      <c r="B52" s="74"/>
      <c r="C52" s="74"/>
      <c r="D52" s="74" t="s">
        <v>254</v>
      </c>
      <c r="E52" s="74"/>
      <c r="F52" s="74"/>
      <c r="G52" s="74"/>
      <c r="H52" s="74"/>
    </row>
    <row r="53" spans="1:11" ht="33.75" customHeight="1" x14ac:dyDescent="0.25">
      <c r="A53" s="133" t="s">
        <v>54</v>
      </c>
      <c r="B53" s="74"/>
      <c r="C53" s="74"/>
      <c r="D53" s="133" t="s">
        <v>178</v>
      </c>
      <c r="E53" s="74"/>
      <c r="F53" s="74"/>
      <c r="G53" s="74"/>
      <c r="H53" s="74"/>
    </row>
    <row r="54" spans="1:11" ht="31.5" customHeight="1" x14ac:dyDescent="0.25">
      <c r="A54" s="133" t="s">
        <v>130</v>
      </c>
      <c r="B54" s="74"/>
      <c r="C54" s="74"/>
      <c r="D54" s="133" t="s">
        <v>178</v>
      </c>
      <c r="E54" s="74"/>
      <c r="F54" s="74"/>
      <c r="G54" s="74"/>
      <c r="H54" s="74"/>
    </row>
    <row r="55" spans="1:11" ht="15.75" customHeight="1" x14ac:dyDescent="0.25">
      <c r="A55" s="72" t="s">
        <v>51</v>
      </c>
      <c r="B55" s="72"/>
      <c r="C55" s="72"/>
      <c r="D55" s="70" t="s">
        <v>282</v>
      </c>
      <c r="E55" s="70"/>
      <c r="F55" s="70"/>
      <c r="G55" s="70"/>
      <c r="H55" s="70"/>
    </row>
    <row r="56" spans="1:11" ht="15.75" customHeight="1" x14ac:dyDescent="0.25">
      <c r="A56" s="72" t="s">
        <v>127</v>
      </c>
      <c r="B56" s="72"/>
      <c r="C56" s="72"/>
      <c r="D56" s="70" t="s">
        <v>128</v>
      </c>
      <c r="E56" s="70"/>
      <c r="F56" s="70"/>
      <c r="G56" s="70"/>
      <c r="H56" s="70"/>
    </row>
    <row r="57" spans="1:11" ht="15.75" customHeight="1" x14ac:dyDescent="0.25">
      <c r="A57" s="72" t="s">
        <v>129</v>
      </c>
      <c r="B57" s="72"/>
      <c r="C57" s="72"/>
      <c r="D57" s="70" t="s">
        <v>25</v>
      </c>
      <c r="E57" s="70"/>
      <c r="F57" s="70"/>
      <c r="G57" s="70"/>
      <c r="H57" s="70"/>
      <c r="J57" s="23"/>
      <c r="K57" s="23"/>
    </row>
    <row r="58" spans="1:11" ht="15.75" customHeight="1" thickBot="1" x14ac:dyDescent="0.3">
      <c r="A58" s="159" t="s">
        <v>126</v>
      </c>
      <c r="B58" s="159"/>
      <c r="C58" s="159"/>
      <c r="D58" s="160" t="str">
        <f ca="1">(IF(E63&gt;95%,"Nothing",IF(E63&gt;0%,"Cement, Aggregate, Steel, etc",IF(E63=0%,"Work not yet Started"))))</f>
        <v>Cement, Aggregate, Steel, etc</v>
      </c>
      <c r="E58" s="160"/>
      <c r="F58" s="160"/>
      <c r="G58" s="160"/>
      <c r="H58" s="160"/>
      <c r="J58" s="23"/>
      <c r="K58" s="23"/>
    </row>
    <row r="59" spans="1:11" customFormat="1" ht="15.75" customHeight="1" x14ac:dyDescent="0.25">
      <c r="A59" s="161" t="s">
        <v>259</v>
      </c>
      <c r="B59" s="162"/>
      <c r="C59" s="163" t="s">
        <v>286</v>
      </c>
      <c r="D59" s="164"/>
      <c r="E59" s="164"/>
      <c r="F59" s="164"/>
      <c r="G59" s="164"/>
      <c r="H59" s="165"/>
      <c r="I59" s="22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Slab, Brickwork, Internal Plaster, External Plaster, Flooring upto 2 Floor, Painting upto 1 Floor Completed</v>
      </c>
      <c r="J59" s="35"/>
    </row>
    <row r="60" spans="1:11" customFormat="1" x14ac:dyDescent="0.25">
      <c r="A60" s="30" t="s">
        <v>105</v>
      </c>
      <c r="B60" s="29">
        <v>0</v>
      </c>
      <c r="C60" s="29" t="s">
        <v>107</v>
      </c>
      <c r="D60" s="29">
        <v>1</v>
      </c>
      <c r="E60" s="29" t="s">
        <v>106</v>
      </c>
      <c r="F60" s="29">
        <v>0</v>
      </c>
      <c r="G60" s="29" t="s">
        <v>120</v>
      </c>
      <c r="H60" s="18">
        <f ca="1">--TRIM(RIGHT(SUBSTITUTE(LEFT(C59,_xlfn.AGGREGATE(16,6,FIND({0,1,2,3,4,5,6,7,8,9},C59,ROW(INDIRECT("1:"&amp;LEN(C59)))),1))," ",REPT(" ",LEN(C59))),LEN(C59)))</f>
        <v>7</v>
      </c>
      <c r="I60" s="23"/>
      <c r="J60" s="36"/>
    </row>
    <row r="61" spans="1:11" customFormat="1" ht="35.25" customHeight="1" x14ac:dyDescent="0.25">
      <c r="A61" s="166" t="s">
        <v>131</v>
      </c>
      <c r="B61" s="71"/>
      <c r="C61" s="167" t="str">
        <f ca="1">I59</f>
        <v>Excavation work Completed. Plinth work completed, RCC Slab, Brickwork, Internal Plaster, External Plaster, Flooring upto 2 Floor, Painting upto 1 Floor Completed</v>
      </c>
      <c r="D61" s="168"/>
      <c r="E61" s="168"/>
      <c r="F61" s="168"/>
      <c r="G61" s="168"/>
      <c r="H61" s="169"/>
      <c r="I61" s="23" t="s">
        <v>148</v>
      </c>
      <c r="J61" s="36"/>
    </row>
    <row r="62" spans="1:11" customFormat="1" x14ac:dyDescent="0.25">
      <c r="A62" s="75" t="s">
        <v>55</v>
      </c>
      <c r="B62" s="76"/>
      <c r="C62" s="25" t="s">
        <v>260</v>
      </c>
      <c r="D62" s="25" t="s">
        <v>123</v>
      </c>
      <c r="E62" s="170" t="s">
        <v>125</v>
      </c>
      <c r="F62" s="171"/>
      <c r="G62" s="170" t="s">
        <v>124</v>
      </c>
      <c r="H62" s="172"/>
      <c r="I62" s="21" t="s">
        <v>261</v>
      </c>
      <c r="J62" s="37">
        <f ca="1">H60*25%</f>
        <v>1.75</v>
      </c>
    </row>
    <row r="63" spans="1:11" customFormat="1" x14ac:dyDescent="0.25">
      <c r="A63" s="76" t="s">
        <v>262</v>
      </c>
      <c r="B63" s="76"/>
      <c r="C63" s="38">
        <f ca="1">J64</f>
        <v>7</v>
      </c>
      <c r="D63" s="39">
        <f ca="1">((100/H60)*C63)/100</f>
        <v>1</v>
      </c>
      <c r="E63" s="173">
        <f ca="1">(((C64/H60*10)+(40/(D60+F60+H60)*C65)+(7.5/(H60)*C66)+(7.5/(H60)*C67)+(10/H60*C68)+(10/H60*C69)+(5/H60*C70)+(5/H60*C71)+(5/H60*C72))/100)</f>
        <v>0.7857142857142857</v>
      </c>
      <c r="F63" s="173"/>
      <c r="G63" s="173">
        <f ca="1">((((C63/H60)*20)+((C64/H60)*25)+(30/(H60+F60+D60)*C65)+(5/H60*C66)+(5/H60*C67)+(5/H60*C68)+(5/H60*C69)+(0/H60*C70)+(0/H60*C71)+(5/H60*C72))/100)</f>
        <v>0.91428571428571426</v>
      </c>
      <c r="H63" s="173"/>
      <c r="I63" s="21" t="s">
        <v>142</v>
      </c>
      <c r="J63" s="40">
        <f ca="1">H60*50%</f>
        <v>3.5</v>
      </c>
    </row>
    <row r="64" spans="1:11" customFormat="1" x14ac:dyDescent="0.25">
      <c r="A64" s="76" t="s">
        <v>56</v>
      </c>
      <c r="B64" s="76"/>
      <c r="C64" s="41">
        <f ca="1">J72</f>
        <v>7</v>
      </c>
      <c r="D64" s="39">
        <f ca="1">((100/H60)*C64)/100</f>
        <v>1</v>
      </c>
      <c r="E64" s="173"/>
      <c r="F64" s="173"/>
      <c r="G64" s="173"/>
      <c r="H64" s="173"/>
      <c r="I64" s="21" t="s">
        <v>143</v>
      </c>
      <c r="J64" s="40">
        <f ca="1">H60</f>
        <v>7</v>
      </c>
    </row>
    <row r="65" spans="1:14" customFormat="1" x14ac:dyDescent="0.25">
      <c r="A65" s="87" t="s">
        <v>280</v>
      </c>
      <c r="B65" s="87"/>
      <c r="C65" s="41">
        <v>8</v>
      </c>
      <c r="D65" s="39">
        <f ca="1">((100/(D60+F60+H60))*C65)/100</f>
        <v>1</v>
      </c>
      <c r="E65" s="173"/>
      <c r="F65" s="173"/>
      <c r="G65" s="173"/>
      <c r="H65" s="173"/>
      <c r="I65" s="21" t="s">
        <v>144</v>
      </c>
      <c r="J65" s="42">
        <f ca="1">(IF(B60&gt;1,(H60/(B60+2)),H60/4))</f>
        <v>1.75</v>
      </c>
      <c r="L65" s="43"/>
    </row>
    <row r="66" spans="1:14" customFormat="1" ht="15.75" customHeight="1" x14ac:dyDescent="0.25">
      <c r="A66" s="76" t="s">
        <v>264</v>
      </c>
      <c r="B66" s="76" t="s">
        <v>265</v>
      </c>
      <c r="C66" s="38">
        <v>7</v>
      </c>
      <c r="D66" s="39">
        <f ca="1">((100/H60)*C66)/100</f>
        <v>1</v>
      </c>
      <c r="E66" s="173"/>
      <c r="F66" s="173"/>
      <c r="G66" s="173"/>
      <c r="H66" s="173"/>
      <c r="I66" s="21" t="s">
        <v>145</v>
      </c>
      <c r="J66" s="42">
        <f ca="1">(IF(B60&gt;1,(H60/(B60+2)+J65),H60/4+J65))</f>
        <v>3.5</v>
      </c>
      <c r="L66" s="43"/>
    </row>
    <row r="67" spans="1:14" customFormat="1" ht="15.75" customHeight="1" x14ac:dyDescent="0.25">
      <c r="A67" s="76" t="s">
        <v>266</v>
      </c>
      <c r="B67" s="76" t="s">
        <v>265</v>
      </c>
      <c r="C67" s="38">
        <v>7</v>
      </c>
      <c r="D67" s="39">
        <f ca="1">((100/H60)*C67)/100</f>
        <v>1</v>
      </c>
      <c r="E67" s="173"/>
      <c r="F67" s="173"/>
      <c r="G67" s="173"/>
      <c r="H67" s="173"/>
      <c r="I67" s="21" t="s">
        <v>267</v>
      </c>
      <c r="J67" s="42">
        <f>(IF(B60&gt;1,(H60/(B60+2)+J66),0))</f>
        <v>0</v>
      </c>
      <c r="L67" s="44"/>
      <c r="N67" s="43"/>
    </row>
    <row r="68" spans="1:14" customFormat="1" ht="15.75" customHeight="1" x14ac:dyDescent="0.25">
      <c r="A68" s="76" t="s">
        <v>268</v>
      </c>
      <c r="B68" s="76" t="s">
        <v>269</v>
      </c>
      <c r="C68" s="38">
        <v>7</v>
      </c>
      <c r="D68" s="39">
        <f ca="1">((100/(H60))*C68)/100</f>
        <v>1</v>
      </c>
      <c r="E68" s="173"/>
      <c r="F68" s="173"/>
      <c r="G68" s="173"/>
      <c r="H68" s="173"/>
      <c r="I68" s="21" t="s">
        <v>270</v>
      </c>
      <c r="J68" s="42">
        <f>(IF(B60&gt;2,(H60/(B60+2)+J67),0))</f>
        <v>0</v>
      </c>
      <c r="K68" s="45"/>
      <c r="L68" s="44"/>
    </row>
    <row r="69" spans="1:14" customFormat="1" ht="15.75" customHeight="1" x14ac:dyDescent="0.25">
      <c r="A69" s="76" t="s">
        <v>271</v>
      </c>
      <c r="B69" s="76" t="s">
        <v>271</v>
      </c>
      <c r="C69" s="38">
        <v>2</v>
      </c>
      <c r="D69" s="39">
        <f ca="1">((100/H60)*C69)/100</f>
        <v>0.28571428571428575</v>
      </c>
      <c r="E69" s="173"/>
      <c r="F69" s="173"/>
      <c r="G69" s="173"/>
      <c r="H69" s="173"/>
      <c r="I69" s="21" t="s">
        <v>272</v>
      </c>
      <c r="J69" s="46">
        <f>(IF(B60&gt;3,(H60/(B60+2)+J68),0))</f>
        <v>0</v>
      </c>
      <c r="K69" s="45"/>
      <c r="L69" s="44"/>
    </row>
    <row r="70" spans="1:14" customFormat="1" ht="15.75" customHeight="1" x14ac:dyDescent="0.25">
      <c r="A70" s="76" t="s">
        <v>273</v>
      </c>
      <c r="B70" s="76"/>
      <c r="C70" s="38">
        <v>1</v>
      </c>
      <c r="D70" s="39">
        <f ca="1">((100/H60)*C70)/100</f>
        <v>0.14285714285714288</v>
      </c>
      <c r="E70" s="173"/>
      <c r="F70" s="173"/>
      <c r="G70" s="173"/>
      <c r="H70" s="173"/>
      <c r="I70" s="21" t="s">
        <v>274</v>
      </c>
      <c r="J70" s="42">
        <f>(IF(B60&gt;4,(H60/(B60+2)+J69),0))</f>
        <v>0</v>
      </c>
      <c r="K70" s="43"/>
      <c r="L70" s="44"/>
    </row>
    <row r="71" spans="1:14" customFormat="1" ht="15.75" customHeight="1" x14ac:dyDescent="0.25">
      <c r="A71" s="76" t="s">
        <v>275</v>
      </c>
      <c r="B71" s="76" t="s">
        <v>275</v>
      </c>
      <c r="C71" s="38">
        <v>0</v>
      </c>
      <c r="D71" s="39">
        <f ca="1">((100/(H60))*C71)/100</f>
        <v>0</v>
      </c>
      <c r="E71" s="173"/>
      <c r="F71" s="173"/>
      <c r="G71" s="173"/>
      <c r="H71" s="173"/>
      <c r="I71" s="21" t="s">
        <v>146</v>
      </c>
      <c r="J71" s="42">
        <f ca="1">(IF(B60=1,(H60/(B60+3)+J66),IF(B60=0,(H60/4+J66),IF(B60&gt;1,0))))</f>
        <v>5.25</v>
      </c>
      <c r="K71" s="45"/>
      <c r="L71" s="44"/>
    </row>
    <row r="72" spans="1:14" customFormat="1" ht="16.5" thickBot="1" x14ac:dyDescent="0.3">
      <c r="A72" s="76" t="s">
        <v>276</v>
      </c>
      <c r="B72" s="76"/>
      <c r="C72" s="38">
        <v>0</v>
      </c>
      <c r="D72" s="39">
        <f ca="1">((100/(H60))*C72)/100</f>
        <v>0</v>
      </c>
      <c r="E72" s="173"/>
      <c r="F72" s="173"/>
      <c r="G72" s="173"/>
      <c r="H72" s="173"/>
      <c r="I72" s="24" t="s">
        <v>147</v>
      </c>
      <c r="J72" s="49">
        <f ca="1">(IF(B60&gt;1.5,(H60/(B60+2)+J66+MAX(0,J67-J66)+MAX(0,J68-J67)+MAX(0,J69-J68)+MAX(0,J70-J69)+MAX(0,J71-J70)),IF(B60=1,(H60/(B60+3)+J71),IF(B60=0,H60/4+J71))))</f>
        <v>7</v>
      </c>
      <c r="K72" s="45"/>
      <c r="L72" s="44"/>
    </row>
    <row r="73" spans="1:14" customFormat="1" ht="15.75" customHeight="1" x14ac:dyDescent="0.25">
      <c r="A73" s="73" t="s">
        <v>259</v>
      </c>
      <c r="B73" s="73"/>
      <c r="C73" s="73" t="s">
        <v>287</v>
      </c>
      <c r="D73" s="73"/>
      <c r="E73" s="73"/>
      <c r="F73" s="73"/>
      <c r="G73" s="73"/>
      <c r="H73" s="73"/>
      <c r="I73" s="22" t="str">
        <f ca="1">(IF(E77&gt;99%,"All work completed. Please provide OC.",IF(E77&gt;89.8%,"Plinth, RCC, Brick, Plaster, Flooring, Painting work Completed. Finishing work is in process.",IF(E77&lt;94%,(IF(C77=0,"Work not yet Started.",IF(D77=25%,"Piling work in process",IF(D77=50%,"Excavation work in process",IF(D77=100%,"Excavation work Completed. ","0")))&amp;(IF(C78=0%,"",IF(C78=J79,"Footing work is process",IF(C78=J80,"Footing work Completed",IF(C78=J81,"1st Basement Completed",IF(C78=J82,"1st &amp; 2nd Basement Completed",IF(C78=J83,"1st to 3rd Basement Completed",IF(C78=J84,"1st to 4th Basement Completed",IF(C78=J85,"Plinth work is process",IF(C78=J86,"Plinth work completed","0")))))))))))&amp;(IF(C79=(D74+F74+H74),", RCC Slab",IF(C79&gt;0,", RCC upto "&amp;C79&amp;" Slab",""))&amp;(IF(C80=H74,", Brickwork",IF(C80&gt;0,", Brickwork upto "&amp;C80&amp;" Floor",""))&amp;(IF(C81=H74,", Internal Plaster",IF(C81&gt;0,", Internal Plaster upto "&amp;C81&amp;" Floor",""))&amp;(IF(C82=H74,", External Plaster",IF(C82&gt;0,", External Plaster upto "&amp;C82&amp;" Floor",""))&amp;(IF(C83=H74,", Flooring",IF(C83&gt;0,", Flooring upto "&amp;C83&amp;" Floor",""))&amp;(IF(C84=H74,", Painting",IF(C84&gt;0,", Painting upto "&amp;C84&amp;" Floor",""))&amp;(IF(C85&gt;0,", Finishing upto "&amp;C85&amp;" Floor","")&amp;(IF(C79&gt;0.5," Completed",""))))))))))))))</f>
        <v>Excavation work Completed. Plinth work completed, RCC Slab, Brickwork, Internal Plaster, External Plaster, Flooring upto 4 Floor, Painting upto 2 Floor Completed</v>
      </c>
      <c r="J73" s="35"/>
    </row>
    <row r="74" spans="1:14" customFormat="1" x14ac:dyDescent="0.25">
      <c r="A74" s="68" t="s">
        <v>105</v>
      </c>
      <c r="B74" s="68">
        <v>0</v>
      </c>
      <c r="C74" s="68" t="s">
        <v>107</v>
      </c>
      <c r="D74" s="68">
        <v>1</v>
      </c>
      <c r="E74" s="68" t="s">
        <v>106</v>
      </c>
      <c r="F74" s="68">
        <v>0</v>
      </c>
      <c r="G74" s="68" t="s">
        <v>120</v>
      </c>
      <c r="H74" s="68">
        <f ca="1">--TRIM(RIGHT(SUBSTITUTE(LEFT(C73,_xlfn.AGGREGATE(16,6,FIND({0,1,2,3,4,5,6,7,8,9},C73,ROW(INDIRECT("1:"&amp;LEN(C73)))),1))," ",REPT(" ",LEN(C73))),LEN(C73)))</f>
        <v>7</v>
      </c>
      <c r="I74" s="23"/>
      <c r="J74" s="36"/>
    </row>
    <row r="75" spans="1:14" customFormat="1" ht="35.25" customHeight="1" x14ac:dyDescent="0.25">
      <c r="A75" s="71" t="s">
        <v>131</v>
      </c>
      <c r="B75" s="71"/>
      <c r="C75" s="73" t="str">
        <f ca="1">I73</f>
        <v>Excavation work Completed. Plinth work completed, RCC Slab, Brickwork, Internal Plaster, External Plaster, Flooring upto 4 Floor, Painting upto 2 Floor Completed</v>
      </c>
      <c r="D75" s="73"/>
      <c r="E75" s="73"/>
      <c r="F75" s="73"/>
      <c r="G75" s="73"/>
      <c r="H75" s="73"/>
      <c r="I75" s="23" t="s">
        <v>148</v>
      </c>
      <c r="J75" s="36"/>
    </row>
    <row r="76" spans="1:14" customFormat="1" x14ac:dyDescent="0.25">
      <c r="A76" s="76" t="s">
        <v>55</v>
      </c>
      <c r="B76" s="76"/>
      <c r="C76" s="67" t="s">
        <v>260</v>
      </c>
      <c r="D76" s="67" t="s">
        <v>123</v>
      </c>
      <c r="E76" s="76" t="s">
        <v>125</v>
      </c>
      <c r="F76" s="76"/>
      <c r="G76" s="76" t="s">
        <v>124</v>
      </c>
      <c r="H76" s="76"/>
      <c r="I76" s="21" t="s">
        <v>261</v>
      </c>
      <c r="J76" s="37">
        <f ca="1">H74*25%</f>
        <v>1.75</v>
      </c>
    </row>
    <row r="77" spans="1:14" customFormat="1" x14ac:dyDescent="0.25">
      <c r="A77" s="75" t="s">
        <v>262</v>
      </c>
      <c r="B77" s="76"/>
      <c r="C77" s="38">
        <f ca="1">J78</f>
        <v>7</v>
      </c>
      <c r="D77" s="39">
        <f ca="1">((100/H74)*C77)/100</f>
        <v>1</v>
      </c>
      <c r="E77" s="77">
        <f ca="1">(((C78/H74*10)+(40/(D74+F74+H74)*C79)+(7.5/(H74)*C80)+(7.5/(H74)*C81)+(10/H74*C82)+(10/H74*C83)+(5/H74*C84)+(5/H74*C85)+(5/H74*C86))/100)</f>
        <v>0.8214285714285714</v>
      </c>
      <c r="F77" s="78"/>
      <c r="G77" s="77">
        <f ca="1">((((C77/H74)*20)+((C78/H74)*25)+(30/(H74+F74+D74)*C79)+(5/H74*C80)+(5/H74*C81)+(5/H74*C82)+(5/H74*C83)+(0/H74*C84)+(0/H74*C85)+(5/H74*C86))/100)</f>
        <v>0.9285714285714286</v>
      </c>
      <c r="H77" s="83"/>
      <c r="I77" s="21" t="s">
        <v>142</v>
      </c>
      <c r="J77" s="40">
        <f ca="1">H74*50%</f>
        <v>3.5</v>
      </c>
    </row>
    <row r="78" spans="1:14" customFormat="1" x14ac:dyDescent="0.25">
      <c r="A78" s="75" t="s">
        <v>56</v>
      </c>
      <c r="B78" s="76"/>
      <c r="C78" s="41">
        <f ca="1">J86</f>
        <v>7</v>
      </c>
      <c r="D78" s="39">
        <f ca="1">((100/H74)*C78)/100</f>
        <v>1</v>
      </c>
      <c r="E78" s="79"/>
      <c r="F78" s="80"/>
      <c r="G78" s="79"/>
      <c r="H78" s="84"/>
      <c r="I78" s="21" t="s">
        <v>143</v>
      </c>
      <c r="J78" s="40">
        <f ca="1">H74</f>
        <v>7</v>
      </c>
    </row>
    <row r="79" spans="1:14" customFormat="1" x14ac:dyDescent="0.25">
      <c r="A79" s="86" t="s">
        <v>280</v>
      </c>
      <c r="B79" s="87"/>
      <c r="C79" s="41">
        <v>8</v>
      </c>
      <c r="D79" s="39">
        <f ca="1">((100/(D74+F74+H74))*C79)/100</f>
        <v>1</v>
      </c>
      <c r="E79" s="79"/>
      <c r="F79" s="80"/>
      <c r="G79" s="79"/>
      <c r="H79" s="84"/>
      <c r="I79" s="21" t="s">
        <v>144</v>
      </c>
      <c r="J79" s="42">
        <f ca="1">(IF(B74&gt;1,(H74/(B74+2)),H74/4))</f>
        <v>1.75</v>
      </c>
      <c r="L79" s="43"/>
    </row>
    <row r="80" spans="1:14" customFormat="1" ht="15.75" customHeight="1" x14ac:dyDescent="0.25">
      <c r="A80" s="75" t="s">
        <v>264</v>
      </c>
      <c r="B80" s="76" t="s">
        <v>265</v>
      </c>
      <c r="C80" s="38">
        <v>7</v>
      </c>
      <c r="D80" s="39">
        <f ca="1">((100/H74)*C80)/100</f>
        <v>1</v>
      </c>
      <c r="E80" s="79"/>
      <c r="F80" s="80"/>
      <c r="G80" s="79"/>
      <c r="H80" s="84"/>
      <c r="I80" s="21" t="s">
        <v>145</v>
      </c>
      <c r="J80" s="42">
        <f ca="1">(IF(B74&gt;1,(H74/(B74+2)+J79),H74/4+J79))</f>
        <v>3.5</v>
      </c>
      <c r="L80" s="43"/>
    </row>
    <row r="81" spans="1:14" customFormat="1" ht="15.75" customHeight="1" x14ac:dyDescent="0.25">
      <c r="A81" s="75" t="s">
        <v>266</v>
      </c>
      <c r="B81" s="76" t="s">
        <v>265</v>
      </c>
      <c r="C81" s="38">
        <v>7</v>
      </c>
      <c r="D81" s="39">
        <f ca="1">((100/H74)*C81)/100</f>
        <v>1</v>
      </c>
      <c r="E81" s="79"/>
      <c r="F81" s="80"/>
      <c r="G81" s="79"/>
      <c r="H81" s="84"/>
      <c r="I81" s="21" t="s">
        <v>267</v>
      </c>
      <c r="J81" s="42">
        <f>(IF(B74&gt;1,(H74/(B74+2)+J80),0))</f>
        <v>0</v>
      </c>
      <c r="L81" s="44"/>
      <c r="N81" s="43"/>
    </row>
    <row r="82" spans="1:14" customFormat="1" ht="15.75" customHeight="1" x14ac:dyDescent="0.25">
      <c r="A82" s="75" t="s">
        <v>268</v>
      </c>
      <c r="B82" s="76" t="s">
        <v>269</v>
      </c>
      <c r="C82" s="38">
        <v>7</v>
      </c>
      <c r="D82" s="39">
        <f ca="1">((100/(H74))*C82)/100</f>
        <v>1</v>
      </c>
      <c r="E82" s="79"/>
      <c r="F82" s="80"/>
      <c r="G82" s="79"/>
      <c r="H82" s="84"/>
      <c r="I82" s="21" t="s">
        <v>270</v>
      </c>
      <c r="J82" s="42">
        <f>(IF(B74&gt;2,(H74/(B74+2)+J81),0))</f>
        <v>0</v>
      </c>
      <c r="K82" s="45"/>
      <c r="L82" s="44"/>
    </row>
    <row r="83" spans="1:14" customFormat="1" ht="15.75" customHeight="1" x14ac:dyDescent="0.25">
      <c r="A83" s="75" t="s">
        <v>271</v>
      </c>
      <c r="B83" s="76" t="s">
        <v>271</v>
      </c>
      <c r="C83" s="38">
        <v>4</v>
      </c>
      <c r="D83" s="39">
        <f ca="1">((100/H74)*C83)/100</f>
        <v>0.57142857142857151</v>
      </c>
      <c r="E83" s="79"/>
      <c r="F83" s="80"/>
      <c r="G83" s="79"/>
      <c r="H83" s="84"/>
      <c r="I83" s="21" t="s">
        <v>272</v>
      </c>
      <c r="J83" s="46">
        <f>(IF(B74&gt;3,(H74/(B74+2)+J82),0))</f>
        <v>0</v>
      </c>
      <c r="K83" s="45"/>
      <c r="L83" s="44"/>
    </row>
    <row r="84" spans="1:14" customFormat="1" ht="15.75" customHeight="1" x14ac:dyDescent="0.25">
      <c r="A84" s="75" t="s">
        <v>273</v>
      </c>
      <c r="B84" s="76"/>
      <c r="C84" s="38">
        <v>2</v>
      </c>
      <c r="D84" s="39">
        <f ca="1">((100/H74)*C84)/100</f>
        <v>0.28571428571428575</v>
      </c>
      <c r="E84" s="79"/>
      <c r="F84" s="80"/>
      <c r="G84" s="79"/>
      <c r="H84" s="84"/>
      <c r="I84" s="21" t="s">
        <v>274</v>
      </c>
      <c r="J84" s="42">
        <f>(IF(B74&gt;4,(H74/(B74+2)+J83),0))</f>
        <v>0</v>
      </c>
      <c r="K84" s="43"/>
      <c r="L84" s="44"/>
    </row>
    <row r="85" spans="1:14" customFormat="1" ht="15.75" customHeight="1" x14ac:dyDescent="0.25">
      <c r="A85" s="75" t="s">
        <v>275</v>
      </c>
      <c r="B85" s="76" t="s">
        <v>275</v>
      </c>
      <c r="C85" s="38">
        <v>0</v>
      </c>
      <c r="D85" s="39">
        <f ca="1">((100/(H74))*C85)/100</f>
        <v>0</v>
      </c>
      <c r="E85" s="79"/>
      <c r="F85" s="80"/>
      <c r="G85" s="79"/>
      <c r="H85" s="84"/>
      <c r="I85" s="21" t="s">
        <v>146</v>
      </c>
      <c r="J85" s="42">
        <f ca="1">(IF(B74=1,(H74/(B74+3)+J80),IF(B74=0,(H74/4+J80),IF(B74&gt;1,0))))</f>
        <v>5.25</v>
      </c>
      <c r="K85" s="45"/>
      <c r="L85" s="44"/>
    </row>
    <row r="86" spans="1:14" customFormat="1" ht="16.5" thickBot="1" x14ac:dyDescent="0.3">
      <c r="A86" s="88" t="s">
        <v>276</v>
      </c>
      <c r="B86" s="89"/>
      <c r="C86" s="47">
        <v>0</v>
      </c>
      <c r="D86" s="48">
        <f ca="1">((100/(H74))*C86)/100</f>
        <v>0</v>
      </c>
      <c r="E86" s="81"/>
      <c r="F86" s="82"/>
      <c r="G86" s="81"/>
      <c r="H86" s="85"/>
      <c r="I86" s="24" t="s">
        <v>147</v>
      </c>
      <c r="J86" s="49">
        <f ca="1">(IF(B74&gt;1.5,(H74/(B74+2)+J80+MAX(0,J81-J80)+MAX(0,J82-J81)+MAX(0,J83-J82)+MAX(0,J84-J83)+MAX(0,J85-J84)),IF(B74=1,(H74/(B74+3)+J85),IF(B74=0,H74/4+J85))))</f>
        <v>7</v>
      </c>
      <c r="K86" s="45"/>
      <c r="L86" s="44"/>
    </row>
    <row r="87" spans="1:14" customFormat="1" ht="15.75" customHeight="1" x14ac:dyDescent="0.25">
      <c r="A87" s="161" t="s">
        <v>259</v>
      </c>
      <c r="B87" s="162"/>
      <c r="C87" s="163" t="s">
        <v>277</v>
      </c>
      <c r="D87" s="164"/>
      <c r="E87" s="164"/>
      <c r="F87" s="164"/>
      <c r="G87" s="164"/>
      <c r="H87" s="165"/>
      <c r="I87" s="22" t="str">
        <f ca="1">(IF(E91&gt;99%,"All work completed. Please provide OC.",IF(E91&gt;89.8%,"Plinth, RCC, Brick, Plaster, Flooring, Painting work Completed. Finishing work is in process.",IF(E91&lt;94%,(IF(C91=0,"Work not yet Started.",IF(D91=25%,"Piling work in process",IF(D91=50%,"Excavation work in process",IF(D91=100%,"Excavation work Completed. ","0")))&amp;(IF(C92=0%,"",IF(C92=J93,"Footing work is process",IF(C92=J94,"Footing work Completed",IF(C92=J95,"1st Basement Completed",IF(C92=J96,"1st &amp; 2nd Basement Completed",IF(C92=J97,"1st to 3rd Basement Completed",IF(C92=J98,"1st to 4th Basement Completed",IF(C92=J99,"Plinth work is process",IF(C92=J100,"Plinth work completed","0")))))))))))&amp;(IF(C93=(D88+F88+H88),", RCC Slab",IF(C93&gt;0,", RCC upto "&amp;C93&amp;" Slab",""))&amp;(IF(C94=H88,", Brickwork",IF(C94&gt;0,", Brickwork upto "&amp;C94&amp;" Floor",""))&amp;(IF(C95=H88,", Internal Plaster",IF(C95&gt;0,", Internal Plaster upto "&amp;C95&amp;" Floor",""))&amp;(IF(C96=H88,", External Plaster",IF(C96&gt;0,", External Plaster upto "&amp;C96&amp;" Floor",""))&amp;(IF(C97=H88,", Flooring",IF(C97&gt;0,", Flooring upto "&amp;C97&amp;" Floor",""))&amp;(IF(C98=H88,", Painting",IF(C98&gt;0,", Painting upto "&amp;C98&amp;" Floor",""))&amp;(IF(C99&gt;0,", Finishing upto "&amp;C99&amp;" Floor","")&amp;(IF(C93&gt;0.5," Completed",""))))))))))))))</f>
        <v>Work not yet Started.</v>
      </c>
      <c r="J87" s="35"/>
    </row>
    <row r="88" spans="1:14" customFormat="1" x14ac:dyDescent="0.25">
      <c r="A88" s="30" t="s">
        <v>105</v>
      </c>
      <c r="B88" s="29">
        <v>0</v>
      </c>
      <c r="C88" s="29" t="s">
        <v>107</v>
      </c>
      <c r="D88" s="29">
        <v>1</v>
      </c>
      <c r="E88" s="29" t="s">
        <v>106</v>
      </c>
      <c r="F88" s="29">
        <v>0</v>
      </c>
      <c r="G88" s="29" t="s">
        <v>120</v>
      </c>
      <c r="H88" s="18">
        <f ca="1">--TRIM(RIGHT(SUBSTITUTE(LEFT(C87,_xlfn.AGGREGATE(16,6,FIND({0,1,2,3,4,5,6,7,8,9},C87,ROW(INDIRECT("1:"&amp;LEN(C87)))),1))," ",REPT(" ",LEN(C87))),LEN(C87)))</f>
        <v>7</v>
      </c>
      <c r="I88" s="23"/>
      <c r="J88" s="36"/>
    </row>
    <row r="89" spans="1:14" customFormat="1" x14ac:dyDescent="0.25">
      <c r="A89" s="166" t="s">
        <v>131</v>
      </c>
      <c r="B89" s="71"/>
      <c r="C89" s="167" t="str">
        <f ca="1">I87</f>
        <v>Work not yet Started.</v>
      </c>
      <c r="D89" s="168"/>
      <c r="E89" s="168"/>
      <c r="F89" s="168"/>
      <c r="G89" s="168"/>
      <c r="H89" s="169"/>
      <c r="I89" s="23" t="s">
        <v>148</v>
      </c>
      <c r="J89" s="36"/>
    </row>
    <row r="90" spans="1:14" customFormat="1" x14ac:dyDescent="0.25">
      <c r="A90" s="75" t="s">
        <v>55</v>
      </c>
      <c r="B90" s="76"/>
      <c r="C90" s="25" t="s">
        <v>260</v>
      </c>
      <c r="D90" s="25" t="s">
        <v>123</v>
      </c>
      <c r="E90" s="170" t="s">
        <v>125</v>
      </c>
      <c r="F90" s="171"/>
      <c r="G90" s="170" t="s">
        <v>124</v>
      </c>
      <c r="H90" s="172"/>
      <c r="I90" s="21" t="s">
        <v>261</v>
      </c>
      <c r="J90" s="37">
        <f ca="1">H88*25%</f>
        <v>1.75</v>
      </c>
    </row>
    <row r="91" spans="1:14" customFormat="1" x14ac:dyDescent="0.25">
      <c r="A91" s="75" t="s">
        <v>262</v>
      </c>
      <c r="B91" s="76"/>
      <c r="C91" s="38">
        <v>0</v>
      </c>
      <c r="D91" s="39">
        <f ca="1">((100/H88)*C91)/100</f>
        <v>0</v>
      </c>
      <c r="E91" s="77">
        <f ca="1">(((C92/H88*10)+(40/(D88+F88+H88)*C93)+(7.5/(H88)*C94)+(7.5/(H88)*C95)+(10/H88*C96)+(10/H88*C97)+(5/H88*C98)+(5/H88*C99)+(5/H88*C100))/100)</f>
        <v>0</v>
      </c>
      <c r="F91" s="78"/>
      <c r="G91" s="77">
        <f ca="1">((((C91/H88)*20)+((C92/H88)*25)+(30/(H88+F88+D88)*C93)+(5/H88*C94)+(5/H88*C95)+(5/H88*C96)+(5/H88*C97)+(0/H88*C98)+(0/H88*C99)+(5/H88*C100))/100)</f>
        <v>0</v>
      </c>
      <c r="H91" s="83"/>
      <c r="I91" s="21" t="s">
        <v>142</v>
      </c>
      <c r="J91" s="40">
        <f ca="1">H88*50%</f>
        <v>3.5</v>
      </c>
    </row>
    <row r="92" spans="1:14" customFormat="1" x14ac:dyDescent="0.25">
      <c r="A92" s="75" t="s">
        <v>56</v>
      </c>
      <c r="B92" s="76"/>
      <c r="C92" s="41">
        <v>0</v>
      </c>
      <c r="D92" s="39">
        <f ca="1">((100/H88)*C92)/100</f>
        <v>0</v>
      </c>
      <c r="E92" s="79"/>
      <c r="F92" s="80"/>
      <c r="G92" s="79"/>
      <c r="H92" s="84"/>
      <c r="I92" s="21" t="s">
        <v>143</v>
      </c>
      <c r="J92" s="40">
        <f ca="1">H88</f>
        <v>7</v>
      </c>
    </row>
    <row r="93" spans="1:14" customFormat="1" x14ac:dyDescent="0.25">
      <c r="A93" s="75" t="s">
        <v>263</v>
      </c>
      <c r="B93" s="76"/>
      <c r="C93" s="41">
        <v>0</v>
      </c>
      <c r="D93" s="39">
        <f ca="1">((100/(D88+F88+H88))*C93)/100</f>
        <v>0</v>
      </c>
      <c r="E93" s="79"/>
      <c r="F93" s="80"/>
      <c r="G93" s="79"/>
      <c r="H93" s="84"/>
      <c r="I93" s="21" t="s">
        <v>144</v>
      </c>
      <c r="J93" s="42">
        <f ca="1">(IF(B88&gt;1,(H88/(B88+2)),H88/4))</f>
        <v>1.75</v>
      </c>
      <c r="L93" s="43"/>
    </row>
    <row r="94" spans="1:14" customFormat="1" ht="15.75" customHeight="1" x14ac:dyDescent="0.25">
      <c r="A94" s="75" t="s">
        <v>264</v>
      </c>
      <c r="B94" s="76" t="s">
        <v>265</v>
      </c>
      <c r="C94" s="38">
        <v>0</v>
      </c>
      <c r="D94" s="39">
        <f ca="1">((100/H88)*C94)/100</f>
        <v>0</v>
      </c>
      <c r="E94" s="79"/>
      <c r="F94" s="80"/>
      <c r="G94" s="79"/>
      <c r="H94" s="84"/>
      <c r="I94" s="21" t="s">
        <v>145</v>
      </c>
      <c r="J94" s="42">
        <f ca="1">(IF(B88&gt;1,(H88/(B88+2)+J93),H88/4+J93))</f>
        <v>3.5</v>
      </c>
      <c r="L94" s="43"/>
    </row>
    <row r="95" spans="1:14" customFormat="1" ht="15.75" customHeight="1" x14ac:dyDescent="0.25">
      <c r="A95" s="75" t="s">
        <v>266</v>
      </c>
      <c r="B95" s="76" t="s">
        <v>265</v>
      </c>
      <c r="C95" s="38">
        <v>0</v>
      </c>
      <c r="D95" s="39">
        <f ca="1">((100/H88)*C95)/100</f>
        <v>0</v>
      </c>
      <c r="E95" s="79"/>
      <c r="F95" s="80"/>
      <c r="G95" s="79"/>
      <c r="H95" s="84"/>
      <c r="I95" s="21" t="s">
        <v>267</v>
      </c>
      <c r="J95" s="42">
        <f>(IF(B88&gt;1,(H88/(B88+2)+J94),0))</f>
        <v>0</v>
      </c>
      <c r="L95" s="44"/>
      <c r="N95" s="43"/>
    </row>
    <row r="96" spans="1:14" customFormat="1" ht="15.75" customHeight="1" x14ac:dyDescent="0.25">
      <c r="A96" s="75" t="s">
        <v>268</v>
      </c>
      <c r="B96" s="76" t="s">
        <v>269</v>
      </c>
      <c r="C96" s="38">
        <v>0</v>
      </c>
      <c r="D96" s="39">
        <f ca="1">((100/(H88))*C96)/100</f>
        <v>0</v>
      </c>
      <c r="E96" s="79"/>
      <c r="F96" s="80"/>
      <c r="G96" s="79"/>
      <c r="H96" s="84"/>
      <c r="I96" s="21" t="s">
        <v>270</v>
      </c>
      <c r="J96" s="42">
        <f>(IF(B88&gt;2,(H88/(B88+2)+J95),0))</f>
        <v>0</v>
      </c>
      <c r="K96" s="45"/>
      <c r="L96" s="44"/>
    </row>
    <row r="97" spans="1:12" customFormat="1" ht="15.75" customHeight="1" x14ac:dyDescent="0.25">
      <c r="A97" s="75" t="s">
        <v>271</v>
      </c>
      <c r="B97" s="76" t="s">
        <v>271</v>
      </c>
      <c r="C97" s="38">
        <v>0</v>
      </c>
      <c r="D97" s="39">
        <f ca="1">((100/H88)*C97)/100</f>
        <v>0</v>
      </c>
      <c r="E97" s="79"/>
      <c r="F97" s="80"/>
      <c r="G97" s="79"/>
      <c r="H97" s="84"/>
      <c r="I97" s="21" t="s">
        <v>272</v>
      </c>
      <c r="J97" s="46">
        <f>(IF(B88&gt;3,(H88/(B88+2)+J96),0))</f>
        <v>0</v>
      </c>
      <c r="K97" s="45"/>
      <c r="L97" s="44"/>
    </row>
    <row r="98" spans="1:12" customFormat="1" ht="15.75" customHeight="1" x14ac:dyDescent="0.25">
      <c r="A98" s="75" t="s">
        <v>273</v>
      </c>
      <c r="B98" s="76"/>
      <c r="C98" s="38">
        <v>0</v>
      </c>
      <c r="D98" s="39">
        <f ca="1">((100/H88)*C98)/100</f>
        <v>0</v>
      </c>
      <c r="E98" s="79"/>
      <c r="F98" s="80"/>
      <c r="G98" s="79"/>
      <c r="H98" s="84"/>
      <c r="I98" s="21" t="s">
        <v>274</v>
      </c>
      <c r="J98" s="42">
        <f>(IF(B88&gt;4,(H88/(B88+2)+J97),0))</f>
        <v>0</v>
      </c>
      <c r="K98" s="43"/>
      <c r="L98" s="44"/>
    </row>
    <row r="99" spans="1:12" customFormat="1" ht="15.75" customHeight="1" x14ac:dyDescent="0.25">
      <c r="A99" s="75" t="s">
        <v>275</v>
      </c>
      <c r="B99" s="76" t="s">
        <v>275</v>
      </c>
      <c r="C99" s="38">
        <v>0</v>
      </c>
      <c r="D99" s="39">
        <f ca="1">((100/(H88))*C99)/100</f>
        <v>0</v>
      </c>
      <c r="E99" s="79"/>
      <c r="F99" s="80"/>
      <c r="G99" s="79"/>
      <c r="H99" s="84"/>
      <c r="I99" s="21" t="s">
        <v>146</v>
      </c>
      <c r="J99" s="42">
        <f ca="1">(IF(B88=1,(H88/(B88+3)+J94),IF(B88=0,(H88/4+J94),IF(B88&gt;1,0))))</f>
        <v>5.25</v>
      </c>
      <c r="K99" s="45"/>
      <c r="L99" s="44"/>
    </row>
    <row r="100" spans="1:12" customFormat="1" ht="16.5" thickBot="1" x14ac:dyDescent="0.3">
      <c r="A100" s="88" t="s">
        <v>276</v>
      </c>
      <c r="B100" s="89"/>
      <c r="C100" s="47">
        <v>0</v>
      </c>
      <c r="D100" s="48">
        <f ca="1">((100/(H88))*C100)/100</f>
        <v>0</v>
      </c>
      <c r="E100" s="81"/>
      <c r="F100" s="82"/>
      <c r="G100" s="81"/>
      <c r="H100" s="85"/>
      <c r="I100" s="24" t="s">
        <v>147</v>
      </c>
      <c r="J100" s="49">
        <f ca="1">(IF(B88&gt;1.5,(H88/(B88+2)+J94+MAX(0,J95-J94)+MAX(0,J96-J95)+MAX(0,J97-J96)+MAX(0,J98-J97)+MAX(0,J99-J98)),IF(B88=1,(H88/(B88+3)+J99),IF(B88=0,H88/4+J99))))</f>
        <v>7</v>
      </c>
      <c r="K100" s="45"/>
      <c r="L100" s="44"/>
    </row>
    <row r="101" spans="1:12" x14ac:dyDescent="0.25">
      <c r="A101" s="92" t="s">
        <v>163</v>
      </c>
      <c r="B101" s="93"/>
      <c r="C101" s="93"/>
      <c r="D101" s="93"/>
      <c r="E101" s="94"/>
      <c r="F101" s="92" t="str">
        <f ca="1">(IF(E63="100%","Yes",IF(E63&gt;0%,"Under Construction",IF(E63=0%,"Work not yet Started"))))</f>
        <v>Under Construction</v>
      </c>
      <c r="G101" s="93"/>
      <c r="H101" s="94"/>
    </row>
    <row r="102" spans="1:12" x14ac:dyDescent="0.25">
      <c r="A102" s="72" t="s">
        <v>57</v>
      </c>
      <c r="B102" s="72"/>
      <c r="C102" s="72"/>
      <c r="D102" s="72"/>
      <c r="E102" s="72"/>
      <c r="F102" s="72"/>
      <c r="G102" s="72"/>
      <c r="H102" s="72"/>
    </row>
    <row r="103" spans="1:12" ht="15" customHeight="1" x14ac:dyDescent="0.25">
      <c r="A103" s="71" t="s">
        <v>110</v>
      </c>
      <c r="B103" s="71"/>
      <c r="C103" s="73" t="s">
        <v>111</v>
      </c>
      <c r="D103" s="73"/>
      <c r="E103" s="73"/>
      <c r="F103" s="73"/>
      <c r="G103" s="73"/>
      <c r="H103" s="73"/>
    </row>
    <row r="104" spans="1:12" x14ac:dyDescent="0.25">
      <c r="A104" s="134" t="s">
        <v>58</v>
      </c>
      <c r="B104" s="134"/>
      <c r="C104" s="134"/>
      <c r="D104" s="134"/>
      <c r="E104" s="134"/>
      <c r="F104" s="134"/>
      <c r="G104" s="134"/>
      <c r="H104" s="134"/>
    </row>
    <row r="105" spans="1:12" x14ac:dyDescent="0.25">
      <c r="A105" s="72" t="s">
        <v>112</v>
      </c>
      <c r="B105" s="72"/>
      <c r="C105" s="72"/>
      <c r="D105" s="72"/>
      <c r="E105" s="72"/>
      <c r="F105" s="71">
        <v>3900</v>
      </c>
      <c r="G105" s="71"/>
      <c r="H105" s="71"/>
      <c r="I105" s="63">
        <v>3850</v>
      </c>
      <c r="J105" s="63" t="s">
        <v>288</v>
      </c>
      <c r="K105" s="64">
        <v>45439</v>
      </c>
    </row>
    <row r="106" spans="1:12" ht="31.5" customHeight="1" x14ac:dyDescent="0.25">
      <c r="A106" s="70" t="s">
        <v>256</v>
      </c>
      <c r="B106" s="72"/>
      <c r="C106" s="72"/>
      <c r="D106" s="72"/>
      <c r="E106" s="72"/>
      <c r="F106" s="74">
        <v>7300</v>
      </c>
      <c r="G106" s="74"/>
      <c r="H106" s="74"/>
      <c r="I106" s="65">
        <v>3900</v>
      </c>
      <c r="J106" s="65" t="s">
        <v>288</v>
      </c>
      <c r="K106" s="66">
        <v>45570</v>
      </c>
    </row>
    <row r="107" spans="1:12" ht="31.5" customHeight="1" x14ac:dyDescent="0.25">
      <c r="A107" s="70" t="s">
        <v>257</v>
      </c>
      <c r="B107" s="72"/>
      <c r="C107" s="72"/>
      <c r="D107" s="72"/>
      <c r="E107" s="72"/>
      <c r="F107" s="74">
        <v>6300</v>
      </c>
      <c r="G107" s="74"/>
      <c r="H107" s="74"/>
    </row>
    <row r="108" spans="1:12" x14ac:dyDescent="0.25">
      <c r="A108" s="72" t="s">
        <v>119</v>
      </c>
      <c r="B108" s="72"/>
      <c r="C108" s="72"/>
      <c r="D108" s="72"/>
      <c r="E108" s="72"/>
      <c r="F108" s="74">
        <v>6300</v>
      </c>
      <c r="G108" s="74"/>
      <c r="H108" s="74"/>
    </row>
    <row r="109" spans="1:12" s="50" customFormat="1" hidden="1" x14ac:dyDescent="0.25">
      <c r="A109" s="72" t="s">
        <v>136</v>
      </c>
      <c r="B109" s="72"/>
      <c r="C109" s="72"/>
      <c r="D109" s="72"/>
      <c r="E109" s="72"/>
      <c r="F109" s="74" t="s">
        <v>31</v>
      </c>
      <c r="G109" s="74"/>
      <c r="H109" s="74"/>
    </row>
    <row r="110" spans="1:12" s="50" customFormat="1" x14ac:dyDescent="0.25">
      <c r="A110" s="72" t="s">
        <v>279</v>
      </c>
      <c r="B110" s="72"/>
      <c r="C110" s="72"/>
      <c r="D110" s="72"/>
      <c r="E110" s="72"/>
      <c r="F110" s="130">
        <v>150000</v>
      </c>
      <c r="G110" s="74"/>
      <c r="H110" s="74"/>
    </row>
    <row r="111" spans="1:12" s="50" customFormat="1" x14ac:dyDescent="0.25">
      <c r="A111" s="72" t="s">
        <v>137</v>
      </c>
      <c r="B111" s="72"/>
      <c r="C111" s="72"/>
      <c r="D111" s="72"/>
      <c r="E111" s="72"/>
      <c r="F111" s="74">
        <v>50000</v>
      </c>
      <c r="G111" s="74"/>
      <c r="H111" s="74"/>
    </row>
    <row r="112" spans="1:12" s="50" customFormat="1" hidden="1" x14ac:dyDescent="0.25">
      <c r="A112" s="72" t="s">
        <v>138</v>
      </c>
      <c r="B112" s="72"/>
      <c r="C112" s="72"/>
      <c r="D112" s="72"/>
      <c r="E112" s="72"/>
      <c r="F112" s="74" t="s">
        <v>31</v>
      </c>
      <c r="G112" s="74"/>
      <c r="H112" s="74"/>
    </row>
    <row r="113" spans="1:8" s="50" customFormat="1" hidden="1" x14ac:dyDescent="0.25">
      <c r="A113" s="72" t="s">
        <v>139</v>
      </c>
      <c r="B113" s="72"/>
      <c r="C113" s="72"/>
      <c r="D113" s="72"/>
      <c r="E113" s="72"/>
      <c r="F113" s="74" t="s">
        <v>31</v>
      </c>
      <c r="G113" s="74"/>
      <c r="H113" s="74"/>
    </row>
    <row r="114" spans="1:8" s="50" customFormat="1" hidden="1" x14ac:dyDescent="0.25">
      <c r="A114" s="72" t="s">
        <v>140</v>
      </c>
      <c r="B114" s="72"/>
      <c r="C114" s="72"/>
      <c r="D114" s="72"/>
      <c r="E114" s="72"/>
      <c r="F114" s="74" t="s">
        <v>31</v>
      </c>
      <c r="G114" s="74"/>
      <c r="H114" s="74"/>
    </row>
    <row r="115" spans="1:8" s="50" customFormat="1" x14ac:dyDescent="0.25">
      <c r="A115" s="72" t="s">
        <v>141</v>
      </c>
      <c r="B115" s="72"/>
      <c r="C115" s="72"/>
      <c r="D115" s="72"/>
      <c r="E115" s="72"/>
      <c r="F115" s="74">
        <v>75000</v>
      </c>
      <c r="G115" s="74"/>
      <c r="H115" s="74"/>
    </row>
    <row r="116" spans="1:8" s="50" customFormat="1" x14ac:dyDescent="0.25">
      <c r="A116" s="72" t="s">
        <v>278</v>
      </c>
      <c r="B116" s="72"/>
      <c r="C116" s="72"/>
      <c r="D116" s="72"/>
      <c r="E116" s="72"/>
      <c r="F116" s="130">
        <v>20000</v>
      </c>
      <c r="G116" s="74"/>
      <c r="H116" s="74"/>
    </row>
    <row r="117" spans="1:8" x14ac:dyDescent="0.25">
      <c r="A117" s="72" t="s">
        <v>59</v>
      </c>
      <c r="B117" s="72"/>
      <c r="C117" s="72"/>
      <c r="D117" s="72"/>
      <c r="E117" s="72"/>
      <c r="F117" s="133">
        <v>200000</v>
      </c>
      <c r="G117" s="133"/>
      <c r="H117" s="133"/>
    </row>
    <row r="118" spans="1:8" s="51" customFormat="1" x14ac:dyDescent="0.25">
      <c r="A118" s="134" t="s">
        <v>60</v>
      </c>
      <c r="B118" s="134"/>
      <c r="C118" s="134"/>
      <c r="D118" s="134"/>
      <c r="E118" s="134"/>
      <c r="F118" s="74">
        <f>F105*0.8</f>
        <v>3120</v>
      </c>
      <c r="G118" s="74"/>
      <c r="H118" s="74"/>
    </row>
    <row r="119" spans="1:8" s="52" customFormat="1" ht="15.75" customHeight="1" x14ac:dyDescent="0.25">
      <c r="A119" s="120" t="s">
        <v>113</v>
      </c>
      <c r="B119" s="120"/>
      <c r="C119" s="120"/>
      <c r="D119" s="120"/>
      <c r="E119" s="120"/>
      <c r="F119" s="120"/>
      <c r="G119" s="120"/>
      <c r="H119" s="120"/>
    </row>
    <row r="120" spans="1:8" s="52" customFormat="1" ht="15.75" customHeight="1" x14ac:dyDescent="0.25">
      <c r="A120" s="101" t="s">
        <v>61</v>
      </c>
      <c r="B120" s="101"/>
      <c r="C120" s="99" t="s">
        <v>116</v>
      </c>
      <c r="D120" s="99"/>
      <c r="E120" s="100" t="s">
        <v>62</v>
      </c>
      <c r="F120" s="100"/>
      <c r="G120" s="101" t="s">
        <v>63</v>
      </c>
      <c r="H120" s="101"/>
    </row>
    <row r="121" spans="1:8" s="52" customFormat="1" x14ac:dyDescent="0.25">
      <c r="A121" s="116" t="s">
        <v>179</v>
      </c>
      <c r="B121" s="53" t="s">
        <v>181</v>
      </c>
      <c r="C121" s="118">
        <f>COUNT(D136:D150)+COUNT(D159:D166)</f>
        <v>23</v>
      </c>
      <c r="D121" s="119"/>
      <c r="E121" s="97">
        <f>SUM(D136:D150)+SUM(D159:D166)</f>
        <v>6666.5327039999993</v>
      </c>
      <c r="F121" s="98"/>
      <c r="G121" s="97">
        <f>SUM(F136:F150)+SUM(F159:F166)</f>
        <v>13329</v>
      </c>
      <c r="H121" s="98"/>
    </row>
    <row r="122" spans="1:8" s="52" customFormat="1" x14ac:dyDescent="0.25">
      <c r="A122" s="117"/>
      <c r="B122" s="53" t="s">
        <v>183</v>
      </c>
      <c r="C122" s="118">
        <f>COUNT(D152:D158)</f>
        <v>7</v>
      </c>
      <c r="D122" s="119"/>
      <c r="E122" s="90">
        <f>SUM(D152:D158)</f>
        <v>1755.4361759999997</v>
      </c>
      <c r="F122" s="91"/>
      <c r="G122" s="90">
        <f>SUM(F152:F158)</f>
        <v>3540</v>
      </c>
      <c r="H122" s="91"/>
    </row>
    <row r="123" spans="1:8" s="54" customFormat="1" x14ac:dyDescent="0.25">
      <c r="A123" s="120" t="s">
        <v>65</v>
      </c>
      <c r="B123" s="120"/>
      <c r="C123" s="121">
        <f>SUM(C121:C122)</f>
        <v>30</v>
      </c>
      <c r="D123" s="99"/>
      <c r="E123" s="122">
        <f>SUM(E121:E122)</f>
        <v>8421.9688799999985</v>
      </c>
      <c r="F123" s="123"/>
      <c r="G123" s="124">
        <f>SUM(G121:G122)</f>
        <v>16869</v>
      </c>
      <c r="H123" s="125"/>
    </row>
    <row r="124" spans="1:8" s="52" customFormat="1" x14ac:dyDescent="0.25">
      <c r="A124" s="120" t="s">
        <v>104</v>
      </c>
      <c r="B124" s="120"/>
      <c r="C124" s="120"/>
      <c r="D124" s="120"/>
      <c r="E124" s="120"/>
      <c r="F124" s="120"/>
      <c r="G124" s="120"/>
      <c r="H124" s="120"/>
    </row>
    <row r="125" spans="1:8" s="52" customFormat="1" ht="15.75" customHeight="1" x14ac:dyDescent="0.25">
      <c r="A125" s="101" t="s">
        <v>61</v>
      </c>
      <c r="B125" s="101"/>
      <c r="C125" s="99" t="s">
        <v>116</v>
      </c>
      <c r="D125" s="99"/>
      <c r="E125" s="100" t="s">
        <v>62</v>
      </c>
      <c r="F125" s="100"/>
      <c r="G125" s="101" t="s">
        <v>63</v>
      </c>
      <c r="H125" s="101"/>
    </row>
    <row r="126" spans="1:8" s="52" customFormat="1" ht="15.75" customHeight="1" x14ac:dyDescent="0.25">
      <c r="A126" s="116" t="s">
        <v>179</v>
      </c>
      <c r="B126" s="53" t="s">
        <v>190</v>
      </c>
      <c r="C126" s="95">
        <f>COUNT(D169:D176)+COUNT(D178:D187)+COUNT(D189:D198)*2+COUNT(D200:D209)*3</f>
        <v>68</v>
      </c>
      <c r="D126" s="96"/>
      <c r="E126" s="90">
        <f>SUM(D169:D176)+SUM(D178:D187)+SUM(D189:D198)*2+SUM(D200:D209)*3</f>
        <v>23810.743007999998</v>
      </c>
      <c r="F126" s="91"/>
      <c r="G126" s="90">
        <f>SUM(F169:F176)+SUM(F178:F187)+SUM(F189:F198)*2+SUM(F200:F209)*3</f>
        <v>43364</v>
      </c>
      <c r="H126" s="91"/>
    </row>
    <row r="127" spans="1:8" s="52" customFormat="1" ht="15.75" customHeight="1" x14ac:dyDescent="0.25">
      <c r="A127" s="117"/>
      <c r="B127" s="53" t="s">
        <v>193</v>
      </c>
      <c r="C127" s="95">
        <f>COUNT(D212:D219)+COUNT(D221:D230)+COUNT(D232:D241)*2+COUNT(D243:D252)*3</f>
        <v>68</v>
      </c>
      <c r="D127" s="96"/>
      <c r="E127" s="90">
        <f>SUM(D212:D219)+SUM(D221:D230)+SUM(D232:D241)*2+SUM(D243:D252)*3</f>
        <v>23810.215572000001</v>
      </c>
      <c r="F127" s="91"/>
      <c r="G127" s="90">
        <f>SUM(F212:F219)+SUM(F221:F230)+SUM(F232:F241)*2+SUM(F243:F252)*3</f>
        <v>43621</v>
      </c>
      <c r="H127" s="91"/>
    </row>
    <row r="128" spans="1:8" s="52" customFormat="1" ht="15.75" customHeight="1" x14ac:dyDescent="0.25">
      <c r="A128" s="95" t="s">
        <v>195</v>
      </c>
      <c r="B128" s="96"/>
      <c r="C128" s="95">
        <f>COUNT(D256:D267)*4+COUNT(D269:D280)*3</f>
        <v>84</v>
      </c>
      <c r="D128" s="96"/>
      <c r="E128" s="90">
        <f>SUM(D256:D267)*4+SUM(D269:D280)*3</f>
        <v>27325.102896000004</v>
      </c>
      <c r="F128" s="91"/>
      <c r="G128" s="90">
        <f>SUM(F256:F267)*4+SUM(F269:F280)*3</f>
        <v>51689</v>
      </c>
      <c r="H128" s="91"/>
    </row>
    <row r="129" spans="1:21" s="52" customFormat="1" x14ac:dyDescent="0.25">
      <c r="A129" s="120" t="s">
        <v>65</v>
      </c>
      <c r="B129" s="120"/>
      <c r="C129" s="99">
        <f>SUM(C126:C128)</f>
        <v>220</v>
      </c>
      <c r="D129" s="99"/>
      <c r="E129" s="129">
        <f>SUM(E126:E128)</f>
        <v>74946.061476000003</v>
      </c>
      <c r="F129" s="100"/>
      <c r="G129" s="101">
        <f>SUM(G126:G128)</f>
        <v>138674</v>
      </c>
      <c r="H129" s="101"/>
    </row>
    <row r="130" spans="1:21" s="51" customFormat="1" x14ac:dyDescent="0.25">
      <c r="A130" s="126" t="s">
        <v>66</v>
      </c>
      <c r="B130" s="126"/>
      <c r="C130" s="126"/>
      <c r="D130" s="126"/>
      <c r="E130" s="126"/>
      <c r="F130" s="126"/>
      <c r="G130" s="126"/>
      <c r="H130" s="126"/>
    </row>
    <row r="131" spans="1:21" x14ac:dyDescent="0.25">
      <c r="A131" s="126" t="s">
        <v>67</v>
      </c>
      <c r="B131" s="126"/>
      <c r="C131" s="126"/>
      <c r="D131" s="126"/>
      <c r="E131" s="126"/>
      <c r="F131" s="126"/>
      <c r="G131" s="126"/>
      <c r="H131" s="126"/>
    </row>
    <row r="132" spans="1:21" ht="47.25" customHeight="1" x14ac:dyDescent="0.25">
      <c r="A132" s="19" t="s">
        <v>166</v>
      </c>
      <c r="B132" s="19" t="s">
        <v>165</v>
      </c>
      <c r="C132" s="19" t="s">
        <v>68</v>
      </c>
      <c r="D132" s="19" t="s">
        <v>69</v>
      </c>
      <c r="E132" s="20" t="s">
        <v>70</v>
      </c>
      <c r="F132" s="19" t="s">
        <v>255</v>
      </c>
      <c r="G132" s="127" t="s">
        <v>71</v>
      </c>
      <c r="H132" s="128"/>
    </row>
    <row r="133" spans="1:21" s="55" customFormat="1" x14ac:dyDescent="0.25">
      <c r="A133" s="102" t="s">
        <v>179</v>
      </c>
      <c r="B133" s="103"/>
      <c r="C133" s="103"/>
      <c r="D133" s="103"/>
      <c r="E133" s="103"/>
      <c r="F133" s="103"/>
      <c r="G133" s="103"/>
      <c r="H133" s="104"/>
    </row>
    <row r="134" spans="1:21" s="55" customFormat="1" x14ac:dyDescent="0.25">
      <c r="A134" s="102" t="s">
        <v>180</v>
      </c>
      <c r="B134" s="103"/>
      <c r="C134" s="103"/>
      <c r="D134" s="103"/>
      <c r="E134" s="103"/>
      <c r="F134" s="103"/>
      <c r="G134" s="103"/>
      <c r="H134" s="104"/>
    </row>
    <row r="135" spans="1:21" s="55" customFormat="1" x14ac:dyDescent="0.25">
      <c r="A135" s="102" t="s">
        <v>184</v>
      </c>
      <c r="B135" s="103"/>
      <c r="C135" s="103"/>
      <c r="D135" s="103"/>
      <c r="E135" s="103"/>
      <c r="F135" s="103"/>
      <c r="G135" s="103"/>
      <c r="H135" s="104"/>
    </row>
    <row r="136" spans="1:21" s="55" customFormat="1" ht="15.75" customHeight="1" x14ac:dyDescent="0.25">
      <c r="A136" s="105">
        <v>1</v>
      </c>
      <c r="B136" s="106"/>
      <c r="C136" s="27" t="s">
        <v>181</v>
      </c>
      <c r="D136" s="27">
        <f>25.567*10.764</f>
        <v>275.20318800000001</v>
      </c>
      <c r="E136" s="27">
        <v>0</v>
      </c>
      <c r="F136" s="27">
        <v>554</v>
      </c>
      <c r="G136" s="110" t="str">
        <f>A135</f>
        <v>Ground Floor for Commercial, Parking &amp; Amenities</v>
      </c>
      <c r="H136" s="111"/>
      <c r="I136" s="56">
        <f>4000000/F136</f>
        <v>7220.2166064981948</v>
      </c>
      <c r="S136" s="109"/>
      <c r="T136" s="109"/>
      <c r="U136" s="56"/>
    </row>
    <row r="137" spans="1:21" s="55" customFormat="1" ht="15.75" customHeight="1" x14ac:dyDescent="0.25">
      <c r="A137" s="105">
        <f>A136+1</f>
        <v>2</v>
      </c>
      <c r="B137" s="106"/>
      <c r="C137" s="27" t="s">
        <v>181</v>
      </c>
      <c r="D137" s="27">
        <f>27.692*10.764</f>
        <v>298.07668799999999</v>
      </c>
      <c r="E137" s="27">
        <v>0</v>
      </c>
      <c r="F137" s="27">
        <v>600</v>
      </c>
      <c r="G137" s="112"/>
      <c r="H137" s="113"/>
      <c r="I137" s="56"/>
      <c r="S137" s="109"/>
      <c r="T137" s="109"/>
      <c r="U137" s="56"/>
    </row>
    <row r="138" spans="1:21" s="55" customFormat="1" ht="15.75" customHeight="1" x14ac:dyDescent="0.25">
      <c r="A138" s="105">
        <f t="shared" ref="A138:A140" si="0">A137+1</f>
        <v>3</v>
      </c>
      <c r="B138" s="106"/>
      <c r="C138" s="27" t="s">
        <v>181</v>
      </c>
      <c r="D138" s="27">
        <f>22.805*10.764</f>
        <v>245.47301999999999</v>
      </c>
      <c r="E138" s="27">
        <v>0</v>
      </c>
      <c r="F138" s="27">
        <v>491</v>
      </c>
      <c r="G138" s="112"/>
      <c r="H138" s="113"/>
      <c r="I138" s="56"/>
      <c r="S138" s="109"/>
      <c r="T138" s="109"/>
      <c r="U138" s="56"/>
    </row>
    <row r="139" spans="1:21" s="55" customFormat="1" ht="15.75" customHeight="1" x14ac:dyDescent="0.25">
      <c r="A139" s="105">
        <f t="shared" si="0"/>
        <v>4</v>
      </c>
      <c r="B139" s="106"/>
      <c r="C139" s="27" t="s">
        <v>181</v>
      </c>
      <c r="D139" s="27">
        <f>40.971*10.764</f>
        <v>441.01184399999994</v>
      </c>
      <c r="E139" s="27">
        <v>0</v>
      </c>
      <c r="F139" s="27">
        <v>886</v>
      </c>
      <c r="G139" s="112"/>
      <c r="H139" s="113"/>
      <c r="I139" s="56"/>
      <c r="S139" s="109"/>
      <c r="T139" s="109"/>
      <c r="U139" s="56"/>
    </row>
    <row r="140" spans="1:21" s="55" customFormat="1" ht="15.75" customHeight="1" x14ac:dyDescent="0.25">
      <c r="A140" s="105">
        <f t="shared" si="0"/>
        <v>5</v>
      </c>
      <c r="B140" s="106"/>
      <c r="C140" s="27" t="s">
        <v>181</v>
      </c>
      <c r="D140" s="27">
        <f>31.757*10.764</f>
        <v>341.83234799999997</v>
      </c>
      <c r="E140" s="27">
        <v>0</v>
      </c>
      <c r="F140" s="27">
        <v>688</v>
      </c>
      <c r="G140" s="112"/>
      <c r="H140" s="113"/>
      <c r="I140" s="56"/>
      <c r="S140" s="109"/>
      <c r="T140" s="109"/>
      <c r="U140" s="56"/>
    </row>
    <row r="141" spans="1:21" s="55" customFormat="1" ht="15.75" customHeight="1" x14ac:dyDescent="0.25">
      <c r="A141" s="105">
        <f t="shared" ref="A141:A142" si="1">A140+1</f>
        <v>6</v>
      </c>
      <c r="B141" s="106"/>
      <c r="C141" s="27" t="s">
        <v>181</v>
      </c>
      <c r="D141" s="27">
        <f>25.6*10.764</f>
        <v>275.55840000000001</v>
      </c>
      <c r="E141" s="27">
        <v>0</v>
      </c>
      <c r="F141" s="27">
        <v>555</v>
      </c>
      <c r="G141" s="112"/>
      <c r="H141" s="113"/>
      <c r="I141" s="56"/>
      <c r="S141" s="109"/>
      <c r="T141" s="109"/>
      <c r="U141" s="56"/>
    </row>
    <row r="142" spans="1:21" s="55" customFormat="1" ht="15.75" customHeight="1" x14ac:dyDescent="0.25">
      <c r="A142" s="105">
        <f t="shared" si="1"/>
        <v>7</v>
      </c>
      <c r="B142" s="106"/>
      <c r="C142" s="27" t="s">
        <v>181</v>
      </c>
      <c r="D142" s="27">
        <f>29.816*10.764</f>
        <v>320.93942399999997</v>
      </c>
      <c r="E142" s="27">
        <v>0</v>
      </c>
      <c r="F142" s="27">
        <v>646</v>
      </c>
      <c r="G142" s="112"/>
      <c r="H142" s="113"/>
      <c r="I142" s="56"/>
      <c r="S142" s="109"/>
      <c r="T142" s="109"/>
      <c r="U142" s="56"/>
    </row>
    <row r="143" spans="1:21" s="55" customFormat="1" ht="15.75" customHeight="1" x14ac:dyDescent="0.25">
      <c r="A143" s="105">
        <f>A142+1</f>
        <v>8</v>
      </c>
      <c r="B143" s="106"/>
      <c r="C143" s="27" t="s">
        <v>181</v>
      </c>
      <c r="D143" s="27">
        <f>29.816*10.764</f>
        <v>320.93942399999997</v>
      </c>
      <c r="E143" s="27">
        <v>0</v>
      </c>
      <c r="F143" s="27">
        <v>646</v>
      </c>
      <c r="G143" s="112"/>
      <c r="H143" s="113"/>
      <c r="I143" s="56"/>
      <c r="S143" s="109"/>
      <c r="T143" s="109"/>
      <c r="U143" s="56"/>
    </row>
    <row r="144" spans="1:21" s="55" customFormat="1" ht="15.75" customHeight="1" x14ac:dyDescent="0.25">
      <c r="A144" s="105">
        <f t="shared" ref="A144:A148" si="2">A143+1</f>
        <v>9</v>
      </c>
      <c r="B144" s="106"/>
      <c r="C144" s="27" t="s">
        <v>181</v>
      </c>
      <c r="D144" s="27">
        <f>25.6*10.764</f>
        <v>275.55840000000001</v>
      </c>
      <c r="E144" s="27">
        <v>0</v>
      </c>
      <c r="F144" s="27">
        <v>555</v>
      </c>
      <c r="G144" s="112"/>
      <c r="H144" s="113"/>
      <c r="I144" s="56"/>
      <c r="S144" s="109"/>
      <c r="T144" s="109"/>
      <c r="U144" s="56"/>
    </row>
    <row r="145" spans="1:21" s="55" customFormat="1" ht="15.75" customHeight="1" x14ac:dyDescent="0.25">
      <c r="A145" s="105">
        <f t="shared" si="2"/>
        <v>10</v>
      </c>
      <c r="B145" s="106"/>
      <c r="C145" s="27" t="s">
        <v>181</v>
      </c>
      <c r="D145" s="27">
        <f>31.757*10.764</f>
        <v>341.83234799999997</v>
      </c>
      <c r="E145" s="27">
        <v>0</v>
      </c>
      <c r="F145" s="27">
        <v>688</v>
      </c>
      <c r="G145" s="112"/>
      <c r="H145" s="113"/>
      <c r="I145" s="56"/>
      <c r="S145" s="109"/>
      <c r="T145" s="109"/>
      <c r="U145" s="56"/>
    </row>
    <row r="146" spans="1:21" s="55" customFormat="1" ht="15.75" customHeight="1" x14ac:dyDescent="0.25">
      <c r="A146" s="105">
        <f t="shared" si="2"/>
        <v>11</v>
      </c>
      <c r="B146" s="106"/>
      <c r="C146" s="27" t="s">
        <v>181</v>
      </c>
      <c r="D146" s="27">
        <f>40.971*10.764</f>
        <v>441.01184399999994</v>
      </c>
      <c r="E146" s="27">
        <v>0</v>
      </c>
      <c r="F146" s="27">
        <v>886</v>
      </c>
      <c r="G146" s="112"/>
      <c r="H146" s="113"/>
      <c r="I146" s="56"/>
      <c r="S146" s="109"/>
      <c r="T146" s="109"/>
      <c r="U146" s="56"/>
    </row>
    <row r="147" spans="1:21" s="55" customFormat="1" ht="15.75" customHeight="1" x14ac:dyDescent="0.25">
      <c r="A147" s="105">
        <f t="shared" si="2"/>
        <v>12</v>
      </c>
      <c r="B147" s="106"/>
      <c r="C147" s="27" t="s">
        <v>181</v>
      </c>
      <c r="D147" s="27">
        <f>22.805*10.764</f>
        <v>245.47301999999999</v>
      </c>
      <c r="E147" s="27">
        <v>0</v>
      </c>
      <c r="F147" s="27">
        <v>491</v>
      </c>
      <c r="G147" s="112"/>
      <c r="H147" s="113"/>
      <c r="I147" s="56"/>
      <c r="S147" s="109"/>
      <c r="T147" s="109"/>
      <c r="U147" s="56"/>
    </row>
    <row r="148" spans="1:21" s="55" customFormat="1" ht="15.75" customHeight="1" x14ac:dyDescent="0.25">
      <c r="A148" s="105">
        <f t="shared" si="2"/>
        <v>13</v>
      </c>
      <c r="B148" s="106"/>
      <c r="C148" s="27" t="s">
        <v>181</v>
      </c>
      <c r="D148" s="27">
        <f>27.692*10.764</f>
        <v>298.07668799999999</v>
      </c>
      <c r="E148" s="27">
        <v>0</v>
      </c>
      <c r="F148" s="27">
        <v>600</v>
      </c>
      <c r="G148" s="112"/>
      <c r="H148" s="113"/>
      <c r="I148" s="56"/>
      <c r="S148" s="109"/>
      <c r="T148" s="109"/>
      <c r="U148" s="56"/>
    </row>
    <row r="149" spans="1:21" s="55" customFormat="1" ht="15.75" customHeight="1" x14ac:dyDescent="0.25">
      <c r="A149" s="105">
        <f>A148+1</f>
        <v>14</v>
      </c>
      <c r="B149" s="106"/>
      <c r="C149" s="27" t="s">
        <v>181</v>
      </c>
      <c r="D149" s="27">
        <f>29.385*10.764</f>
        <v>316.30014</v>
      </c>
      <c r="E149" s="27">
        <v>0</v>
      </c>
      <c r="F149" s="27">
        <v>637</v>
      </c>
      <c r="G149" s="112"/>
      <c r="H149" s="113"/>
      <c r="I149" s="56"/>
      <c r="S149" s="109"/>
      <c r="T149" s="109"/>
      <c r="U149" s="56"/>
    </row>
    <row r="150" spans="1:21" s="55" customFormat="1" ht="15.75" customHeight="1" x14ac:dyDescent="0.25">
      <c r="A150" s="105">
        <f t="shared" ref="A150" si="3">A149+1</f>
        <v>15</v>
      </c>
      <c r="B150" s="106"/>
      <c r="C150" s="27" t="s">
        <v>181</v>
      </c>
      <c r="D150" s="27">
        <f>25.09*10.764</f>
        <v>270.06876</v>
      </c>
      <c r="E150" s="27">
        <v>0</v>
      </c>
      <c r="F150" s="27">
        <v>545</v>
      </c>
      <c r="G150" s="114"/>
      <c r="H150" s="115"/>
      <c r="I150" s="56"/>
      <c r="S150" s="109"/>
      <c r="T150" s="109"/>
      <c r="U150" s="56"/>
    </row>
    <row r="151" spans="1:21" s="55" customFormat="1" x14ac:dyDescent="0.25">
      <c r="A151" s="108" t="s">
        <v>182</v>
      </c>
      <c r="B151" s="108"/>
      <c r="C151" s="108"/>
      <c r="D151" s="108"/>
      <c r="E151" s="108"/>
      <c r="F151" s="108"/>
      <c r="G151" s="108"/>
      <c r="H151" s="108"/>
      <c r="I151" s="56"/>
      <c r="S151" s="109"/>
      <c r="T151" s="109"/>
      <c r="U151" s="56"/>
    </row>
    <row r="152" spans="1:21" s="55" customFormat="1" ht="15.6" customHeight="1" x14ac:dyDescent="0.25">
      <c r="A152" s="107">
        <v>1</v>
      </c>
      <c r="B152" s="107"/>
      <c r="C152" s="69" t="s">
        <v>183</v>
      </c>
      <c r="D152" s="69">
        <f>20.354*10.764</f>
        <v>219.09045599999999</v>
      </c>
      <c r="E152" s="69">
        <v>0</v>
      </c>
      <c r="F152" s="69">
        <v>442</v>
      </c>
      <c r="G152" s="107" t="str">
        <f>A151</f>
        <v>1st Floor for Commercial</v>
      </c>
      <c r="H152" s="107"/>
      <c r="I152" s="56">
        <f>3000000/F152</f>
        <v>6787.3303167420818</v>
      </c>
      <c r="S152" s="109"/>
      <c r="T152" s="109"/>
      <c r="U152" s="56"/>
    </row>
    <row r="153" spans="1:21" s="55" customFormat="1" ht="15.6" customHeight="1" x14ac:dyDescent="0.25">
      <c r="A153" s="107">
        <f>A152+1</f>
        <v>2</v>
      </c>
      <c r="B153" s="107"/>
      <c r="C153" s="69" t="s">
        <v>183</v>
      </c>
      <c r="D153" s="69">
        <f>18.2*10.764</f>
        <v>195.90479999999999</v>
      </c>
      <c r="E153" s="69">
        <v>0</v>
      </c>
      <c r="F153" s="69">
        <v>396</v>
      </c>
      <c r="G153" s="107"/>
      <c r="H153" s="107"/>
      <c r="I153" s="56"/>
      <c r="S153" s="109"/>
      <c r="T153" s="109"/>
      <c r="U153" s="56"/>
    </row>
    <row r="154" spans="1:21" s="55" customFormat="1" ht="15.6" customHeight="1" x14ac:dyDescent="0.25">
      <c r="A154" s="107">
        <f t="shared" ref="A154:A158" si="4">A153+1</f>
        <v>3</v>
      </c>
      <c r="B154" s="107"/>
      <c r="C154" s="69" t="s">
        <v>183</v>
      </c>
      <c r="D154" s="69">
        <f>15.809*10.764</f>
        <v>170.16807599999999</v>
      </c>
      <c r="E154" s="69">
        <v>0</v>
      </c>
      <c r="F154" s="69">
        <v>344</v>
      </c>
      <c r="G154" s="107"/>
      <c r="H154" s="107"/>
      <c r="I154" s="56"/>
      <c r="S154" s="109"/>
      <c r="T154" s="109"/>
      <c r="U154" s="56"/>
    </row>
    <row r="155" spans="1:21" s="55" customFormat="1" ht="15.6" customHeight="1" x14ac:dyDescent="0.25">
      <c r="A155" s="107">
        <f t="shared" si="4"/>
        <v>4</v>
      </c>
      <c r="B155" s="107"/>
      <c r="C155" s="69" t="s">
        <v>183</v>
      </c>
      <c r="D155" s="69">
        <f>33.94*10.764</f>
        <v>365.33015999999998</v>
      </c>
      <c r="E155" s="69">
        <v>0</v>
      </c>
      <c r="F155" s="69">
        <v>735</v>
      </c>
      <c r="G155" s="107"/>
      <c r="H155" s="107"/>
      <c r="I155" s="56"/>
      <c r="U155" s="56"/>
    </row>
    <row r="156" spans="1:21" s="55" customFormat="1" ht="15.6" customHeight="1" x14ac:dyDescent="0.25">
      <c r="A156" s="107">
        <f t="shared" si="4"/>
        <v>5</v>
      </c>
      <c r="B156" s="107"/>
      <c r="C156" s="69" t="s">
        <v>183</v>
      </c>
      <c r="D156" s="69">
        <f>27.066*10.764</f>
        <v>291.33842399999997</v>
      </c>
      <c r="E156" s="69">
        <v>0</v>
      </c>
      <c r="F156" s="69">
        <v>588</v>
      </c>
      <c r="G156" s="107"/>
      <c r="H156" s="107"/>
      <c r="I156" s="56"/>
      <c r="U156" s="56"/>
    </row>
    <row r="157" spans="1:21" s="55" customFormat="1" ht="15.6" customHeight="1" x14ac:dyDescent="0.25">
      <c r="A157" s="107">
        <f t="shared" si="4"/>
        <v>6</v>
      </c>
      <c r="B157" s="107"/>
      <c r="C157" s="69" t="s">
        <v>183</v>
      </c>
      <c r="D157" s="69">
        <f>21.749*10.764</f>
        <v>234.10623599999997</v>
      </c>
      <c r="E157" s="69">
        <v>0</v>
      </c>
      <c r="F157" s="69">
        <v>472</v>
      </c>
      <c r="G157" s="107"/>
      <c r="H157" s="107"/>
      <c r="I157" s="56"/>
      <c r="U157" s="56"/>
    </row>
    <row r="158" spans="1:21" s="55" customFormat="1" ht="15.6" customHeight="1" x14ac:dyDescent="0.25">
      <c r="A158" s="107">
        <f t="shared" si="4"/>
        <v>7</v>
      </c>
      <c r="B158" s="107"/>
      <c r="C158" s="69" t="s">
        <v>183</v>
      </c>
      <c r="D158" s="69">
        <f>25.966*10.764</f>
        <v>279.49802399999999</v>
      </c>
      <c r="E158" s="69">
        <v>0</v>
      </c>
      <c r="F158" s="69">
        <v>563</v>
      </c>
      <c r="G158" s="107"/>
      <c r="H158" s="107"/>
      <c r="I158" s="56"/>
      <c r="U158" s="56"/>
    </row>
    <row r="159" spans="1:21" s="55" customFormat="1" ht="15.6" customHeight="1" x14ac:dyDescent="0.25">
      <c r="A159" s="107">
        <f>A158+1</f>
        <v>8</v>
      </c>
      <c r="B159" s="107"/>
      <c r="C159" s="69" t="s">
        <v>181</v>
      </c>
      <c r="D159" s="69">
        <f>25.966*10.764</f>
        <v>279.49802399999999</v>
      </c>
      <c r="E159" s="69">
        <v>0</v>
      </c>
      <c r="F159" s="69">
        <v>563</v>
      </c>
      <c r="G159" s="107"/>
      <c r="H159" s="107"/>
      <c r="I159" s="56"/>
      <c r="U159" s="56"/>
    </row>
    <row r="160" spans="1:21" s="55" customFormat="1" ht="15.6" customHeight="1" x14ac:dyDescent="0.25">
      <c r="A160" s="107">
        <f t="shared" ref="A160:A164" si="5">A159+1</f>
        <v>9</v>
      </c>
      <c r="B160" s="107"/>
      <c r="C160" s="69" t="s">
        <v>181</v>
      </c>
      <c r="D160" s="69">
        <f>21.749*10.764</f>
        <v>234.10623599999997</v>
      </c>
      <c r="E160" s="69">
        <v>0</v>
      </c>
      <c r="F160" s="69">
        <v>472</v>
      </c>
      <c r="G160" s="107"/>
      <c r="H160" s="107"/>
      <c r="I160" s="56"/>
      <c r="U160" s="56"/>
    </row>
    <row r="161" spans="1:22" s="55" customFormat="1" ht="15.6" customHeight="1" x14ac:dyDescent="0.25">
      <c r="A161" s="107">
        <f t="shared" si="5"/>
        <v>10</v>
      </c>
      <c r="B161" s="107"/>
      <c r="C161" s="69" t="s">
        <v>181</v>
      </c>
      <c r="D161" s="69">
        <f>27.066*10.764</f>
        <v>291.33842399999997</v>
      </c>
      <c r="E161" s="69">
        <v>0</v>
      </c>
      <c r="F161" s="69">
        <v>587</v>
      </c>
      <c r="G161" s="107"/>
      <c r="H161" s="107"/>
      <c r="I161" s="56">
        <f>3.35*8*10.764</f>
        <v>288.47519999999997</v>
      </c>
      <c r="U161" s="56"/>
    </row>
    <row r="162" spans="1:22" s="55" customFormat="1" ht="15.6" customHeight="1" x14ac:dyDescent="0.25">
      <c r="A162" s="107">
        <f t="shared" si="5"/>
        <v>11</v>
      </c>
      <c r="B162" s="107"/>
      <c r="C162" s="69" t="s">
        <v>181</v>
      </c>
      <c r="D162" s="69">
        <f>33.94*10.764</f>
        <v>365.33015999999998</v>
      </c>
      <c r="E162" s="69">
        <v>0</v>
      </c>
      <c r="F162" s="69">
        <v>735</v>
      </c>
      <c r="G162" s="107"/>
      <c r="H162" s="107"/>
      <c r="I162" s="56"/>
      <c r="U162" s="56"/>
    </row>
    <row r="163" spans="1:22" s="55" customFormat="1" ht="15.6" customHeight="1" x14ac:dyDescent="0.25">
      <c r="A163" s="107">
        <f t="shared" si="5"/>
        <v>12</v>
      </c>
      <c r="B163" s="107"/>
      <c r="C163" s="69" t="s">
        <v>181</v>
      </c>
      <c r="D163" s="69">
        <f>15.804*10.764</f>
        <v>170.11425599999998</v>
      </c>
      <c r="E163" s="69">
        <v>0</v>
      </c>
      <c r="F163" s="69">
        <v>344</v>
      </c>
      <c r="G163" s="107"/>
      <c r="H163" s="107"/>
      <c r="I163" s="56"/>
      <c r="U163" s="56"/>
    </row>
    <row r="164" spans="1:22" s="55" customFormat="1" ht="15.6" customHeight="1" x14ac:dyDescent="0.25">
      <c r="A164" s="107">
        <f t="shared" si="5"/>
        <v>13</v>
      </c>
      <c r="B164" s="107"/>
      <c r="C164" s="69" t="s">
        <v>181</v>
      </c>
      <c r="D164" s="69">
        <f>18.201*10.764</f>
        <v>195.91556399999999</v>
      </c>
      <c r="E164" s="69">
        <v>0</v>
      </c>
      <c r="F164" s="69">
        <v>306</v>
      </c>
      <c r="G164" s="107"/>
      <c r="H164" s="107"/>
      <c r="I164" s="56"/>
      <c r="U164" s="56"/>
    </row>
    <row r="165" spans="1:22" s="55" customFormat="1" ht="15.6" customHeight="1" x14ac:dyDescent="0.25">
      <c r="A165" s="107">
        <f>A164+1</f>
        <v>14</v>
      </c>
      <c r="B165" s="107"/>
      <c r="C165" s="69" t="s">
        <v>181</v>
      </c>
      <c r="D165" s="69">
        <f>19.309*10.764</f>
        <v>207.84207599999999</v>
      </c>
      <c r="E165" s="69">
        <v>0</v>
      </c>
      <c r="F165" s="69">
        <v>420</v>
      </c>
      <c r="G165" s="107"/>
      <c r="H165" s="107"/>
      <c r="I165" s="56"/>
      <c r="U165" s="56"/>
    </row>
    <row r="166" spans="1:22" s="55" customFormat="1" ht="15.6" customHeight="1" x14ac:dyDescent="0.25">
      <c r="A166" s="107">
        <f t="shared" ref="A166" si="6">A165+1</f>
        <v>15</v>
      </c>
      <c r="B166" s="107"/>
      <c r="C166" s="69" t="s">
        <v>181</v>
      </c>
      <c r="D166" s="69">
        <f>19.977*10.764</f>
        <v>215.03242799999998</v>
      </c>
      <c r="E166" s="69">
        <v>0</v>
      </c>
      <c r="F166" s="69">
        <v>434</v>
      </c>
      <c r="G166" s="107"/>
      <c r="H166" s="107"/>
      <c r="I166" s="56"/>
      <c r="U166" s="56"/>
    </row>
    <row r="167" spans="1:22" s="55" customFormat="1" x14ac:dyDescent="0.25">
      <c r="A167" s="108" t="s">
        <v>190</v>
      </c>
      <c r="B167" s="108"/>
      <c r="C167" s="108"/>
      <c r="D167" s="108"/>
      <c r="E167" s="108"/>
      <c r="F167" s="108"/>
      <c r="G167" s="108"/>
      <c r="H167" s="108"/>
      <c r="I167" s="56"/>
      <c r="U167" s="56"/>
    </row>
    <row r="168" spans="1:22" s="55" customFormat="1" ht="15.75" customHeight="1" x14ac:dyDescent="0.25">
      <c r="A168" s="108" t="s">
        <v>189</v>
      </c>
      <c r="B168" s="108"/>
      <c r="C168" s="108"/>
      <c r="D168" s="108"/>
      <c r="E168" s="108"/>
      <c r="F168" s="108"/>
      <c r="G168" s="108"/>
      <c r="H168" s="108"/>
      <c r="I168" s="56"/>
      <c r="S168" s="109"/>
      <c r="T168" s="109"/>
      <c r="V168" s="55" t="str">
        <f>LEFT(A168,SUM(LEN(A168)-LEN(SUBSTITUTE(A168,{"0","1","2","3","4","5","6","7","8","9"},""))))</f>
        <v>1</v>
      </c>
    </row>
    <row r="169" spans="1:22" s="55" customFormat="1" ht="15.75" customHeight="1" x14ac:dyDescent="0.25">
      <c r="A169" s="107">
        <f t="shared" ref="A169:A175" ca="1" si="7">S169</f>
        <v>101</v>
      </c>
      <c r="B169" s="107"/>
      <c r="C169" s="27" t="s">
        <v>192</v>
      </c>
      <c r="D169" s="27">
        <f>(17.1+2.25+0.72)*10.764</f>
        <v>216.03348</v>
      </c>
      <c r="E169" s="27">
        <f>1.65*2.3*10.764</f>
        <v>40.849379999999989</v>
      </c>
      <c r="F169" s="27">
        <v>415</v>
      </c>
      <c r="G169" s="110" t="str">
        <f>A168</f>
        <v>1st Floor for Residential</v>
      </c>
      <c r="H169" s="111"/>
      <c r="I169" s="56"/>
      <c r="S169" s="109">
        <f t="shared" ref="S169:S176" ca="1" si="8">V169</f>
        <v>101</v>
      </c>
      <c r="T169" s="109"/>
      <c r="U169" s="56">
        <v>1</v>
      </c>
      <c r="V169" s="55">
        <f ca="1">(SUMPRODUCT(MID(0&amp;V168, LARGE(INDEX(ISNUMBER(--MID(V168, ROW(INDIRECT("1:"&amp;LEN(V168))), 1)) * ROW(INDIRECT("1:"&amp;LEN(V168))), 0), ROW(INDIRECT("1:"&amp;LEN(V168))))+1, 1) * 10^ROW(INDIRECT("1:"&amp;LEN(V168)))/10))*U169*100+1</f>
        <v>101</v>
      </c>
    </row>
    <row r="170" spans="1:22" s="55" customFormat="1" ht="15.75" customHeight="1" x14ac:dyDescent="0.25">
      <c r="A170" s="107">
        <f t="shared" ca="1" si="7"/>
        <v>102</v>
      </c>
      <c r="B170" s="107"/>
      <c r="C170" s="27" t="s">
        <v>191</v>
      </c>
      <c r="D170" s="27">
        <f>(24.427+4.825+1.08)*10.764</f>
        <v>326.49364800000001</v>
      </c>
      <c r="E170" s="27">
        <f>2.6*1.7*10.764</f>
        <v>47.576879999999996</v>
      </c>
      <c r="F170" s="27">
        <v>627</v>
      </c>
      <c r="G170" s="112"/>
      <c r="H170" s="113"/>
      <c r="I170" s="56">
        <f>2300000/F170</f>
        <v>3668.2615629984052</v>
      </c>
      <c r="S170" s="109">
        <f t="shared" ca="1" si="8"/>
        <v>102</v>
      </c>
      <c r="T170" s="109"/>
      <c r="U170" s="56">
        <f>U169+1</f>
        <v>2</v>
      </c>
      <c r="V170" s="55">
        <f ca="1">V169+1</f>
        <v>102</v>
      </c>
    </row>
    <row r="171" spans="1:22" s="55" customFormat="1" ht="15.75" customHeight="1" x14ac:dyDescent="0.25">
      <c r="A171" s="107">
        <f t="shared" ca="1" si="7"/>
        <v>103</v>
      </c>
      <c r="B171" s="107"/>
      <c r="C171" s="27" t="s">
        <v>191</v>
      </c>
      <c r="D171" s="27">
        <f>(24.427+4.825+1.08)*10.764</f>
        <v>326.49364800000001</v>
      </c>
      <c r="E171" s="27">
        <f>2.6*1.775*10.764</f>
        <v>49.67586</v>
      </c>
      <c r="F171" s="27">
        <v>627</v>
      </c>
      <c r="G171" s="112"/>
      <c r="H171" s="113"/>
      <c r="I171" s="56"/>
      <c r="S171" s="109">
        <f t="shared" ca="1" si="8"/>
        <v>103</v>
      </c>
      <c r="T171" s="109"/>
      <c r="U171" s="56">
        <f>U170+1</f>
        <v>3</v>
      </c>
      <c r="V171" s="55">
        <f ca="1">V170+1</f>
        <v>103</v>
      </c>
    </row>
    <row r="172" spans="1:22" s="55" customFormat="1" ht="15.75" customHeight="1" x14ac:dyDescent="0.25">
      <c r="A172" s="107">
        <f t="shared" ca="1" si="7"/>
        <v>104</v>
      </c>
      <c r="B172" s="107"/>
      <c r="C172" s="27" t="s">
        <v>191</v>
      </c>
      <c r="D172" s="27">
        <f>(24.527+5.15+1.08)*10.764</f>
        <v>331.06834799999996</v>
      </c>
      <c r="E172" s="27">
        <f t="shared" ref="E172:E174" si="9">2.6*1.775*10.764</f>
        <v>49.67586</v>
      </c>
      <c r="F172" s="27">
        <v>607</v>
      </c>
      <c r="G172" s="112"/>
      <c r="H172" s="113"/>
      <c r="I172" s="56"/>
      <c r="S172" s="109">
        <f t="shared" ca="1" si="8"/>
        <v>104</v>
      </c>
      <c r="T172" s="109"/>
      <c r="U172" s="56">
        <f t="shared" ref="U172:V175" si="10">U171+1</f>
        <v>4</v>
      </c>
      <c r="V172" s="55">
        <f t="shared" ca="1" si="10"/>
        <v>104</v>
      </c>
    </row>
    <row r="173" spans="1:22" s="55" customFormat="1" ht="15.75" customHeight="1" x14ac:dyDescent="0.25">
      <c r="A173" s="107">
        <f t="shared" ca="1" si="7"/>
        <v>105</v>
      </c>
      <c r="B173" s="107"/>
      <c r="C173" s="27" t="s">
        <v>191</v>
      </c>
      <c r="D173" s="27">
        <f>(24.527+5.15+1.08)*10.764</f>
        <v>331.06834799999996</v>
      </c>
      <c r="E173" s="27">
        <f t="shared" si="9"/>
        <v>49.67586</v>
      </c>
      <c r="F173" s="27">
        <v>634</v>
      </c>
      <c r="G173" s="112"/>
      <c r="H173" s="113"/>
      <c r="I173" s="56"/>
      <c r="S173" s="109">
        <f t="shared" ca="1" si="8"/>
        <v>105</v>
      </c>
      <c r="T173" s="109"/>
      <c r="U173" s="56">
        <f t="shared" si="10"/>
        <v>5</v>
      </c>
      <c r="V173" s="55">
        <f t="shared" ca="1" si="10"/>
        <v>105</v>
      </c>
    </row>
    <row r="174" spans="1:22" s="55" customFormat="1" ht="15.75" customHeight="1" x14ac:dyDescent="0.25">
      <c r="A174" s="107">
        <f t="shared" ca="1" si="7"/>
        <v>106</v>
      </c>
      <c r="B174" s="107"/>
      <c r="C174" s="27" t="s">
        <v>191</v>
      </c>
      <c r="D174" s="27">
        <f>(24.449+4.9)*10.764</f>
        <v>315.91263600000002</v>
      </c>
      <c r="E174" s="27">
        <f t="shared" si="9"/>
        <v>49.67586</v>
      </c>
      <c r="F174" s="27">
        <v>611</v>
      </c>
      <c r="G174" s="112"/>
      <c r="H174" s="113"/>
      <c r="I174" s="56"/>
      <c r="S174" s="109">
        <f t="shared" ca="1" si="8"/>
        <v>106</v>
      </c>
      <c r="T174" s="109"/>
      <c r="U174" s="56">
        <f>U173+1</f>
        <v>6</v>
      </c>
      <c r="V174" s="55">
        <f t="shared" ca="1" si="10"/>
        <v>106</v>
      </c>
    </row>
    <row r="175" spans="1:22" s="55" customFormat="1" x14ac:dyDescent="0.25">
      <c r="A175" s="107">
        <f t="shared" ca="1" si="7"/>
        <v>107</v>
      </c>
      <c r="B175" s="107"/>
      <c r="C175" s="27" t="s">
        <v>192</v>
      </c>
      <c r="D175" s="27">
        <f>(18.282+2.3+1.057)*10.764</f>
        <v>232.92219599999999</v>
      </c>
      <c r="E175" s="27">
        <f>2.35*1.1*10.764</f>
        <v>27.824940000000002</v>
      </c>
      <c r="F175" s="27">
        <v>415</v>
      </c>
      <c r="G175" s="112"/>
      <c r="H175" s="113"/>
      <c r="I175" s="56"/>
      <c r="S175" s="109">
        <f t="shared" ca="1" si="8"/>
        <v>107</v>
      </c>
      <c r="T175" s="109"/>
      <c r="U175" s="56">
        <f>U174+1</f>
        <v>7</v>
      </c>
      <c r="V175" s="55">
        <f t="shared" ca="1" si="10"/>
        <v>107</v>
      </c>
    </row>
    <row r="176" spans="1:22" s="55" customFormat="1" x14ac:dyDescent="0.25">
      <c r="A176" s="107">
        <f t="shared" ref="A176" ca="1" si="11">S176</f>
        <v>108</v>
      </c>
      <c r="B176" s="107"/>
      <c r="C176" s="27" t="s">
        <v>191</v>
      </c>
      <c r="D176" s="27">
        <f>(24.45+4.9)*10.764</f>
        <v>315.92340000000002</v>
      </c>
      <c r="E176" s="27">
        <f>1.7*2.6*10.764</f>
        <v>47.576879999999996</v>
      </c>
      <c r="F176" s="27">
        <v>611</v>
      </c>
      <c r="G176" s="114"/>
      <c r="H176" s="115"/>
      <c r="I176" s="56"/>
      <c r="S176" s="109">
        <f t="shared" ca="1" si="8"/>
        <v>108</v>
      </c>
      <c r="T176" s="109"/>
      <c r="U176" s="56">
        <f>U175+1</f>
        <v>8</v>
      </c>
      <c r="V176" s="55">
        <f ca="1">V175+1</f>
        <v>108</v>
      </c>
    </row>
    <row r="177" spans="1:23" s="55" customFormat="1" ht="15.75" customHeight="1" x14ac:dyDescent="0.25">
      <c r="A177" s="108" t="s">
        <v>204</v>
      </c>
      <c r="B177" s="108"/>
      <c r="C177" s="108"/>
      <c r="D177" s="108"/>
      <c r="E177" s="108"/>
      <c r="F177" s="108"/>
      <c r="G177" s="108"/>
      <c r="H177" s="108"/>
      <c r="I177" s="56"/>
      <c r="S177" s="109"/>
      <c r="T177" s="109"/>
      <c r="V177" s="55" t="str">
        <f>LEFT(A177,SUM(LEN(A177)-LEN(SUBSTITUTE(A177,{"0","1","2","3","4","5","6","7","8","9"},""))))</f>
        <v>2</v>
      </c>
    </row>
    <row r="178" spans="1:23" s="55" customFormat="1" ht="15.75" customHeight="1" x14ac:dyDescent="0.25">
      <c r="A178" s="107">
        <f t="shared" ref="A178:A185" ca="1" si="12">S178</f>
        <v>201</v>
      </c>
      <c r="B178" s="107"/>
      <c r="C178" s="27" t="s">
        <v>205</v>
      </c>
      <c r="D178" s="27">
        <f>(34.225+7.475+0.978)*10.764</f>
        <v>459.38599200000004</v>
      </c>
      <c r="E178" s="27">
        <f>(2.675*3.97+2.8*2.7+2*3.47+1.6*6.2)*10.764</f>
        <v>377.16786899999994</v>
      </c>
      <c r="F178" s="27">
        <v>715</v>
      </c>
      <c r="G178" s="110" t="str">
        <f>A177</f>
        <v>2nd Floor</v>
      </c>
      <c r="H178" s="111"/>
      <c r="I178" s="57">
        <v>2.1</v>
      </c>
      <c r="J178" s="55">
        <v>1</v>
      </c>
      <c r="S178" s="109">
        <f t="shared" ref="S178:S185" ca="1" si="13">V178</f>
        <v>201</v>
      </c>
      <c r="T178" s="109"/>
      <c r="U178" s="56">
        <v>1</v>
      </c>
      <c r="V178" s="55">
        <f ca="1">(SUMPRODUCT(MID(0&amp;V177, LARGE(INDEX(ISNUMBER(--MID(V177, ROW(INDIRECT("1:"&amp;LEN(V177))), 1)) * ROW(INDIRECT("1:"&amp;LEN(V177))), 0), ROW(INDIRECT("1:"&amp;LEN(V177))))+1, 1) * 10^ROW(INDIRECT("1:"&amp;LEN(V177)))/10))*U178*100+1</f>
        <v>201</v>
      </c>
    </row>
    <row r="179" spans="1:23" s="55" customFormat="1" ht="15.75" customHeight="1" x14ac:dyDescent="0.25">
      <c r="A179" s="107">
        <f t="shared" ca="1" si="12"/>
        <v>202</v>
      </c>
      <c r="B179" s="107"/>
      <c r="C179" s="27" t="s">
        <v>205</v>
      </c>
      <c r="D179" s="27">
        <f>(35.212+7.4+1.08)*10.764</f>
        <v>470.30068799999998</v>
      </c>
      <c r="E179" s="27">
        <f>(2.65*3.97+2.8*2.7+2*3.47+1.6*6.2)*10.764</f>
        <v>376.09954199999999</v>
      </c>
      <c r="F179" s="27">
        <v>734</v>
      </c>
      <c r="G179" s="112"/>
      <c r="H179" s="113"/>
      <c r="I179" s="57">
        <v>2.6</v>
      </c>
      <c r="J179" s="55">
        <f>I179/I178</f>
        <v>1.2380952380952381</v>
      </c>
      <c r="S179" s="109">
        <f t="shared" ca="1" si="13"/>
        <v>202</v>
      </c>
      <c r="T179" s="109"/>
      <c r="U179" s="56">
        <f>U178+1</f>
        <v>2</v>
      </c>
      <c r="V179" s="55">
        <f ca="1">V178+1</f>
        <v>202</v>
      </c>
    </row>
    <row r="180" spans="1:23" s="55" customFormat="1" ht="15.75" customHeight="1" x14ac:dyDescent="0.25">
      <c r="A180" s="107">
        <f t="shared" ca="1" si="12"/>
        <v>203</v>
      </c>
      <c r="B180" s="107"/>
      <c r="C180" s="27" t="s">
        <v>205</v>
      </c>
      <c r="D180" s="27">
        <f>(33.87+8.105+0.72)*10.764</f>
        <v>459.5689799999999</v>
      </c>
      <c r="E180" s="27">
        <f>(4.95*2.6+2.8*3.22)*10.764</f>
        <v>235.580904</v>
      </c>
      <c r="F180" s="27">
        <v>774</v>
      </c>
      <c r="G180" s="112"/>
      <c r="H180" s="113"/>
      <c r="I180" s="56"/>
      <c r="S180" s="109">
        <f t="shared" ca="1" si="13"/>
        <v>203</v>
      </c>
      <c r="T180" s="109"/>
      <c r="U180" s="56">
        <f>U179+1</f>
        <v>3</v>
      </c>
      <c r="V180" s="55">
        <f ca="1">V179+1</f>
        <v>203</v>
      </c>
    </row>
    <row r="181" spans="1:23" s="55" customFormat="1" ht="15.75" customHeight="1" x14ac:dyDescent="0.25">
      <c r="A181" s="107">
        <f t="shared" ca="1" si="12"/>
        <v>204</v>
      </c>
      <c r="B181" s="107"/>
      <c r="C181" s="27" t="s">
        <v>191</v>
      </c>
      <c r="D181" s="27">
        <f>(24.427+4.825+1.08)*10.764</f>
        <v>326.49364800000001</v>
      </c>
      <c r="E181" s="27">
        <v>0</v>
      </c>
      <c r="F181" s="27">
        <v>567</v>
      </c>
      <c r="G181" s="112"/>
      <c r="H181" s="113"/>
      <c r="I181" s="56"/>
      <c r="S181" s="109">
        <f t="shared" ca="1" si="13"/>
        <v>204</v>
      </c>
      <c r="T181" s="109"/>
      <c r="U181" s="56">
        <f t="shared" ref="U181:V181" si="14">U180+1</f>
        <v>4</v>
      </c>
      <c r="V181" s="55">
        <f t="shared" ca="1" si="14"/>
        <v>204</v>
      </c>
    </row>
    <row r="182" spans="1:23" s="55" customFormat="1" ht="15.75" customHeight="1" x14ac:dyDescent="0.25">
      <c r="A182" s="107">
        <f t="shared" ca="1" si="12"/>
        <v>205</v>
      </c>
      <c r="B182" s="107"/>
      <c r="C182" s="27" t="s">
        <v>191</v>
      </c>
      <c r="D182" s="27">
        <f>(24.427+4.825+1.08)*10.764</f>
        <v>326.49364800000001</v>
      </c>
      <c r="E182" s="27">
        <v>0</v>
      </c>
      <c r="F182" s="27">
        <v>567</v>
      </c>
      <c r="G182" s="112"/>
      <c r="H182" s="113"/>
      <c r="I182" s="57">
        <v>4</v>
      </c>
      <c r="J182" s="55">
        <f>J179*I182</f>
        <v>4.9523809523809526</v>
      </c>
      <c r="S182" s="109">
        <f t="shared" ca="1" si="13"/>
        <v>205</v>
      </c>
      <c r="T182" s="109"/>
      <c r="U182" s="56">
        <f t="shared" ref="U182:V182" si="15">U181+1</f>
        <v>5</v>
      </c>
      <c r="V182" s="55">
        <f t="shared" ca="1" si="15"/>
        <v>205</v>
      </c>
    </row>
    <row r="183" spans="1:23" s="55" customFormat="1" ht="15.75" customHeight="1" x14ac:dyDescent="0.25">
      <c r="A183" s="107">
        <f t="shared" ca="1" si="12"/>
        <v>206</v>
      </c>
      <c r="B183" s="107"/>
      <c r="C183" s="27" t="s">
        <v>191</v>
      </c>
      <c r="D183" s="27">
        <f>(24.527+5.15+1.08)*10.764</f>
        <v>331.06834799999996</v>
      </c>
      <c r="E183" s="27">
        <v>0</v>
      </c>
      <c r="F183" s="27">
        <v>574</v>
      </c>
      <c r="G183" s="112"/>
      <c r="H183" s="113"/>
      <c r="I183" s="57">
        <v>6.2</v>
      </c>
      <c r="J183" s="55">
        <f>I183*J179</f>
        <v>7.6761904761904765</v>
      </c>
      <c r="S183" s="109">
        <f t="shared" ca="1" si="13"/>
        <v>206</v>
      </c>
      <c r="T183" s="109"/>
      <c r="U183" s="56">
        <f>U182+1</f>
        <v>6</v>
      </c>
      <c r="V183" s="55">
        <f t="shared" ref="V183" ca="1" si="16">V182+1</f>
        <v>206</v>
      </c>
    </row>
    <row r="184" spans="1:23" s="55" customFormat="1" x14ac:dyDescent="0.25">
      <c r="A184" s="107">
        <f t="shared" ca="1" si="12"/>
        <v>207</v>
      </c>
      <c r="B184" s="107"/>
      <c r="C184" s="27" t="s">
        <v>191</v>
      </c>
      <c r="D184" s="27">
        <f>(24.527+5.15+1.08)*10.764</f>
        <v>331.06834799999996</v>
      </c>
      <c r="E184" s="27">
        <v>0</v>
      </c>
      <c r="F184" s="27">
        <v>574</v>
      </c>
      <c r="G184" s="112"/>
      <c r="H184" s="113"/>
      <c r="I184" s="57">
        <v>1.85</v>
      </c>
      <c r="J184" s="55">
        <f>I184*J179</f>
        <v>2.2904761904761908</v>
      </c>
      <c r="S184" s="109">
        <f t="shared" ca="1" si="13"/>
        <v>207</v>
      </c>
      <c r="T184" s="109"/>
      <c r="U184" s="56">
        <f>U183+1</f>
        <v>7</v>
      </c>
      <c r="V184" s="55">
        <f t="shared" ref="V184" ca="1" si="17">V183+1</f>
        <v>207</v>
      </c>
    </row>
    <row r="185" spans="1:23" s="55" customFormat="1" x14ac:dyDescent="0.25">
      <c r="A185" s="107">
        <f t="shared" ca="1" si="12"/>
        <v>208</v>
      </c>
      <c r="B185" s="107"/>
      <c r="C185" s="27" t="s">
        <v>191</v>
      </c>
      <c r="D185" s="27">
        <f>(24.449+4.9)*10.764</f>
        <v>315.91263600000002</v>
      </c>
      <c r="E185" s="27">
        <v>0</v>
      </c>
      <c r="F185" s="27">
        <v>550</v>
      </c>
      <c r="G185" s="112"/>
      <c r="H185" s="113"/>
      <c r="I185" s="57">
        <v>5</v>
      </c>
      <c r="J185" s="55">
        <f>I185*J179</f>
        <v>6.1904761904761907</v>
      </c>
      <c r="S185" s="109">
        <f t="shared" ca="1" si="13"/>
        <v>208</v>
      </c>
      <c r="T185" s="109"/>
      <c r="U185" s="56">
        <f>U184+1</f>
        <v>8</v>
      </c>
      <c r="V185" s="55">
        <f ca="1">V184+1</f>
        <v>208</v>
      </c>
    </row>
    <row r="186" spans="1:23" s="55" customFormat="1" x14ac:dyDescent="0.25">
      <c r="A186" s="107">
        <f t="shared" ref="A186:A187" ca="1" si="18">S186</f>
        <v>209</v>
      </c>
      <c r="B186" s="107"/>
      <c r="C186" s="27" t="s">
        <v>192</v>
      </c>
      <c r="D186" s="27">
        <f>(18.282+2.3+1.057)*10.764</f>
        <v>232.92219599999999</v>
      </c>
      <c r="E186" s="27">
        <v>0</v>
      </c>
      <c r="F186" s="27">
        <v>402</v>
      </c>
      <c r="G186" s="112"/>
      <c r="H186" s="113"/>
      <c r="I186" s="57"/>
      <c r="S186" s="109">
        <f t="shared" ref="S186:S187" ca="1" si="19">V186</f>
        <v>209</v>
      </c>
      <c r="T186" s="109"/>
      <c r="U186" s="56">
        <f>U185+1</f>
        <v>9</v>
      </c>
      <c r="V186" s="55">
        <f t="shared" ref="V186" ca="1" si="20">V185+1</f>
        <v>209</v>
      </c>
    </row>
    <row r="187" spans="1:23" s="55" customFormat="1" x14ac:dyDescent="0.25">
      <c r="A187" s="107">
        <f t="shared" ca="1" si="18"/>
        <v>210</v>
      </c>
      <c r="B187" s="107"/>
      <c r="C187" s="27" t="s">
        <v>191</v>
      </c>
      <c r="D187" s="27">
        <f>(24.45+4.9)*10.764</f>
        <v>315.92340000000002</v>
      </c>
      <c r="E187" s="27">
        <v>0</v>
      </c>
      <c r="F187" s="27">
        <v>547</v>
      </c>
      <c r="G187" s="114"/>
      <c r="H187" s="115"/>
      <c r="I187" s="57"/>
      <c r="S187" s="109">
        <f t="shared" ca="1" si="19"/>
        <v>210</v>
      </c>
      <c r="T187" s="109"/>
      <c r="U187" s="56">
        <f>U186+1</f>
        <v>10</v>
      </c>
      <c r="V187" s="55">
        <f ca="1">V186+1</f>
        <v>210</v>
      </c>
    </row>
    <row r="188" spans="1:23" s="55" customFormat="1" x14ac:dyDescent="0.25">
      <c r="A188" s="108" t="s">
        <v>206</v>
      </c>
      <c r="B188" s="108"/>
      <c r="C188" s="108"/>
      <c r="D188" s="108"/>
      <c r="E188" s="108"/>
      <c r="F188" s="108"/>
      <c r="G188" s="108"/>
      <c r="H188" s="108"/>
      <c r="I188" s="27">
        <f>(18.282+2.3+1.057)*10.764</f>
        <v>232.92219599999999</v>
      </c>
      <c r="S188" s="109" t="s">
        <v>167</v>
      </c>
      <c r="T188" s="109"/>
      <c r="V188" s="55" t="str">
        <f>MID(A188,1,3)</f>
        <v>4th</v>
      </c>
      <c r="W188" s="55">
        <f ca="1">--TRIM(RIGHT(SUBSTITUTE(LEFT(A188,_xlfn.AGGREGATE(14,6,FIND({0,1,2,3,4,5,6,7,8,9},A188,ROW(INDIRECT("1:"&amp;LEN(A188)))),1))," ",REPT(" ",LEN(A188))),LEN(A188)))</f>
        <v>6</v>
      </c>
    </row>
    <row r="189" spans="1:23" s="55" customFormat="1" ht="15.6" customHeight="1" x14ac:dyDescent="0.25">
      <c r="A189" s="107" t="s">
        <v>220</v>
      </c>
      <c r="B189" s="107"/>
      <c r="C189" s="69" t="s">
        <v>205</v>
      </c>
      <c r="D189" s="69">
        <f>(34.225+7.475+0.978)*10.764</f>
        <v>459.38599200000004</v>
      </c>
      <c r="E189" s="69">
        <v>0</v>
      </c>
      <c r="F189" s="69">
        <v>802</v>
      </c>
      <c r="G189" s="107" t="str">
        <f>A188</f>
        <v>4th &amp; 6th Floor</v>
      </c>
      <c r="H189" s="107"/>
      <c r="I189" s="27">
        <f>(24.449+4.9)*10.764</f>
        <v>315.91263600000002</v>
      </c>
      <c r="S189" s="109" t="e">
        <f ca="1">V189&amp;""&amp;#REF!&amp;""&amp;W189</f>
        <v>#REF!</v>
      </c>
      <c r="T189" s="109"/>
      <c r="U189" s="56">
        <v>1</v>
      </c>
      <c r="V189" s="55">
        <f ca="1">(SUMPRODUCT(MID(0&amp;V188, LARGE(INDEX(ISNUMBER(--MID(V188, ROW(INDIRECT("1:"&amp;LEN(V188))), 1)) * ROW(INDIRECT("1:"&amp;LEN(V188))), 0), ROW(INDIRECT("1:"&amp;LEN(V188))))+1, 1) * 10^ROW(INDIRECT("1:"&amp;LEN(V188)))/10))*U189*100+1</f>
        <v>401</v>
      </c>
      <c r="W189" s="55">
        <f ca="1">(SUMPRODUCT(MID(0&amp;W188, LARGE(INDEX(ISNUMBER(--MID(W188, ROW(INDIRECT("1:"&amp;LEN(W188))), 1)) * ROW(INDIRECT("1:"&amp;LEN(W188))), 0), ROW(INDIRECT("1:"&amp;LEN(W188))))+1, 1) * 10^ROW(INDIRECT("1:"&amp;LEN(W188)))/10))*U189*100+1</f>
        <v>601</v>
      </c>
    </row>
    <row r="190" spans="1:23" s="55" customFormat="1" ht="15.6" customHeight="1" x14ac:dyDescent="0.25">
      <c r="A190" s="107" t="s">
        <v>221</v>
      </c>
      <c r="B190" s="107"/>
      <c r="C190" s="69" t="s">
        <v>205</v>
      </c>
      <c r="D190" s="69">
        <f>(35.212+7.4+1.08)*10.764</f>
        <v>470.30068799999998</v>
      </c>
      <c r="E190" s="69">
        <v>0</v>
      </c>
      <c r="F190" s="69">
        <v>819</v>
      </c>
      <c r="G190" s="107"/>
      <c r="H190" s="107"/>
      <c r="I190" s="27">
        <f>(24.527+5.15+1.08)*10.764</f>
        <v>331.06834799999996</v>
      </c>
      <c r="S190" s="109" t="e">
        <f ca="1">V190&amp;""&amp;#REF!&amp;""&amp;W190</f>
        <v>#REF!</v>
      </c>
      <c r="T190" s="109"/>
      <c r="U190" s="56">
        <f t="shared" ref="U190:W190" si="21">U189+1</f>
        <v>2</v>
      </c>
      <c r="V190" s="55">
        <f t="shared" ca="1" si="21"/>
        <v>402</v>
      </c>
      <c r="W190" s="55">
        <f t="shared" ca="1" si="21"/>
        <v>602</v>
      </c>
    </row>
    <row r="191" spans="1:23" s="55" customFormat="1" ht="15.6" customHeight="1" x14ac:dyDescent="0.25">
      <c r="A191" s="107" t="s">
        <v>222</v>
      </c>
      <c r="B191" s="107"/>
      <c r="C191" s="69" t="s">
        <v>205</v>
      </c>
      <c r="D191" s="69">
        <f>(33.87+8.105+0.72)*10.764</f>
        <v>459.5689799999999</v>
      </c>
      <c r="E191" s="69">
        <f>4.59*10.764</f>
        <v>49.406759999999998</v>
      </c>
      <c r="F191" s="69">
        <v>875</v>
      </c>
      <c r="G191" s="107"/>
      <c r="H191" s="107"/>
      <c r="I191" s="27">
        <f>(24.527+5.15+1.08)*10.764</f>
        <v>331.06834799999996</v>
      </c>
      <c r="S191" s="109" t="e">
        <f ca="1">V191&amp;""&amp;#REF!&amp;""&amp;W191</f>
        <v>#REF!</v>
      </c>
      <c r="T191" s="109"/>
      <c r="U191" s="56">
        <f t="shared" ref="U191:W191" si="22">U190+1</f>
        <v>3</v>
      </c>
      <c r="V191" s="55">
        <f t="shared" ca="1" si="22"/>
        <v>403</v>
      </c>
      <c r="W191" s="55">
        <f t="shared" ca="1" si="22"/>
        <v>603</v>
      </c>
    </row>
    <row r="192" spans="1:23" s="55" customFormat="1" ht="15.6" customHeight="1" x14ac:dyDescent="0.25">
      <c r="A192" s="107" t="s">
        <v>223</v>
      </c>
      <c r="B192" s="107"/>
      <c r="C192" s="69" t="s">
        <v>191</v>
      </c>
      <c r="D192" s="69">
        <f>(24.427+4.825+1.08)*10.764</f>
        <v>326.49364800000001</v>
      </c>
      <c r="E192" s="69">
        <v>0</v>
      </c>
      <c r="F192" s="69">
        <v>568</v>
      </c>
      <c r="G192" s="107"/>
      <c r="H192" s="107"/>
      <c r="I192" s="27">
        <f>(24.427+4.825+1.08)*10.764</f>
        <v>326.49364800000001</v>
      </c>
      <c r="S192" s="109" t="e">
        <f ca="1">V192&amp;""&amp;#REF!&amp;""&amp;W192</f>
        <v>#REF!</v>
      </c>
      <c r="T192" s="109"/>
      <c r="U192" s="56">
        <f t="shared" ref="U192:W192" si="23">U191+1</f>
        <v>4</v>
      </c>
      <c r="V192" s="55">
        <f t="shared" ca="1" si="23"/>
        <v>404</v>
      </c>
      <c r="W192" s="55">
        <f t="shared" ca="1" si="23"/>
        <v>604</v>
      </c>
    </row>
    <row r="193" spans="1:23" s="55" customFormat="1" ht="15.6" customHeight="1" x14ac:dyDescent="0.25">
      <c r="A193" s="107" t="s">
        <v>224</v>
      </c>
      <c r="B193" s="107"/>
      <c r="C193" s="69" t="s">
        <v>191</v>
      </c>
      <c r="D193" s="69">
        <f>(24.427+4.825+1.08)*10.764</f>
        <v>326.49364800000001</v>
      </c>
      <c r="E193" s="69">
        <v>0</v>
      </c>
      <c r="F193" s="69">
        <v>568</v>
      </c>
      <c r="G193" s="107"/>
      <c r="H193" s="107"/>
      <c r="I193" s="27">
        <f>(24.427+4.825+1.08)*10.764</f>
        <v>326.49364800000001</v>
      </c>
      <c r="S193" s="109" t="e">
        <f ca="1">V193&amp;""&amp;#REF!&amp;""&amp;W193</f>
        <v>#REF!</v>
      </c>
      <c r="T193" s="109"/>
      <c r="U193" s="56">
        <f t="shared" ref="U193:W193" si="24">U192+1</f>
        <v>5</v>
      </c>
      <c r="V193" s="55">
        <f t="shared" ca="1" si="24"/>
        <v>405</v>
      </c>
      <c r="W193" s="55">
        <f t="shared" ca="1" si="24"/>
        <v>605</v>
      </c>
    </row>
    <row r="194" spans="1:23" s="55" customFormat="1" ht="15.6" customHeight="1" x14ac:dyDescent="0.25">
      <c r="A194" s="107" t="s">
        <v>225</v>
      </c>
      <c r="B194" s="107"/>
      <c r="C194" s="69" t="s">
        <v>191</v>
      </c>
      <c r="D194" s="69">
        <f>(24.527+5.15+1.08)*10.764</f>
        <v>331.06834799999996</v>
      </c>
      <c r="E194" s="69">
        <v>0</v>
      </c>
      <c r="F194" s="69">
        <v>574</v>
      </c>
      <c r="G194" s="107"/>
      <c r="H194" s="107"/>
      <c r="I194" s="27">
        <f>(33.87+8.105+0.72)*10.764</f>
        <v>459.5689799999999</v>
      </c>
      <c r="J194" s="27">
        <f>(4.95*2.6+2.8*3.22)*10.764</f>
        <v>235.580904</v>
      </c>
      <c r="K194" s="27">
        <f>I194*1.45+J194/3</f>
        <v>744.90198899999984</v>
      </c>
      <c r="S194" s="109" t="e">
        <f ca="1">V194&amp;""&amp;#REF!&amp;""&amp;W194</f>
        <v>#REF!</v>
      </c>
      <c r="T194" s="109"/>
      <c r="U194" s="56">
        <f t="shared" ref="U194:W194" si="25">U193+1</f>
        <v>6</v>
      </c>
      <c r="V194" s="55">
        <f t="shared" ca="1" si="25"/>
        <v>406</v>
      </c>
      <c r="W194" s="55">
        <f t="shared" ca="1" si="25"/>
        <v>606</v>
      </c>
    </row>
    <row r="195" spans="1:23" s="55" customFormat="1" ht="15.6" customHeight="1" x14ac:dyDescent="0.25">
      <c r="A195" s="107" t="s">
        <v>226</v>
      </c>
      <c r="B195" s="107"/>
      <c r="C195" s="69" t="s">
        <v>191</v>
      </c>
      <c r="D195" s="69">
        <f>(24.527+5.15+1.08)*10.764</f>
        <v>331.06834799999996</v>
      </c>
      <c r="E195" s="69">
        <v>0</v>
      </c>
      <c r="F195" s="69">
        <v>574</v>
      </c>
      <c r="G195" s="107"/>
      <c r="H195" s="107"/>
      <c r="I195" s="27">
        <f>(35.212+7.4+1.08)*10.764</f>
        <v>470.30068799999998</v>
      </c>
      <c r="J195" s="27">
        <f>(2.65*3.97+2.8*2.7+2*3.47+1.6*6.2)*10.764</f>
        <v>376.09954199999999</v>
      </c>
      <c r="K195" s="27">
        <f t="shared" ref="K195" si="26">I195*1.45+J195/4</f>
        <v>775.96088309999993</v>
      </c>
      <c r="S195" s="109" t="e">
        <f ca="1">V195&amp;""&amp;#REF!&amp;""&amp;W195</f>
        <v>#REF!</v>
      </c>
      <c r="T195" s="109"/>
      <c r="U195" s="56">
        <f t="shared" ref="U195:W195" si="27">U194+1</f>
        <v>7</v>
      </c>
      <c r="V195" s="55">
        <f t="shared" ca="1" si="27"/>
        <v>407</v>
      </c>
      <c r="W195" s="55">
        <f t="shared" ca="1" si="27"/>
        <v>607</v>
      </c>
    </row>
    <row r="196" spans="1:23" s="55" customFormat="1" ht="15.6" customHeight="1" x14ac:dyDescent="0.25">
      <c r="A196" s="107" t="s">
        <v>227</v>
      </c>
      <c r="B196" s="107"/>
      <c r="C196" s="69" t="s">
        <v>191</v>
      </c>
      <c r="D196" s="69">
        <f>(24.449+4.9)*10.764</f>
        <v>315.91263600000002</v>
      </c>
      <c r="E196" s="69">
        <v>0</v>
      </c>
      <c r="F196" s="69">
        <v>550</v>
      </c>
      <c r="G196" s="107"/>
      <c r="H196" s="107"/>
      <c r="I196" s="27">
        <f>(34.225+7.475+0.978)*10.764</f>
        <v>459.38599200000004</v>
      </c>
      <c r="J196" s="27">
        <f>(2.675*3.97+2.8*2.7+2*3.47+1.6*6.2)*10.764</f>
        <v>377.16786899999994</v>
      </c>
      <c r="K196" s="27">
        <f>I196*1.45+J196/4</f>
        <v>760.40165565000007</v>
      </c>
      <c r="S196" s="109" t="e">
        <f ca="1">V196&amp;""&amp;#REF!&amp;""&amp;W196</f>
        <v>#REF!</v>
      </c>
      <c r="T196" s="109"/>
      <c r="U196" s="56">
        <f t="shared" ref="U196:W196" si="28">U195+1</f>
        <v>8</v>
      </c>
      <c r="V196" s="55">
        <f t="shared" ca="1" si="28"/>
        <v>408</v>
      </c>
      <c r="W196" s="55">
        <f t="shared" ca="1" si="28"/>
        <v>608</v>
      </c>
    </row>
    <row r="197" spans="1:23" s="55" customFormat="1" ht="15.6" customHeight="1" x14ac:dyDescent="0.25">
      <c r="A197" s="107" t="s">
        <v>228</v>
      </c>
      <c r="B197" s="107"/>
      <c r="C197" s="69" t="s">
        <v>191</v>
      </c>
      <c r="D197" s="69">
        <f>(18.282+2.3+1.057)*10.764</f>
        <v>232.92219599999999</v>
      </c>
      <c r="E197" s="69">
        <v>0</v>
      </c>
      <c r="F197" s="69">
        <v>402</v>
      </c>
      <c r="G197" s="107"/>
      <c r="H197" s="107"/>
      <c r="I197" s="56"/>
      <c r="S197" s="109" t="e">
        <f ca="1">V197&amp;""&amp;#REF!&amp;""&amp;W197</f>
        <v>#REF!</v>
      </c>
      <c r="T197" s="109"/>
      <c r="U197" s="56">
        <f t="shared" ref="U197:W197" si="29">U196+1</f>
        <v>9</v>
      </c>
      <c r="V197" s="55">
        <f t="shared" ca="1" si="29"/>
        <v>409</v>
      </c>
      <c r="W197" s="55">
        <f t="shared" ca="1" si="29"/>
        <v>609</v>
      </c>
    </row>
    <row r="198" spans="1:23" s="55" customFormat="1" ht="15.6" customHeight="1" x14ac:dyDescent="0.25">
      <c r="A198" s="107" t="s">
        <v>229</v>
      </c>
      <c r="B198" s="107"/>
      <c r="C198" s="69" t="s">
        <v>191</v>
      </c>
      <c r="D198" s="69">
        <f>(24.45+4.9)*10.764</f>
        <v>315.92340000000002</v>
      </c>
      <c r="E198" s="69">
        <v>0</v>
      </c>
      <c r="F198" s="69">
        <v>548</v>
      </c>
      <c r="G198" s="107"/>
      <c r="H198" s="107"/>
      <c r="I198" s="56"/>
      <c r="S198" s="109" t="e">
        <f ca="1">V198&amp;""&amp;#REF!&amp;""&amp;W198</f>
        <v>#REF!</v>
      </c>
      <c r="T198" s="109"/>
      <c r="U198" s="56">
        <f t="shared" ref="U198:W198" si="30">U197+1</f>
        <v>10</v>
      </c>
      <c r="V198" s="55">
        <f t="shared" ca="1" si="30"/>
        <v>410</v>
      </c>
      <c r="W198" s="55">
        <f t="shared" ca="1" si="30"/>
        <v>610</v>
      </c>
    </row>
    <row r="199" spans="1:23" s="55" customFormat="1" ht="15.75" customHeight="1" x14ac:dyDescent="0.25">
      <c r="A199" s="108" t="s">
        <v>208</v>
      </c>
      <c r="B199" s="108"/>
      <c r="C199" s="108"/>
      <c r="D199" s="108"/>
      <c r="E199" s="108"/>
      <c r="F199" s="108"/>
      <c r="G199" s="108"/>
      <c r="H199" s="108"/>
      <c r="I199" s="56"/>
      <c r="S199" s="109" t="s">
        <v>209</v>
      </c>
      <c r="T199" s="109"/>
      <c r="V199" s="55" t="str">
        <f>LEFT(A199,SUM(LEN(A199)-LEN(SUBSTITUTE(A199,{"0","1","2","3","4","5","6","7","8","9"},""))))</f>
        <v>3rd</v>
      </c>
      <c r="W199" s="55">
        <f ca="1">--TRIM(RIGHT(SUBSTITUTE(LEFT(A199,_xlfn.AGGREGATE(16,6,FIND({0,1,2,3,4,5,6,7,8,9},A199,ROW(INDIRECT("1:"&amp;LEN(A199)))),1))," ",REPT(" ",LEN(A199))),LEN(A199)))</f>
        <v>7</v>
      </c>
    </row>
    <row r="200" spans="1:23" s="55" customFormat="1" ht="15.6" customHeight="1" x14ac:dyDescent="0.25">
      <c r="A200" s="107" t="s">
        <v>210</v>
      </c>
      <c r="B200" s="107"/>
      <c r="C200" s="69" t="s">
        <v>205</v>
      </c>
      <c r="D200" s="69">
        <f>(34.225+7.475+0.978)*10.764</f>
        <v>459.38599200000004</v>
      </c>
      <c r="E200" s="69">
        <f>4.523*10.764</f>
        <v>48.685571999999993</v>
      </c>
      <c r="F200" s="69">
        <v>862</v>
      </c>
      <c r="G200" s="107" t="str">
        <f>A199</f>
        <v>3rd, 5th, 7th Floor</v>
      </c>
      <c r="H200" s="107"/>
      <c r="I200" s="27">
        <f t="shared" ref="I200" si="31">4.42*10.764</f>
        <v>47.576879999999996</v>
      </c>
      <c r="S200" s="109" t="e">
        <f ca="1">V200&amp;""&amp;#REF!&amp;""&amp;W200</f>
        <v>#REF!</v>
      </c>
      <c r="T200" s="109"/>
      <c r="U200" s="56">
        <v>1</v>
      </c>
      <c r="V200" s="55">
        <f ca="1">(SUMPRODUCT(MID(0&amp;V199, LARGE(INDEX(ISNUMBER(--MID(V199, ROW(INDIRECT("1:"&amp;LEN(V199))), 1)) * ROW(INDIRECT("1:"&amp;LEN(V199))), 0), ROW(INDIRECT("1:"&amp;LEN(V199))))+1, 1) * 10^ROW(INDIRECT("1:"&amp;LEN(V199)))/10))*U200*100+1</f>
        <v>301</v>
      </c>
      <c r="W200" s="55">
        <f ca="1">(SUMPRODUCT(MID(0&amp;W199, LARGE(INDEX(ISNUMBER(--MID(W199, ROW(INDIRECT("1:"&amp;LEN(W199))), 1)) * ROW(INDIRECT("1:"&amp;LEN(W199))), 0), ROW(INDIRECT("1:"&amp;LEN(W199))))+1, 1) * 10^ROW(INDIRECT("1:"&amp;LEN(W199)))/10))*U200*100+1</f>
        <v>701</v>
      </c>
    </row>
    <row r="201" spans="1:23" s="55" customFormat="1" ht="15.6" customHeight="1" x14ac:dyDescent="0.25">
      <c r="A201" s="107" t="s">
        <v>211</v>
      </c>
      <c r="B201" s="107"/>
      <c r="C201" s="69" t="s">
        <v>205</v>
      </c>
      <c r="D201" s="69">
        <f>(35.212+7.4+1.08)*10.764</f>
        <v>470.30068799999998</v>
      </c>
      <c r="E201" s="69">
        <f>4.523*10.764</f>
        <v>48.685571999999993</v>
      </c>
      <c r="F201" s="69">
        <v>880</v>
      </c>
      <c r="G201" s="107"/>
      <c r="H201" s="107"/>
      <c r="I201" s="27">
        <f>2.585*10.764</f>
        <v>27.824939999999998</v>
      </c>
      <c r="K201" s="55">
        <f>200*F201</f>
        <v>176000</v>
      </c>
      <c r="L201" s="55">
        <f>2*F201*12</f>
        <v>21120</v>
      </c>
      <c r="S201" s="109" t="e">
        <f ca="1">V201&amp;""&amp;#REF!&amp;""&amp;W201</f>
        <v>#REF!</v>
      </c>
      <c r="T201" s="109"/>
      <c r="U201" s="56">
        <f t="shared" ref="U201:W201" si="32">U200+1</f>
        <v>2</v>
      </c>
      <c r="V201" s="55">
        <f t="shared" ca="1" si="32"/>
        <v>302</v>
      </c>
      <c r="W201" s="55">
        <f t="shared" ca="1" si="32"/>
        <v>702</v>
      </c>
    </row>
    <row r="202" spans="1:23" s="55" customFormat="1" ht="15.6" customHeight="1" x14ac:dyDescent="0.25">
      <c r="A202" s="107" t="s">
        <v>212</v>
      </c>
      <c r="B202" s="107"/>
      <c r="C202" s="69" t="s">
        <v>205</v>
      </c>
      <c r="D202" s="69">
        <f>(33.87+8.105+0.72)*10.764</f>
        <v>459.5689799999999</v>
      </c>
      <c r="E202" s="69">
        <f>3.795*10.764</f>
        <v>40.849379999999996</v>
      </c>
      <c r="F202" s="69">
        <v>843</v>
      </c>
      <c r="G202" s="107"/>
      <c r="H202" s="107"/>
      <c r="I202" s="27">
        <f t="shared" ref="I202:I205" si="33">4.615*10.764</f>
        <v>49.67586</v>
      </c>
      <c r="K202" s="55">
        <f t="shared" ref="K202:K210" si="34">200*F202</f>
        <v>168600</v>
      </c>
      <c r="L202" s="55">
        <f t="shared" ref="L202:L209" si="35">2*F202*12</f>
        <v>20232</v>
      </c>
      <c r="S202" s="109" t="e">
        <f ca="1">V202&amp;""&amp;#REF!&amp;""&amp;W202</f>
        <v>#REF!</v>
      </c>
      <c r="T202" s="109"/>
      <c r="U202" s="56">
        <f t="shared" ref="U202:W202" si="36">U201+1</f>
        <v>3</v>
      </c>
      <c r="V202" s="55">
        <f t="shared" ca="1" si="36"/>
        <v>303</v>
      </c>
      <c r="W202" s="55">
        <f t="shared" ca="1" si="36"/>
        <v>703</v>
      </c>
    </row>
    <row r="203" spans="1:23" s="55" customFormat="1" ht="15.6" customHeight="1" x14ac:dyDescent="0.25">
      <c r="A203" s="107" t="s">
        <v>213</v>
      </c>
      <c r="B203" s="107"/>
      <c r="C203" s="69" t="s">
        <v>191</v>
      </c>
      <c r="D203" s="69">
        <f>(24.427+4.825+1.08)*10.764</f>
        <v>326.49364800000001</v>
      </c>
      <c r="E203" s="69">
        <f t="shared" ref="E203:E209" si="37">4.42*10.764</f>
        <v>47.576879999999996</v>
      </c>
      <c r="F203" s="69">
        <v>628</v>
      </c>
      <c r="G203" s="107"/>
      <c r="H203" s="107"/>
      <c r="I203" s="27">
        <f t="shared" si="33"/>
        <v>49.67586</v>
      </c>
      <c r="K203" s="55">
        <f t="shared" si="34"/>
        <v>125600</v>
      </c>
      <c r="L203" s="55">
        <f t="shared" si="35"/>
        <v>15072</v>
      </c>
      <c r="S203" s="109" t="e">
        <f ca="1">V203&amp;""&amp;#REF!&amp;""&amp;W203</f>
        <v>#REF!</v>
      </c>
      <c r="T203" s="109"/>
      <c r="U203" s="56">
        <f t="shared" ref="U203:W203" si="38">U202+1</f>
        <v>4</v>
      </c>
      <c r="V203" s="55">
        <f t="shared" ca="1" si="38"/>
        <v>304</v>
      </c>
      <c r="W203" s="55">
        <f t="shared" ca="1" si="38"/>
        <v>704</v>
      </c>
    </row>
    <row r="204" spans="1:23" s="55" customFormat="1" ht="15.6" customHeight="1" x14ac:dyDescent="0.25">
      <c r="A204" s="107" t="s">
        <v>214</v>
      </c>
      <c r="B204" s="107"/>
      <c r="C204" s="69" t="s">
        <v>191</v>
      </c>
      <c r="D204" s="69">
        <f>(24.427+4.825+1.08)*10.764</f>
        <v>326.49364800000001</v>
      </c>
      <c r="E204" s="69">
        <f>4.615*10.764</f>
        <v>49.67586</v>
      </c>
      <c r="F204" s="69">
        <v>628</v>
      </c>
      <c r="G204" s="107"/>
      <c r="H204" s="107"/>
      <c r="I204" s="27">
        <f t="shared" si="33"/>
        <v>49.67586</v>
      </c>
      <c r="K204" s="55">
        <f t="shared" si="34"/>
        <v>125600</v>
      </c>
      <c r="L204" s="55">
        <f t="shared" si="35"/>
        <v>15072</v>
      </c>
      <c r="S204" s="109" t="e">
        <f ca="1">V204&amp;""&amp;#REF!&amp;""&amp;W204</f>
        <v>#REF!</v>
      </c>
      <c r="T204" s="109"/>
      <c r="U204" s="56">
        <f t="shared" ref="U204:W204" si="39">U203+1</f>
        <v>5</v>
      </c>
      <c r="V204" s="55">
        <f t="shared" ca="1" si="39"/>
        <v>305</v>
      </c>
      <c r="W204" s="55">
        <f t="shared" ca="1" si="39"/>
        <v>705</v>
      </c>
    </row>
    <row r="205" spans="1:23" s="55" customFormat="1" ht="15.6" customHeight="1" x14ac:dyDescent="0.25">
      <c r="A205" s="107" t="s">
        <v>215</v>
      </c>
      <c r="B205" s="107"/>
      <c r="C205" s="69" t="s">
        <v>191</v>
      </c>
      <c r="D205" s="69">
        <f>(24.527+5.15+1.08)*10.764</f>
        <v>331.06834799999996</v>
      </c>
      <c r="E205" s="69">
        <f t="shared" ref="E205:E207" si="40">4.615*10.764</f>
        <v>49.67586</v>
      </c>
      <c r="F205" s="69">
        <v>635</v>
      </c>
      <c r="G205" s="107"/>
      <c r="H205" s="107"/>
      <c r="I205" s="27">
        <f t="shared" si="33"/>
        <v>49.67586</v>
      </c>
      <c r="K205" s="55">
        <f t="shared" si="34"/>
        <v>127000</v>
      </c>
      <c r="L205" s="55">
        <f t="shared" si="35"/>
        <v>15240</v>
      </c>
      <c r="S205" s="109" t="e">
        <f ca="1">V205&amp;""&amp;#REF!&amp;""&amp;W205</f>
        <v>#REF!</v>
      </c>
      <c r="T205" s="109"/>
      <c r="U205" s="56">
        <f t="shared" ref="U205:W205" si="41">U204+1</f>
        <v>6</v>
      </c>
      <c r="V205" s="55">
        <f t="shared" ca="1" si="41"/>
        <v>306</v>
      </c>
      <c r="W205" s="55">
        <f t="shared" ca="1" si="41"/>
        <v>706</v>
      </c>
    </row>
    <row r="206" spans="1:23" s="55" customFormat="1" ht="15.6" customHeight="1" x14ac:dyDescent="0.25">
      <c r="A206" s="107" t="s">
        <v>216</v>
      </c>
      <c r="B206" s="107"/>
      <c r="C206" s="69" t="s">
        <v>191</v>
      </c>
      <c r="D206" s="69">
        <f>(24.527+5.15+1.08)*10.764</f>
        <v>331.06834799999996</v>
      </c>
      <c r="E206" s="69">
        <f t="shared" si="40"/>
        <v>49.67586</v>
      </c>
      <c r="F206" s="69">
        <v>635</v>
      </c>
      <c r="G206" s="107"/>
      <c r="H206" s="107"/>
      <c r="I206" s="27">
        <f t="shared" ref="I206" si="42">4.42*10.764</f>
        <v>47.576879999999996</v>
      </c>
      <c r="K206" s="55">
        <f t="shared" si="34"/>
        <v>127000</v>
      </c>
      <c r="L206" s="55">
        <f t="shared" si="35"/>
        <v>15240</v>
      </c>
      <c r="S206" s="109" t="e">
        <f ca="1">V206&amp;""&amp;#REF!&amp;""&amp;W206</f>
        <v>#REF!</v>
      </c>
      <c r="T206" s="109"/>
      <c r="U206" s="56">
        <f t="shared" ref="U206:W206" si="43">U205+1</f>
        <v>7</v>
      </c>
      <c r="V206" s="55">
        <f t="shared" ca="1" si="43"/>
        <v>307</v>
      </c>
      <c r="W206" s="55">
        <f t="shared" ca="1" si="43"/>
        <v>707</v>
      </c>
    </row>
    <row r="207" spans="1:23" s="55" customFormat="1" ht="15.6" customHeight="1" x14ac:dyDescent="0.25">
      <c r="A207" s="107" t="s">
        <v>217</v>
      </c>
      <c r="B207" s="107"/>
      <c r="C207" s="69" t="s">
        <v>191</v>
      </c>
      <c r="D207" s="69">
        <f>(24.449+4.9)*10.764</f>
        <v>315.91263600000002</v>
      </c>
      <c r="E207" s="69">
        <f t="shared" si="40"/>
        <v>49.67586</v>
      </c>
      <c r="F207" s="69">
        <v>612</v>
      </c>
      <c r="G207" s="107"/>
      <c r="H207" s="107"/>
      <c r="I207" s="27">
        <f>3.795*10.764</f>
        <v>40.849379999999996</v>
      </c>
      <c r="K207" s="55">
        <f t="shared" si="34"/>
        <v>122400</v>
      </c>
      <c r="L207" s="55">
        <f t="shared" si="35"/>
        <v>14688</v>
      </c>
      <c r="S207" s="109" t="e">
        <f ca="1">V207&amp;""&amp;#REF!&amp;""&amp;W207</f>
        <v>#REF!</v>
      </c>
      <c r="T207" s="109"/>
      <c r="U207" s="56">
        <f t="shared" ref="U207:W207" si="44">U206+1</f>
        <v>8</v>
      </c>
      <c r="V207" s="55">
        <f t="shared" ca="1" si="44"/>
        <v>308</v>
      </c>
      <c r="W207" s="55">
        <f t="shared" ca="1" si="44"/>
        <v>708</v>
      </c>
    </row>
    <row r="208" spans="1:23" s="55" customFormat="1" ht="15.6" customHeight="1" x14ac:dyDescent="0.25">
      <c r="A208" s="107" t="s">
        <v>218</v>
      </c>
      <c r="B208" s="107"/>
      <c r="C208" s="69" t="s">
        <v>192</v>
      </c>
      <c r="D208" s="69">
        <f>(18.282+2.3+1.057)*10.764</f>
        <v>232.92219599999999</v>
      </c>
      <c r="E208" s="69">
        <f>2.585*10.764</f>
        <v>27.824939999999998</v>
      </c>
      <c r="F208" s="69">
        <v>416</v>
      </c>
      <c r="G208" s="107"/>
      <c r="H208" s="107"/>
      <c r="I208" s="27">
        <f t="shared" ref="I208:I209" si="45">4.523*10.764</f>
        <v>48.685571999999993</v>
      </c>
      <c r="K208" s="55">
        <f t="shared" si="34"/>
        <v>83200</v>
      </c>
      <c r="L208" s="55">
        <f t="shared" si="35"/>
        <v>9984</v>
      </c>
      <c r="S208" s="109" t="e">
        <f ca="1">V208&amp;""&amp;#REF!&amp;""&amp;W208</f>
        <v>#REF!</v>
      </c>
      <c r="T208" s="109"/>
      <c r="U208" s="56">
        <f t="shared" ref="U208:W208" si="46">U207+1</f>
        <v>9</v>
      </c>
      <c r="V208" s="55">
        <f t="shared" ca="1" si="46"/>
        <v>309</v>
      </c>
      <c r="W208" s="55">
        <f t="shared" ca="1" si="46"/>
        <v>709</v>
      </c>
    </row>
    <row r="209" spans="1:23" s="55" customFormat="1" ht="15.6" customHeight="1" x14ac:dyDescent="0.25">
      <c r="A209" s="107" t="s">
        <v>219</v>
      </c>
      <c r="B209" s="107"/>
      <c r="C209" s="69" t="s">
        <v>191</v>
      </c>
      <c r="D209" s="69">
        <f>(24.45+4.9)*10.764</f>
        <v>315.92340000000002</v>
      </c>
      <c r="E209" s="69">
        <f t="shared" si="37"/>
        <v>47.576879999999996</v>
      </c>
      <c r="F209" s="69">
        <v>612</v>
      </c>
      <c r="G209" s="107"/>
      <c r="H209" s="107"/>
      <c r="I209" s="27">
        <f t="shared" si="45"/>
        <v>48.685571999999993</v>
      </c>
      <c r="K209" s="55">
        <f t="shared" si="34"/>
        <v>122400</v>
      </c>
      <c r="L209" s="55">
        <f t="shared" si="35"/>
        <v>14688</v>
      </c>
      <c r="S209" s="109" t="e">
        <f ca="1">V209&amp;""&amp;#REF!&amp;""&amp;W209</f>
        <v>#REF!</v>
      </c>
      <c r="T209" s="109"/>
      <c r="U209" s="56">
        <f t="shared" ref="U209:W209" si="47">U208+1</f>
        <v>10</v>
      </c>
      <c r="V209" s="55">
        <f t="shared" ca="1" si="47"/>
        <v>310</v>
      </c>
      <c r="W209" s="55">
        <f t="shared" ca="1" si="47"/>
        <v>710</v>
      </c>
    </row>
    <row r="210" spans="1:23" s="55" customFormat="1" x14ac:dyDescent="0.25">
      <c r="A210" s="108" t="s">
        <v>193</v>
      </c>
      <c r="B210" s="108"/>
      <c r="C210" s="108"/>
      <c r="D210" s="108"/>
      <c r="E210" s="108"/>
      <c r="F210" s="108"/>
      <c r="G210" s="108"/>
      <c r="H210" s="108"/>
      <c r="I210" s="56"/>
      <c r="K210" s="55">
        <f t="shared" si="34"/>
        <v>0</v>
      </c>
      <c r="L210" s="55">
        <f t="shared" ref="L210" si="48">2*880*12</f>
        <v>21120</v>
      </c>
    </row>
    <row r="211" spans="1:23" s="55" customFormat="1" ht="15.75" customHeight="1" x14ac:dyDescent="0.25">
      <c r="A211" s="108" t="s">
        <v>189</v>
      </c>
      <c r="B211" s="108"/>
      <c r="C211" s="108"/>
      <c r="D211" s="108"/>
      <c r="E211" s="108"/>
      <c r="F211" s="108"/>
      <c r="G211" s="108"/>
      <c r="H211" s="108"/>
      <c r="I211" s="56"/>
      <c r="S211" s="109"/>
      <c r="T211" s="109"/>
      <c r="V211" s="55" t="str">
        <f>LEFT(A211,SUM(LEN(A211)-LEN(SUBSTITUTE(A211,{"0","1","2","3","4","5","6","7","8","9"},""))))</f>
        <v>1</v>
      </c>
    </row>
    <row r="212" spans="1:23" s="55" customFormat="1" ht="15.75" customHeight="1" x14ac:dyDescent="0.25">
      <c r="A212" s="107">
        <f t="shared" ref="A212:A218" ca="1" si="49">S212</f>
        <v>101</v>
      </c>
      <c r="B212" s="107"/>
      <c r="C212" s="27" t="s">
        <v>191</v>
      </c>
      <c r="D212" s="27">
        <f>(24.45+4.9)*10.764</f>
        <v>315.92340000000002</v>
      </c>
      <c r="E212" s="27">
        <f>4.42*10.764</f>
        <v>47.576879999999996</v>
      </c>
      <c r="F212" s="27">
        <v>611</v>
      </c>
      <c r="G212" s="110" t="str">
        <f>A211</f>
        <v>1st Floor for Residential</v>
      </c>
      <c r="H212" s="111"/>
      <c r="I212" s="56"/>
      <c r="K212" s="55">
        <f t="shared" ref="K212" si="50">200*F212</f>
        <v>122200</v>
      </c>
      <c r="L212" s="55">
        <f t="shared" ref="L212" si="51">2*F212*12</f>
        <v>14664</v>
      </c>
      <c r="S212" s="109">
        <f t="shared" ref="S212:S219" ca="1" si="52">V212</f>
        <v>101</v>
      </c>
      <c r="T212" s="109"/>
      <c r="U212" s="56">
        <v>1</v>
      </c>
      <c r="V212" s="55">
        <f ca="1">(SUMPRODUCT(MID(0&amp;V211, LARGE(INDEX(ISNUMBER(--MID(V211, ROW(INDIRECT("1:"&amp;LEN(V211))), 1)) * ROW(INDIRECT("1:"&amp;LEN(V211))), 0), ROW(INDIRECT("1:"&amp;LEN(V211))))+1, 1) * 10^ROW(INDIRECT("1:"&amp;LEN(V211)))/10))*U212*100+1</f>
        <v>101</v>
      </c>
    </row>
    <row r="213" spans="1:23" s="55" customFormat="1" ht="15.75" customHeight="1" x14ac:dyDescent="0.25">
      <c r="A213" s="107">
        <f t="shared" ca="1" si="49"/>
        <v>102</v>
      </c>
      <c r="B213" s="107"/>
      <c r="C213" s="27" t="s">
        <v>192</v>
      </c>
      <c r="D213" s="27">
        <f>(18.282+2.3+1.057)*10.764</f>
        <v>232.92219599999999</v>
      </c>
      <c r="E213" s="27">
        <f>2.585*10.764</f>
        <v>27.824939999999998</v>
      </c>
      <c r="F213" s="27">
        <v>416</v>
      </c>
      <c r="G213" s="112"/>
      <c r="H213" s="113"/>
      <c r="I213" s="56"/>
      <c r="K213" s="55">
        <f t="shared" ref="K213:K276" si="53">200*F213</f>
        <v>83200</v>
      </c>
      <c r="L213" s="55">
        <f t="shared" ref="L213:L276" si="54">2*F213*12</f>
        <v>9984</v>
      </c>
      <c r="S213" s="109">
        <f t="shared" ca="1" si="52"/>
        <v>102</v>
      </c>
      <c r="T213" s="109"/>
      <c r="U213" s="56">
        <f>U212+1</f>
        <v>2</v>
      </c>
      <c r="V213" s="55">
        <f ca="1">V212+1</f>
        <v>102</v>
      </c>
    </row>
    <row r="214" spans="1:23" s="55" customFormat="1" ht="15.75" customHeight="1" x14ac:dyDescent="0.25">
      <c r="A214" s="107">
        <f t="shared" ca="1" si="49"/>
        <v>103</v>
      </c>
      <c r="B214" s="107"/>
      <c r="C214" s="27" t="s">
        <v>191</v>
      </c>
      <c r="D214" s="27">
        <f t="shared" ref="D214" si="55">(24.45+4.9)*10.764</f>
        <v>315.92340000000002</v>
      </c>
      <c r="E214" s="27">
        <f>4.615*10.764</f>
        <v>49.67586</v>
      </c>
      <c r="F214" s="27">
        <v>611</v>
      </c>
      <c r="G214" s="112"/>
      <c r="H214" s="113"/>
      <c r="I214" s="56"/>
      <c r="K214" s="55">
        <f t="shared" si="53"/>
        <v>122200</v>
      </c>
      <c r="L214" s="55">
        <f t="shared" si="54"/>
        <v>14664</v>
      </c>
      <c r="S214" s="109">
        <f t="shared" ca="1" si="52"/>
        <v>103</v>
      </c>
      <c r="T214" s="109"/>
      <c r="U214" s="56">
        <f>U213+1</f>
        <v>3</v>
      </c>
      <c r="V214" s="55">
        <f ca="1">V213+1</f>
        <v>103</v>
      </c>
    </row>
    <row r="215" spans="1:23" s="55" customFormat="1" ht="15.75" customHeight="1" x14ac:dyDescent="0.25">
      <c r="A215" s="107">
        <f t="shared" ca="1" si="49"/>
        <v>104</v>
      </c>
      <c r="B215" s="107"/>
      <c r="C215" s="27" t="s">
        <v>191</v>
      </c>
      <c r="D215" s="27">
        <f>(24.527+5.15+1.08)*10.764</f>
        <v>331.06834799999996</v>
      </c>
      <c r="E215" s="27">
        <f t="shared" ref="E215:E217" si="56">4.615*10.764</f>
        <v>49.67586</v>
      </c>
      <c r="F215" s="27">
        <v>635</v>
      </c>
      <c r="G215" s="112"/>
      <c r="H215" s="113"/>
      <c r="I215" s="56"/>
      <c r="K215" s="55">
        <f t="shared" si="53"/>
        <v>127000</v>
      </c>
      <c r="L215" s="55">
        <f t="shared" si="54"/>
        <v>15240</v>
      </c>
      <c r="S215" s="109">
        <f t="shared" ca="1" si="52"/>
        <v>104</v>
      </c>
      <c r="T215" s="109"/>
      <c r="U215" s="56">
        <f t="shared" ref="U215:U216" si="57">U214+1</f>
        <v>4</v>
      </c>
      <c r="V215" s="55">
        <f t="shared" ref="V215:V218" ca="1" si="58">V214+1</f>
        <v>104</v>
      </c>
    </row>
    <row r="216" spans="1:23" s="55" customFormat="1" ht="15.75" customHeight="1" x14ac:dyDescent="0.25">
      <c r="A216" s="107">
        <f t="shared" ca="1" si="49"/>
        <v>105</v>
      </c>
      <c r="B216" s="107"/>
      <c r="C216" s="27" t="s">
        <v>191</v>
      </c>
      <c r="D216" s="27">
        <f>(24.527+5.15+1.08)*10.764</f>
        <v>331.06834799999996</v>
      </c>
      <c r="E216" s="27">
        <f t="shared" si="56"/>
        <v>49.67586</v>
      </c>
      <c r="F216" s="27">
        <v>635</v>
      </c>
      <c r="G216" s="112"/>
      <c r="H216" s="113"/>
      <c r="I216" s="56"/>
      <c r="K216" s="55">
        <f t="shared" si="53"/>
        <v>127000</v>
      </c>
      <c r="L216" s="55">
        <f t="shared" si="54"/>
        <v>15240</v>
      </c>
      <c r="S216" s="109">
        <f t="shared" ca="1" si="52"/>
        <v>105</v>
      </c>
      <c r="T216" s="109"/>
      <c r="U216" s="56">
        <f t="shared" si="57"/>
        <v>5</v>
      </c>
      <c r="V216" s="55">
        <f t="shared" ca="1" si="58"/>
        <v>105</v>
      </c>
    </row>
    <row r="217" spans="1:23" s="55" customFormat="1" ht="15.75" customHeight="1" x14ac:dyDescent="0.25">
      <c r="A217" s="107">
        <f t="shared" ca="1" si="49"/>
        <v>106</v>
      </c>
      <c r="B217" s="107"/>
      <c r="C217" s="27" t="s">
        <v>191</v>
      </c>
      <c r="D217" s="27">
        <f>(24.427+4.825+1.08)*10.764</f>
        <v>326.49364800000001</v>
      </c>
      <c r="E217" s="27">
        <f t="shared" si="56"/>
        <v>49.67586</v>
      </c>
      <c r="F217" s="27">
        <v>628</v>
      </c>
      <c r="G217" s="112"/>
      <c r="H217" s="113"/>
      <c r="I217" s="56"/>
      <c r="K217" s="55">
        <f t="shared" si="53"/>
        <v>125600</v>
      </c>
      <c r="L217" s="55">
        <f t="shared" si="54"/>
        <v>15072</v>
      </c>
      <c r="S217" s="109">
        <f t="shared" ca="1" si="52"/>
        <v>106</v>
      </c>
      <c r="T217" s="109"/>
      <c r="U217" s="56">
        <f>U216+1</f>
        <v>6</v>
      </c>
      <c r="V217" s="55">
        <f t="shared" ca="1" si="58"/>
        <v>106</v>
      </c>
    </row>
    <row r="218" spans="1:23" s="55" customFormat="1" ht="15.6" customHeight="1" x14ac:dyDescent="0.25">
      <c r="A218" s="107">
        <f t="shared" ca="1" si="49"/>
        <v>107</v>
      </c>
      <c r="B218" s="107"/>
      <c r="C218" s="27" t="s">
        <v>191</v>
      </c>
      <c r="D218" s="27">
        <f>(24.427+4.825+1.08)*10.764</f>
        <v>326.49364800000001</v>
      </c>
      <c r="E218" s="27">
        <f>4.72*10.764</f>
        <v>50.806079999999994</v>
      </c>
      <c r="F218" s="27">
        <v>628</v>
      </c>
      <c r="G218" s="112"/>
      <c r="H218" s="113"/>
      <c r="I218" s="56"/>
      <c r="K218" s="55">
        <f t="shared" si="53"/>
        <v>125600</v>
      </c>
      <c r="L218" s="55">
        <f t="shared" si="54"/>
        <v>15072</v>
      </c>
      <c r="S218" s="109">
        <f t="shared" ca="1" si="52"/>
        <v>107</v>
      </c>
      <c r="T218" s="109"/>
      <c r="U218" s="56">
        <f>U217+1</f>
        <v>7</v>
      </c>
      <c r="V218" s="55">
        <f t="shared" ca="1" si="58"/>
        <v>107</v>
      </c>
    </row>
    <row r="219" spans="1:23" s="55" customFormat="1" ht="15.6" customHeight="1" x14ac:dyDescent="0.25">
      <c r="A219" s="107">
        <f t="shared" ref="A219" ca="1" si="59">S219</f>
        <v>108</v>
      </c>
      <c r="B219" s="107"/>
      <c r="C219" s="27" t="s">
        <v>192</v>
      </c>
      <c r="D219" s="27">
        <f>(17.2+2.1+0.72)*10.764</f>
        <v>215.49527999999998</v>
      </c>
      <c r="E219" s="27">
        <f>3.795*10.764</f>
        <v>40.849379999999996</v>
      </c>
      <c r="F219" s="27">
        <v>415</v>
      </c>
      <c r="G219" s="114"/>
      <c r="H219" s="115"/>
      <c r="I219" s="56"/>
      <c r="K219" s="55">
        <f t="shared" si="53"/>
        <v>83000</v>
      </c>
      <c r="L219" s="55">
        <f t="shared" si="54"/>
        <v>9960</v>
      </c>
      <c r="S219" s="109">
        <f t="shared" ca="1" si="52"/>
        <v>108</v>
      </c>
      <c r="T219" s="109"/>
      <c r="U219" s="56">
        <f>U218+1</f>
        <v>8</v>
      </c>
      <c r="V219" s="55">
        <f ca="1">V218+1</f>
        <v>108</v>
      </c>
    </row>
    <row r="220" spans="1:23" s="55" customFormat="1" ht="15.75" customHeight="1" x14ac:dyDescent="0.25">
      <c r="A220" s="108" t="s">
        <v>194</v>
      </c>
      <c r="B220" s="108"/>
      <c r="C220" s="108"/>
      <c r="D220" s="108"/>
      <c r="E220" s="108"/>
      <c r="F220" s="108"/>
      <c r="G220" s="108"/>
      <c r="H220" s="108"/>
      <c r="I220" s="56"/>
      <c r="K220" s="55">
        <f t="shared" si="53"/>
        <v>0</v>
      </c>
      <c r="L220" s="55">
        <f t="shared" si="54"/>
        <v>0</v>
      </c>
      <c r="S220" s="109"/>
      <c r="T220" s="109"/>
      <c r="V220" s="55" t="str">
        <f>LEFT(A220,SUM(LEN(A220)-LEN(SUBSTITUTE(A220,{"0","1","2","3","4","5","6","7","8","9"},""))))</f>
        <v>2</v>
      </c>
    </row>
    <row r="221" spans="1:23" s="55" customFormat="1" ht="15.75" customHeight="1" x14ac:dyDescent="0.25">
      <c r="A221" s="107">
        <f t="shared" ref="A221:A227" ca="1" si="60">S221</f>
        <v>201</v>
      </c>
      <c r="B221" s="107"/>
      <c r="C221" s="27" t="s">
        <v>191</v>
      </c>
      <c r="D221" s="27">
        <f>(24.45+4.9)*10.764</f>
        <v>315.92340000000002</v>
      </c>
      <c r="E221" s="27">
        <v>0</v>
      </c>
      <c r="F221" s="27">
        <v>633</v>
      </c>
      <c r="G221" s="110" t="str">
        <f>A220</f>
        <v xml:space="preserve">2nd Floor </v>
      </c>
      <c r="H221" s="111"/>
      <c r="I221" s="56"/>
      <c r="K221" s="55">
        <f t="shared" si="53"/>
        <v>126600</v>
      </c>
      <c r="L221" s="55">
        <f t="shared" si="54"/>
        <v>15192</v>
      </c>
      <c r="S221" s="109">
        <f t="shared" ref="S221:S230" ca="1" si="61">V221</f>
        <v>201</v>
      </c>
      <c r="T221" s="109"/>
      <c r="U221" s="56">
        <v>1</v>
      </c>
      <c r="V221" s="55">
        <f ca="1">(SUMPRODUCT(MID(0&amp;V220, LARGE(INDEX(ISNUMBER(--MID(V220, ROW(INDIRECT("1:"&amp;LEN(V220))), 1)) * ROW(INDIRECT("1:"&amp;LEN(V220))), 0), ROW(INDIRECT("1:"&amp;LEN(V220))))+1, 1) * 10^ROW(INDIRECT("1:"&amp;LEN(V220)))/10))*U221*100+1</f>
        <v>201</v>
      </c>
    </row>
    <row r="222" spans="1:23" s="55" customFormat="1" ht="15.75" customHeight="1" x14ac:dyDescent="0.25">
      <c r="A222" s="107">
        <f t="shared" ca="1" si="60"/>
        <v>202</v>
      </c>
      <c r="B222" s="107"/>
      <c r="C222" s="27" t="s">
        <v>192</v>
      </c>
      <c r="D222" s="27">
        <f>(18.282+2.3+1.057)*10.764</f>
        <v>232.92219599999999</v>
      </c>
      <c r="E222" s="27">
        <v>0</v>
      </c>
      <c r="F222" s="27">
        <v>402</v>
      </c>
      <c r="G222" s="112"/>
      <c r="H222" s="113"/>
      <c r="I222" s="56"/>
      <c r="K222" s="55">
        <f t="shared" si="53"/>
        <v>80400</v>
      </c>
      <c r="L222" s="55">
        <f t="shared" si="54"/>
        <v>9648</v>
      </c>
      <c r="S222" s="109">
        <f t="shared" ca="1" si="61"/>
        <v>202</v>
      </c>
      <c r="T222" s="109"/>
      <c r="U222" s="56">
        <f>U221+1</f>
        <v>2</v>
      </c>
      <c r="V222" s="55">
        <f ca="1">V221+1</f>
        <v>202</v>
      </c>
    </row>
    <row r="223" spans="1:23" s="55" customFormat="1" ht="15.75" customHeight="1" x14ac:dyDescent="0.25">
      <c r="A223" s="107">
        <f t="shared" ca="1" si="60"/>
        <v>203</v>
      </c>
      <c r="B223" s="107"/>
      <c r="C223" s="27" t="s">
        <v>191</v>
      </c>
      <c r="D223" s="27">
        <f>(24.449+4.9)*10.764</f>
        <v>315.91263600000002</v>
      </c>
      <c r="E223" s="27">
        <v>0</v>
      </c>
      <c r="F223" s="27">
        <v>552</v>
      </c>
      <c r="G223" s="112"/>
      <c r="H223" s="113"/>
      <c r="I223" s="56"/>
      <c r="K223" s="55">
        <f t="shared" si="53"/>
        <v>110400</v>
      </c>
      <c r="L223" s="55">
        <f t="shared" si="54"/>
        <v>13248</v>
      </c>
      <c r="S223" s="109">
        <f t="shared" ca="1" si="61"/>
        <v>203</v>
      </c>
      <c r="T223" s="109"/>
      <c r="U223" s="56">
        <f>U222+1</f>
        <v>3</v>
      </c>
      <c r="V223" s="55">
        <f ca="1">V222+1</f>
        <v>203</v>
      </c>
    </row>
    <row r="224" spans="1:23" s="55" customFormat="1" ht="15.75" customHeight="1" x14ac:dyDescent="0.25">
      <c r="A224" s="107">
        <f t="shared" ca="1" si="60"/>
        <v>204</v>
      </c>
      <c r="B224" s="107"/>
      <c r="C224" s="27" t="s">
        <v>191</v>
      </c>
      <c r="D224" s="27">
        <f>(24.527+5.15+1.08)*10.764</f>
        <v>331.06834799999996</v>
      </c>
      <c r="E224" s="27">
        <v>0</v>
      </c>
      <c r="F224" s="27">
        <v>574</v>
      </c>
      <c r="G224" s="112"/>
      <c r="H224" s="113"/>
      <c r="I224" s="56"/>
      <c r="K224" s="55">
        <f t="shared" si="53"/>
        <v>114800</v>
      </c>
      <c r="L224" s="55">
        <f t="shared" si="54"/>
        <v>13776</v>
      </c>
      <c r="S224" s="109">
        <f t="shared" ca="1" si="61"/>
        <v>204</v>
      </c>
      <c r="T224" s="109"/>
      <c r="U224" s="56">
        <f t="shared" ref="U224:V230" si="62">U223+1</f>
        <v>4</v>
      </c>
      <c r="V224" s="55">
        <f t="shared" ca="1" si="62"/>
        <v>204</v>
      </c>
    </row>
    <row r="225" spans="1:23" s="55" customFormat="1" ht="15.75" customHeight="1" x14ac:dyDescent="0.25">
      <c r="A225" s="107">
        <f t="shared" ca="1" si="60"/>
        <v>205</v>
      </c>
      <c r="B225" s="107"/>
      <c r="C225" s="27" t="s">
        <v>191</v>
      </c>
      <c r="D225" s="27">
        <f>(24.527+5.15+1.08)*10.764</f>
        <v>331.06834799999996</v>
      </c>
      <c r="E225" s="27">
        <v>0</v>
      </c>
      <c r="F225" s="27">
        <v>574</v>
      </c>
      <c r="G225" s="112"/>
      <c r="H225" s="113"/>
      <c r="I225" s="56"/>
      <c r="K225" s="55">
        <f t="shared" si="53"/>
        <v>114800</v>
      </c>
      <c r="L225" s="55">
        <f t="shared" si="54"/>
        <v>13776</v>
      </c>
      <c r="S225" s="109">
        <f t="shared" ca="1" si="61"/>
        <v>205</v>
      </c>
      <c r="T225" s="109"/>
      <c r="U225" s="56">
        <f t="shared" si="62"/>
        <v>5</v>
      </c>
      <c r="V225" s="55">
        <f t="shared" ca="1" si="62"/>
        <v>205</v>
      </c>
    </row>
    <row r="226" spans="1:23" s="55" customFormat="1" ht="15.75" customHeight="1" x14ac:dyDescent="0.25">
      <c r="A226" s="107">
        <f t="shared" ca="1" si="60"/>
        <v>206</v>
      </c>
      <c r="B226" s="107"/>
      <c r="C226" s="27" t="s">
        <v>191</v>
      </c>
      <c r="D226" s="27">
        <f>(24.427+4.825+1.08)*10.764</f>
        <v>326.49364800000001</v>
      </c>
      <c r="E226" s="27">
        <v>0</v>
      </c>
      <c r="F226" s="27">
        <v>568</v>
      </c>
      <c r="G226" s="112"/>
      <c r="H226" s="113"/>
      <c r="I226" s="56"/>
      <c r="K226" s="55">
        <f t="shared" si="53"/>
        <v>113600</v>
      </c>
      <c r="L226" s="55">
        <f t="shared" si="54"/>
        <v>13632</v>
      </c>
      <c r="S226" s="109">
        <f t="shared" ca="1" si="61"/>
        <v>206</v>
      </c>
      <c r="T226" s="109"/>
      <c r="U226" s="56">
        <f>U225+1</f>
        <v>6</v>
      </c>
      <c r="V226" s="55">
        <f t="shared" ca="1" si="62"/>
        <v>206</v>
      </c>
    </row>
    <row r="227" spans="1:23" s="55" customFormat="1" x14ac:dyDescent="0.25">
      <c r="A227" s="107">
        <f t="shared" ca="1" si="60"/>
        <v>207</v>
      </c>
      <c r="B227" s="107"/>
      <c r="C227" s="27" t="s">
        <v>191</v>
      </c>
      <c r="D227" s="27">
        <f>(24.427+4.825+1.08)*10.764</f>
        <v>326.49364800000001</v>
      </c>
      <c r="E227" s="27">
        <v>0</v>
      </c>
      <c r="F227" s="27">
        <v>568</v>
      </c>
      <c r="G227" s="112"/>
      <c r="H227" s="113"/>
      <c r="I227" s="56"/>
      <c r="K227" s="55">
        <f t="shared" si="53"/>
        <v>113600</v>
      </c>
      <c r="L227" s="55">
        <f t="shared" si="54"/>
        <v>13632</v>
      </c>
      <c r="S227" s="109">
        <f t="shared" ca="1" si="61"/>
        <v>207</v>
      </c>
      <c r="T227" s="109"/>
      <c r="U227" s="56">
        <f>U226+1</f>
        <v>7</v>
      </c>
      <c r="V227" s="55">
        <f t="shared" ca="1" si="62"/>
        <v>207</v>
      </c>
    </row>
    <row r="228" spans="1:23" s="55" customFormat="1" x14ac:dyDescent="0.25">
      <c r="A228" s="107">
        <f t="shared" ref="A228:A230" ca="1" si="63">S228</f>
        <v>208</v>
      </c>
      <c r="B228" s="107"/>
      <c r="C228" s="27" t="s">
        <v>205</v>
      </c>
      <c r="D228" s="27">
        <f>(33.87+8.105+0.72)*10.764</f>
        <v>459.5689799999999</v>
      </c>
      <c r="E228" s="27">
        <f>(4.95*2.6+2.8*3.22+1.1*4.95+2.3*6.2)*10.764</f>
        <v>447.68552399999999</v>
      </c>
      <c r="F228" s="27">
        <v>749</v>
      </c>
      <c r="G228" s="112"/>
      <c r="H228" s="113"/>
      <c r="I228" s="56">
        <f>3700*F228</f>
        <v>2771300</v>
      </c>
      <c r="K228" s="55">
        <f t="shared" si="53"/>
        <v>149800</v>
      </c>
      <c r="L228" s="55">
        <f t="shared" si="54"/>
        <v>17976</v>
      </c>
      <c r="S228" s="109">
        <f t="shared" ca="1" si="61"/>
        <v>208</v>
      </c>
      <c r="T228" s="109"/>
      <c r="U228" s="56">
        <f>U227+1</f>
        <v>8</v>
      </c>
      <c r="V228" s="55">
        <f ca="1">V227+1</f>
        <v>208</v>
      </c>
    </row>
    <row r="229" spans="1:23" s="55" customFormat="1" x14ac:dyDescent="0.25">
      <c r="A229" s="107">
        <f t="shared" ca="1" si="63"/>
        <v>209</v>
      </c>
      <c r="B229" s="107"/>
      <c r="C229" s="27" t="s">
        <v>205</v>
      </c>
      <c r="D229" s="27">
        <f>(35.212+7.4+1.08)*10.764</f>
        <v>470.30068799999998</v>
      </c>
      <c r="E229" s="27">
        <f>(2.65*3.97+2.8*2.7+2*3.47+1.6*6.2)*10.764</f>
        <v>376.09954199999999</v>
      </c>
      <c r="F229" s="27">
        <v>734</v>
      </c>
      <c r="G229" s="112"/>
      <c r="H229" s="113"/>
      <c r="I229" s="56"/>
      <c r="K229" s="55">
        <f t="shared" si="53"/>
        <v>146800</v>
      </c>
      <c r="L229" s="55">
        <f t="shared" si="54"/>
        <v>17616</v>
      </c>
      <c r="S229" s="109">
        <f t="shared" ca="1" si="61"/>
        <v>209</v>
      </c>
      <c r="T229" s="109"/>
      <c r="U229" s="56">
        <f t="shared" ref="U229" si="64">U228+1</f>
        <v>9</v>
      </c>
      <c r="V229" s="55">
        <f t="shared" ca="1" si="62"/>
        <v>209</v>
      </c>
    </row>
    <row r="230" spans="1:23" s="55" customFormat="1" x14ac:dyDescent="0.25">
      <c r="A230" s="107">
        <f t="shared" ca="1" si="63"/>
        <v>210</v>
      </c>
      <c r="B230" s="107"/>
      <c r="C230" s="27" t="s">
        <v>205</v>
      </c>
      <c r="D230" s="27">
        <f>(34.225+7.475+0.978)*10.764</f>
        <v>459.38599200000004</v>
      </c>
      <c r="E230" s="27">
        <f>(2.675*3.97+2.8*2.7+2*3.47+1.6*6.2)*10.764</f>
        <v>377.16786899999994</v>
      </c>
      <c r="F230" s="27">
        <v>717</v>
      </c>
      <c r="G230" s="114"/>
      <c r="H230" s="115"/>
      <c r="I230" s="56"/>
      <c r="K230" s="55">
        <f t="shared" si="53"/>
        <v>143400</v>
      </c>
      <c r="L230" s="55">
        <f t="shared" si="54"/>
        <v>17208</v>
      </c>
      <c r="S230" s="109">
        <f t="shared" ca="1" si="61"/>
        <v>210</v>
      </c>
      <c r="T230" s="109"/>
      <c r="U230" s="56">
        <f>U229+1</f>
        <v>10</v>
      </c>
      <c r="V230" s="55">
        <f t="shared" ca="1" si="62"/>
        <v>210</v>
      </c>
    </row>
    <row r="231" spans="1:23" s="55" customFormat="1" x14ac:dyDescent="0.25">
      <c r="A231" s="108" t="s">
        <v>206</v>
      </c>
      <c r="B231" s="108"/>
      <c r="C231" s="108"/>
      <c r="D231" s="108"/>
      <c r="E231" s="108"/>
      <c r="F231" s="108"/>
      <c r="G231" s="108"/>
      <c r="H231" s="108"/>
      <c r="I231" s="56"/>
      <c r="K231" s="55">
        <f t="shared" si="53"/>
        <v>0</v>
      </c>
      <c r="L231" s="55">
        <f t="shared" si="54"/>
        <v>0</v>
      </c>
      <c r="S231" s="109" t="s">
        <v>167</v>
      </c>
      <c r="T231" s="109"/>
      <c r="V231" s="55" t="str">
        <f>MID(A231,1,3)</f>
        <v>4th</v>
      </c>
      <c r="W231" s="55">
        <f ca="1">--TRIM(RIGHT(SUBSTITUTE(LEFT(A231,_xlfn.AGGREGATE(14,6,FIND({0,1,2,3,4,5,6,7,8,9},A231,ROW(INDIRECT("1:"&amp;LEN(A231)))),1))," ",REPT(" ",LEN(A231))),LEN(A231)))</f>
        <v>6</v>
      </c>
    </row>
    <row r="232" spans="1:23" s="55" customFormat="1" ht="15.6" customHeight="1" x14ac:dyDescent="0.25">
      <c r="A232" s="107" t="s">
        <v>220</v>
      </c>
      <c r="B232" s="107"/>
      <c r="C232" s="69" t="s">
        <v>191</v>
      </c>
      <c r="D232" s="69">
        <f>(24.45+4.9)*10.764</f>
        <v>315.92340000000002</v>
      </c>
      <c r="E232" s="69">
        <v>0</v>
      </c>
      <c r="F232" s="69">
        <v>633</v>
      </c>
      <c r="G232" s="107" t="str">
        <f>A231</f>
        <v>4th &amp; 6th Floor</v>
      </c>
      <c r="H232" s="107"/>
      <c r="I232" s="56"/>
      <c r="K232" s="55">
        <f t="shared" si="53"/>
        <v>126600</v>
      </c>
      <c r="L232" s="55">
        <f t="shared" si="54"/>
        <v>15192</v>
      </c>
      <c r="S232" s="109" t="e">
        <f ca="1">V232&amp;""&amp;#REF!&amp;""&amp;W232</f>
        <v>#REF!</v>
      </c>
      <c r="T232" s="109"/>
      <c r="U232" s="56">
        <v>1</v>
      </c>
      <c r="V232" s="55">
        <f ca="1">(SUMPRODUCT(MID(0&amp;V231, LARGE(INDEX(ISNUMBER(--MID(V231, ROW(INDIRECT("1:"&amp;LEN(V231))), 1)) * ROW(INDIRECT("1:"&amp;LEN(V231))), 0), ROW(INDIRECT("1:"&amp;LEN(V231))))+1, 1) * 10^ROW(INDIRECT("1:"&amp;LEN(V231)))/10))*U232*100+1</f>
        <v>401</v>
      </c>
      <c r="W232" s="55">
        <f ca="1">(SUMPRODUCT(MID(0&amp;W231, LARGE(INDEX(ISNUMBER(--MID(W231, ROW(INDIRECT("1:"&amp;LEN(W231))), 1)) * ROW(INDIRECT("1:"&amp;LEN(W231))), 0), ROW(INDIRECT("1:"&amp;LEN(W231))))+1, 1) * 10^ROW(INDIRECT("1:"&amp;LEN(W231)))/10))*U232*100+1</f>
        <v>601</v>
      </c>
    </row>
    <row r="233" spans="1:23" s="55" customFormat="1" ht="15.6" customHeight="1" x14ac:dyDescent="0.25">
      <c r="A233" s="107" t="s">
        <v>221</v>
      </c>
      <c r="B233" s="107"/>
      <c r="C233" s="69" t="s">
        <v>192</v>
      </c>
      <c r="D233" s="69">
        <f>(18.282+2.3+1.057)*10.764</f>
        <v>232.92219599999999</v>
      </c>
      <c r="E233" s="69">
        <v>0</v>
      </c>
      <c r="F233" s="69">
        <v>402</v>
      </c>
      <c r="G233" s="107"/>
      <c r="H233" s="107"/>
      <c r="I233" s="56"/>
      <c r="K233" s="55">
        <f t="shared" si="53"/>
        <v>80400</v>
      </c>
      <c r="L233" s="55">
        <f t="shared" si="54"/>
        <v>9648</v>
      </c>
      <c r="S233" s="109" t="e">
        <f ca="1">V233&amp;""&amp;#REF!&amp;""&amp;W233</f>
        <v>#REF!</v>
      </c>
      <c r="T233" s="109"/>
      <c r="U233" s="56">
        <f t="shared" ref="U233:W233" si="65">U232+1</f>
        <v>2</v>
      </c>
      <c r="V233" s="55">
        <f t="shared" ca="1" si="65"/>
        <v>402</v>
      </c>
      <c r="W233" s="55">
        <f t="shared" ca="1" si="65"/>
        <v>602</v>
      </c>
    </row>
    <row r="234" spans="1:23" s="55" customFormat="1" ht="15.6" customHeight="1" x14ac:dyDescent="0.25">
      <c r="A234" s="107" t="s">
        <v>222</v>
      </c>
      <c r="B234" s="107"/>
      <c r="C234" s="69" t="s">
        <v>191</v>
      </c>
      <c r="D234" s="69">
        <f>(24.449+4.9)*10.764</f>
        <v>315.91263600000002</v>
      </c>
      <c r="E234" s="69">
        <v>0</v>
      </c>
      <c r="F234" s="69">
        <v>550</v>
      </c>
      <c r="G234" s="107"/>
      <c r="H234" s="107"/>
      <c r="I234" s="56"/>
      <c r="K234" s="55">
        <f t="shared" si="53"/>
        <v>110000</v>
      </c>
      <c r="L234" s="55">
        <f t="shared" si="54"/>
        <v>13200</v>
      </c>
      <c r="S234" s="109" t="e">
        <f ca="1">V234&amp;""&amp;#REF!&amp;""&amp;W234</f>
        <v>#REF!</v>
      </c>
      <c r="T234" s="109"/>
      <c r="U234" s="56">
        <f t="shared" ref="U234:W234" si="66">U233+1</f>
        <v>3</v>
      </c>
      <c r="V234" s="55">
        <f t="shared" ca="1" si="66"/>
        <v>403</v>
      </c>
      <c r="W234" s="55">
        <f t="shared" ca="1" si="66"/>
        <v>603</v>
      </c>
    </row>
    <row r="235" spans="1:23" s="55" customFormat="1" ht="15.6" customHeight="1" x14ac:dyDescent="0.25">
      <c r="A235" s="107" t="s">
        <v>223</v>
      </c>
      <c r="B235" s="107"/>
      <c r="C235" s="69" t="s">
        <v>191</v>
      </c>
      <c r="D235" s="69">
        <f>(24.527+5.15+1.08)*10.764</f>
        <v>331.06834799999996</v>
      </c>
      <c r="E235" s="69">
        <v>0</v>
      </c>
      <c r="F235" s="69">
        <v>574</v>
      </c>
      <c r="G235" s="107"/>
      <c r="H235" s="107"/>
      <c r="I235" s="56"/>
      <c r="K235" s="55">
        <f t="shared" si="53"/>
        <v>114800</v>
      </c>
      <c r="L235" s="55">
        <f t="shared" si="54"/>
        <v>13776</v>
      </c>
      <c r="S235" s="109" t="e">
        <f ca="1">V235&amp;""&amp;#REF!&amp;""&amp;W235</f>
        <v>#REF!</v>
      </c>
      <c r="T235" s="109"/>
      <c r="U235" s="56">
        <f t="shared" ref="U235:W235" si="67">U234+1</f>
        <v>4</v>
      </c>
      <c r="V235" s="55">
        <f t="shared" ca="1" si="67"/>
        <v>404</v>
      </c>
      <c r="W235" s="55">
        <f t="shared" ca="1" si="67"/>
        <v>604</v>
      </c>
    </row>
    <row r="236" spans="1:23" s="55" customFormat="1" ht="15.6" customHeight="1" x14ac:dyDescent="0.25">
      <c r="A236" s="107" t="s">
        <v>224</v>
      </c>
      <c r="B236" s="107"/>
      <c r="C236" s="69" t="s">
        <v>191</v>
      </c>
      <c r="D236" s="69">
        <f>(24.527+5.15+1.08)*10.764</f>
        <v>331.06834799999996</v>
      </c>
      <c r="E236" s="69">
        <v>0</v>
      </c>
      <c r="F236" s="69">
        <v>574</v>
      </c>
      <c r="G236" s="107"/>
      <c r="H236" s="107"/>
      <c r="I236" s="56"/>
      <c r="K236" s="55">
        <f t="shared" si="53"/>
        <v>114800</v>
      </c>
      <c r="L236" s="55">
        <f t="shared" si="54"/>
        <v>13776</v>
      </c>
      <c r="S236" s="109" t="e">
        <f ca="1">V236&amp;""&amp;#REF!&amp;""&amp;W236</f>
        <v>#REF!</v>
      </c>
      <c r="T236" s="109"/>
      <c r="U236" s="56">
        <f t="shared" ref="U236:W236" si="68">U235+1</f>
        <v>5</v>
      </c>
      <c r="V236" s="55">
        <f t="shared" ca="1" si="68"/>
        <v>405</v>
      </c>
      <c r="W236" s="55">
        <f t="shared" ca="1" si="68"/>
        <v>605</v>
      </c>
    </row>
    <row r="237" spans="1:23" s="55" customFormat="1" ht="15.6" customHeight="1" x14ac:dyDescent="0.25">
      <c r="A237" s="107" t="s">
        <v>225</v>
      </c>
      <c r="B237" s="107"/>
      <c r="C237" s="69" t="s">
        <v>191</v>
      </c>
      <c r="D237" s="69">
        <f>(24.427+4.825+1.08)*10.764</f>
        <v>326.49364800000001</v>
      </c>
      <c r="E237" s="69">
        <v>0</v>
      </c>
      <c r="F237" s="69">
        <v>568</v>
      </c>
      <c r="G237" s="107"/>
      <c r="H237" s="107"/>
      <c r="I237" s="56"/>
      <c r="K237" s="55">
        <f t="shared" si="53"/>
        <v>113600</v>
      </c>
      <c r="L237" s="55">
        <f t="shared" si="54"/>
        <v>13632</v>
      </c>
      <c r="S237" s="109" t="e">
        <f ca="1">V237&amp;""&amp;#REF!&amp;""&amp;W237</f>
        <v>#REF!</v>
      </c>
      <c r="T237" s="109"/>
      <c r="U237" s="56">
        <f t="shared" ref="U237:W237" si="69">U236+1</f>
        <v>6</v>
      </c>
      <c r="V237" s="55">
        <f t="shared" ca="1" si="69"/>
        <v>406</v>
      </c>
      <c r="W237" s="55">
        <f t="shared" ca="1" si="69"/>
        <v>606</v>
      </c>
    </row>
    <row r="238" spans="1:23" s="55" customFormat="1" ht="15.6" customHeight="1" x14ac:dyDescent="0.25">
      <c r="A238" s="107" t="s">
        <v>226</v>
      </c>
      <c r="B238" s="107"/>
      <c r="C238" s="69" t="s">
        <v>191</v>
      </c>
      <c r="D238" s="69">
        <f>(24.427+4.825+1.08)*10.764</f>
        <v>326.49364800000001</v>
      </c>
      <c r="E238" s="69">
        <v>0</v>
      </c>
      <c r="F238" s="69">
        <v>568</v>
      </c>
      <c r="G238" s="107"/>
      <c r="H238" s="107"/>
      <c r="I238" s="56"/>
      <c r="K238" s="55">
        <f t="shared" si="53"/>
        <v>113600</v>
      </c>
      <c r="L238" s="55">
        <f t="shared" si="54"/>
        <v>13632</v>
      </c>
      <c r="S238" s="109" t="e">
        <f ca="1">V238&amp;""&amp;#REF!&amp;""&amp;W238</f>
        <v>#REF!</v>
      </c>
      <c r="T238" s="109"/>
      <c r="U238" s="56">
        <f t="shared" ref="U238:W238" si="70">U237+1</f>
        <v>7</v>
      </c>
      <c r="V238" s="55">
        <f t="shared" ca="1" si="70"/>
        <v>407</v>
      </c>
      <c r="W238" s="55">
        <f t="shared" ca="1" si="70"/>
        <v>607</v>
      </c>
    </row>
    <row r="239" spans="1:23" s="55" customFormat="1" ht="15.6" customHeight="1" x14ac:dyDescent="0.25">
      <c r="A239" s="107" t="s">
        <v>227</v>
      </c>
      <c r="B239" s="107"/>
      <c r="C239" s="69" t="s">
        <v>205</v>
      </c>
      <c r="D239" s="69">
        <f>(33.87+8.105+0.72)*10.764</f>
        <v>459.5689799999999</v>
      </c>
      <c r="E239" s="69">
        <f>4.59*10.764</f>
        <v>49.406759999999998</v>
      </c>
      <c r="F239" s="69">
        <v>875</v>
      </c>
      <c r="G239" s="107"/>
      <c r="H239" s="107"/>
      <c r="I239" s="56">
        <f>F239*3700</f>
        <v>3237500</v>
      </c>
      <c r="K239" s="55">
        <f t="shared" si="53"/>
        <v>175000</v>
      </c>
      <c r="L239" s="55">
        <f t="shared" si="54"/>
        <v>21000</v>
      </c>
      <c r="S239" s="109" t="e">
        <f ca="1">V239&amp;""&amp;#REF!&amp;""&amp;W239</f>
        <v>#REF!</v>
      </c>
      <c r="T239" s="109"/>
      <c r="U239" s="56">
        <f t="shared" ref="U239:W239" si="71">U238+1</f>
        <v>8</v>
      </c>
      <c r="V239" s="55">
        <f t="shared" ca="1" si="71"/>
        <v>408</v>
      </c>
      <c r="W239" s="55">
        <f t="shared" ca="1" si="71"/>
        <v>608</v>
      </c>
    </row>
    <row r="240" spans="1:23" s="55" customFormat="1" ht="15.6" customHeight="1" x14ac:dyDescent="0.25">
      <c r="A240" s="107" t="s">
        <v>228</v>
      </c>
      <c r="B240" s="107"/>
      <c r="C240" s="69" t="s">
        <v>205</v>
      </c>
      <c r="D240" s="69">
        <f>(35.212+7.4+1.08)*10.764</f>
        <v>470.30068799999998</v>
      </c>
      <c r="E240" s="69">
        <v>0</v>
      </c>
      <c r="F240" s="69">
        <v>819</v>
      </c>
      <c r="G240" s="107"/>
      <c r="H240" s="107"/>
      <c r="I240" s="56"/>
      <c r="K240" s="55">
        <f t="shared" si="53"/>
        <v>163800</v>
      </c>
      <c r="L240" s="55">
        <f t="shared" si="54"/>
        <v>19656</v>
      </c>
      <c r="S240" s="109" t="e">
        <f ca="1">V240&amp;""&amp;#REF!&amp;""&amp;W240</f>
        <v>#REF!</v>
      </c>
      <c r="T240" s="109"/>
      <c r="U240" s="56">
        <f t="shared" ref="U240:W240" si="72">U239+1</f>
        <v>9</v>
      </c>
      <c r="V240" s="55">
        <f t="shared" ca="1" si="72"/>
        <v>409</v>
      </c>
      <c r="W240" s="55">
        <f t="shared" ca="1" si="72"/>
        <v>609</v>
      </c>
    </row>
    <row r="241" spans="1:23" s="55" customFormat="1" ht="15.6" customHeight="1" x14ac:dyDescent="0.25">
      <c r="A241" s="107" t="s">
        <v>229</v>
      </c>
      <c r="B241" s="107"/>
      <c r="C241" s="69" t="s">
        <v>205</v>
      </c>
      <c r="D241" s="69">
        <f>(34.225+7.475+0.978)*10.764</f>
        <v>459.38599200000004</v>
      </c>
      <c r="E241" s="69">
        <v>0</v>
      </c>
      <c r="F241" s="69">
        <v>802</v>
      </c>
      <c r="G241" s="107"/>
      <c r="H241" s="107"/>
      <c r="I241" s="56"/>
      <c r="K241" s="55">
        <f t="shared" si="53"/>
        <v>160400</v>
      </c>
      <c r="L241" s="55">
        <f t="shared" si="54"/>
        <v>19248</v>
      </c>
      <c r="S241" s="109" t="e">
        <f ca="1">V241&amp;""&amp;#REF!&amp;""&amp;W241</f>
        <v>#REF!</v>
      </c>
      <c r="T241" s="109"/>
      <c r="U241" s="56">
        <f t="shared" ref="U241:W241" si="73">U240+1</f>
        <v>10</v>
      </c>
      <c r="V241" s="55">
        <f t="shared" ca="1" si="73"/>
        <v>410</v>
      </c>
      <c r="W241" s="55">
        <f t="shared" ca="1" si="73"/>
        <v>610</v>
      </c>
    </row>
    <row r="242" spans="1:23" s="55" customFormat="1" ht="15.75" customHeight="1" x14ac:dyDescent="0.25">
      <c r="A242" s="108" t="s">
        <v>208</v>
      </c>
      <c r="B242" s="108"/>
      <c r="C242" s="108"/>
      <c r="D242" s="108"/>
      <c r="E242" s="108"/>
      <c r="F242" s="108"/>
      <c r="G242" s="108"/>
      <c r="H242" s="108"/>
      <c r="I242" s="56"/>
      <c r="K242" s="55">
        <f t="shared" si="53"/>
        <v>0</v>
      </c>
      <c r="L242" s="55">
        <f t="shared" si="54"/>
        <v>0</v>
      </c>
      <c r="S242" s="109" t="s">
        <v>164</v>
      </c>
      <c r="T242" s="109"/>
      <c r="V242" s="55" t="str">
        <f>LEFT(A242,SUM(LEN(A242)-LEN(SUBSTITUTE(A242,{"0","1","2","3","4","5","6","7","8","9"},""))))</f>
        <v>3rd</v>
      </c>
      <c r="W242" s="55">
        <f ca="1">--TRIM(RIGHT(SUBSTITUTE(LEFT(A242,_xlfn.AGGREGATE(16,6,FIND({0,1,2,3,4,5,6,7,8,9},A242,ROW(INDIRECT("1:"&amp;LEN(A242)))),1))," ",REPT(" ",LEN(A242))),LEN(A242)))</f>
        <v>7</v>
      </c>
    </row>
    <row r="243" spans="1:23" s="55" customFormat="1" ht="15.6" customHeight="1" x14ac:dyDescent="0.25">
      <c r="A243" s="107" t="s">
        <v>210</v>
      </c>
      <c r="B243" s="107"/>
      <c r="C243" s="69" t="s">
        <v>191</v>
      </c>
      <c r="D243" s="69">
        <f>(24.45+4.9)*10.764</f>
        <v>315.92340000000002</v>
      </c>
      <c r="E243" s="69">
        <f t="shared" ref="E243" si="74">4.42*10.764</f>
        <v>47.576879999999996</v>
      </c>
      <c r="F243" s="69">
        <v>611</v>
      </c>
      <c r="G243" s="107" t="str">
        <f>A242</f>
        <v>3rd, 5th, 7th Floor</v>
      </c>
      <c r="H243" s="107"/>
      <c r="I243" s="56"/>
      <c r="K243" s="55">
        <f t="shared" si="53"/>
        <v>122200</v>
      </c>
      <c r="L243" s="55">
        <f t="shared" si="54"/>
        <v>14664</v>
      </c>
      <c r="S243" s="109" t="e">
        <f ca="1">V243&amp;""&amp;#REF!&amp;""&amp;W243</f>
        <v>#REF!</v>
      </c>
      <c r="T243" s="109"/>
      <c r="U243" s="56">
        <v>1</v>
      </c>
      <c r="V243" s="55">
        <f ca="1">(SUMPRODUCT(MID(0&amp;V242, LARGE(INDEX(ISNUMBER(--MID(V242, ROW(INDIRECT("1:"&amp;LEN(V242))), 1)) * ROW(INDIRECT("1:"&amp;LEN(V242))), 0), ROW(INDIRECT("1:"&amp;LEN(V242))))+1, 1) * 10^ROW(INDIRECT("1:"&amp;LEN(V242)))/10))*U243*100+1</f>
        <v>301</v>
      </c>
      <c r="W243" s="55">
        <f ca="1">(SUMPRODUCT(MID(0&amp;W242, LARGE(INDEX(ISNUMBER(--MID(W242, ROW(INDIRECT("1:"&amp;LEN(W242))), 1)) * ROW(INDIRECT("1:"&amp;LEN(W242))), 0), ROW(INDIRECT("1:"&amp;LEN(W242))))+1, 1) * 10^ROW(INDIRECT("1:"&amp;LEN(W242)))/10))*U243*100+1</f>
        <v>701</v>
      </c>
    </row>
    <row r="244" spans="1:23" s="55" customFormat="1" ht="15.6" customHeight="1" x14ac:dyDescent="0.25">
      <c r="A244" s="107" t="s">
        <v>211</v>
      </c>
      <c r="B244" s="107"/>
      <c r="C244" s="69" t="s">
        <v>192</v>
      </c>
      <c r="D244" s="69">
        <f>(18.282+2.3+1.057)*10.764</f>
        <v>232.92219599999999</v>
      </c>
      <c r="E244" s="69">
        <f>2.585*10.764</f>
        <v>27.824939999999998</v>
      </c>
      <c r="F244" s="69">
        <v>415</v>
      </c>
      <c r="G244" s="107"/>
      <c r="H244" s="107"/>
      <c r="I244" s="56"/>
      <c r="K244" s="55">
        <f t="shared" si="53"/>
        <v>83000</v>
      </c>
      <c r="L244" s="55">
        <f t="shared" si="54"/>
        <v>9960</v>
      </c>
      <c r="S244" s="109" t="e">
        <f ca="1">V244&amp;""&amp;#REF!&amp;""&amp;W244</f>
        <v>#REF!</v>
      </c>
      <c r="T244" s="109"/>
      <c r="U244" s="56">
        <f t="shared" ref="U244:W244" si="75">U243+1</f>
        <v>2</v>
      </c>
      <c r="V244" s="55">
        <f t="shared" ca="1" si="75"/>
        <v>302</v>
      </c>
      <c r="W244" s="55">
        <f t="shared" ca="1" si="75"/>
        <v>702</v>
      </c>
    </row>
    <row r="245" spans="1:23" s="55" customFormat="1" ht="15.6" customHeight="1" x14ac:dyDescent="0.25">
      <c r="A245" s="107" t="s">
        <v>212</v>
      </c>
      <c r="B245" s="107"/>
      <c r="C245" s="69" t="s">
        <v>191</v>
      </c>
      <c r="D245" s="69">
        <f>(24.449+4.9)*10.764</f>
        <v>315.91263600000002</v>
      </c>
      <c r="E245" s="69">
        <f t="shared" ref="E245:E248" si="76">4.615*10.764</f>
        <v>49.67586</v>
      </c>
      <c r="F245" s="69">
        <v>611</v>
      </c>
      <c r="G245" s="107"/>
      <c r="H245" s="107"/>
      <c r="I245" s="56"/>
      <c r="K245" s="55">
        <f t="shared" si="53"/>
        <v>122200</v>
      </c>
      <c r="L245" s="55">
        <f t="shared" si="54"/>
        <v>14664</v>
      </c>
      <c r="S245" s="109" t="e">
        <f ca="1">V245&amp;""&amp;#REF!&amp;""&amp;W245</f>
        <v>#REF!</v>
      </c>
      <c r="T245" s="109"/>
      <c r="U245" s="56">
        <f t="shared" ref="U245:W245" si="77">U244+1</f>
        <v>3</v>
      </c>
      <c r="V245" s="55">
        <f t="shared" ca="1" si="77"/>
        <v>303</v>
      </c>
      <c r="W245" s="55">
        <f t="shared" ca="1" si="77"/>
        <v>703</v>
      </c>
    </row>
    <row r="246" spans="1:23" s="55" customFormat="1" ht="15.6" customHeight="1" x14ac:dyDescent="0.25">
      <c r="A246" s="107" t="s">
        <v>213</v>
      </c>
      <c r="B246" s="107"/>
      <c r="C246" s="69" t="s">
        <v>191</v>
      </c>
      <c r="D246" s="69">
        <f>(24.527+5.15+1.08)*10.764</f>
        <v>331.06834799999996</v>
      </c>
      <c r="E246" s="69">
        <f t="shared" si="76"/>
        <v>49.67586</v>
      </c>
      <c r="F246" s="69">
        <v>635</v>
      </c>
      <c r="G246" s="107"/>
      <c r="H246" s="107"/>
      <c r="I246" s="56"/>
      <c r="K246" s="55">
        <f t="shared" si="53"/>
        <v>127000</v>
      </c>
      <c r="L246" s="55">
        <f t="shared" si="54"/>
        <v>15240</v>
      </c>
      <c r="S246" s="109" t="e">
        <f ca="1">V246&amp;""&amp;#REF!&amp;""&amp;W246</f>
        <v>#REF!</v>
      </c>
      <c r="T246" s="109"/>
      <c r="U246" s="56">
        <f t="shared" ref="U246:W246" si="78">U245+1</f>
        <v>4</v>
      </c>
      <c r="V246" s="55">
        <f t="shared" ca="1" si="78"/>
        <v>304</v>
      </c>
      <c r="W246" s="55">
        <f t="shared" ca="1" si="78"/>
        <v>704</v>
      </c>
    </row>
    <row r="247" spans="1:23" s="55" customFormat="1" ht="15.6" customHeight="1" x14ac:dyDescent="0.25">
      <c r="A247" s="107" t="s">
        <v>214</v>
      </c>
      <c r="B247" s="107"/>
      <c r="C247" s="69" t="s">
        <v>191</v>
      </c>
      <c r="D247" s="69">
        <f>(24.527+5.15+1.08)*10.764</f>
        <v>331.06834799999996</v>
      </c>
      <c r="E247" s="69">
        <f t="shared" si="76"/>
        <v>49.67586</v>
      </c>
      <c r="F247" s="69">
        <v>635</v>
      </c>
      <c r="G247" s="107"/>
      <c r="H247" s="107"/>
      <c r="I247" s="56"/>
      <c r="K247" s="55">
        <f t="shared" si="53"/>
        <v>127000</v>
      </c>
      <c r="L247" s="55">
        <f t="shared" si="54"/>
        <v>15240</v>
      </c>
      <c r="S247" s="109" t="e">
        <f ca="1">V247&amp;""&amp;#REF!&amp;""&amp;W247</f>
        <v>#REF!</v>
      </c>
      <c r="T247" s="109"/>
      <c r="U247" s="56">
        <f t="shared" ref="U247:W247" si="79">U246+1</f>
        <v>5</v>
      </c>
      <c r="V247" s="55">
        <f t="shared" ca="1" si="79"/>
        <v>305</v>
      </c>
      <c r="W247" s="55">
        <f t="shared" ca="1" si="79"/>
        <v>705</v>
      </c>
    </row>
    <row r="248" spans="1:23" s="55" customFormat="1" ht="15.6" customHeight="1" x14ac:dyDescent="0.25">
      <c r="A248" s="107" t="s">
        <v>215</v>
      </c>
      <c r="B248" s="107"/>
      <c r="C248" s="69" t="s">
        <v>191</v>
      </c>
      <c r="D248" s="69">
        <f>(24.427+4.825+1.08)*10.764</f>
        <v>326.49364800000001</v>
      </c>
      <c r="E248" s="69">
        <f t="shared" si="76"/>
        <v>49.67586</v>
      </c>
      <c r="F248" s="69">
        <v>628</v>
      </c>
      <c r="G248" s="107"/>
      <c r="H248" s="107"/>
      <c r="I248" s="56"/>
      <c r="K248" s="55">
        <f t="shared" si="53"/>
        <v>125600</v>
      </c>
      <c r="L248" s="55">
        <f t="shared" si="54"/>
        <v>15072</v>
      </c>
      <c r="S248" s="109" t="e">
        <f ca="1">V248&amp;""&amp;#REF!&amp;""&amp;W248</f>
        <v>#REF!</v>
      </c>
      <c r="T248" s="109"/>
      <c r="U248" s="56">
        <f t="shared" ref="U248:W248" si="80">U247+1</f>
        <v>6</v>
      </c>
      <c r="V248" s="55">
        <f t="shared" ca="1" si="80"/>
        <v>306</v>
      </c>
      <c r="W248" s="55">
        <f t="shared" ca="1" si="80"/>
        <v>706</v>
      </c>
    </row>
    <row r="249" spans="1:23" s="55" customFormat="1" ht="15.6" customHeight="1" x14ac:dyDescent="0.25">
      <c r="A249" s="107" t="s">
        <v>216</v>
      </c>
      <c r="B249" s="107"/>
      <c r="C249" s="69" t="s">
        <v>191</v>
      </c>
      <c r="D249" s="69">
        <f>(24.427+4.825+1.08)*10.764</f>
        <v>326.49364800000001</v>
      </c>
      <c r="E249" s="69">
        <f t="shared" ref="E249" si="81">4.42*10.764</f>
        <v>47.576879999999996</v>
      </c>
      <c r="F249" s="69">
        <v>628</v>
      </c>
      <c r="G249" s="107"/>
      <c r="H249" s="107"/>
      <c r="I249" s="56"/>
      <c r="K249" s="55">
        <f t="shared" si="53"/>
        <v>125600</v>
      </c>
      <c r="L249" s="55">
        <f t="shared" si="54"/>
        <v>15072</v>
      </c>
      <c r="S249" s="109" t="e">
        <f ca="1">V249&amp;""&amp;#REF!&amp;""&amp;W249</f>
        <v>#REF!</v>
      </c>
      <c r="T249" s="109"/>
      <c r="U249" s="56">
        <f t="shared" ref="U249:W249" si="82">U248+1</f>
        <v>7</v>
      </c>
      <c r="V249" s="55">
        <f t="shared" ca="1" si="82"/>
        <v>307</v>
      </c>
      <c r="W249" s="55">
        <f t="shared" ca="1" si="82"/>
        <v>707</v>
      </c>
    </row>
    <row r="250" spans="1:23" s="55" customFormat="1" ht="15.6" customHeight="1" x14ac:dyDescent="0.25">
      <c r="A250" s="107" t="s">
        <v>217</v>
      </c>
      <c r="B250" s="107"/>
      <c r="C250" s="69" t="s">
        <v>205</v>
      </c>
      <c r="D250" s="69">
        <f>(33.87+8.105+0.72)*10.764</f>
        <v>459.5689799999999</v>
      </c>
      <c r="E250" s="69">
        <f>3.795*10.764</f>
        <v>40.849379999999996</v>
      </c>
      <c r="F250" s="69">
        <v>843</v>
      </c>
      <c r="G250" s="107"/>
      <c r="H250" s="107"/>
      <c r="I250" s="56"/>
      <c r="K250" s="55">
        <f t="shared" si="53"/>
        <v>168600</v>
      </c>
      <c r="L250" s="55">
        <f t="shared" si="54"/>
        <v>20232</v>
      </c>
      <c r="S250" s="109" t="e">
        <f ca="1">V250&amp;""&amp;#REF!&amp;""&amp;W250</f>
        <v>#REF!</v>
      </c>
      <c r="T250" s="109"/>
      <c r="U250" s="56">
        <f t="shared" ref="U250:W250" si="83">U249+1</f>
        <v>8</v>
      </c>
      <c r="V250" s="55">
        <f t="shared" ca="1" si="83"/>
        <v>308</v>
      </c>
      <c r="W250" s="55">
        <f t="shared" ca="1" si="83"/>
        <v>708</v>
      </c>
    </row>
    <row r="251" spans="1:23" s="55" customFormat="1" ht="15.6" customHeight="1" x14ac:dyDescent="0.25">
      <c r="A251" s="107" t="s">
        <v>218</v>
      </c>
      <c r="B251" s="107"/>
      <c r="C251" s="69" t="s">
        <v>205</v>
      </c>
      <c r="D251" s="69">
        <f>(35.212+7.4+1.08)*10.764</f>
        <v>470.30068799999998</v>
      </c>
      <c r="E251" s="69">
        <f t="shared" ref="E251:E252" si="84">4.523*10.764</f>
        <v>48.685571999999993</v>
      </c>
      <c r="F251" s="69">
        <v>879</v>
      </c>
      <c r="G251" s="107"/>
      <c r="H251" s="107"/>
      <c r="I251" s="56"/>
      <c r="K251" s="55">
        <f t="shared" si="53"/>
        <v>175800</v>
      </c>
      <c r="L251" s="55">
        <f t="shared" si="54"/>
        <v>21096</v>
      </c>
      <c r="S251" s="109" t="e">
        <f ca="1">V251&amp;""&amp;#REF!&amp;""&amp;W251</f>
        <v>#REF!</v>
      </c>
      <c r="T251" s="109"/>
      <c r="U251" s="56">
        <f t="shared" ref="U251:W251" si="85">U250+1</f>
        <v>9</v>
      </c>
      <c r="V251" s="55">
        <f t="shared" ca="1" si="85"/>
        <v>309</v>
      </c>
      <c r="W251" s="55">
        <f t="shared" ca="1" si="85"/>
        <v>709</v>
      </c>
    </row>
    <row r="252" spans="1:23" s="55" customFormat="1" ht="15.6" customHeight="1" x14ac:dyDescent="0.25">
      <c r="A252" s="107" t="s">
        <v>219</v>
      </c>
      <c r="B252" s="107"/>
      <c r="C252" s="69" t="s">
        <v>205</v>
      </c>
      <c r="D252" s="69">
        <f>(34.225+7.475+0.978)*10.764</f>
        <v>459.38599200000004</v>
      </c>
      <c r="E252" s="69">
        <f t="shared" si="84"/>
        <v>48.685571999999993</v>
      </c>
      <c r="F252" s="69">
        <v>862</v>
      </c>
      <c r="G252" s="107"/>
      <c r="H252" s="107"/>
      <c r="I252" s="56"/>
      <c r="K252" s="55">
        <f t="shared" si="53"/>
        <v>172400</v>
      </c>
      <c r="L252" s="55">
        <f t="shared" si="54"/>
        <v>20688</v>
      </c>
      <c r="S252" s="109" t="e">
        <f ca="1">V252&amp;""&amp;#REF!&amp;""&amp;W252</f>
        <v>#REF!</v>
      </c>
      <c r="T252" s="109"/>
      <c r="U252" s="56">
        <f t="shared" ref="U252:W252" si="86">U251+1</f>
        <v>10</v>
      </c>
      <c r="V252" s="55">
        <f t="shared" ca="1" si="86"/>
        <v>310</v>
      </c>
      <c r="W252" s="55">
        <f t="shared" ca="1" si="86"/>
        <v>710</v>
      </c>
    </row>
    <row r="253" spans="1:23" s="55" customFormat="1" x14ac:dyDescent="0.25">
      <c r="A253" s="102" t="s">
        <v>195</v>
      </c>
      <c r="B253" s="103"/>
      <c r="C253" s="103"/>
      <c r="D253" s="103"/>
      <c r="E253" s="103"/>
      <c r="F253" s="103"/>
      <c r="G253" s="103"/>
      <c r="H253" s="104"/>
      <c r="I253" s="56"/>
      <c r="K253" s="55">
        <f t="shared" si="53"/>
        <v>0</v>
      </c>
      <c r="L253" s="55">
        <f t="shared" si="54"/>
        <v>0</v>
      </c>
      <c r="U253" s="56"/>
    </row>
    <row r="254" spans="1:23" s="55" customFormat="1" x14ac:dyDescent="0.25">
      <c r="A254" s="102" t="s">
        <v>196</v>
      </c>
      <c r="B254" s="103"/>
      <c r="C254" s="103"/>
      <c r="D254" s="103"/>
      <c r="E254" s="103"/>
      <c r="F254" s="103"/>
      <c r="G254" s="103"/>
      <c r="H254" s="104"/>
      <c r="I254" s="56"/>
      <c r="K254" s="55">
        <f t="shared" si="53"/>
        <v>0</v>
      </c>
      <c r="L254" s="55">
        <f t="shared" si="54"/>
        <v>0</v>
      </c>
      <c r="U254" s="56"/>
    </row>
    <row r="255" spans="1:23" s="55" customFormat="1" ht="15.75" customHeight="1" x14ac:dyDescent="0.25">
      <c r="A255" s="102" t="s">
        <v>197</v>
      </c>
      <c r="B255" s="103"/>
      <c r="C255" s="103"/>
      <c r="D255" s="103"/>
      <c r="E255" s="103"/>
      <c r="F255" s="103"/>
      <c r="G255" s="103"/>
      <c r="H255" s="104"/>
      <c r="I255" s="56"/>
      <c r="K255" s="55">
        <f t="shared" si="53"/>
        <v>0</v>
      </c>
      <c r="L255" s="55">
        <f t="shared" si="54"/>
        <v>0</v>
      </c>
      <c r="S255" s="109" t="s">
        <v>164</v>
      </c>
      <c r="T255" s="109"/>
      <c r="V255" s="55" t="str">
        <f>LEFT(A255,SUM(LEN(A255)-LEN(SUBSTITUTE(A255,{"0","1","2","3","4","5","6","7","8","9"},""))))</f>
        <v>1st,</v>
      </c>
      <c r="W255" s="55">
        <f ca="1">--TRIM(RIGHT(SUBSTITUTE(LEFT(A255,_xlfn.AGGREGATE(16,6,FIND({0,1,2,3,4,5,6,7,8,9},A255,ROW(INDIRECT("1:"&amp;LEN(A255)))),1))," ",REPT(" ",LEN(A255))),LEN(A255)))</f>
        <v>7</v>
      </c>
    </row>
    <row r="256" spans="1:23" s="55" customFormat="1" ht="15.6" customHeight="1" x14ac:dyDescent="0.25">
      <c r="A256" s="105" t="s">
        <v>230</v>
      </c>
      <c r="B256" s="106"/>
      <c r="C256" s="27" t="s">
        <v>191</v>
      </c>
      <c r="D256" s="27">
        <f>(25.531+4.625)*10.764</f>
        <v>324.59918399999998</v>
      </c>
      <c r="E256" s="27">
        <f>4.62*10.764</f>
        <v>49.729679999999995</v>
      </c>
      <c r="F256" s="27">
        <v>621</v>
      </c>
      <c r="G256" s="110" t="str">
        <f>A255</f>
        <v>1st, 3rd, 5th &amp; 7th Floor</v>
      </c>
      <c r="H256" s="111"/>
      <c r="I256" s="56"/>
      <c r="K256" s="55">
        <f t="shared" si="53"/>
        <v>124200</v>
      </c>
      <c r="L256" s="55">
        <f t="shared" si="54"/>
        <v>14904</v>
      </c>
      <c r="S256" s="109" t="e">
        <f ca="1">V256&amp;""&amp;#REF!&amp;""&amp;W256</f>
        <v>#REF!</v>
      </c>
      <c r="T256" s="109"/>
      <c r="U256" s="56">
        <v>1</v>
      </c>
      <c r="V256" s="55">
        <f ca="1">(SUMPRODUCT(MID(0&amp;V255, LARGE(INDEX(ISNUMBER(--MID(V255, ROW(INDIRECT("1:"&amp;LEN(V255))), 1)) * ROW(INDIRECT("1:"&amp;LEN(V255))), 0), ROW(INDIRECT("1:"&amp;LEN(V255))))+1, 1) * 10^ROW(INDIRECT("1:"&amp;LEN(V255)))/10))*U256*100+1</f>
        <v>101</v>
      </c>
      <c r="W256" s="55">
        <f ca="1">(SUMPRODUCT(MID(0&amp;W255, LARGE(INDEX(ISNUMBER(--MID(W255, ROW(INDIRECT("1:"&amp;LEN(W255))), 1)) * ROW(INDIRECT("1:"&amp;LEN(W255))), 0), ROW(INDIRECT("1:"&amp;LEN(W255))))+1, 1) * 10^ROW(INDIRECT("1:"&amp;LEN(W255)))/10))*U256*100+1</f>
        <v>701</v>
      </c>
    </row>
    <row r="257" spans="1:23" s="55" customFormat="1" ht="15.6" customHeight="1" x14ac:dyDescent="0.25">
      <c r="A257" s="105" t="s">
        <v>231</v>
      </c>
      <c r="B257" s="106"/>
      <c r="C257" s="27" t="s">
        <v>191</v>
      </c>
      <c r="D257" s="27">
        <f>(24.467+5.875)*10.764</f>
        <v>326.60128799999995</v>
      </c>
      <c r="E257" s="27">
        <f>5.513*10.764</f>
        <v>59.341931999999993</v>
      </c>
      <c r="F257" s="27">
        <v>658</v>
      </c>
      <c r="G257" s="112"/>
      <c r="H257" s="113"/>
      <c r="I257" s="56"/>
      <c r="K257" s="55">
        <f t="shared" si="53"/>
        <v>131600</v>
      </c>
      <c r="L257" s="55">
        <f t="shared" si="54"/>
        <v>15792</v>
      </c>
      <c r="S257" s="109" t="e">
        <f ca="1">V257&amp;""&amp;#REF!&amp;""&amp;W257</f>
        <v>#REF!</v>
      </c>
      <c r="T257" s="109"/>
      <c r="U257" s="56">
        <f t="shared" ref="U257:W257" si="87">U256+1</f>
        <v>2</v>
      </c>
      <c r="V257" s="55">
        <f t="shared" ca="1" si="87"/>
        <v>102</v>
      </c>
      <c r="W257" s="55">
        <f t="shared" ca="1" si="87"/>
        <v>702</v>
      </c>
    </row>
    <row r="258" spans="1:23" s="55" customFormat="1" ht="15.6" customHeight="1" x14ac:dyDescent="0.25">
      <c r="A258" s="105" t="s">
        <v>232</v>
      </c>
      <c r="B258" s="106"/>
      <c r="C258" s="27" t="s">
        <v>191</v>
      </c>
      <c r="D258" s="27">
        <f t="shared" ref="D258" si="88">(24.467+5.875)*10.764</f>
        <v>326.60128799999995</v>
      </c>
      <c r="E258" s="27">
        <f>5.513*10.764</f>
        <v>59.341931999999993</v>
      </c>
      <c r="F258" s="27">
        <v>658</v>
      </c>
      <c r="G258" s="112"/>
      <c r="H258" s="113"/>
      <c r="I258" s="56"/>
      <c r="K258" s="55">
        <f t="shared" si="53"/>
        <v>131600</v>
      </c>
      <c r="L258" s="55">
        <f t="shared" si="54"/>
        <v>15792</v>
      </c>
      <c r="S258" s="109" t="e">
        <f ca="1">V258&amp;""&amp;#REF!&amp;""&amp;W258</f>
        <v>#REF!</v>
      </c>
      <c r="T258" s="109"/>
      <c r="U258" s="56">
        <f t="shared" ref="U258:W258" si="89">U257+1</f>
        <v>3</v>
      </c>
      <c r="V258" s="55">
        <f t="shared" ca="1" si="89"/>
        <v>103</v>
      </c>
      <c r="W258" s="55">
        <f t="shared" ca="1" si="89"/>
        <v>703</v>
      </c>
    </row>
    <row r="259" spans="1:23" s="55" customFormat="1" ht="15.6" customHeight="1" x14ac:dyDescent="0.25">
      <c r="A259" s="105" t="s">
        <v>233</v>
      </c>
      <c r="B259" s="106"/>
      <c r="C259" s="27" t="s">
        <v>191</v>
      </c>
      <c r="D259" s="27">
        <f>(25.54+4.625)*10.764</f>
        <v>324.69605999999999</v>
      </c>
      <c r="E259" s="27">
        <f>4.62*10.764</f>
        <v>49.729679999999995</v>
      </c>
      <c r="F259" s="27">
        <v>620</v>
      </c>
      <c r="G259" s="112"/>
      <c r="H259" s="113"/>
      <c r="I259" s="56"/>
      <c r="K259" s="55">
        <f t="shared" si="53"/>
        <v>124000</v>
      </c>
      <c r="L259" s="55">
        <f t="shared" si="54"/>
        <v>14880</v>
      </c>
      <c r="S259" s="109" t="e">
        <f ca="1">V259&amp;""&amp;#REF!&amp;""&amp;W259</f>
        <v>#REF!</v>
      </c>
      <c r="T259" s="109"/>
      <c r="U259" s="56">
        <f t="shared" ref="U259:W259" si="90">U258+1</f>
        <v>4</v>
      </c>
      <c r="V259" s="55">
        <f t="shared" ca="1" si="90"/>
        <v>104</v>
      </c>
      <c r="W259" s="55">
        <f t="shared" ca="1" si="90"/>
        <v>704</v>
      </c>
    </row>
    <row r="260" spans="1:23" s="55" customFormat="1" ht="15.6" customHeight="1" x14ac:dyDescent="0.25">
      <c r="A260" s="105" t="s">
        <v>234</v>
      </c>
      <c r="B260" s="106"/>
      <c r="C260" s="27" t="s">
        <v>191</v>
      </c>
      <c r="D260" s="27">
        <f t="shared" ref="D260:D262" si="91">(25.54+4.625)*10.764</f>
        <v>324.69605999999999</v>
      </c>
      <c r="E260" s="27">
        <f>4.41*10.764</f>
        <v>47.469239999999999</v>
      </c>
      <c r="F260" s="27">
        <v>620</v>
      </c>
      <c r="G260" s="112"/>
      <c r="H260" s="113"/>
      <c r="I260" s="56"/>
      <c r="K260" s="55">
        <f t="shared" si="53"/>
        <v>124000</v>
      </c>
      <c r="L260" s="55">
        <f t="shared" si="54"/>
        <v>14880</v>
      </c>
      <c r="S260" s="109" t="e">
        <f ca="1">V260&amp;""&amp;#REF!&amp;""&amp;W260</f>
        <v>#REF!</v>
      </c>
      <c r="T260" s="109"/>
      <c r="U260" s="56">
        <f t="shared" ref="U260:W260" si="92">U259+1</f>
        <v>5</v>
      </c>
      <c r="V260" s="55">
        <f t="shared" ca="1" si="92"/>
        <v>105</v>
      </c>
      <c r="W260" s="55">
        <f t="shared" ca="1" si="92"/>
        <v>705</v>
      </c>
    </row>
    <row r="261" spans="1:23" s="55" customFormat="1" ht="15.6" customHeight="1" x14ac:dyDescent="0.25">
      <c r="A261" s="105" t="s">
        <v>235</v>
      </c>
      <c r="B261" s="106"/>
      <c r="C261" s="27" t="s">
        <v>191</v>
      </c>
      <c r="D261" s="27">
        <f t="shared" si="91"/>
        <v>324.69605999999999</v>
      </c>
      <c r="E261" s="27">
        <f>4.41*10.764</f>
        <v>47.469239999999999</v>
      </c>
      <c r="F261" s="27">
        <v>620</v>
      </c>
      <c r="G261" s="112"/>
      <c r="H261" s="113"/>
      <c r="I261" s="56"/>
      <c r="K261" s="55">
        <f t="shared" si="53"/>
        <v>124000</v>
      </c>
      <c r="L261" s="55">
        <f t="shared" si="54"/>
        <v>14880</v>
      </c>
      <c r="S261" s="109" t="e">
        <f ca="1">V261&amp;""&amp;#REF!&amp;""&amp;W261</f>
        <v>#REF!</v>
      </c>
      <c r="T261" s="109"/>
      <c r="U261" s="56">
        <f t="shared" ref="U261:W261" si="93">U260+1</f>
        <v>6</v>
      </c>
      <c r="V261" s="55">
        <f t="shared" ca="1" si="93"/>
        <v>106</v>
      </c>
      <c r="W261" s="55">
        <f t="shared" ca="1" si="93"/>
        <v>706</v>
      </c>
    </row>
    <row r="262" spans="1:23" s="55" customFormat="1" ht="15.6" customHeight="1" x14ac:dyDescent="0.25">
      <c r="A262" s="105" t="s">
        <v>236</v>
      </c>
      <c r="B262" s="106"/>
      <c r="C262" s="27" t="s">
        <v>191</v>
      </c>
      <c r="D262" s="27">
        <f t="shared" si="91"/>
        <v>324.69605999999999</v>
      </c>
      <c r="E262" s="27">
        <f>4.62*10.764</f>
        <v>49.729679999999995</v>
      </c>
      <c r="F262" s="27">
        <v>620</v>
      </c>
      <c r="G262" s="112"/>
      <c r="H262" s="113"/>
      <c r="I262" s="56"/>
      <c r="K262" s="55">
        <f t="shared" si="53"/>
        <v>124000</v>
      </c>
      <c r="L262" s="55">
        <f t="shared" si="54"/>
        <v>14880</v>
      </c>
      <c r="S262" s="109" t="e">
        <f ca="1">V262&amp;""&amp;#REF!&amp;""&amp;W262</f>
        <v>#REF!</v>
      </c>
      <c r="T262" s="109"/>
      <c r="U262" s="56">
        <f t="shared" ref="U262:W262" si="94">U261+1</f>
        <v>7</v>
      </c>
      <c r="V262" s="55">
        <f t="shared" ca="1" si="94"/>
        <v>107</v>
      </c>
      <c r="W262" s="55">
        <f t="shared" ca="1" si="94"/>
        <v>707</v>
      </c>
    </row>
    <row r="263" spans="1:23" s="55" customFormat="1" ht="15.6" customHeight="1" x14ac:dyDescent="0.25">
      <c r="A263" s="105" t="s">
        <v>237</v>
      </c>
      <c r="B263" s="106"/>
      <c r="C263" s="27" t="s">
        <v>191</v>
      </c>
      <c r="D263" s="27">
        <f t="shared" ref="D263:D264" si="95">(24.467+5.875)*10.764</f>
        <v>326.60128799999995</v>
      </c>
      <c r="E263" s="27">
        <f>5.875*10.764</f>
        <v>63.238499999999995</v>
      </c>
      <c r="F263" s="27">
        <v>659</v>
      </c>
      <c r="G263" s="112"/>
      <c r="H263" s="113"/>
      <c r="I263" s="56"/>
      <c r="K263" s="55">
        <f t="shared" si="53"/>
        <v>131800</v>
      </c>
      <c r="L263" s="55">
        <f t="shared" si="54"/>
        <v>15816</v>
      </c>
      <c r="S263" s="109" t="e">
        <f ca="1">V263&amp;""&amp;#REF!&amp;""&amp;W263</f>
        <v>#REF!</v>
      </c>
      <c r="T263" s="109"/>
      <c r="U263" s="56">
        <f t="shared" ref="U263:W263" si="96">U262+1</f>
        <v>8</v>
      </c>
      <c r="V263" s="55">
        <f t="shared" ca="1" si="96"/>
        <v>108</v>
      </c>
      <c r="W263" s="55">
        <f t="shared" ca="1" si="96"/>
        <v>708</v>
      </c>
    </row>
    <row r="264" spans="1:23" s="55" customFormat="1" ht="15.6" customHeight="1" x14ac:dyDescent="0.25">
      <c r="A264" s="105" t="s">
        <v>238</v>
      </c>
      <c r="B264" s="106"/>
      <c r="C264" s="27" t="s">
        <v>191</v>
      </c>
      <c r="D264" s="27">
        <f t="shared" si="95"/>
        <v>326.60128799999995</v>
      </c>
      <c r="E264" s="27">
        <f>5.875*10.764</f>
        <v>63.238499999999995</v>
      </c>
      <c r="F264" s="27">
        <v>659</v>
      </c>
      <c r="G264" s="112"/>
      <c r="H264" s="113"/>
      <c r="I264" s="56"/>
      <c r="K264" s="55">
        <f t="shared" si="53"/>
        <v>131800</v>
      </c>
      <c r="L264" s="55">
        <f t="shared" si="54"/>
        <v>15816</v>
      </c>
      <c r="S264" s="109" t="e">
        <f ca="1">V264&amp;""&amp;#REF!&amp;""&amp;W264</f>
        <v>#REF!</v>
      </c>
      <c r="T264" s="109"/>
      <c r="U264" s="56">
        <f t="shared" ref="U264:W264" si="97">U263+1</f>
        <v>9</v>
      </c>
      <c r="V264" s="55">
        <f t="shared" ca="1" si="97"/>
        <v>109</v>
      </c>
      <c r="W264" s="55">
        <f t="shared" ca="1" si="97"/>
        <v>709</v>
      </c>
    </row>
    <row r="265" spans="1:23" s="55" customFormat="1" ht="15.6" customHeight="1" x14ac:dyDescent="0.25">
      <c r="A265" s="105" t="s">
        <v>239</v>
      </c>
      <c r="B265" s="106"/>
      <c r="C265" s="27" t="s">
        <v>191</v>
      </c>
      <c r="D265" s="27">
        <f t="shared" ref="D265:D267" si="98">(25.531+4.625)*10.764</f>
        <v>324.59918399999998</v>
      </c>
      <c r="E265" s="27">
        <f>4.625*10.764</f>
        <v>49.783499999999997</v>
      </c>
      <c r="F265" s="27">
        <v>621</v>
      </c>
      <c r="G265" s="112"/>
      <c r="H265" s="113"/>
      <c r="I265" s="56"/>
      <c r="K265" s="55">
        <f t="shared" si="53"/>
        <v>124200</v>
      </c>
      <c r="L265" s="55">
        <f t="shared" si="54"/>
        <v>14904</v>
      </c>
      <c r="S265" s="109" t="e">
        <f ca="1">V265&amp;""&amp;#REF!&amp;""&amp;W265</f>
        <v>#REF!</v>
      </c>
      <c r="T265" s="109"/>
      <c r="U265" s="56">
        <f t="shared" ref="U265:W265" si="99">U264+1</f>
        <v>10</v>
      </c>
      <c r="V265" s="55">
        <f t="shared" ca="1" si="99"/>
        <v>110</v>
      </c>
      <c r="W265" s="55">
        <f t="shared" ca="1" si="99"/>
        <v>710</v>
      </c>
    </row>
    <row r="266" spans="1:23" s="55" customFormat="1" ht="15.6" customHeight="1" x14ac:dyDescent="0.25">
      <c r="A266" s="105" t="s">
        <v>240</v>
      </c>
      <c r="B266" s="106"/>
      <c r="C266" s="27" t="s">
        <v>191</v>
      </c>
      <c r="D266" s="27">
        <f t="shared" si="98"/>
        <v>324.59918399999998</v>
      </c>
      <c r="E266" s="27">
        <f t="shared" ref="E266:E267" si="100">4.625*10.764</f>
        <v>49.783499999999997</v>
      </c>
      <c r="F266" s="27">
        <v>621</v>
      </c>
      <c r="G266" s="112"/>
      <c r="H266" s="113"/>
      <c r="I266" s="56"/>
      <c r="K266" s="55">
        <f t="shared" si="53"/>
        <v>124200</v>
      </c>
      <c r="L266" s="55">
        <f t="shared" si="54"/>
        <v>14904</v>
      </c>
      <c r="S266" s="109" t="e">
        <f ca="1">V266&amp;""&amp;#REF!&amp;""&amp;W266</f>
        <v>#REF!</v>
      </c>
      <c r="T266" s="109"/>
      <c r="U266" s="56">
        <f t="shared" ref="U266:W266" si="101">U265+1</f>
        <v>11</v>
      </c>
      <c r="V266" s="55">
        <f t="shared" ca="1" si="101"/>
        <v>111</v>
      </c>
      <c r="W266" s="55">
        <f t="shared" ca="1" si="101"/>
        <v>711</v>
      </c>
    </row>
    <row r="267" spans="1:23" s="55" customFormat="1" ht="15.6" customHeight="1" x14ac:dyDescent="0.25">
      <c r="A267" s="105" t="s">
        <v>241</v>
      </c>
      <c r="B267" s="106"/>
      <c r="C267" s="27" t="s">
        <v>191</v>
      </c>
      <c r="D267" s="27">
        <f t="shared" si="98"/>
        <v>324.59918399999998</v>
      </c>
      <c r="E267" s="27">
        <f t="shared" si="100"/>
        <v>49.783499999999997</v>
      </c>
      <c r="F267" s="27">
        <v>621</v>
      </c>
      <c r="G267" s="114"/>
      <c r="H267" s="115"/>
      <c r="I267" s="56"/>
      <c r="K267" s="55">
        <f t="shared" si="53"/>
        <v>124200</v>
      </c>
      <c r="L267" s="55">
        <f t="shared" si="54"/>
        <v>14904</v>
      </c>
      <c r="S267" s="109" t="e">
        <f ca="1">V267&amp;""&amp;#REF!&amp;""&amp;W267</f>
        <v>#REF!</v>
      </c>
      <c r="T267" s="109"/>
      <c r="U267" s="56">
        <f t="shared" ref="U267:W267" si="102">U266+1</f>
        <v>12</v>
      </c>
      <c r="V267" s="55">
        <f t="shared" ca="1" si="102"/>
        <v>112</v>
      </c>
      <c r="W267" s="55">
        <f t="shared" ca="1" si="102"/>
        <v>712</v>
      </c>
    </row>
    <row r="268" spans="1:23" s="55" customFormat="1" ht="15.75" customHeight="1" x14ac:dyDescent="0.25">
      <c r="A268" s="102" t="s">
        <v>198</v>
      </c>
      <c r="B268" s="103"/>
      <c r="C268" s="103"/>
      <c r="D268" s="103"/>
      <c r="E268" s="103"/>
      <c r="F268" s="103"/>
      <c r="G268" s="103"/>
      <c r="H268" s="104"/>
      <c r="I268" s="56"/>
      <c r="K268" s="55">
        <f t="shared" si="53"/>
        <v>0</v>
      </c>
      <c r="L268" s="55">
        <f t="shared" si="54"/>
        <v>0</v>
      </c>
      <c r="S268" s="109" t="s">
        <v>164</v>
      </c>
      <c r="T268" s="109"/>
      <c r="V268" s="55" t="str">
        <f>LEFT(A268,SUM(LEN(A268)-LEN(SUBSTITUTE(A268,{"0","1","2","3","4","5","6","7","8","9"},""))))</f>
        <v>2nd</v>
      </c>
      <c r="W268" s="55">
        <f ca="1">--TRIM(RIGHT(SUBSTITUTE(LEFT(A268,_xlfn.AGGREGATE(16,6,FIND({0,1,2,3,4,5,6,7,8,9},A268,ROW(INDIRECT("1:"&amp;LEN(A268)))),1))," ",REPT(" ",LEN(A268))),LEN(A268)))</f>
        <v>6</v>
      </c>
    </row>
    <row r="269" spans="1:23" s="55" customFormat="1" ht="15.6" customHeight="1" x14ac:dyDescent="0.25">
      <c r="A269" s="107" t="s">
        <v>242</v>
      </c>
      <c r="B269" s="107"/>
      <c r="C269" s="69" t="s">
        <v>191</v>
      </c>
      <c r="D269" s="69">
        <f>(25.531+4.625)*10.764</f>
        <v>324.59918399999998</v>
      </c>
      <c r="E269" s="69">
        <v>0</v>
      </c>
      <c r="F269" s="69">
        <v>561</v>
      </c>
      <c r="G269" s="107" t="str">
        <f>A268</f>
        <v>2nd, 4th &amp; 6th Floor</v>
      </c>
      <c r="H269" s="107"/>
      <c r="I269" s="56"/>
      <c r="K269" s="55">
        <f t="shared" si="53"/>
        <v>112200</v>
      </c>
      <c r="L269" s="55">
        <f t="shared" si="54"/>
        <v>13464</v>
      </c>
      <c r="S269" s="109" t="e">
        <f ca="1">V269&amp;""&amp;#REF!&amp;""&amp;W269</f>
        <v>#REF!</v>
      </c>
      <c r="T269" s="109"/>
      <c r="U269" s="56">
        <v>1</v>
      </c>
      <c r="V269" s="55">
        <f ca="1">(SUMPRODUCT(MID(0&amp;V268, LARGE(INDEX(ISNUMBER(--MID(V268, ROW(INDIRECT("1:"&amp;LEN(V268))), 1)) * ROW(INDIRECT("1:"&amp;LEN(V268))), 0), ROW(INDIRECT("1:"&amp;LEN(V268))))+1, 1) * 10^ROW(INDIRECT("1:"&amp;LEN(V268)))/10))*U269*100+1</f>
        <v>201</v>
      </c>
      <c r="W269" s="55">
        <f ca="1">(SUMPRODUCT(MID(0&amp;W268, LARGE(INDEX(ISNUMBER(--MID(W268, ROW(INDIRECT("1:"&amp;LEN(W268))), 1)) * ROW(INDIRECT("1:"&amp;LEN(W268))), 0), ROW(INDIRECT("1:"&amp;LEN(W268))))+1, 1) * 10^ROW(INDIRECT("1:"&amp;LEN(W268)))/10))*U269*100+1</f>
        <v>601</v>
      </c>
    </row>
    <row r="270" spans="1:23" s="55" customFormat="1" ht="15.6" customHeight="1" x14ac:dyDescent="0.25">
      <c r="A270" s="107" t="s">
        <v>243</v>
      </c>
      <c r="B270" s="107"/>
      <c r="C270" s="69" t="s">
        <v>191</v>
      </c>
      <c r="D270" s="69">
        <f>(24.467+5.875)*10.764</f>
        <v>326.60128799999995</v>
      </c>
      <c r="E270" s="69">
        <f>5.148*10.764</f>
        <v>55.413071999999993</v>
      </c>
      <c r="F270" s="69">
        <v>652</v>
      </c>
      <c r="G270" s="107"/>
      <c r="H270" s="107"/>
      <c r="I270" s="56"/>
      <c r="K270" s="55">
        <f t="shared" si="53"/>
        <v>130400</v>
      </c>
      <c r="L270" s="55">
        <f t="shared" si="54"/>
        <v>15648</v>
      </c>
      <c r="S270" s="109" t="e">
        <f ca="1">V270&amp;""&amp;#REF!&amp;""&amp;W270</f>
        <v>#REF!</v>
      </c>
      <c r="T270" s="109"/>
      <c r="U270" s="56">
        <f t="shared" ref="U270:W270" si="103">U269+1</f>
        <v>2</v>
      </c>
      <c r="V270" s="55">
        <f t="shared" ca="1" si="103"/>
        <v>202</v>
      </c>
      <c r="W270" s="55">
        <f t="shared" ca="1" si="103"/>
        <v>602</v>
      </c>
    </row>
    <row r="271" spans="1:23" s="55" customFormat="1" ht="15.6" customHeight="1" x14ac:dyDescent="0.25">
      <c r="A271" s="107" t="s">
        <v>244</v>
      </c>
      <c r="B271" s="107"/>
      <c r="C271" s="69" t="s">
        <v>191</v>
      </c>
      <c r="D271" s="69">
        <f t="shared" ref="D271" si="104">(24.467+5.875)*10.764</f>
        <v>326.60128799999995</v>
      </c>
      <c r="E271" s="69">
        <f>5.148*10.764</f>
        <v>55.413071999999993</v>
      </c>
      <c r="F271" s="69">
        <v>652</v>
      </c>
      <c r="G271" s="107"/>
      <c r="H271" s="107"/>
      <c r="I271" s="56"/>
      <c r="K271" s="55">
        <f t="shared" si="53"/>
        <v>130400</v>
      </c>
      <c r="L271" s="55">
        <f t="shared" si="54"/>
        <v>15648</v>
      </c>
      <c r="S271" s="109" t="e">
        <f ca="1">V271&amp;""&amp;#REF!&amp;""&amp;W271</f>
        <v>#REF!</v>
      </c>
      <c r="T271" s="109"/>
      <c r="U271" s="56">
        <f t="shared" ref="U271:W271" si="105">U270+1</f>
        <v>3</v>
      </c>
      <c r="V271" s="55">
        <f t="shared" ca="1" si="105"/>
        <v>203</v>
      </c>
      <c r="W271" s="55">
        <f t="shared" ca="1" si="105"/>
        <v>603</v>
      </c>
    </row>
    <row r="272" spans="1:23" s="55" customFormat="1" ht="15.6" customHeight="1" x14ac:dyDescent="0.25">
      <c r="A272" s="107" t="s">
        <v>245</v>
      </c>
      <c r="B272" s="107"/>
      <c r="C272" s="69" t="s">
        <v>191</v>
      </c>
      <c r="D272" s="69">
        <f>(25.54+4.625)*10.764</f>
        <v>324.69605999999999</v>
      </c>
      <c r="E272" s="69">
        <v>0</v>
      </c>
      <c r="F272" s="69">
        <v>561</v>
      </c>
      <c r="G272" s="107"/>
      <c r="H272" s="107"/>
      <c r="I272" s="56"/>
      <c r="K272" s="55">
        <f t="shared" si="53"/>
        <v>112200</v>
      </c>
      <c r="L272" s="55">
        <f t="shared" si="54"/>
        <v>13464</v>
      </c>
      <c r="S272" s="109" t="e">
        <f ca="1">V272&amp;""&amp;#REF!&amp;""&amp;W272</f>
        <v>#REF!</v>
      </c>
      <c r="T272" s="109"/>
      <c r="U272" s="56">
        <f t="shared" ref="U272:W272" si="106">U271+1</f>
        <v>4</v>
      </c>
      <c r="V272" s="55">
        <f t="shared" ca="1" si="106"/>
        <v>204</v>
      </c>
      <c r="W272" s="55">
        <f t="shared" ca="1" si="106"/>
        <v>604</v>
      </c>
    </row>
    <row r="273" spans="1:23" s="55" customFormat="1" ht="15.6" customHeight="1" x14ac:dyDescent="0.25">
      <c r="A273" s="107" t="s">
        <v>246</v>
      </c>
      <c r="B273" s="107"/>
      <c r="C273" s="69" t="s">
        <v>191</v>
      </c>
      <c r="D273" s="69">
        <f t="shared" ref="D273:D275" si="107">(25.54+4.625)*10.764</f>
        <v>324.69605999999999</v>
      </c>
      <c r="E273" s="69">
        <v>0</v>
      </c>
      <c r="F273" s="69">
        <v>561</v>
      </c>
      <c r="G273" s="107"/>
      <c r="H273" s="107"/>
      <c r="I273" s="56"/>
      <c r="K273" s="55">
        <f t="shared" si="53"/>
        <v>112200</v>
      </c>
      <c r="L273" s="55">
        <f t="shared" si="54"/>
        <v>13464</v>
      </c>
      <c r="S273" s="109" t="e">
        <f ca="1">V273&amp;""&amp;#REF!&amp;""&amp;W273</f>
        <v>#REF!</v>
      </c>
      <c r="T273" s="109"/>
      <c r="U273" s="56">
        <f t="shared" ref="U273:W273" si="108">U272+1</f>
        <v>5</v>
      </c>
      <c r="V273" s="55">
        <f t="shared" ca="1" si="108"/>
        <v>205</v>
      </c>
      <c r="W273" s="55">
        <f t="shared" ca="1" si="108"/>
        <v>605</v>
      </c>
    </row>
    <row r="274" spans="1:23" s="55" customFormat="1" ht="15.6" customHeight="1" x14ac:dyDescent="0.25">
      <c r="A274" s="107" t="s">
        <v>247</v>
      </c>
      <c r="B274" s="107"/>
      <c r="C274" s="69" t="s">
        <v>191</v>
      </c>
      <c r="D274" s="69">
        <f t="shared" si="107"/>
        <v>324.69605999999999</v>
      </c>
      <c r="E274" s="69">
        <v>0</v>
      </c>
      <c r="F274" s="69">
        <v>561</v>
      </c>
      <c r="G274" s="107"/>
      <c r="H274" s="107"/>
      <c r="I274" s="56"/>
      <c r="K274" s="55">
        <f t="shared" si="53"/>
        <v>112200</v>
      </c>
      <c r="L274" s="55">
        <f t="shared" si="54"/>
        <v>13464</v>
      </c>
      <c r="S274" s="109" t="e">
        <f ca="1">V274&amp;""&amp;#REF!&amp;""&amp;W274</f>
        <v>#REF!</v>
      </c>
      <c r="T274" s="109"/>
      <c r="U274" s="56">
        <f t="shared" ref="U274:W274" si="109">U273+1</f>
        <v>6</v>
      </c>
      <c r="V274" s="55">
        <f t="shared" ca="1" si="109"/>
        <v>206</v>
      </c>
      <c r="W274" s="55">
        <f t="shared" ca="1" si="109"/>
        <v>606</v>
      </c>
    </row>
    <row r="275" spans="1:23" s="55" customFormat="1" ht="15.6" customHeight="1" x14ac:dyDescent="0.25">
      <c r="A275" s="107" t="s">
        <v>248</v>
      </c>
      <c r="B275" s="107"/>
      <c r="C275" s="69" t="s">
        <v>191</v>
      </c>
      <c r="D275" s="69">
        <f t="shared" si="107"/>
        <v>324.69605999999999</v>
      </c>
      <c r="E275" s="69">
        <v>0</v>
      </c>
      <c r="F275" s="69">
        <v>561</v>
      </c>
      <c r="G275" s="107"/>
      <c r="H275" s="107"/>
      <c r="I275" s="56"/>
      <c r="K275" s="55">
        <f t="shared" si="53"/>
        <v>112200</v>
      </c>
      <c r="L275" s="55">
        <f t="shared" si="54"/>
        <v>13464</v>
      </c>
      <c r="S275" s="109" t="e">
        <f ca="1">V275&amp;""&amp;#REF!&amp;""&amp;W275</f>
        <v>#REF!</v>
      </c>
      <c r="T275" s="109"/>
      <c r="U275" s="56">
        <f t="shared" ref="U275:W275" si="110">U274+1</f>
        <v>7</v>
      </c>
      <c r="V275" s="55">
        <f t="shared" ca="1" si="110"/>
        <v>207</v>
      </c>
      <c r="W275" s="55">
        <f t="shared" ca="1" si="110"/>
        <v>607</v>
      </c>
    </row>
    <row r="276" spans="1:23" s="55" customFormat="1" ht="15.6" customHeight="1" x14ac:dyDescent="0.25">
      <c r="A276" s="107" t="s">
        <v>249</v>
      </c>
      <c r="B276" s="107"/>
      <c r="C276" s="69" t="s">
        <v>191</v>
      </c>
      <c r="D276" s="69">
        <f t="shared" ref="D276:D277" si="111">(24.467+5.875)*10.764</f>
        <v>326.60128799999995</v>
      </c>
      <c r="E276" s="69">
        <f>5.148*10.764</f>
        <v>55.413071999999993</v>
      </c>
      <c r="F276" s="69">
        <v>652</v>
      </c>
      <c r="G276" s="107"/>
      <c r="H276" s="107"/>
      <c r="I276" s="56"/>
      <c r="K276" s="55">
        <f t="shared" si="53"/>
        <v>130400</v>
      </c>
      <c r="L276" s="55">
        <f t="shared" si="54"/>
        <v>15648</v>
      </c>
      <c r="S276" s="109" t="e">
        <f ca="1">V276&amp;""&amp;#REF!&amp;""&amp;W276</f>
        <v>#REF!</v>
      </c>
      <c r="T276" s="109"/>
      <c r="U276" s="56">
        <f t="shared" ref="U276:W276" si="112">U275+1</f>
        <v>8</v>
      </c>
      <c r="V276" s="55">
        <f t="shared" ca="1" si="112"/>
        <v>208</v>
      </c>
      <c r="W276" s="55">
        <f t="shared" ca="1" si="112"/>
        <v>608</v>
      </c>
    </row>
    <row r="277" spans="1:23" s="55" customFormat="1" ht="15.6" customHeight="1" x14ac:dyDescent="0.25">
      <c r="A277" s="107" t="s">
        <v>250</v>
      </c>
      <c r="B277" s="107"/>
      <c r="C277" s="69" t="s">
        <v>191</v>
      </c>
      <c r="D277" s="69">
        <f t="shared" si="111"/>
        <v>326.60128799999995</v>
      </c>
      <c r="E277" s="69">
        <f>5.148*10.764</f>
        <v>55.413071999999993</v>
      </c>
      <c r="F277" s="69">
        <v>652</v>
      </c>
      <c r="G277" s="107"/>
      <c r="H277" s="107"/>
      <c r="I277" s="56"/>
      <c r="K277" s="55">
        <f t="shared" ref="K277:K280" si="113">200*F277</f>
        <v>130400</v>
      </c>
      <c r="L277" s="55">
        <f t="shared" ref="L277:L280" si="114">2*F277*12</f>
        <v>15648</v>
      </c>
      <c r="S277" s="109" t="e">
        <f ca="1">V277&amp;""&amp;#REF!&amp;""&amp;W277</f>
        <v>#REF!</v>
      </c>
      <c r="T277" s="109"/>
      <c r="U277" s="56">
        <f t="shared" ref="U277:W277" si="115">U276+1</f>
        <v>9</v>
      </c>
      <c r="V277" s="55">
        <f t="shared" ca="1" si="115"/>
        <v>209</v>
      </c>
      <c r="W277" s="55">
        <f t="shared" ca="1" si="115"/>
        <v>609</v>
      </c>
    </row>
    <row r="278" spans="1:23" s="55" customFormat="1" ht="15.6" customHeight="1" x14ac:dyDescent="0.25">
      <c r="A278" s="107" t="s">
        <v>251</v>
      </c>
      <c r="B278" s="107"/>
      <c r="C278" s="69" t="s">
        <v>191</v>
      </c>
      <c r="D278" s="69">
        <f t="shared" ref="D278:D280" si="116">(25.531+4.625)*10.764</f>
        <v>324.59918399999998</v>
      </c>
      <c r="E278" s="69">
        <v>0</v>
      </c>
      <c r="F278" s="69">
        <v>562</v>
      </c>
      <c r="G278" s="107"/>
      <c r="H278" s="107"/>
      <c r="I278" s="56"/>
      <c r="K278" s="55">
        <f t="shared" si="113"/>
        <v>112400</v>
      </c>
      <c r="L278" s="55">
        <f t="shared" si="114"/>
        <v>13488</v>
      </c>
      <c r="S278" s="109" t="e">
        <f ca="1">V278&amp;""&amp;#REF!&amp;""&amp;W278</f>
        <v>#REF!</v>
      </c>
      <c r="T278" s="109"/>
      <c r="U278" s="56">
        <f t="shared" ref="U278:W278" si="117">U277+1</f>
        <v>10</v>
      </c>
      <c r="V278" s="55">
        <f t="shared" ca="1" si="117"/>
        <v>210</v>
      </c>
      <c r="W278" s="55">
        <f t="shared" ca="1" si="117"/>
        <v>610</v>
      </c>
    </row>
    <row r="279" spans="1:23" s="55" customFormat="1" ht="15.6" customHeight="1" x14ac:dyDescent="0.25">
      <c r="A279" s="107" t="s">
        <v>252</v>
      </c>
      <c r="B279" s="107"/>
      <c r="C279" s="69" t="s">
        <v>191</v>
      </c>
      <c r="D279" s="69">
        <f t="shared" si="116"/>
        <v>324.59918399999998</v>
      </c>
      <c r="E279" s="69">
        <v>0</v>
      </c>
      <c r="F279" s="69">
        <v>562</v>
      </c>
      <c r="G279" s="107"/>
      <c r="H279" s="107"/>
      <c r="I279" s="56"/>
      <c r="K279" s="55">
        <f t="shared" si="113"/>
        <v>112400</v>
      </c>
      <c r="L279" s="55">
        <f t="shared" si="114"/>
        <v>13488</v>
      </c>
      <c r="S279" s="109" t="e">
        <f ca="1">V279&amp;""&amp;#REF!&amp;""&amp;W279</f>
        <v>#REF!</v>
      </c>
      <c r="T279" s="109"/>
      <c r="U279" s="56">
        <f t="shared" ref="U279:W279" si="118">U278+1</f>
        <v>11</v>
      </c>
      <c r="V279" s="55">
        <f t="shared" ca="1" si="118"/>
        <v>211</v>
      </c>
      <c r="W279" s="55">
        <f t="shared" ca="1" si="118"/>
        <v>611</v>
      </c>
    </row>
    <row r="280" spans="1:23" s="55" customFormat="1" ht="15.6" customHeight="1" x14ac:dyDescent="0.25">
      <c r="A280" s="107" t="s">
        <v>253</v>
      </c>
      <c r="B280" s="107"/>
      <c r="C280" s="69" t="s">
        <v>191</v>
      </c>
      <c r="D280" s="69">
        <f t="shared" si="116"/>
        <v>324.59918399999998</v>
      </c>
      <c r="E280" s="69">
        <v>0</v>
      </c>
      <c r="F280" s="69">
        <v>562</v>
      </c>
      <c r="G280" s="107"/>
      <c r="H280" s="107"/>
      <c r="I280" s="56"/>
      <c r="K280" s="55">
        <f t="shared" si="113"/>
        <v>112400</v>
      </c>
      <c r="L280" s="55">
        <f t="shared" si="114"/>
        <v>13488</v>
      </c>
      <c r="S280" s="109" t="e">
        <f ca="1">V280&amp;""&amp;#REF!&amp;""&amp;W280</f>
        <v>#REF!</v>
      </c>
      <c r="T280" s="109"/>
      <c r="U280" s="56">
        <f t="shared" ref="U280:W280" si="119">U279+1</f>
        <v>12</v>
      </c>
      <c r="V280" s="55">
        <f t="shared" ca="1" si="119"/>
        <v>212</v>
      </c>
      <c r="W280" s="55">
        <f t="shared" ca="1" si="119"/>
        <v>612</v>
      </c>
    </row>
    <row r="281" spans="1:23" s="52" customFormat="1" x14ac:dyDescent="0.25">
      <c r="A281" s="135" t="s">
        <v>81</v>
      </c>
      <c r="B281" s="135"/>
      <c r="C281" s="135"/>
      <c r="D281" s="135"/>
      <c r="E281" s="135"/>
      <c r="F281" s="135"/>
      <c r="G281" s="135"/>
      <c r="H281" s="135"/>
    </row>
    <row r="282" spans="1:23" s="58" customFormat="1" ht="238.5" customHeight="1" x14ac:dyDescent="0.25">
      <c r="A282" s="136" t="s">
        <v>291</v>
      </c>
      <c r="B282" s="136"/>
      <c r="C282" s="136"/>
      <c r="D282" s="136"/>
      <c r="E282" s="136"/>
      <c r="F282" s="136"/>
      <c r="G282" s="136"/>
      <c r="H282" s="136"/>
    </row>
    <row r="283" spans="1:23" x14ac:dyDescent="0.25">
      <c r="A283" s="137" t="s">
        <v>72</v>
      </c>
      <c r="B283" s="137"/>
      <c r="C283" s="137"/>
      <c r="D283" s="137"/>
      <c r="E283" s="137"/>
      <c r="F283" s="137"/>
      <c r="G283" s="137"/>
      <c r="H283" s="137"/>
    </row>
    <row r="284" spans="1:23" x14ac:dyDescent="0.25">
      <c r="A284" s="72" t="s">
        <v>73</v>
      </c>
      <c r="B284" s="72"/>
      <c r="C284" s="72"/>
      <c r="D284" s="72"/>
      <c r="E284" s="72"/>
      <c r="F284" s="72"/>
      <c r="G284" s="72"/>
      <c r="H284" s="72"/>
    </row>
    <row r="285" spans="1:23" ht="15.75" customHeight="1" x14ac:dyDescent="0.25">
      <c r="A285" s="137" t="s">
        <v>74</v>
      </c>
      <c r="B285" s="137"/>
      <c r="C285" s="137"/>
      <c r="D285" s="137"/>
      <c r="E285" s="137"/>
      <c r="F285" s="137"/>
      <c r="G285" s="137"/>
      <c r="H285" s="137"/>
    </row>
    <row r="286" spans="1:23" x14ac:dyDescent="0.25">
      <c r="A286" s="72" t="s">
        <v>75</v>
      </c>
      <c r="B286" s="72"/>
      <c r="C286" s="72"/>
      <c r="D286" s="72"/>
      <c r="E286" s="72"/>
      <c r="F286" s="72"/>
      <c r="G286" s="72"/>
      <c r="H286" s="72"/>
    </row>
    <row r="287" spans="1:23" x14ac:dyDescent="0.25">
      <c r="A287" s="72" t="s">
        <v>76</v>
      </c>
      <c r="B287" s="72"/>
      <c r="C287" s="72"/>
      <c r="D287" s="72"/>
      <c r="E287" s="72"/>
      <c r="F287" s="72"/>
      <c r="G287" s="72"/>
      <c r="H287" s="72"/>
    </row>
    <row r="288" spans="1:23" x14ac:dyDescent="0.25">
      <c r="A288" s="72" t="s">
        <v>77</v>
      </c>
      <c r="B288" s="72"/>
      <c r="C288" s="72"/>
      <c r="D288" s="72"/>
      <c r="E288" s="72"/>
      <c r="F288" s="72"/>
      <c r="G288" s="72"/>
      <c r="H288" s="72"/>
    </row>
    <row r="289" spans="1:8" ht="35.25" customHeight="1" x14ac:dyDescent="0.25">
      <c r="A289" s="70" t="s">
        <v>78</v>
      </c>
      <c r="B289" s="70"/>
      <c r="C289" s="70"/>
      <c r="D289" s="70"/>
      <c r="E289" s="70"/>
      <c r="F289" s="70"/>
      <c r="G289" s="70"/>
      <c r="H289" s="70"/>
    </row>
    <row r="290" spans="1:8" x14ac:dyDescent="0.25">
      <c r="A290" s="132" t="s">
        <v>115</v>
      </c>
      <c r="B290" s="132"/>
      <c r="C290" s="132" t="s">
        <v>289</v>
      </c>
      <c r="D290" s="132"/>
      <c r="E290" s="132" t="s">
        <v>150</v>
      </c>
      <c r="F290" s="132"/>
      <c r="G290" s="132" t="s">
        <v>290</v>
      </c>
      <c r="H290" s="132"/>
    </row>
    <row r="291" spans="1:8" x14ac:dyDescent="0.25">
      <c r="A291" s="131" t="s">
        <v>117</v>
      </c>
      <c r="B291" s="131"/>
      <c r="C291" s="131"/>
      <c r="D291" s="131"/>
      <c r="E291" s="131"/>
      <c r="F291" s="131"/>
      <c r="G291" s="131"/>
      <c r="H291" s="131"/>
    </row>
    <row r="292" spans="1:8" x14ac:dyDescent="0.25">
      <c r="A292" s="131"/>
      <c r="B292" s="131"/>
      <c r="C292" s="131"/>
      <c r="D292" s="131"/>
      <c r="E292" s="131"/>
      <c r="F292" s="131"/>
      <c r="G292" s="131"/>
      <c r="H292" s="131"/>
    </row>
    <row r="293" spans="1:8" x14ac:dyDescent="0.25">
      <c r="A293" s="131"/>
      <c r="B293" s="131"/>
      <c r="C293" s="131"/>
      <c r="D293" s="131"/>
      <c r="E293" s="131"/>
      <c r="F293" s="131"/>
      <c r="G293" s="131"/>
      <c r="H293" s="131"/>
    </row>
    <row r="294" spans="1:8" x14ac:dyDescent="0.25">
      <c r="A294" s="131"/>
      <c r="B294" s="131"/>
      <c r="C294" s="131"/>
      <c r="D294" s="131"/>
      <c r="E294" s="131"/>
      <c r="F294" s="131"/>
      <c r="G294" s="131"/>
      <c r="H294" s="131"/>
    </row>
    <row r="295" spans="1:8" x14ac:dyDescent="0.25">
      <c r="A295" s="59" t="s">
        <v>79</v>
      </c>
      <c r="B295" s="60"/>
      <c r="C295" s="60"/>
      <c r="D295" s="59" t="str">
        <f>E8</f>
        <v>Happy Homes</v>
      </c>
      <c r="F295" s="60"/>
      <c r="G295" s="60"/>
      <c r="H295" s="60"/>
    </row>
    <row r="296" spans="1:8" x14ac:dyDescent="0.25">
      <c r="A296" s="60"/>
      <c r="B296" s="60"/>
      <c r="C296" s="60"/>
      <c r="D296" s="60"/>
      <c r="E296" s="60"/>
      <c r="F296" s="60"/>
      <c r="G296" s="60"/>
      <c r="H296" s="60"/>
    </row>
    <row r="297" spans="1:8" x14ac:dyDescent="0.25">
      <c r="A297" s="60"/>
      <c r="B297" s="60"/>
      <c r="C297" s="60"/>
      <c r="D297" s="60"/>
      <c r="E297" s="60"/>
      <c r="F297" s="60"/>
      <c r="G297" s="60"/>
      <c r="H297" s="60"/>
    </row>
    <row r="298" spans="1:8" ht="15" customHeight="1" x14ac:dyDescent="0.25"/>
    <row r="338" spans="1:1" x14ac:dyDescent="0.25">
      <c r="A338" s="62" t="s">
        <v>80</v>
      </c>
    </row>
  </sheetData>
  <mergeCells count="559">
    <mergeCell ref="S177:T177"/>
    <mergeCell ref="G90:H90"/>
    <mergeCell ref="A91:B91"/>
    <mergeCell ref="E91:F100"/>
    <mergeCell ref="G91:H100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S168:T168"/>
    <mergeCell ref="S169:T169"/>
    <mergeCell ref="S170:T170"/>
    <mergeCell ref="S171:T171"/>
    <mergeCell ref="A167:H167"/>
    <mergeCell ref="S136:T136"/>
    <mergeCell ref="S142:T142"/>
    <mergeCell ref="S141:T141"/>
    <mergeCell ref="S149:T149"/>
    <mergeCell ref="S150:T150"/>
    <mergeCell ref="A63:B63"/>
    <mergeCell ref="E63:F72"/>
    <mergeCell ref="G63:H72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279:B279"/>
    <mergeCell ref="S279:T279"/>
    <mergeCell ref="A276:B276"/>
    <mergeCell ref="S178:T178"/>
    <mergeCell ref="S179:T179"/>
    <mergeCell ref="S180:T180"/>
    <mergeCell ref="S181:T181"/>
    <mergeCell ref="S182:T182"/>
    <mergeCell ref="S183:T183"/>
    <mergeCell ref="S184:T184"/>
    <mergeCell ref="S185:T185"/>
    <mergeCell ref="S276:T276"/>
    <mergeCell ref="S265:T265"/>
    <mergeCell ref="S257:T257"/>
    <mergeCell ref="S255:T255"/>
    <mergeCell ref="S194:T194"/>
    <mergeCell ref="S195:T195"/>
    <mergeCell ref="S196:T196"/>
    <mergeCell ref="S197:T197"/>
    <mergeCell ref="S198:T198"/>
    <mergeCell ref="S199:T199"/>
    <mergeCell ref="S200:T200"/>
    <mergeCell ref="S201:T201"/>
    <mergeCell ref="S202:T202"/>
    <mergeCell ref="S268:T268"/>
    <mergeCell ref="A269:B269"/>
    <mergeCell ref="S269:T269"/>
    <mergeCell ref="A270:B270"/>
    <mergeCell ref="S270:T270"/>
    <mergeCell ref="A265:B265"/>
    <mergeCell ref="G269:H280"/>
    <mergeCell ref="A271:B271"/>
    <mergeCell ref="S271:T271"/>
    <mergeCell ref="A268:H268"/>
    <mergeCell ref="S272:T272"/>
    <mergeCell ref="A273:B273"/>
    <mergeCell ref="S273:T273"/>
    <mergeCell ref="A274:B274"/>
    <mergeCell ref="S274:T274"/>
    <mergeCell ref="A275:B275"/>
    <mergeCell ref="S275:T275"/>
    <mergeCell ref="A272:B272"/>
    <mergeCell ref="A280:B280"/>
    <mergeCell ref="S280:T280"/>
    <mergeCell ref="A277:B277"/>
    <mergeCell ref="S277:T277"/>
    <mergeCell ref="A278:B278"/>
    <mergeCell ref="S278:T278"/>
    <mergeCell ref="S258:T258"/>
    <mergeCell ref="S259:T259"/>
    <mergeCell ref="S260:T260"/>
    <mergeCell ref="S261:T261"/>
    <mergeCell ref="S262:T262"/>
    <mergeCell ref="S263:T263"/>
    <mergeCell ref="S264:T264"/>
    <mergeCell ref="A264:B264"/>
    <mergeCell ref="G256:H267"/>
    <mergeCell ref="A266:B266"/>
    <mergeCell ref="S266:T266"/>
    <mergeCell ref="S267:T267"/>
    <mergeCell ref="S256:T256"/>
    <mergeCell ref="S190:T190"/>
    <mergeCell ref="S191:T191"/>
    <mergeCell ref="S192:T192"/>
    <mergeCell ref="S187:T187"/>
    <mergeCell ref="A179:B179"/>
    <mergeCell ref="A180:B180"/>
    <mergeCell ref="A181:B181"/>
    <mergeCell ref="A182:B182"/>
    <mergeCell ref="G178:H187"/>
    <mergeCell ref="A184:B184"/>
    <mergeCell ref="A185:B185"/>
    <mergeCell ref="A186:B186"/>
    <mergeCell ref="A187:B187"/>
    <mergeCell ref="S189:T189"/>
    <mergeCell ref="A174:B174"/>
    <mergeCell ref="S174:T174"/>
    <mergeCell ref="A175:B175"/>
    <mergeCell ref="S175:T175"/>
    <mergeCell ref="A176:B176"/>
    <mergeCell ref="S176:T176"/>
    <mergeCell ref="A177:H177"/>
    <mergeCell ref="A189:B189"/>
    <mergeCell ref="S214:T214"/>
    <mergeCell ref="G200:H209"/>
    <mergeCell ref="A190:B190"/>
    <mergeCell ref="A191:B191"/>
    <mergeCell ref="A193:B193"/>
    <mergeCell ref="A194:B194"/>
    <mergeCell ref="A195:B195"/>
    <mergeCell ref="A209:B209"/>
    <mergeCell ref="S186:T186"/>
    <mergeCell ref="S203:T203"/>
    <mergeCell ref="S204:T204"/>
    <mergeCell ref="S205:T205"/>
    <mergeCell ref="A196:B196"/>
    <mergeCell ref="A198:B198"/>
    <mergeCell ref="A200:B200"/>
    <mergeCell ref="S208:T208"/>
    <mergeCell ref="S152:T152"/>
    <mergeCell ref="S153:T153"/>
    <mergeCell ref="A154:B154"/>
    <mergeCell ref="A153:B153"/>
    <mergeCell ref="A168:H168"/>
    <mergeCell ref="A172:B172"/>
    <mergeCell ref="S172:T172"/>
    <mergeCell ref="A173:B173"/>
    <mergeCell ref="S173:T173"/>
    <mergeCell ref="A162:B162"/>
    <mergeCell ref="S154:T154"/>
    <mergeCell ref="A159:B159"/>
    <mergeCell ref="A160:B160"/>
    <mergeCell ref="A161:B161"/>
    <mergeCell ref="A140:B140"/>
    <mergeCell ref="A136:B136"/>
    <mergeCell ref="A137:B137"/>
    <mergeCell ref="A138:B138"/>
    <mergeCell ref="A139:B139"/>
    <mergeCell ref="S147:T147"/>
    <mergeCell ref="A148:B148"/>
    <mergeCell ref="S148:T148"/>
    <mergeCell ref="S143:T143"/>
    <mergeCell ref="A144:B144"/>
    <mergeCell ref="S144:T144"/>
    <mergeCell ref="A145:B145"/>
    <mergeCell ref="S145:T145"/>
    <mergeCell ref="A146:B146"/>
    <mergeCell ref="S146:T146"/>
    <mergeCell ref="G136:H150"/>
    <mergeCell ref="A141:B141"/>
    <mergeCell ref="A142:B142"/>
    <mergeCell ref="A151:H151"/>
    <mergeCell ref="A155:B155"/>
    <mergeCell ref="S151:T151"/>
    <mergeCell ref="A152:B152"/>
    <mergeCell ref="S140:T140"/>
    <mergeCell ref="S139:T139"/>
    <mergeCell ref="S138:T138"/>
    <mergeCell ref="S137:T137"/>
    <mergeCell ref="S188:T188"/>
    <mergeCell ref="A169:B169"/>
    <mergeCell ref="A170:B170"/>
    <mergeCell ref="A171:B171"/>
    <mergeCell ref="A178:B178"/>
    <mergeCell ref="A143:B143"/>
    <mergeCell ref="A147:B147"/>
    <mergeCell ref="A149:B149"/>
    <mergeCell ref="A150:B150"/>
    <mergeCell ref="A157:B157"/>
    <mergeCell ref="G152:H166"/>
    <mergeCell ref="A163:B163"/>
    <mergeCell ref="A164:B164"/>
    <mergeCell ref="A165:B165"/>
    <mergeCell ref="A166:B166"/>
    <mergeCell ref="A158:B158"/>
    <mergeCell ref="A43:D43"/>
    <mergeCell ref="A44:H44"/>
    <mergeCell ref="A120:B120"/>
    <mergeCell ref="E120:F120"/>
    <mergeCell ref="G120:H120"/>
    <mergeCell ref="C45:E45"/>
    <mergeCell ref="F108:H108"/>
    <mergeCell ref="A58:C58"/>
    <mergeCell ref="D58:H58"/>
    <mergeCell ref="A107:E107"/>
    <mergeCell ref="F107:H107"/>
    <mergeCell ref="A87:B87"/>
    <mergeCell ref="C87:H87"/>
    <mergeCell ref="A89:B89"/>
    <mergeCell ref="C89:H89"/>
    <mergeCell ref="A90:B90"/>
    <mergeCell ref="E90:F90"/>
    <mergeCell ref="A59:B59"/>
    <mergeCell ref="C59:H59"/>
    <mergeCell ref="A61:B61"/>
    <mergeCell ref="C61:H61"/>
    <mergeCell ref="A62:B62"/>
    <mergeCell ref="E62:F62"/>
    <mergeCell ref="G62:H62"/>
    <mergeCell ref="A39:D39"/>
    <mergeCell ref="A57:C57"/>
    <mergeCell ref="D57:H57"/>
    <mergeCell ref="E39:H39"/>
    <mergeCell ref="D52:H52"/>
    <mergeCell ref="D51:H51"/>
    <mergeCell ref="A47:B48"/>
    <mergeCell ref="G47:H47"/>
    <mergeCell ref="D53:H53"/>
    <mergeCell ref="A53:C53"/>
    <mergeCell ref="A45:B45"/>
    <mergeCell ref="G45:H45"/>
    <mergeCell ref="G46:H46"/>
    <mergeCell ref="A40:D40"/>
    <mergeCell ref="E40:H40"/>
    <mergeCell ref="E41:H41"/>
    <mergeCell ref="E42:H42"/>
    <mergeCell ref="E43:H43"/>
    <mergeCell ref="A41:D41"/>
    <mergeCell ref="A42:D42"/>
    <mergeCell ref="C47:E47"/>
    <mergeCell ref="G49:H49"/>
    <mergeCell ref="C48:H48"/>
    <mergeCell ref="A56:C56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A36:B36"/>
    <mergeCell ref="C36:H36"/>
    <mergeCell ref="A22:D22"/>
    <mergeCell ref="E22:H22"/>
    <mergeCell ref="A26:D26"/>
    <mergeCell ref="E26:H26"/>
    <mergeCell ref="A23:D23"/>
    <mergeCell ref="A24:D24"/>
    <mergeCell ref="E24:H24"/>
    <mergeCell ref="E23:H23"/>
    <mergeCell ref="A25:D25"/>
    <mergeCell ref="E25:H2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3:B13"/>
    <mergeCell ref="C13:H13"/>
    <mergeCell ref="C14:H14"/>
    <mergeCell ref="F116:H116"/>
    <mergeCell ref="A31:B31"/>
    <mergeCell ref="C31:E31"/>
    <mergeCell ref="A32:B32"/>
    <mergeCell ref="C32:E32"/>
    <mergeCell ref="C33:E33"/>
    <mergeCell ref="D56:H56"/>
    <mergeCell ref="C46:E46"/>
    <mergeCell ref="A49:B49"/>
    <mergeCell ref="C49:E49"/>
    <mergeCell ref="A46:B46"/>
    <mergeCell ref="A50:H50"/>
    <mergeCell ref="A51:C51"/>
    <mergeCell ref="A54:C54"/>
    <mergeCell ref="D54:H54"/>
    <mergeCell ref="A52:C52"/>
    <mergeCell ref="A18:B18"/>
    <mergeCell ref="C18:D18"/>
    <mergeCell ref="E18:F18"/>
    <mergeCell ref="G18:H18"/>
    <mergeCell ref="A19:D20"/>
    <mergeCell ref="A55:C55"/>
    <mergeCell ref="A10:D10"/>
    <mergeCell ref="E10:H10"/>
    <mergeCell ref="E19:H20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C30:E30"/>
    <mergeCell ref="A14:B14"/>
    <mergeCell ref="A11:D11"/>
    <mergeCell ref="E11:H11"/>
    <mergeCell ref="A12:D12"/>
    <mergeCell ref="E12:H12"/>
    <mergeCell ref="A282:H282"/>
    <mergeCell ref="A283:H283"/>
    <mergeCell ref="A284:H284"/>
    <mergeCell ref="A131:H131"/>
    <mergeCell ref="A285:H285"/>
    <mergeCell ref="C120:D120"/>
    <mergeCell ref="A108:E108"/>
    <mergeCell ref="A104:H104"/>
    <mergeCell ref="A105:E105"/>
    <mergeCell ref="A116:E116"/>
    <mergeCell ref="C121:D121"/>
    <mergeCell ref="E121:F121"/>
    <mergeCell ref="F106:H106"/>
    <mergeCell ref="A106:E106"/>
    <mergeCell ref="A199:H199"/>
    <mergeCell ref="A234:B234"/>
    <mergeCell ref="A238:B238"/>
    <mergeCell ref="A242:H242"/>
    <mergeCell ref="A217:B217"/>
    <mergeCell ref="A218:B218"/>
    <mergeCell ref="A219:B219"/>
    <mergeCell ref="A222:B222"/>
    <mergeCell ref="A226:B226"/>
    <mergeCell ref="A230:B230"/>
    <mergeCell ref="A110:E110"/>
    <mergeCell ref="F110:H110"/>
    <mergeCell ref="A115:E115"/>
    <mergeCell ref="A114:E114"/>
    <mergeCell ref="A291:H294"/>
    <mergeCell ref="A290:B290"/>
    <mergeCell ref="E290:F290"/>
    <mergeCell ref="C290:D290"/>
    <mergeCell ref="G290:H290"/>
    <mergeCell ref="A119:H119"/>
    <mergeCell ref="A117:E117"/>
    <mergeCell ref="F117:H117"/>
    <mergeCell ref="A118:E118"/>
    <mergeCell ref="F118:H118"/>
    <mergeCell ref="A211:H211"/>
    <mergeCell ref="A129:B129"/>
    <mergeCell ref="A286:H286"/>
    <mergeCell ref="A124:H124"/>
    <mergeCell ref="C129:D129"/>
    <mergeCell ref="A256:B256"/>
    <mergeCell ref="A287:H287"/>
    <mergeCell ref="A288:H288"/>
    <mergeCell ref="A289:H289"/>
    <mergeCell ref="A281:H281"/>
    <mergeCell ref="S193:T193"/>
    <mergeCell ref="G169:H176"/>
    <mergeCell ref="G189:H198"/>
    <mergeCell ref="G126:H126"/>
    <mergeCell ref="G127:H127"/>
    <mergeCell ref="G128:H128"/>
    <mergeCell ref="A126:A127"/>
    <mergeCell ref="C122:D122"/>
    <mergeCell ref="A121:A122"/>
    <mergeCell ref="A123:B123"/>
    <mergeCell ref="C123:D123"/>
    <mergeCell ref="G122:H122"/>
    <mergeCell ref="E123:F123"/>
    <mergeCell ref="G123:H123"/>
    <mergeCell ref="E122:F122"/>
    <mergeCell ref="A130:H130"/>
    <mergeCell ref="G132:H132"/>
    <mergeCell ref="E129:F129"/>
    <mergeCell ref="G129:H129"/>
    <mergeCell ref="A188:H188"/>
    <mergeCell ref="A135:H135"/>
    <mergeCell ref="A133:H133"/>
    <mergeCell ref="A134:H134"/>
    <mergeCell ref="A156:B156"/>
    <mergeCell ref="S231:T231"/>
    <mergeCell ref="A232:B232"/>
    <mergeCell ref="S232:T232"/>
    <mergeCell ref="A233:B233"/>
    <mergeCell ref="S233:T233"/>
    <mergeCell ref="A220:H220"/>
    <mergeCell ref="S220:T220"/>
    <mergeCell ref="A221:B221"/>
    <mergeCell ref="S221:T221"/>
    <mergeCell ref="S229:T229"/>
    <mergeCell ref="S222:T222"/>
    <mergeCell ref="A223:B223"/>
    <mergeCell ref="S223:T223"/>
    <mergeCell ref="A224:B224"/>
    <mergeCell ref="S224:T224"/>
    <mergeCell ref="A225:B225"/>
    <mergeCell ref="S225:T225"/>
    <mergeCell ref="S226:T226"/>
    <mergeCell ref="A227:B227"/>
    <mergeCell ref="S227:T227"/>
    <mergeCell ref="A228:B228"/>
    <mergeCell ref="S230:T230"/>
    <mergeCell ref="S228:T228"/>
    <mergeCell ref="A229:B229"/>
    <mergeCell ref="G221:H230"/>
    <mergeCell ref="G212:H219"/>
    <mergeCell ref="S206:T206"/>
    <mergeCell ref="S207:T207"/>
    <mergeCell ref="A212:B212"/>
    <mergeCell ref="S218:T218"/>
    <mergeCell ref="S217:T217"/>
    <mergeCell ref="S219:T219"/>
    <mergeCell ref="S211:T211"/>
    <mergeCell ref="A216:B216"/>
    <mergeCell ref="A213:B213"/>
    <mergeCell ref="A214:B214"/>
    <mergeCell ref="S215:T215"/>
    <mergeCell ref="S216:T216"/>
    <mergeCell ref="S212:T212"/>
    <mergeCell ref="S213:T213"/>
    <mergeCell ref="A215:B215"/>
    <mergeCell ref="S209:T209"/>
    <mergeCell ref="S242:T242"/>
    <mergeCell ref="A243:B243"/>
    <mergeCell ref="S243:T243"/>
    <mergeCell ref="A244:B244"/>
    <mergeCell ref="S244:T244"/>
    <mergeCell ref="A245:B245"/>
    <mergeCell ref="S245:T245"/>
    <mergeCell ref="S238:T238"/>
    <mergeCell ref="A239:B239"/>
    <mergeCell ref="S239:T239"/>
    <mergeCell ref="A240:B240"/>
    <mergeCell ref="S240:T240"/>
    <mergeCell ref="A241:B241"/>
    <mergeCell ref="S241:T241"/>
    <mergeCell ref="G232:H241"/>
    <mergeCell ref="A236:B236"/>
    <mergeCell ref="S236:T236"/>
    <mergeCell ref="A237:B237"/>
    <mergeCell ref="S237:T237"/>
    <mergeCell ref="S234:T234"/>
    <mergeCell ref="A235:B235"/>
    <mergeCell ref="S235:T235"/>
    <mergeCell ref="S246:T246"/>
    <mergeCell ref="A247:B247"/>
    <mergeCell ref="S247:T247"/>
    <mergeCell ref="A248:B248"/>
    <mergeCell ref="S248:T248"/>
    <mergeCell ref="A252:B252"/>
    <mergeCell ref="S252:T252"/>
    <mergeCell ref="A249:B249"/>
    <mergeCell ref="S249:T249"/>
    <mergeCell ref="A250:B250"/>
    <mergeCell ref="S250:T250"/>
    <mergeCell ref="A251:B251"/>
    <mergeCell ref="S251:T251"/>
    <mergeCell ref="A246:B246"/>
    <mergeCell ref="G243:H252"/>
    <mergeCell ref="A253:H253"/>
    <mergeCell ref="A267:B267"/>
    <mergeCell ref="A183:B183"/>
    <mergeCell ref="A192:B192"/>
    <mergeCell ref="A197:B197"/>
    <mergeCell ref="A202:B202"/>
    <mergeCell ref="A207:B207"/>
    <mergeCell ref="A259:B259"/>
    <mergeCell ref="A260:B260"/>
    <mergeCell ref="A261:B261"/>
    <mergeCell ref="A262:B262"/>
    <mergeCell ref="A263:B263"/>
    <mergeCell ref="A254:H254"/>
    <mergeCell ref="A255:H255"/>
    <mergeCell ref="A257:B257"/>
    <mergeCell ref="A210:H210"/>
    <mergeCell ref="A258:B258"/>
    <mergeCell ref="A201:B201"/>
    <mergeCell ref="A203:B203"/>
    <mergeCell ref="A204:B204"/>
    <mergeCell ref="A205:B205"/>
    <mergeCell ref="A206:B206"/>
    <mergeCell ref="A208:B208"/>
    <mergeCell ref="A231:H231"/>
    <mergeCell ref="A76:B76"/>
    <mergeCell ref="E76:F76"/>
    <mergeCell ref="G76:H76"/>
    <mergeCell ref="E127:F127"/>
    <mergeCell ref="A101:E101"/>
    <mergeCell ref="F101:H101"/>
    <mergeCell ref="F114:H114"/>
    <mergeCell ref="E128:F128"/>
    <mergeCell ref="C126:D126"/>
    <mergeCell ref="A128:B128"/>
    <mergeCell ref="C127:D127"/>
    <mergeCell ref="C128:D128"/>
    <mergeCell ref="G121:H121"/>
    <mergeCell ref="C125:D125"/>
    <mergeCell ref="E125:F125"/>
    <mergeCell ref="G125:H125"/>
    <mergeCell ref="A125:B125"/>
    <mergeCell ref="E126:F126"/>
    <mergeCell ref="A112:E112"/>
    <mergeCell ref="F112:H112"/>
    <mergeCell ref="A113:E113"/>
    <mergeCell ref="F113:H113"/>
    <mergeCell ref="A109:E109"/>
    <mergeCell ref="F109:H109"/>
    <mergeCell ref="D55:H55"/>
    <mergeCell ref="F105:H105"/>
    <mergeCell ref="A102:H102"/>
    <mergeCell ref="A103:B103"/>
    <mergeCell ref="C103:H103"/>
    <mergeCell ref="F115:H115"/>
    <mergeCell ref="A111:E111"/>
    <mergeCell ref="F111:H111"/>
    <mergeCell ref="A77:B77"/>
    <mergeCell ref="E77:F86"/>
    <mergeCell ref="G77:H86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73:B73"/>
    <mergeCell ref="C73:H73"/>
    <mergeCell ref="A75:B75"/>
    <mergeCell ref="C75:H75"/>
  </mergeCells>
  <hyperlinks>
    <hyperlink ref="C36" r:id="rId1"/>
  </hyperlinks>
  <printOptions horizontalCentered="1"/>
  <pageMargins left="0.39370078740157499" right="0.39370078740157499" top="0.78740157480314998" bottom="0.78740157480314998" header="0.196850393700787" footer="0.196850393700787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     &amp;P</oddFooter>
  </headerFooter>
  <rowBreaks count="4" manualBreakCount="4">
    <brk id="72" max="16383" man="1"/>
    <brk id="280" max="16383" man="1"/>
    <brk id="294" max="16383" man="1"/>
    <brk id="33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M197" sqref="M197"/>
    </sheetView>
  </sheetViews>
  <sheetFormatPr defaultRowHeight="15" x14ac:dyDescent="0.25"/>
  <cols>
    <col min="2" max="2" width="12.42578125" customWidth="1"/>
  </cols>
  <sheetData>
    <row r="2" spans="1:12" x14ac:dyDescent="0.25">
      <c r="B2" s="1" t="s">
        <v>82</v>
      </c>
      <c r="C2" s="174"/>
      <c r="D2" s="174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83</v>
      </c>
      <c r="B4" s="3" t="s">
        <v>84</v>
      </c>
      <c r="C4" s="175" t="s">
        <v>85</v>
      </c>
      <c r="D4" s="175"/>
      <c r="E4" s="175"/>
      <c r="F4" s="4"/>
      <c r="G4" s="175" t="s">
        <v>86</v>
      </c>
      <c r="H4" s="175"/>
      <c r="I4" s="175"/>
      <c r="J4" s="175" t="s">
        <v>87</v>
      </c>
      <c r="K4" s="175"/>
      <c r="L4" s="175"/>
    </row>
    <row r="5" spans="1:12" x14ac:dyDescent="0.25">
      <c r="A5" s="1">
        <v>202</v>
      </c>
      <c r="B5" s="3"/>
      <c r="C5" s="3" t="s">
        <v>88</v>
      </c>
      <c r="D5" s="3" t="s">
        <v>89</v>
      </c>
      <c r="E5" s="3" t="s">
        <v>64</v>
      </c>
      <c r="F5" s="3"/>
      <c r="G5" s="3" t="s">
        <v>88</v>
      </c>
      <c r="H5" s="3" t="s">
        <v>89</v>
      </c>
      <c r="I5" s="3" t="s">
        <v>64</v>
      </c>
      <c r="J5" s="3" t="s">
        <v>88</v>
      </c>
      <c r="K5" s="3" t="s">
        <v>89</v>
      </c>
      <c r="L5" s="3" t="s">
        <v>64</v>
      </c>
    </row>
    <row r="6" spans="1:12" x14ac:dyDescent="0.25">
      <c r="B6" s="5" t="s">
        <v>90</v>
      </c>
      <c r="C6" s="5">
        <v>4.5</v>
      </c>
      <c r="D6" s="5">
        <v>2.9</v>
      </c>
      <c r="E6" s="5">
        <f>C6*D6</f>
        <v>13.049999999999999</v>
      </c>
      <c r="F6" s="5" t="s">
        <v>91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92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93</v>
      </c>
      <c r="C9" s="5">
        <v>1.88</v>
      </c>
      <c r="D9" s="5">
        <v>2.13</v>
      </c>
      <c r="E9" s="5">
        <f t="shared" si="0"/>
        <v>4.0043999999999995</v>
      </c>
      <c r="F9" s="5" t="s">
        <v>91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92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94</v>
      </c>
      <c r="C13" s="5"/>
      <c r="D13" s="5"/>
      <c r="E13" s="5">
        <f t="shared" si="0"/>
        <v>0</v>
      </c>
      <c r="F13" s="5" t="s">
        <v>91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92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95</v>
      </c>
      <c r="C17" s="5"/>
      <c r="D17" s="5"/>
      <c r="E17" s="5">
        <f t="shared" si="0"/>
        <v>0</v>
      </c>
      <c r="F17" s="5" t="s">
        <v>91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92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95</v>
      </c>
      <c r="C20" s="5"/>
      <c r="D20" s="5"/>
      <c r="E20" s="5">
        <f t="shared" si="0"/>
        <v>0</v>
      </c>
      <c r="F20" s="5" t="s">
        <v>91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92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96</v>
      </c>
      <c r="C23" s="5">
        <v>1.9</v>
      </c>
      <c r="D23" s="5">
        <v>1.07</v>
      </c>
      <c r="E23" s="5">
        <f t="shared" si="0"/>
        <v>2.0329999999999999</v>
      </c>
      <c r="F23" s="5" t="s">
        <v>97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98</v>
      </c>
      <c r="C24" s="5"/>
      <c r="D24" s="5"/>
      <c r="E24" s="5">
        <f t="shared" si="0"/>
        <v>0</v>
      </c>
      <c r="F24" s="5" t="s">
        <v>97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99</v>
      </c>
      <c r="C25" s="5"/>
      <c r="D25" s="5"/>
      <c r="E25" s="5">
        <f t="shared" si="0"/>
        <v>0</v>
      </c>
      <c r="F25" s="5" t="s">
        <v>97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100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101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102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103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65</v>
      </c>
      <c r="C34" s="5"/>
      <c r="D34" s="5">
        <f>E34*10.764</f>
        <v>205.45677359999996</v>
      </c>
      <c r="E34" s="5">
        <f>SUM(E6:E33)</f>
        <v>19.087399999999999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D2:H13"/>
  <sheetViews>
    <sheetView workbookViewId="0">
      <selection activeCell="G2" sqref="G2:H13"/>
    </sheetView>
  </sheetViews>
  <sheetFormatPr defaultRowHeight="15" x14ac:dyDescent="0.25"/>
  <cols>
    <col min="7" max="7" width="16.140625" customWidth="1"/>
  </cols>
  <sheetData>
    <row r="2" spans="4:8" x14ac:dyDescent="0.25">
      <c r="D2">
        <v>201</v>
      </c>
      <c r="E2">
        <v>401</v>
      </c>
      <c r="F2">
        <v>601</v>
      </c>
      <c r="G2" s="176" t="str">
        <f>D2&amp;", "&amp;E2&amp;", "&amp;F2</f>
        <v>201, 401, 601</v>
      </c>
      <c r="H2" s="176"/>
    </row>
    <row r="3" spans="4:8" x14ac:dyDescent="0.25">
      <c r="D3">
        <v>202</v>
      </c>
      <c r="E3">
        <v>402</v>
      </c>
      <c r="F3">
        <v>602</v>
      </c>
      <c r="G3" s="176" t="str">
        <f t="shared" ref="G3:G13" si="0">D3&amp;", "&amp;E3&amp;", "&amp;F3</f>
        <v>202, 402, 602</v>
      </c>
      <c r="H3" s="176"/>
    </row>
    <row r="4" spans="4:8" x14ac:dyDescent="0.25">
      <c r="D4">
        <v>203</v>
      </c>
      <c r="E4">
        <v>403</v>
      </c>
      <c r="F4">
        <v>603</v>
      </c>
      <c r="G4" s="176" t="str">
        <f t="shared" si="0"/>
        <v>203, 403, 603</v>
      </c>
      <c r="H4" s="176"/>
    </row>
    <row r="5" spans="4:8" x14ac:dyDescent="0.25">
      <c r="D5">
        <v>204</v>
      </c>
      <c r="E5">
        <v>404</v>
      </c>
      <c r="F5">
        <v>604</v>
      </c>
      <c r="G5" s="176" t="str">
        <f t="shared" si="0"/>
        <v>204, 404, 604</v>
      </c>
      <c r="H5" s="176"/>
    </row>
    <row r="6" spans="4:8" x14ac:dyDescent="0.25">
      <c r="D6">
        <v>205</v>
      </c>
      <c r="E6">
        <v>405</v>
      </c>
      <c r="F6">
        <v>605</v>
      </c>
      <c r="G6" s="176" t="str">
        <f t="shared" si="0"/>
        <v>205, 405, 605</v>
      </c>
      <c r="H6" s="176"/>
    </row>
    <row r="7" spans="4:8" x14ac:dyDescent="0.25">
      <c r="D7">
        <v>206</v>
      </c>
      <c r="E7">
        <v>406</v>
      </c>
      <c r="F7">
        <v>606</v>
      </c>
      <c r="G7" s="176" t="str">
        <f t="shared" si="0"/>
        <v>206, 406, 606</v>
      </c>
      <c r="H7" s="176"/>
    </row>
    <row r="8" spans="4:8" x14ac:dyDescent="0.25">
      <c r="D8">
        <v>207</v>
      </c>
      <c r="E8">
        <v>407</v>
      </c>
      <c r="F8">
        <v>607</v>
      </c>
      <c r="G8" s="176" t="str">
        <f t="shared" si="0"/>
        <v>207, 407, 607</v>
      </c>
      <c r="H8" s="176"/>
    </row>
    <row r="9" spans="4:8" x14ac:dyDescent="0.25">
      <c r="D9">
        <v>208</v>
      </c>
      <c r="E9">
        <v>408</v>
      </c>
      <c r="F9">
        <v>608</v>
      </c>
      <c r="G9" s="176" t="str">
        <f t="shared" si="0"/>
        <v>208, 408, 608</v>
      </c>
      <c r="H9" s="176"/>
    </row>
    <row r="10" spans="4:8" x14ac:dyDescent="0.25">
      <c r="D10">
        <v>209</v>
      </c>
      <c r="E10">
        <v>409</v>
      </c>
      <c r="F10">
        <v>609</v>
      </c>
      <c r="G10" s="176" t="str">
        <f t="shared" si="0"/>
        <v>209, 409, 609</v>
      </c>
      <c r="H10" s="176"/>
    </row>
    <row r="11" spans="4:8" x14ac:dyDescent="0.25">
      <c r="D11">
        <v>210</v>
      </c>
      <c r="E11">
        <v>410</v>
      </c>
      <c r="F11">
        <v>610</v>
      </c>
      <c r="G11" s="176" t="str">
        <f t="shared" si="0"/>
        <v>210, 410, 610</v>
      </c>
      <c r="H11" s="176"/>
    </row>
    <row r="12" spans="4:8" x14ac:dyDescent="0.25">
      <c r="D12">
        <v>211</v>
      </c>
      <c r="E12">
        <v>411</v>
      </c>
      <c r="F12">
        <v>611</v>
      </c>
      <c r="G12" s="176" t="str">
        <f t="shared" si="0"/>
        <v>211, 411, 611</v>
      </c>
      <c r="H12" s="176"/>
    </row>
    <row r="13" spans="4:8" x14ac:dyDescent="0.25">
      <c r="D13">
        <v>212</v>
      </c>
      <c r="E13">
        <v>412</v>
      </c>
      <c r="F13">
        <v>612</v>
      </c>
      <c r="G13" s="176" t="str">
        <f t="shared" si="0"/>
        <v>212, 412, 612</v>
      </c>
      <c r="H13" s="176"/>
    </row>
  </sheetData>
  <mergeCells count="12">
    <mergeCell ref="G13:H13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/>
  </sheetViews>
  <sheetFormatPr defaultColWidth="8.5703125" defaultRowHeight="15" x14ac:dyDescent="0.25"/>
  <cols>
    <col min="1" max="1" width="8.5703125" style="6"/>
    <col min="2" max="2" width="22.140625" style="6" customWidth="1"/>
    <col min="3" max="3" width="37" style="6" customWidth="1"/>
    <col min="4" max="5" width="11.42578125" style="6" customWidth="1"/>
    <col min="6" max="6" width="14" style="6" customWidth="1"/>
    <col min="7" max="7" width="20" style="6" customWidth="1"/>
    <col min="8" max="8" width="16.42578125" style="6" customWidth="1"/>
    <col min="9" max="16384" width="8.5703125" style="6"/>
  </cols>
  <sheetData>
    <row r="1" spans="1:9" ht="15" customHeight="1" x14ac:dyDescent="0.25"/>
    <row r="2" spans="1:9" ht="15" customHeight="1" x14ac:dyDescent="0.25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25">
      <c r="A3" s="7"/>
      <c r="B3" s="177" t="s">
        <v>151</v>
      </c>
      <c r="C3" s="177"/>
      <c r="D3" s="177"/>
      <c r="E3" s="177"/>
      <c r="F3" s="177"/>
      <c r="G3" s="177"/>
      <c r="H3" s="177"/>
    </row>
    <row r="4" spans="1:9" x14ac:dyDescent="0.25">
      <c r="A4" s="7"/>
      <c r="B4" s="8" t="s">
        <v>152</v>
      </c>
      <c r="C4" s="8" t="s">
        <v>153</v>
      </c>
      <c r="D4" s="8" t="s">
        <v>83</v>
      </c>
      <c r="E4" s="8" t="s">
        <v>154</v>
      </c>
      <c r="F4" s="8" t="s">
        <v>161</v>
      </c>
      <c r="G4" s="8" t="s">
        <v>162</v>
      </c>
      <c r="H4" s="8" t="s">
        <v>155</v>
      </c>
    </row>
    <row r="5" spans="1:9" ht="15" customHeight="1" x14ac:dyDescent="0.25">
      <c r="A5" s="7"/>
      <c r="B5" s="10" t="s">
        <v>156</v>
      </c>
      <c r="C5" s="11"/>
      <c r="D5" s="10" t="s">
        <v>157</v>
      </c>
      <c r="E5" s="10">
        <v>1106</v>
      </c>
      <c r="F5" s="12">
        <f>E5*1.6</f>
        <v>1769.6000000000001</v>
      </c>
      <c r="G5" s="12">
        <f>H5/F5</f>
        <v>31532.549728752259</v>
      </c>
      <c r="H5" s="13">
        <v>55800000</v>
      </c>
    </row>
    <row r="6" spans="1:9" x14ac:dyDescent="0.25">
      <c r="A6" s="7"/>
      <c r="B6" s="10" t="s">
        <v>156</v>
      </c>
      <c r="C6" s="14"/>
      <c r="D6" s="10"/>
      <c r="E6" s="10"/>
      <c r="F6" s="12">
        <f t="shared" ref="F6:F11" si="0">E6*1.6</f>
        <v>0</v>
      </c>
      <c r="G6" s="12" t="e">
        <f t="shared" ref="G6:G11" si="1">H6/F6</f>
        <v>#DIV/0!</v>
      </c>
      <c r="H6" s="13"/>
    </row>
    <row r="7" spans="1:9" ht="15" customHeight="1" x14ac:dyDescent="0.25">
      <c r="A7" s="7"/>
      <c r="B7" s="10" t="s">
        <v>156</v>
      </c>
      <c r="C7" s="11"/>
      <c r="D7" s="10"/>
      <c r="E7" s="10"/>
      <c r="F7" s="12">
        <f t="shared" si="0"/>
        <v>0</v>
      </c>
      <c r="G7" s="12" t="e">
        <f t="shared" si="1"/>
        <v>#DIV/0!</v>
      </c>
      <c r="H7" s="13"/>
    </row>
    <row r="8" spans="1:9" x14ac:dyDescent="0.25">
      <c r="A8" s="7"/>
      <c r="B8" s="10" t="s">
        <v>156</v>
      </c>
      <c r="C8" s="14"/>
      <c r="D8" s="10"/>
      <c r="E8" s="10"/>
      <c r="F8" s="12">
        <f t="shared" si="0"/>
        <v>0</v>
      </c>
      <c r="G8" s="12" t="e">
        <f t="shared" si="1"/>
        <v>#DIV/0!</v>
      </c>
      <c r="H8" s="13"/>
    </row>
    <row r="9" spans="1:9" ht="15" customHeight="1" x14ac:dyDescent="0.25">
      <c r="A9" s="7"/>
      <c r="B9" s="10" t="s">
        <v>156</v>
      </c>
      <c r="C9" s="14"/>
      <c r="D9" s="10"/>
      <c r="E9" s="10"/>
      <c r="F9" s="12">
        <f t="shared" si="0"/>
        <v>0</v>
      </c>
      <c r="G9" s="12" t="e">
        <f t="shared" si="1"/>
        <v>#DIV/0!</v>
      </c>
      <c r="H9" s="13"/>
    </row>
    <row r="10" spans="1:9" ht="15" customHeight="1" x14ac:dyDescent="0.25">
      <c r="A10" s="7"/>
      <c r="B10" s="10" t="s">
        <v>158</v>
      </c>
      <c r="C10" s="11"/>
      <c r="D10" s="10"/>
      <c r="E10" s="10"/>
      <c r="F10" s="12">
        <f t="shared" si="0"/>
        <v>0</v>
      </c>
      <c r="G10" s="12" t="e">
        <f t="shared" si="1"/>
        <v>#DIV/0!</v>
      </c>
      <c r="H10" s="13"/>
    </row>
    <row r="11" spans="1:9" ht="15" customHeight="1" x14ac:dyDescent="0.25">
      <c r="A11" s="7"/>
      <c r="B11" s="10" t="s">
        <v>158</v>
      </c>
      <c r="C11" s="11"/>
      <c r="D11" s="10"/>
      <c r="E11" s="10"/>
      <c r="F11" s="12">
        <f t="shared" si="0"/>
        <v>0</v>
      </c>
      <c r="G11" s="12" t="e">
        <f t="shared" si="1"/>
        <v>#DIV/0!</v>
      </c>
      <c r="H11" s="13"/>
    </row>
    <row r="12" spans="1:9" ht="15" customHeight="1" x14ac:dyDescent="0.25">
      <c r="A12" s="7"/>
      <c r="B12" s="15" t="s">
        <v>159</v>
      </c>
      <c r="C12" s="10"/>
      <c r="D12" s="10"/>
      <c r="E12" s="10"/>
      <c r="F12" s="10"/>
      <c r="G12" s="16" t="e">
        <f>AVERAGE(G5:G11)</f>
        <v>#DIV/0!</v>
      </c>
      <c r="H12" s="10"/>
    </row>
    <row r="13" spans="1:9" ht="15" customHeight="1" x14ac:dyDescent="0.25">
      <c r="B13" s="15" t="s">
        <v>160</v>
      </c>
      <c r="C13" s="10"/>
      <c r="D13" s="10"/>
      <c r="E13" s="10"/>
      <c r="F13" s="17"/>
      <c r="G13" s="15"/>
      <c r="H13" s="15"/>
      <c r="I13" s="9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2025-07-10T10:11:10Z</cp:lastPrinted>
  <dcterms:created xsi:type="dcterms:W3CDTF">2019-07-16T09:29:46Z</dcterms:created>
  <dcterms:modified xsi:type="dcterms:W3CDTF">2025-07-10T10:12:27Z</dcterms:modified>
</cp:coreProperties>
</file>